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Татьяна\Desktop\франшиза\"/>
    </mc:Choice>
  </mc:AlternateContent>
  <xr:revisionPtr revIDLastSave="0" documentId="8_{19449AAB-E93C-4B7D-90AC-83ED19A9476F}" xr6:coauthVersionLast="47" xr6:coauthVersionMax="47" xr10:uidLastSave="{00000000-0000-0000-0000-000000000000}"/>
  <bookViews>
    <workbookView xWindow="-110" yWindow="-110" windowWidth="19420" windowHeight="10420" tabRatio="789" activeTab="7" xr2:uid="{00000000-000D-0000-FFFF-FFFF00000000}"/>
  </bookViews>
  <sheets>
    <sheet name="Титул" sheetId="1" r:id="rId1"/>
    <sheet name="Сезон" sheetId="24" state="veryHidden" r:id="rId2"/>
    <sheet name="Гантта" sheetId="25" state="veryHidden" r:id="rId3"/>
    <sheet name="Этапы запуска проекта" sheetId="8" r:id="rId4"/>
    <sheet name="Инвестиции" sheetId="5" r:id="rId5"/>
    <sheet name="Ежемес. расходы" sheetId="28" r:id="rId6"/>
    <sheet name="Продажи" sheetId="3" r:id="rId7"/>
    <sheet name="Прибыль и окупаемость" sheetId="4" r:id="rId8"/>
    <sheet name="Кредитование" sheetId="10" state="veryHidden" r:id="rId9"/>
  </sheets>
  <externalReferences>
    <externalReference r:id="rId10"/>
  </externalReferences>
  <definedNames>
    <definedName name="Месяц">Сезон!$B$2:$B$13</definedName>
    <definedName name="Мсяц">[1]Сезон!$B$2:$B$13</definedName>
    <definedName name="Пакеты">Сезон!$I$1:$K$1</definedName>
    <definedName name="пр">[1]Сезон!$A$24:$A$25</definedName>
    <definedName name="Собственник">Сезон!$A$28:$A$29</definedName>
    <definedName name="Формат">Сезон!$I$5:$K$5</definedName>
    <definedName name="ш">[1]Сезон!$A$28:$A$29</definedName>
    <definedName name="Юр">Сезон!$A$24:$A$25</definedName>
  </definedNames>
  <calcPr calcId="191029" refMode="R1C1"/>
</workbook>
</file>

<file path=xl/calcChain.xml><?xml version="1.0" encoding="utf-8"?>
<calcChain xmlns="http://schemas.openxmlformats.org/spreadsheetml/2006/main">
  <c r="E27" i="4" l="1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C28" i="4"/>
  <c r="C29" i="4"/>
  <c r="C31" i="4"/>
  <c r="C32" i="4"/>
  <c r="C33" i="4"/>
  <c r="C34" i="4"/>
  <c r="C21" i="4"/>
  <c r="C14" i="4"/>
  <c r="C30" i="3"/>
  <c r="C33" i="3"/>
  <c r="C36" i="3"/>
  <c r="C39" i="3"/>
  <c r="E11" i="3"/>
  <c r="E10" i="3"/>
  <c r="E9" i="3"/>
  <c r="E8" i="3"/>
  <c r="E7" i="3"/>
  <c r="D11" i="3"/>
  <c r="D10" i="3"/>
  <c r="D9" i="3"/>
  <c r="D8" i="3"/>
  <c r="D7" i="3"/>
  <c r="F27" i="28"/>
  <c r="K33" i="4" s="1"/>
  <c r="F28" i="28"/>
  <c r="H34" i="4" s="1"/>
  <c r="F16" i="28"/>
  <c r="E17" i="28"/>
  <c r="E16" i="28"/>
  <c r="D17" i="28"/>
  <c r="D16" i="28"/>
  <c r="N22" i="4" s="1"/>
  <c r="F50" i="5"/>
  <c r="F47" i="5"/>
  <c r="D46" i="5"/>
  <c r="F46" i="5" s="1"/>
  <c r="F45" i="5"/>
  <c r="D44" i="5"/>
  <c r="F44" i="5" s="1"/>
  <c r="F43" i="5"/>
  <c r="F42" i="5"/>
  <c r="F41" i="5"/>
  <c r="F40" i="5"/>
  <c r="F39" i="5"/>
  <c r="F38" i="5"/>
  <c r="D34" i="5"/>
  <c r="F34" i="5" s="1"/>
  <c r="D35" i="5"/>
  <c r="F35" i="5" s="1"/>
  <c r="D36" i="5"/>
  <c r="F36" i="5" s="1"/>
  <c r="D33" i="5"/>
  <c r="F33" i="5" s="1"/>
  <c r="D21" i="5"/>
  <c r="E26" i="5"/>
  <c r="C26" i="5"/>
  <c r="D25" i="5"/>
  <c r="F25" i="5" s="1"/>
  <c r="D29" i="5"/>
  <c r="F29" i="5" s="1"/>
  <c r="D30" i="5"/>
  <c r="F30" i="5" s="1"/>
  <c r="D31" i="5"/>
  <c r="F31" i="5" s="1"/>
  <c r="D28" i="5"/>
  <c r="F28" i="5" s="1"/>
  <c r="D24" i="5"/>
  <c r="D23" i="5"/>
  <c r="D18" i="5"/>
  <c r="E17" i="5"/>
  <c r="D16" i="5"/>
  <c r="D17" i="5"/>
  <c r="C17" i="5"/>
  <c r="E16" i="5"/>
  <c r="C16" i="5"/>
  <c r="Y33" i="4" l="1"/>
  <c r="H22" i="4"/>
  <c r="F22" i="4"/>
  <c r="X22" i="4"/>
  <c r="V22" i="4"/>
  <c r="V34" i="4"/>
  <c r="P22" i="4"/>
  <c r="N34" i="4"/>
  <c r="M34" i="4"/>
  <c r="P33" i="4"/>
  <c r="U22" i="4"/>
  <c r="M22" i="4"/>
  <c r="E22" i="4"/>
  <c r="F34" i="4"/>
  <c r="I33" i="4"/>
  <c r="T22" i="4"/>
  <c r="L22" i="4"/>
  <c r="E34" i="4"/>
  <c r="H33" i="4"/>
  <c r="AA22" i="4"/>
  <c r="S22" i="4"/>
  <c r="K22" i="4"/>
  <c r="Q33" i="4"/>
  <c r="Z22" i="4"/>
  <c r="R22" i="4"/>
  <c r="J22" i="4"/>
  <c r="Y22" i="4"/>
  <c r="Q22" i="4"/>
  <c r="I22" i="4"/>
  <c r="U34" i="4"/>
  <c r="X33" i="4"/>
  <c r="W22" i="4"/>
  <c r="O22" i="4"/>
  <c r="G22" i="4"/>
  <c r="W34" i="4"/>
  <c r="O34" i="4"/>
  <c r="G34" i="4"/>
  <c r="Z33" i="4"/>
  <c r="R33" i="4"/>
  <c r="J33" i="4"/>
  <c r="T34" i="4"/>
  <c r="L34" i="4"/>
  <c r="W33" i="4"/>
  <c r="O33" i="4"/>
  <c r="G33" i="4"/>
  <c r="AA34" i="4"/>
  <c r="S34" i="4"/>
  <c r="K34" i="4"/>
  <c r="V33" i="4"/>
  <c r="N33" i="4"/>
  <c r="F33" i="4"/>
  <c r="Z34" i="4"/>
  <c r="R34" i="4"/>
  <c r="J34" i="4"/>
  <c r="U33" i="4"/>
  <c r="M33" i="4"/>
  <c r="E33" i="4"/>
  <c r="Y34" i="4"/>
  <c r="Q34" i="4"/>
  <c r="I34" i="4"/>
  <c r="T33" i="4"/>
  <c r="L33" i="4"/>
  <c r="X34" i="4"/>
  <c r="P34" i="4"/>
  <c r="AA33" i="4"/>
  <c r="S33" i="4"/>
  <c r="F9" i="3"/>
  <c r="F7" i="3"/>
  <c r="F8" i="3"/>
  <c r="F11" i="3"/>
  <c r="F10" i="3"/>
  <c r="F37" i="5"/>
  <c r="F32" i="5"/>
  <c r="F27" i="5"/>
  <c r="F13" i="5"/>
  <c r="F11" i="5"/>
  <c r="E18" i="1"/>
  <c r="D33" i="4" l="1"/>
  <c r="D32" i="4"/>
  <c r="D31" i="4"/>
  <c r="D30" i="4"/>
  <c r="F11" i="28"/>
  <c r="F26" i="5"/>
  <c r="L12" i="4" l="1"/>
  <c r="T12" i="4"/>
  <c r="D12" i="4"/>
  <c r="E12" i="4"/>
  <c r="M12" i="4"/>
  <c r="U12" i="4"/>
  <c r="P12" i="4"/>
  <c r="F12" i="4"/>
  <c r="N12" i="4"/>
  <c r="V12" i="4"/>
  <c r="X12" i="4"/>
  <c r="G12" i="4"/>
  <c r="O12" i="4"/>
  <c r="W12" i="4"/>
  <c r="H12" i="4"/>
  <c r="AA12" i="4"/>
  <c r="S12" i="4"/>
  <c r="I12" i="4"/>
  <c r="Q12" i="4"/>
  <c r="Y12" i="4"/>
  <c r="J12" i="4"/>
  <c r="R12" i="4"/>
  <c r="Z12" i="4"/>
  <c r="K12" i="4"/>
  <c r="AB31" i="4"/>
  <c r="AB33" i="4"/>
  <c r="AB32" i="4"/>
  <c r="AB30" i="4"/>
  <c r="D22" i="4"/>
  <c r="F23" i="5"/>
  <c r="F22" i="5"/>
  <c r="F21" i="5"/>
  <c r="F19" i="5"/>
  <c r="F20" i="5"/>
  <c r="F24" i="5"/>
  <c r="AB22" i="4" l="1"/>
  <c r="D9" i="28" l="1"/>
  <c r="F8" i="28"/>
  <c r="F17" i="5"/>
  <c r="E8" i="28" l="1"/>
  <c r="D34" i="4" l="1"/>
  <c r="AB34" i="4" s="1"/>
  <c r="F18" i="5"/>
  <c r="C10" i="28" l="1"/>
  <c r="C20" i="4" l="1"/>
  <c r="C27" i="3"/>
  <c r="F10" i="5" l="1"/>
  <c r="F12" i="5" l="1"/>
  <c r="F7" i="5" l="1"/>
  <c r="C22" i="4" l="1"/>
  <c r="D29" i="4" l="1"/>
  <c r="AB29" i="4" s="1"/>
  <c r="D28" i="4"/>
  <c r="AB28" i="4" s="1"/>
  <c r="D27" i="4"/>
  <c r="AB27" i="4" s="1"/>
  <c r="C27" i="4"/>
  <c r="K44" i="4" l="1"/>
  <c r="C18" i="1"/>
  <c r="I44" i="4" l="1"/>
  <c r="Y44" i="4"/>
  <c r="R44" i="4"/>
  <c r="Z44" i="4"/>
  <c r="Q44" i="4"/>
  <c r="J44" i="4"/>
  <c r="X44" i="4"/>
  <c r="P44" i="4"/>
  <c r="H44" i="4"/>
  <c r="W44" i="4"/>
  <c r="O44" i="4"/>
  <c r="G44" i="4"/>
  <c r="V44" i="4"/>
  <c r="N44" i="4"/>
  <c r="F44" i="4"/>
  <c r="U44" i="4"/>
  <c r="M44" i="4"/>
  <c r="E44" i="4"/>
  <c r="D44" i="4"/>
  <c r="T44" i="4"/>
  <c r="L44" i="4"/>
  <c r="AA44" i="4"/>
  <c r="S44" i="4"/>
  <c r="L11" i="4" l="1"/>
  <c r="T11" i="4"/>
  <c r="E11" i="4"/>
  <c r="M11" i="4"/>
  <c r="U11" i="4"/>
  <c r="F11" i="4"/>
  <c r="N11" i="4"/>
  <c r="V11" i="4"/>
  <c r="J11" i="4"/>
  <c r="R11" i="4"/>
  <c r="Z11" i="4"/>
  <c r="K11" i="4"/>
  <c r="S11" i="4"/>
  <c r="AA11" i="4"/>
  <c r="G11" i="4"/>
  <c r="O11" i="4"/>
  <c r="W11" i="4"/>
  <c r="H11" i="4"/>
  <c r="P11" i="4"/>
  <c r="X11" i="4"/>
  <c r="I11" i="4"/>
  <c r="Q11" i="4"/>
  <c r="Y11" i="4"/>
  <c r="F12" i="28"/>
  <c r="AB11" i="4" l="1"/>
  <c r="F16" i="5"/>
  <c r="C13" i="4" l="1"/>
  <c r="C25" i="4" l="1"/>
  <c r="D24" i="4" l="1"/>
  <c r="B519" i="10" l="1"/>
  <c r="B518" i="10"/>
  <c r="B517" i="10"/>
  <c r="B516" i="10"/>
  <c r="B515" i="10"/>
  <c r="B514" i="10"/>
  <c r="B513" i="10"/>
  <c r="B512" i="10"/>
  <c r="B511" i="10"/>
  <c r="B510" i="10"/>
  <c r="B509" i="10"/>
  <c r="B508" i="10"/>
  <c r="B507" i="10"/>
  <c r="B506" i="10"/>
  <c r="B505" i="10"/>
  <c r="B504" i="10"/>
  <c r="B503" i="10"/>
  <c r="B502" i="10"/>
  <c r="B501" i="10"/>
  <c r="B500" i="10"/>
  <c r="B499" i="10"/>
  <c r="B498" i="10"/>
  <c r="B497" i="10"/>
  <c r="B496" i="10"/>
  <c r="B495" i="10"/>
  <c r="B494" i="10"/>
  <c r="B493" i="10"/>
  <c r="B492" i="10"/>
  <c r="B491" i="10"/>
  <c r="B490" i="10"/>
  <c r="B489" i="10"/>
  <c r="B488" i="10"/>
  <c r="B487" i="10"/>
  <c r="B486" i="10"/>
  <c r="B485" i="10"/>
  <c r="B484" i="10"/>
  <c r="B483" i="10"/>
  <c r="B482" i="10"/>
  <c r="B481" i="10"/>
  <c r="B480" i="10"/>
  <c r="B479" i="10"/>
  <c r="B478" i="10"/>
  <c r="B477" i="10"/>
  <c r="B476" i="10"/>
  <c r="B475" i="10"/>
  <c r="B474" i="10"/>
  <c r="B473" i="10"/>
  <c r="B472" i="10"/>
  <c r="B471" i="10"/>
  <c r="B470" i="10"/>
  <c r="B469" i="10"/>
  <c r="B468" i="10"/>
  <c r="B467" i="10"/>
  <c r="B466" i="10"/>
  <c r="B465" i="10"/>
  <c r="B464" i="10"/>
  <c r="B463" i="10"/>
  <c r="B462" i="10"/>
  <c r="B461" i="10"/>
  <c r="B460" i="10"/>
  <c r="B459" i="10"/>
  <c r="B458" i="10"/>
  <c r="B457" i="10"/>
  <c r="B456" i="10"/>
  <c r="B455" i="10"/>
  <c r="B454" i="10"/>
  <c r="B453" i="10"/>
  <c r="B452" i="10"/>
  <c r="B451" i="10"/>
  <c r="B450" i="10"/>
  <c r="B449" i="10"/>
  <c r="B448" i="10"/>
  <c r="B447" i="10"/>
  <c r="B446" i="10"/>
  <c r="B445" i="10"/>
  <c r="B444" i="10"/>
  <c r="B443" i="10"/>
  <c r="B442" i="10"/>
  <c r="B441" i="10"/>
  <c r="B440" i="10"/>
  <c r="B439" i="10"/>
  <c r="B438" i="10"/>
  <c r="B437" i="10"/>
  <c r="B436" i="10"/>
  <c r="B435" i="10"/>
  <c r="B434" i="10"/>
  <c r="B433" i="10"/>
  <c r="B432" i="10"/>
  <c r="B431" i="10"/>
  <c r="B430" i="10"/>
  <c r="B429" i="10"/>
  <c r="B428" i="10"/>
  <c r="B427" i="10"/>
  <c r="B426" i="10"/>
  <c r="B425" i="10"/>
  <c r="B424" i="10"/>
  <c r="B423" i="10"/>
  <c r="B422" i="10"/>
  <c r="B421" i="10"/>
  <c r="B420" i="10"/>
  <c r="B419" i="10"/>
  <c r="B418" i="10"/>
  <c r="B417" i="10"/>
  <c r="B416" i="10"/>
  <c r="B415" i="10"/>
  <c r="B414" i="10"/>
  <c r="B413" i="10"/>
  <c r="B412" i="10"/>
  <c r="B411" i="10"/>
  <c r="B410" i="10"/>
  <c r="B409" i="10"/>
  <c r="B408" i="10"/>
  <c r="B407" i="10"/>
  <c r="B406" i="10"/>
  <c r="B405" i="10"/>
  <c r="B404" i="10"/>
  <c r="B403" i="10"/>
  <c r="B402" i="10"/>
  <c r="B401" i="10"/>
  <c r="B400" i="10"/>
  <c r="B399" i="10"/>
  <c r="B398" i="10"/>
  <c r="B397" i="10"/>
  <c r="B396" i="10"/>
  <c r="B395" i="10"/>
  <c r="B394" i="10"/>
  <c r="B393" i="10"/>
  <c r="B392" i="10"/>
  <c r="B391" i="10"/>
  <c r="B390" i="10"/>
  <c r="B389" i="10"/>
  <c r="B388" i="10"/>
  <c r="B387" i="10"/>
  <c r="B386" i="10"/>
  <c r="B385" i="10"/>
  <c r="B384" i="10"/>
  <c r="B383" i="10"/>
  <c r="B382" i="10"/>
  <c r="B381" i="10"/>
  <c r="B380" i="10"/>
  <c r="B379" i="10"/>
  <c r="B378" i="10"/>
  <c r="B377" i="10"/>
  <c r="B376" i="10"/>
  <c r="B375" i="10"/>
  <c r="B374" i="10"/>
  <c r="B373" i="10"/>
  <c r="B372" i="10"/>
  <c r="B371" i="10"/>
  <c r="B370" i="10"/>
  <c r="B369" i="10"/>
  <c r="B368" i="10"/>
  <c r="B367" i="10"/>
  <c r="B366" i="10"/>
  <c r="B365" i="10"/>
  <c r="B364" i="10"/>
  <c r="B363" i="10"/>
  <c r="B362" i="10"/>
  <c r="B361" i="10"/>
  <c r="B360" i="10"/>
  <c r="B359" i="10"/>
  <c r="B358" i="10"/>
  <c r="B357" i="10"/>
  <c r="B356" i="10"/>
  <c r="B355" i="10"/>
  <c r="B354" i="10"/>
  <c r="B353" i="10"/>
  <c r="B352" i="10"/>
  <c r="B351" i="10"/>
  <c r="B350" i="10"/>
  <c r="B349" i="10"/>
  <c r="B348" i="10"/>
  <c r="B347" i="10"/>
  <c r="B346" i="10"/>
  <c r="B345" i="10"/>
  <c r="B344" i="10"/>
  <c r="B343" i="10"/>
  <c r="B342" i="10"/>
  <c r="B341" i="10"/>
  <c r="B340" i="10"/>
  <c r="B339" i="10"/>
  <c r="B338" i="10"/>
  <c r="B337" i="10"/>
  <c r="B336" i="10"/>
  <c r="B335" i="10"/>
  <c r="B334" i="10"/>
  <c r="B333" i="10"/>
  <c r="B332" i="10"/>
  <c r="B331" i="10"/>
  <c r="B330" i="10"/>
  <c r="B329" i="10"/>
  <c r="B328" i="10"/>
  <c r="B327" i="10"/>
  <c r="B326" i="10"/>
  <c r="B325" i="10"/>
  <c r="B324" i="10"/>
  <c r="B323" i="10"/>
  <c r="B322" i="10"/>
  <c r="B321" i="10"/>
  <c r="B320" i="10"/>
  <c r="B319" i="10"/>
  <c r="B318" i="10"/>
  <c r="B317" i="10"/>
  <c r="B316" i="10"/>
  <c r="B315" i="10"/>
  <c r="B314" i="10"/>
  <c r="B313" i="10"/>
  <c r="B312" i="10"/>
  <c r="B311" i="10"/>
  <c r="B310" i="10"/>
  <c r="B309" i="10"/>
  <c r="B308" i="10"/>
  <c r="B307" i="10"/>
  <c r="B306" i="10"/>
  <c r="B305" i="10"/>
  <c r="B304" i="10"/>
  <c r="B303" i="10"/>
  <c r="B302" i="10"/>
  <c r="B301" i="10"/>
  <c r="B300" i="10"/>
  <c r="B299" i="10"/>
  <c r="B298" i="10"/>
  <c r="B297" i="10"/>
  <c r="B296" i="10"/>
  <c r="B295" i="10"/>
  <c r="B294" i="10"/>
  <c r="B293" i="10"/>
  <c r="B292" i="10"/>
  <c r="B291" i="10"/>
  <c r="B290" i="10"/>
  <c r="B289" i="10"/>
  <c r="B288" i="10"/>
  <c r="B287" i="10"/>
  <c r="B286" i="10"/>
  <c r="B285" i="10"/>
  <c r="B284" i="10"/>
  <c r="B283" i="10"/>
  <c r="B282" i="10"/>
  <c r="B281" i="10"/>
  <c r="B280" i="10"/>
  <c r="B279" i="10"/>
  <c r="B278" i="10"/>
  <c r="B277" i="10"/>
  <c r="B276" i="10"/>
  <c r="B275" i="10"/>
  <c r="B274" i="10"/>
  <c r="B273" i="10"/>
  <c r="B272" i="10"/>
  <c r="B271" i="10"/>
  <c r="B270" i="10"/>
  <c r="B269" i="10"/>
  <c r="B268" i="10"/>
  <c r="B267" i="10"/>
  <c r="B266" i="10"/>
  <c r="B265" i="10"/>
  <c r="B264" i="10"/>
  <c r="B263" i="10"/>
  <c r="B262" i="10"/>
  <c r="B261" i="10"/>
  <c r="B260" i="10"/>
  <c r="B259" i="10"/>
  <c r="B258" i="10"/>
  <c r="B257" i="10"/>
  <c r="B256" i="10"/>
  <c r="B255" i="10"/>
  <c r="B254" i="10"/>
  <c r="B253" i="10"/>
  <c r="B252" i="10"/>
  <c r="B251" i="10"/>
  <c r="B250" i="10"/>
  <c r="B249" i="10"/>
  <c r="B248" i="10"/>
  <c r="B247" i="10"/>
  <c r="B246" i="10"/>
  <c r="B245" i="10"/>
  <c r="B244" i="10"/>
  <c r="B243" i="10"/>
  <c r="B242" i="10"/>
  <c r="B241" i="10"/>
  <c r="B240" i="10"/>
  <c r="B239" i="10"/>
  <c r="B238" i="10"/>
  <c r="B237" i="10"/>
  <c r="B236" i="10"/>
  <c r="B235" i="10"/>
  <c r="B234" i="10"/>
  <c r="B233" i="10"/>
  <c r="B232" i="10"/>
  <c r="B231" i="10"/>
  <c r="B230" i="10"/>
  <c r="B229" i="10"/>
  <c r="B228" i="10"/>
  <c r="B227" i="10"/>
  <c r="B226" i="10"/>
  <c r="B225" i="10"/>
  <c r="B224" i="10"/>
  <c r="B223" i="10"/>
  <c r="B222" i="10"/>
  <c r="B221" i="10"/>
  <c r="B220" i="10"/>
  <c r="B219" i="10"/>
  <c r="B218" i="10"/>
  <c r="B217" i="10"/>
  <c r="B216" i="10"/>
  <c r="B215" i="10"/>
  <c r="B214" i="10"/>
  <c r="B213" i="10"/>
  <c r="B212" i="10"/>
  <c r="B211" i="10"/>
  <c r="B210" i="10"/>
  <c r="B209" i="10"/>
  <c r="B208" i="10"/>
  <c r="B207" i="10"/>
  <c r="B206" i="10"/>
  <c r="B205" i="10"/>
  <c r="B204" i="10"/>
  <c r="B203" i="10"/>
  <c r="B202" i="10"/>
  <c r="B201" i="10"/>
  <c r="B200" i="10"/>
  <c r="B199" i="10"/>
  <c r="B198" i="10"/>
  <c r="B197" i="10"/>
  <c r="B196" i="10"/>
  <c r="B195" i="10"/>
  <c r="B194" i="10"/>
  <c r="B193" i="10"/>
  <c r="B192" i="10"/>
  <c r="B191" i="10"/>
  <c r="B190" i="10"/>
  <c r="B189" i="10"/>
  <c r="B188" i="10"/>
  <c r="B187" i="10"/>
  <c r="B186" i="10"/>
  <c r="B185" i="10"/>
  <c r="B184" i="10"/>
  <c r="B183" i="10"/>
  <c r="B182" i="10"/>
  <c r="B181" i="10"/>
  <c r="B180" i="10"/>
  <c r="B179" i="10"/>
  <c r="B178" i="10"/>
  <c r="B177" i="10"/>
  <c r="B176" i="10"/>
  <c r="B175" i="10"/>
  <c r="B174" i="10"/>
  <c r="B173" i="10"/>
  <c r="B172" i="10"/>
  <c r="B171" i="10"/>
  <c r="B170" i="10"/>
  <c r="B169" i="10"/>
  <c r="B168" i="10"/>
  <c r="B167" i="10"/>
  <c r="B166" i="10"/>
  <c r="B165" i="10"/>
  <c r="B164" i="10"/>
  <c r="B163" i="10"/>
  <c r="B162" i="10"/>
  <c r="B161" i="10"/>
  <c r="B160" i="10"/>
  <c r="B159" i="10"/>
  <c r="B158" i="10"/>
  <c r="B157" i="10"/>
  <c r="B156" i="10"/>
  <c r="B155" i="10"/>
  <c r="B154" i="10"/>
  <c r="B153" i="10"/>
  <c r="B152" i="10"/>
  <c r="B151" i="10"/>
  <c r="B150" i="10"/>
  <c r="B149" i="10"/>
  <c r="B148" i="10"/>
  <c r="B147" i="10"/>
  <c r="B146" i="10"/>
  <c r="B145" i="10"/>
  <c r="B144" i="10"/>
  <c r="B143" i="10"/>
  <c r="B142" i="10"/>
  <c r="B141" i="10"/>
  <c r="B140" i="10"/>
  <c r="B139" i="10"/>
  <c r="B138" i="10"/>
  <c r="B137" i="10"/>
  <c r="B136" i="10"/>
  <c r="B135" i="10"/>
  <c r="B134" i="10"/>
  <c r="B133" i="10"/>
  <c r="B132" i="10"/>
  <c r="B131" i="10"/>
  <c r="B130" i="10"/>
  <c r="B129" i="10"/>
  <c r="B128" i="10"/>
  <c r="B127" i="10"/>
  <c r="B126" i="10"/>
  <c r="B125" i="10"/>
  <c r="B124" i="10"/>
  <c r="B123" i="10"/>
  <c r="B122" i="10"/>
  <c r="B121" i="10"/>
  <c r="B120" i="10"/>
  <c r="B119" i="10"/>
  <c r="B118" i="10"/>
  <c r="B117" i="10"/>
  <c r="B116" i="10"/>
  <c r="B115" i="10"/>
  <c r="B114" i="10"/>
  <c r="B113" i="10"/>
  <c r="B112" i="10"/>
  <c r="B111" i="10"/>
  <c r="B110" i="10"/>
  <c r="B109" i="10"/>
  <c r="B108" i="10"/>
  <c r="B107" i="10"/>
  <c r="B106" i="10"/>
  <c r="B105" i="10"/>
  <c r="B104" i="10"/>
  <c r="B103" i="10"/>
  <c r="B102" i="10"/>
  <c r="B101" i="10"/>
  <c r="B100" i="10"/>
  <c r="B99" i="10"/>
  <c r="B98" i="10"/>
  <c r="B97" i="10"/>
  <c r="B96" i="10"/>
  <c r="B95" i="10"/>
  <c r="B94" i="10"/>
  <c r="B93" i="10"/>
  <c r="B92" i="10"/>
  <c r="B91" i="10"/>
  <c r="B90" i="10"/>
  <c r="B89" i="10"/>
  <c r="B88" i="10"/>
  <c r="B87" i="10"/>
  <c r="B86" i="10"/>
  <c r="B85" i="10"/>
  <c r="B84" i="10"/>
  <c r="B83" i="10"/>
  <c r="B82" i="10"/>
  <c r="B81" i="10"/>
  <c r="B80" i="10"/>
  <c r="B79" i="10"/>
  <c r="B78" i="10"/>
  <c r="B77" i="10"/>
  <c r="B76" i="10"/>
  <c r="B75" i="10"/>
  <c r="B74" i="10"/>
  <c r="B73" i="10"/>
  <c r="B72" i="10"/>
  <c r="B71" i="10"/>
  <c r="B70" i="10"/>
  <c r="B69" i="10"/>
  <c r="B68" i="10"/>
  <c r="B67" i="10"/>
  <c r="B66" i="10"/>
  <c r="B65" i="10"/>
  <c r="B64" i="10"/>
  <c r="B63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N7" i="10"/>
  <c r="N8" i="10" s="1"/>
  <c r="N9" i="10" s="1"/>
  <c r="N10" i="10" s="1"/>
  <c r="N11" i="10" s="1"/>
  <c r="N12" i="10" s="1"/>
  <c r="N13" i="10" s="1"/>
  <c r="N14" i="10" s="1"/>
  <c r="N15" i="10" s="1"/>
  <c r="N16" i="10" s="1"/>
  <c r="N17" i="10" s="1"/>
  <c r="N18" i="10" s="1"/>
  <c r="N19" i="10" s="1"/>
  <c r="N20" i="10" s="1"/>
  <c r="N21" i="10" s="1"/>
  <c r="N22" i="10" s="1"/>
  <c r="N23" i="10" s="1"/>
  <c r="N24" i="10" s="1"/>
  <c r="N25" i="10" s="1"/>
  <c r="N26" i="10" s="1"/>
  <c r="N27" i="10" s="1"/>
  <c r="N28" i="10" s="1"/>
  <c r="N29" i="10" s="1"/>
  <c r="N30" i="10" s="1"/>
  <c r="N31" i="10" s="1"/>
  <c r="N32" i="10" s="1"/>
  <c r="N33" i="10" s="1"/>
  <c r="N34" i="10" s="1"/>
  <c r="N35" i="10" s="1"/>
  <c r="N36" i="10" s="1"/>
  <c r="N37" i="10" s="1"/>
  <c r="N38" i="10" s="1"/>
  <c r="N39" i="10" s="1"/>
  <c r="N40" i="10" s="1"/>
  <c r="N41" i="10" s="1"/>
  <c r="N42" i="10" s="1"/>
  <c r="N43" i="10" s="1"/>
  <c r="N44" i="10" s="1"/>
  <c r="N45" i="10" s="1"/>
  <c r="N46" i="10" s="1"/>
  <c r="N47" i="10" s="1"/>
  <c r="N48" i="10" s="1"/>
  <c r="N49" i="10" s="1"/>
  <c r="N50" i="10" s="1"/>
  <c r="N51" i="10" s="1"/>
  <c r="N52" i="10" s="1"/>
  <c r="N53" i="10" s="1"/>
  <c r="N54" i="10" s="1"/>
  <c r="N55" i="10" s="1"/>
  <c r="N56" i="10" s="1"/>
  <c r="N57" i="10" s="1"/>
  <c r="N58" i="10" s="1"/>
  <c r="N59" i="10" s="1"/>
  <c r="N60" i="10" s="1"/>
  <c r="N61" i="10" s="1"/>
  <c r="N62" i="10" s="1"/>
  <c r="N63" i="10" s="1"/>
  <c r="N64" i="10" s="1"/>
  <c r="N65" i="10" s="1"/>
  <c r="N66" i="10" s="1"/>
  <c r="N67" i="10" s="1"/>
  <c r="N68" i="10" s="1"/>
  <c r="N69" i="10" s="1"/>
  <c r="N70" i="10" s="1"/>
  <c r="N71" i="10" s="1"/>
  <c r="N72" i="10" s="1"/>
  <c r="N73" i="10" s="1"/>
  <c r="N74" i="10" s="1"/>
  <c r="N75" i="10" s="1"/>
  <c r="N76" i="10" s="1"/>
  <c r="N77" i="10" s="1"/>
  <c r="N78" i="10" s="1"/>
  <c r="N79" i="10" s="1"/>
  <c r="N80" i="10" s="1"/>
  <c r="N81" i="10" s="1"/>
  <c r="N82" i="10" s="1"/>
  <c r="N83" i="10" s="1"/>
  <c r="N84" i="10" s="1"/>
  <c r="N85" i="10" s="1"/>
  <c r="N86" i="10" s="1"/>
  <c r="N87" i="10" s="1"/>
  <c r="N88" i="10" s="1"/>
  <c r="N89" i="10" s="1"/>
  <c r="N90" i="10" s="1"/>
  <c r="N91" i="10" s="1"/>
  <c r="N92" i="10" s="1"/>
  <c r="N93" i="10" s="1"/>
  <c r="N94" i="10" s="1"/>
  <c r="N95" i="10" s="1"/>
  <c r="N96" i="10" s="1"/>
  <c r="N97" i="10" s="1"/>
  <c r="N98" i="10" s="1"/>
  <c r="N99" i="10" s="1"/>
  <c r="N100" i="10" s="1"/>
  <c r="N101" i="10" s="1"/>
  <c r="N102" i="10" s="1"/>
  <c r="N103" i="10" s="1"/>
  <c r="N104" i="10" s="1"/>
  <c r="N105" i="10" s="1"/>
  <c r="N106" i="10" s="1"/>
  <c r="N107" i="10" s="1"/>
  <c r="N108" i="10" s="1"/>
  <c r="N109" i="10" s="1"/>
  <c r="N110" i="10" s="1"/>
  <c r="N111" i="10" s="1"/>
  <c r="N112" i="10" s="1"/>
  <c r="N113" i="10" s="1"/>
  <c r="N114" i="10" s="1"/>
  <c r="N115" i="10" s="1"/>
  <c r="N116" i="10" s="1"/>
  <c r="N117" i="10" s="1"/>
  <c r="N118" i="10" s="1"/>
  <c r="N119" i="10" s="1"/>
  <c r="N120" i="10" s="1"/>
  <c r="N121" i="10" s="1"/>
  <c r="N122" i="10" s="1"/>
  <c r="N123" i="10" s="1"/>
  <c r="N124" i="10" s="1"/>
  <c r="N125" i="10" s="1"/>
  <c r="N126" i="10" s="1"/>
  <c r="N127" i="10" s="1"/>
  <c r="N128" i="10" s="1"/>
  <c r="N129" i="10" s="1"/>
  <c r="N130" i="10" s="1"/>
  <c r="N131" i="10" s="1"/>
  <c r="N132" i="10" s="1"/>
  <c r="N133" i="10" s="1"/>
  <c r="N134" i="10" s="1"/>
  <c r="N135" i="10" s="1"/>
  <c r="N136" i="10" s="1"/>
  <c r="N137" i="10" s="1"/>
  <c r="N138" i="10" s="1"/>
  <c r="N139" i="10" s="1"/>
  <c r="N140" i="10" s="1"/>
  <c r="N141" i="10" s="1"/>
  <c r="N142" i="10" s="1"/>
  <c r="N143" i="10" s="1"/>
  <c r="N144" i="10" s="1"/>
  <c r="N145" i="10" s="1"/>
  <c r="N146" i="10" s="1"/>
  <c r="N147" i="10" s="1"/>
  <c r="N148" i="10" s="1"/>
  <c r="N149" i="10" s="1"/>
  <c r="N150" i="10" s="1"/>
  <c r="N151" i="10" s="1"/>
  <c r="N152" i="10" s="1"/>
  <c r="N153" i="10" s="1"/>
  <c r="N154" i="10" s="1"/>
  <c r="N155" i="10" s="1"/>
  <c r="N156" i="10" s="1"/>
  <c r="N157" i="10" s="1"/>
  <c r="N158" i="10" s="1"/>
  <c r="N159" i="10" s="1"/>
  <c r="N160" i="10" s="1"/>
  <c r="N161" i="10" s="1"/>
  <c r="N162" i="10" s="1"/>
  <c r="N163" i="10" s="1"/>
  <c r="N164" i="10" s="1"/>
  <c r="N165" i="10" s="1"/>
  <c r="N166" i="10" s="1"/>
  <c r="N167" i="10" s="1"/>
  <c r="N168" i="10" s="1"/>
  <c r="N169" i="10" s="1"/>
  <c r="N170" i="10" s="1"/>
  <c r="N171" i="10" s="1"/>
  <c r="N172" i="10" s="1"/>
  <c r="N173" i="10" s="1"/>
  <c r="N174" i="10" s="1"/>
  <c r="N175" i="10" s="1"/>
  <c r="N176" i="10" s="1"/>
  <c r="N177" i="10" s="1"/>
  <c r="N178" i="10" s="1"/>
  <c r="N179" i="10" s="1"/>
  <c r="N180" i="10" s="1"/>
  <c r="N181" i="10" s="1"/>
  <c r="N182" i="10" s="1"/>
  <c r="N183" i="10" s="1"/>
  <c r="N184" i="10" s="1"/>
  <c r="N185" i="10" s="1"/>
  <c r="N186" i="10" s="1"/>
  <c r="N187" i="10" s="1"/>
  <c r="N188" i="10" s="1"/>
  <c r="N189" i="10" s="1"/>
  <c r="N190" i="10" s="1"/>
  <c r="N191" i="10" s="1"/>
  <c r="N192" i="10" s="1"/>
  <c r="N193" i="10" s="1"/>
  <c r="N194" i="10" s="1"/>
  <c r="N195" i="10" s="1"/>
  <c r="N196" i="10" s="1"/>
  <c r="N197" i="10" s="1"/>
  <c r="N198" i="10" s="1"/>
  <c r="N199" i="10" s="1"/>
  <c r="N200" i="10" s="1"/>
  <c r="N201" i="10" s="1"/>
  <c r="N202" i="10" s="1"/>
  <c r="N203" i="10" s="1"/>
  <c r="N204" i="10" s="1"/>
  <c r="N205" i="10" s="1"/>
  <c r="N206" i="10" s="1"/>
  <c r="N207" i="10" s="1"/>
  <c r="N208" i="10" s="1"/>
  <c r="N209" i="10" s="1"/>
  <c r="N210" i="10" s="1"/>
  <c r="N211" i="10" s="1"/>
  <c r="N212" i="10" s="1"/>
  <c r="N213" i="10" s="1"/>
  <c r="N214" i="10" s="1"/>
  <c r="N215" i="10" s="1"/>
  <c r="N216" i="10" s="1"/>
  <c r="N217" i="10" s="1"/>
  <c r="N218" i="10" s="1"/>
  <c r="N219" i="10" s="1"/>
  <c r="N220" i="10" s="1"/>
  <c r="N221" i="10" s="1"/>
  <c r="N222" i="10" s="1"/>
  <c r="N223" i="10" s="1"/>
  <c r="N224" i="10" s="1"/>
  <c r="N225" i="10" s="1"/>
  <c r="N226" i="10" s="1"/>
  <c r="N227" i="10" s="1"/>
  <c r="N228" i="10" s="1"/>
  <c r="N229" i="10" s="1"/>
  <c r="N230" i="10" s="1"/>
  <c r="N231" i="10" s="1"/>
  <c r="N232" i="10" s="1"/>
  <c r="N233" i="10" s="1"/>
  <c r="N234" i="10" s="1"/>
  <c r="N235" i="10" s="1"/>
  <c r="N236" i="10" s="1"/>
  <c r="N237" i="10" s="1"/>
  <c r="N238" i="10" s="1"/>
  <c r="N239" i="10" s="1"/>
  <c r="N240" i="10" s="1"/>
  <c r="N241" i="10" s="1"/>
  <c r="N242" i="10" s="1"/>
  <c r="N243" i="10" s="1"/>
  <c r="N244" i="10" s="1"/>
  <c r="N245" i="10" s="1"/>
  <c r="N246" i="10" s="1"/>
  <c r="N247" i="10" s="1"/>
  <c r="N248" i="10" s="1"/>
  <c r="N249" i="10" s="1"/>
  <c r="N250" i="10" s="1"/>
  <c r="N251" i="10" s="1"/>
  <c r="N252" i="10" s="1"/>
  <c r="N253" i="10" s="1"/>
  <c r="N254" i="10" s="1"/>
  <c r="N255" i="10" s="1"/>
  <c r="N256" i="10" s="1"/>
  <c r="N257" i="10" s="1"/>
  <c r="N258" i="10" s="1"/>
  <c r="N259" i="10" s="1"/>
  <c r="N260" i="10" s="1"/>
  <c r="N261" i="10" s="1"/>
  <c r="N262" i="10" s="1"/>
  <c r="N263" i="10" s="1"/>
  <c r="N264" i="10" s="1"/>
  <c r="N265" i="10" s="1"/>
  <c r="N266" i="10" s="1"/>
  <c r="N267" i="10" s="1"/>
  <c r="N268" i="10" s="1"/>
  <c r="N269" i="10" s="1"/>
  <c r="N270" i="10" s="1"/>
  <c r="N271" i="10" s="1"/>
  <c r="N272" i="10" s="1"/>
  <c r="N273" i="10" s="1"/>
  <c r="N274" i="10" s="1"/>
  <c r="N275" i="10" s="1"/>
  <c r="N276" i="10" s="1"/>
  <c r="N277" i="10" s="1"/>
  <c r="N278" i="10" s="1"/>
  <c r="N279" i="10" s="1"/>
  <c r="N280" i="10" s="1"/>
  <c r="N281" i="10" s="1"/>
  <c r="N282" i="10" s="1"/>
  <c r="N283" i="10" s="1"/>
  <c r="N284" i="10" s="1"/>
  <c r="N285" i="10" s="1"/>
  <c r="N286" i="10" s="1"/>
  <c r="N287" i="10" s="1"/>
  <c r="N288" i="10" s="1"/>
  <c r="N289" i="10" s="1"/>
  <c r="N290" i="10" s="1"/>
  <c r="N291" i="10" s="1"/>
  <c r="N292" i="10" s="1"/>
  <c r="N293" i="10" s="1"/>
  <c r="N294" i="10" s="1"/>
  <c r="N295" i="10" s="1"/>
  <c r="N296" i="10" s="1"/>
  <c r="N297" i="10" s="1"/>
  <c r="N298" i="10" s="1"/>
  <c r="N299" i="10" s="1"/>
  <c r="N300" i="10" s="1"/>
  <c r="N301" i="10" s="1"/>
  <c r="N302" i="10" s="1"/>
  <c r="N303" i="10" s="1"/>
  <c r="N304" i="10" s="1"/>
  <c r="N305" i="10" s="1"/>
  <c r="N306" i="10" s="1"/>
  <c r="N307" i="10" s="1"/>
  <c r="N308" i="10" s="1"/>
  <c r="N309" i="10" s="1"/>
  <c r="N310" i="10" s="1"/>
  <c r="N311" i="10" s="1"/>
  <c r="N312" i="10" s="1"/>
  <c r="N313" i="10" s="1"/>
  <c r="N314" i="10" s="1"/>
  <c r="N315" i="10" s="1"/>
  <c r="N316" i="10" s="1"/>
  <c r="N317" i="10" s="1"/>
  <c r="N318" i="10" s="1"/>
  <c r="N319" i="10" s="1"/>
  <c r="N320" i="10" s="1"/>
  <c r="N321" i="10" s="1"/>
  <c r="N322" i="10" s="1"/>
  <c r="N323" i="10" s="1"/>
  <c r="N324" i="10" s="1"/>
  <c r="N325" i="10" s="1"/>
  <c r="N326" i="10" s="1"/>
  <c r="N327" i="10" s="1"/>
  <c r="N328" i="10" s="1"/>
  <c r="N329" i="10" s="1"/>
  <c r="N330" i="10" s="1"/>
  <c r="N331" i="10" s="1"/>
  <c r="N332" i="10" s="1"/>
  <c r="N333" i="10" s="1"/>
  <c r="N334" i="10" s="1"/>
  <c r="N335" i="10" s="1"/>
  <c r="N336" i="10" s="1"/>
  <c r="N337" i="10" s="1"/>
  <c r="N338" i="10" s="1"/>
  <c r="N339" i="10" s="1"/>
  <c r="N340" i="10" s="1"/>
  <c r="N341" i="10" s="1"/>
  <c r="N342" i="10" s="1"/>
  <c r="N343" i="10" s="1"/>
  <c r="N344" i="10" s="1"/>
  <c r="N345" i="10" s="1"/>
  <c r="N346" i="10" s="1"/>
  <c r="N347" i="10" s="1"/>
  <c r="N348" i="10" s="1"/>
  <c r="N349" i="10" s="1"/>
  <c r="N350" i="10" s="1"/>
  <c r="N351" i="10" s="1"/>
  <c r="N352" i="10" s="1"/>
  <c r="N353" i="10" s="1"/>
  <c r="N354" i="10" s="1"/>
  <c r="N355" i="10" s="1"/>
  <c r="N356" i="10" s="1"/>
  <c r="N357" i="10" s="1"/>
  <c r="N358" i="10" s="1"/>
  <c r="N359" i="10" s="1"/>
  <c r="N360" i="10" s="1"/>
  <c r="N361" i="10" s="1"/>
  <c r="N362" i="10" s="1"/>
  <c r="N363" i="10" s="1"/>
  <c r="N364" i="10" s="1"/>
  <c r="N365" i="10" s="1"/>
  <c r="N366" i="10" s="1"/>
  <c r="N367" i="10" s="1"/>
  <c r="N368" i="10" s="1"/>
  <c r="N369" i="10" s="1"/>
  <c r="N370" i="10" s="1"/>
  <c r="N371" i="10" s="1"/>
  <c r="N372" i="10" s="1"/>
  <c r="N373" i="10" s="1"/>
  <c r="N374" i="10" s="1"/>
  <c r="N375" i="10" s="1"/>
  <c r="N376" i="10" s="1"/>
  <c r="N377" i="10" s="1"/>
  <c r="N378" i="10" s="1"/>
  <c r="N379" i="10" s="1"/>
  <c r="N380" i="10" s="1"/>
  <c r="N381" i="10" s="1"/>
  <c r="N382" i="10" s="1"/>
  <c r="N383" i="10" s="1"/>
  <c r="N384" i="10" s="1"/>
  <c r="N385" i="10" s="1"/>
  <c r="N386" i="10" s="1"/>
  <c r="N387" i="10" s="1"/>
  <c r="N388" i="10" s="1"/>
  <c r="N389" i="10" s="1"/>
  <c r="N390" i="10" s="1"/>
  <c r="N391" i="10" s="1"/>
  <c r="N392" i="10" s="1"/>
  <c r="N393" i="10" s="1"/>
  <c r="N394" i="10" s="1"/>
  <c r="N395" i="10" s="1"/>
  <c r="N396" i="10" s="1"/>
  <c r="N397" i="10" s="1"/>
  <c r="N398" i="10" s="1"/>
  <c r="N399" i="10" s="1"/>
  <c r="N400" i="10" s="1"/>
  <c r="N401" i="10" s="1"/>
  <c r="N402" i="10" s="1"/>
  <c r="N403" i="10" s="1"/>
  <c r="N404" i="10" s="1"/>
  <c r="N405" i="10" s="1"/>
  <c r="N406" i="10" s="1"/>
  <c r="N407" i="10" s="1"/>
  <c r="N408" i="10" s="1"/>
  <c r="N409" i="10" s="1"/>
  <c r="N410" i="10" s="1"/>
  <c r="N411" i="10" s="1"/>
  <c r="N412" i="10" s="1"/>
  <c r="N413" i="10" s="1"/>
  <c r="N414" i="10" s="1"/>
  <c r="N415" i="10" s="1"/>
  <c r="N416" i="10" s="1"/>
  <c r="N417" i="10" s="1"/>
  <c r="N418" i="10" s="1"/>
  <c r="N419" i="10" s="1"/>
  <c r="N420" i="10" s="1"/>
  <c r="N421" i="10" s="1"/>
  <c r="N422" i="10" s="1"/>
  <c r="N423" i="10" s="1"/>
  <c r="N424" i="10" s="1"/>
  <c r="N425" i="10" s="1"/>
  <c r="N426" i="10" s="1"/>
  <c r="N427" i="10" s="1"/>
  <c r="N428" i="10" s="1"/>
  <c r="N429" i="10" s="1"/>
  <c r="N430" i="10" s="1"/>
  <c r="N431" i="10" s="1"/>
  <c r="N432" i="10" s="1"/>
  <c r="N433" i="10" s="1"/>
  <c r="N434" i="10" s="1"/>
  <c r="N435" i="10" s="1"/>
  <c r="N436" i="10" s="1"/>
  <c r="N437" i="10" s="1"/>
  <c r="N438" i="10" s="1"/>
  <c r="N439" i="10" s="1"/>
  <c r="N440" i="10" s="1"/>
  <c r="N441" i="10" s="1"/>
  <c r="N442" i="10" s="1"/>
  <c r="N443" i="10" s="1"/>
  <c r="N444" i="10" s="1"/>
  <c r="N445" i="10" s="1"/>
  <c r="N446" i="10" s="1"/>
  <c r="N447" i="10" s="1"/>
  <c r="N448" i="10" s="1"/>
  <c r="N449" i="10" s="1"/>
  <c r="N450" i="10" s="1"/>
  <c r="N451" i="10" s="1"/>
  <c r="N452" i="10" s="1"/>
  <c r="N453" i="10" s="1"/>
  <c r="N454" i="10" s="1"/>
  <c r="N455" i="10" s="1"/>
  <c r="N456" i="10" s="1"/>
  <c r="N457" i="10" s="1"/>
  <c r="N458" i="10" s="1"/>
  <c r="N459" i="10" s="1"/>
  <c r="N460" i="10" s="1"/>
  <c r="N461" i="10" s="1"/>
  <c r="N462" i="10" s="1"/>
  <c r="N463" i="10" s="1"/>
  <c r="N464" i="10" s="1"/>
  <c r="N465" i="10" s="1"/>
  <c r="N466" i="10" s="1"/>
  <c r="N467" i="10" s="1"/>
  <c r="N468" i="10" s="1"/>
  <c r="N469" i="10" s="1"/>
  <c r="N470" i="10" s="1"/>
  <c r="N471" i="10" s="1"/>
  <c r="N472" i="10" s="1"/>
  <c r="N473" i="10" s="1"/>
  <c r="N474" i="10" s="1"/>
  <c r="N475" i="10" s="1"/>
  <c r="N476" i="10" s="1"/>
  <c r="N477" i="10" s="1"/>
  <c r="N478" i="10" s="1"/>
  <c r="N479" i="10" s="1"/>
  <c r="N480" i="10" s="1"/>
  <c r="N481" i="10" s="1"/>
  <c r="N482" i="10" s="1"/>
  <c r="N483" i="10" s="1"/>
  <c r="N484" i="10" s="1"/>
  <c r="N485" i="10" s="1"/>
  <c r="N486" i="10" s="1"/>
  <c r="N487" i="10" s="1"/>
  <c r="N488" i="10" s="1"/>
  <c r="N489" i="10" s="1"/>
  <c r="N490" i="10" s="1"/>
  <c r="N491" i="10" s="1"/>
  <c r="N492" i="10" s="1"/>
  <c r="N493" i="10" s="1"/>
  <c r="N494" i="10" s="1"/>
  <c r="N495" i="10" s="1"/>
  <c r="N496" i="10" s="1"/>
  <c r="N497" i="10" s="1"/>
  <c r="N498" i="10" s="1"/>
  <c r="N499" i="10" s="1"/>
  <c r="N500" i="10" s="1"/>
  <c r="N501" i="10" s="1"/>
  <c r="N502" i="10" s="1"/>
  <c r="N503" i="10" s="1"/>
  <c r="N504" i="10" s="1"/>
  <c r="N505" i="10" s="1"/>
  <c r="N506" i="10" s="1"/>
  <c r="N507" i="10" s="1"/>
  <c r="N508" i="10" s="1"/>
  <c r="N509" i="10" s="1"/>
  <c r="N510" i="10" s="1"/>
  <c r="N511" i="10" s="1"/>
  <c r="N512" i="10" s="1"/>
  <c r="N513" i="10" s="1"/>
  <c r="N514" i="10" s="1"/>
  <c r="N515" i="10" s="1"/>
  <c r="N516" i="10" s="1"/>
  <c r="N517" i="10" s="1"/>
  <c r="N518" i="10" s="1"/>
  <c r="N519" i="10" s="1"/>
  <c r="N520" i="10" s="1"/>
  <c r="N521" i="10" s="1"/>
  <c r="N522" i="10" s="1"/>
  <c r="N523" i="10" s="1"/>
  <c r="N524" i="10" s="1"/>
  <c r="N525" i="10" s="1"/>
  <c r="N526" i="10" s="1"/>
  <c r="N527" i="10" s="1"/>
  <c r="N528" i="10" s="1"/>
  <c r="N529" i="10" s="1"/>
  <c r="N530" i="10" s="1"/>
  <c r="N531" i="10" s="1"/>
  <c r="N532" i="10" s="1"/>
  <c r="N533" i="10" s="1"/>
  <c r="N534" i="10" s="1"/>
  <c r="N535" i="10" s="1"/>
  <c r="N536" i="10" s="1"/>
  <c r="N537" i="10" s="1"/>
  <c r="N538" i="10" s="1"/>
  <c r="N539" i="10" s="1"/>
  <c r="N540" i="10" s="1"/>
  <c r="N541" i="10" s="1"/>
  <c r="N542" i="10" s="1"/>
  <c r="N543" i="10" s="1"/>
  <c r="N544" i="10" s="1"/>
  <c r="N545" i="10" s="1"/>
  <c r="N546" i="10" s="1"/>
  <c r="N547" i="10" s="1"/>
  <c r="N548" i="10" s="1"/>
  <c r="N549" i="10" s="1"/>
  <c r="N550" i="10" s="1"/>
  <c r="N551" i="10" s="1"/>
  <c r="N552" i="10" s="1"/>
  <c r="N553" i="10" s="1"/>
  <c r="N554" i="10" s="1"/>
  <c r="N555" i="10" s="1"/>
  <c r="N556" i="10" s="1"/>
  <c r="N557" i="10" s="1"/>
  <c r="N558" i="10" s="1"/>
  <c r="N559" i="10" s="1"/>
  <c r="N560" i="10" s="1"/>
  <c r="N561" i="10" s="1"/>
  <c r="N562" i="10" s="1"/>
  <c r="N563" i="10" s="1"/>
  <c r="N564" i="10" s="1"/>
  <c r="N565" i="10" s="1"/>
  <c r="N566" i="10" s="1"/>
  <c r="N567" i="10" s="1"/>
  <c r="N568" i="10" s="1"/>
  <c r="N569" i="10" s="1"/>
  <c r="N570" i="10" s="1"/>
  <c r="N571" i="10" s="1"/>
  <c r="N572" i="10" s="1"/>
  <c r="N573" i="10" s="1"/>
  <c r="N574" i="10" s="1"/>
  <c r="N575" i="10" s="1"/>
  <c r="N576" i="10" s="1"/>
  <c r="N577" i="10" s="1"/>
  <c r="N578" i="10" s="1"/>
  <c r="N579" i="10" s="1"/>
  <c r="N580" i="10" s="1"/>
  <c r="N581" i="10" s="1"/>
  <c r="N582" i="10" s="1"/>
  <c r="N583" i="10" s="1"/>
  <c r="N584" i="10" s="1"/>
  <c r="N585" i="10" s="1"/>
  <c r="N586" i="10" s="1"/>
  <c r="N587" i="10" s="1"/>
  <c r="N588" i="10" s="1"/>
  <c r="N589" i="10" s="1"/>
  <c r="N590" i="10" s="1"/>
  <c r="N591" i="10" s="1"/>
  <c r="N592" i="10" s="1"/>
  <c r="N593" i="10" s="1"/>
  <c r="N594" i="10" s="1"/>
  <c r="N595" i="10" s="1"/>
  <c r="N596" i="10" s="1"/>
  <c r="N597" i="10" s="1"/>
  <c r="N598" i="10" s="1"/>
  <c r="N599" i="10" s="1"/>
  <c r="N600" i="10" s="1"/>
  <c r="N601" i="10" s="1"/>
  <c r="N602" i="10" s="1"/>
  <c r="N603" i="10" s="1"/>
  <c r="N604" i="10" s="1"/>
  <c r="N605" i="10" s="1"/>
  <c r="N606" i="10" s="1"/>
  <c r="N607" i="10" s="1"/>
  <c r="C7" i="10"/>
  <c r="C8" i="10" s="1"/>
  <c r="C9" i="10" s="1"/>
  <c r="C10" i="10" s="1"/>
  <c r="C11" i="10" s="1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C27" i="10" s="1"/>
  <c r="C28" i="10" s="1"/>
  <c r="C29" i="10" s="1"/>
  <c r="C30" i="10" s="1"/>
  <c r="C31" i="10" s="1"/>
  <c r="C32" i="10" s="1"/>
  <c r="C33" i="10" s="1"/>
  <c r="C34" i="10" s="1"/>
  <c r="C35" i="10" s="1"/>
  <c r="C36" i="10" s="1"/>
  <c r="C37" i="10" s="1"/>
  <c r="C38" i="10" s="1"/>
  <c r="C39" i="10" s="1"/>
  <c r="C40" i="10" s="1"/>
  <c r="C41" i="10" s="1"/>
  <c r="C42" i="10" s="1"/>
  <c r="C43" i="10" s="1"/>
  <c r="C44" i="10" s="1"/>
  <c r="C45" i="10" s="1"/>
  <c r="C46" i="10" s="1"/>
  <c r="C47" i="10" s="1"/>
  <c r="C48" i="10" s="1"/>
  <c r="C49" i="10" s="1"/>
  <c r="C50" i="10" s="1"/>
  <c r="C51" i="10" s="1"/>
  <c r="C52" i="10" s="1"/>
  <c r="C53" i="10" s="1"/>
  <c r="C54" i="10" s="1"/>
  <c r="C55" i="10" s="1"/>
  <c r="C56" i="10" s="1"/>
  <c r="C57" i="10" s="1"/>
  <c r="C58" i="10" s="1"/>
  <c r="C59" i="10" s="1"/>
  <c r="C60" i="10" s="1"/>
  <c r="C61" i="10" s="1"/>
  <c r="C62" i="10" s="1"/>
  <c r="C63" i="10" s="1"/>
  <c r="C64" i="10" s="1"/>
  <c r="C65" i="10" s="1"/>
  <c r="C66" i="10" s="1"/>
  <c r="C67" i="10" s="1"/>
  <c r="C68" i="10" s="1"/>
  <c r="C69" i="10" s="1"/>
  <c r="C70" i="10" s="1"/>
  <c r="C71" i="10" s="1"/>
  <c r="C72" i="10" s="1"/>
  <c r="C73" i="10" s="1"/>
  <c r="C74" i="10" s="1"/>
  <c r="C75" i="10" s="1"/>
  <c r="C76" i="10" s="1"/>
  <c r="C77" i="10" s="1"/>
  <c r="C78" i="10" s="1"/>
  <c r="C79" i="10" s="1"/>
  <c r="C80" i="10" s="1"/>
  <c r="C81" i="10" s="1"/>
  <c r="C82" i="10" s="1"/>
  <c r="C83" i="10" s="1"/>
  <c r="C84" i="10" s="1"/>
  <c r="C85" i="10" s="1"/>
  <c r="C86" i="10" s="1"/>
  <c r="C87" i="10" s="1"/>
  <c r="C88" i="10" s="1"/>
  <c r="C89" i="10" s="1"/>
  <c r="C90" i="10" s="1"/>
  <c r="C91" i="10" s="1"/>
  <c r="C92" i="10" s="1"/>
  <c r="C93" i="10" s="1"/>
  <c r="C94" i="10" s="1"/>
  <c r="C95" i="10" s="1"/>
  <c r="C96" i="10" s="1"/>
  <c r="C97" i="10" s="1"/>
  <c r="C98" i="10" s="1"/>
  <c r="C99" i="10" s="1"/>
  <c r="C100" i="10" s="1"/>
  <c r="C101" i="10" s="1"/>
  <c r="C102" i="10" s="1"/>
  <c r="C103" i="10" s="1"/>
  <c r="C104" i="10" s="1"/>
  <c r="C105" i="10" s="1"/>
  <c r="C106" i="10" s="1"/>
  <c r="C107" i="10" s="1"/>
  <c r="C108" i="10" s="1"/>
  <c r="C109" i="10" s="1"/>
  <c r="C110" i="10" s="1"/>
  <c r="C111" i="10" s="1"/>
  <c r="C112" i="10" s="1"/>
  <c r="C113" i="10" s="1"/>
  <c r="C114" i="10" s="1"/>
  <c r="C115" i="10" s="1"/>
  <c r="C116" i="10" s="1"/>
  <c r="C117" i="10" s="1"/>
  <c r="C118" i="10" s="1"/>
  <c r="C119" i="10" s="1"/>
  <c r="C120" i="10" s="1"/>
  <c r="C121" i="10" s="1"/>
  <c r="C122" i="10" s="1"/>
  <c r="C123" i="10" s="1"/>
  <c r="C124" i="10" s="1"/>
  <c r="C125" i="10" s="1"/>
  <c r="C126" i="10" s="1"/>
  <c r="C127" i="10" s="1"/>
  <c r="C128" i="10" s="1"/>
  <c r="C129" i="10" s="1"/>
  <c r="C130" i="10" s="1"/>
  <c r="C131" i="10" s="1"/>
  <c r="C132" i="10" s="1"/>
  <c r="C133" i="10" s="1"/>
  <c r="C134" i="10" s="1"/>
  <c r="C135" i="10" s="1"/>
  <c r="C136" i="10" s="1"/>
  <c r="C137" i="10" s="1"/>
  <c r="C138" i="10" s="1"/>
  <c r="C139" i="10" s="1"/>
  <c r="C140" i="10" s="1"/>
  <c r="C141" i="10" s="1"/>
  <c r="C142" i="10" s="1"/>
  <c r="C143" i="10" s="1"/>
  <c r="C144" i="10" s="1"/>
  <c r="C145" i="10" s="1"/>
  <c r="C146" i="10" s="1"/>
  <c r="C147" i="10" s="1"/>
  <c r="C148" i="10" s="1"/>
  <c r="C149" i="10" s="1"/>
  <c r="C150" i="10" s="1"/>
  <c r="C151" i="10" s="1"/>
  <c r="C152" i="10" s="1"/>
  <c r="C153" i="10" s="1"/>
  <c r="C154" i="10" s="1"/>
  <c r="C155" i="10" s="1"/>
  <c r="C156" i="10" s="1"/>
  <c r="C157" i="10" s="1"/>
  <c r="C158" i="10" s="1"/>
  <c r="C159" i="10" s="1"/>
  <c r="C160" i="10" s="1"/>
  <c r="C161" i="10" s="1"/>
  <c r="C162" i="10" s="1"/>
  <c r="C163" i="10" s="1"/>
  <c r="C164" i="10" s="1"/>
  <c r="C165" i="10" s="1"/>
  <c r="C166" i="10" s="1"/>
  <c r="C167" i="10" s="1"/>
  <c r="C168" i="10" s="1"/>
  <c r="C169" i="10" s="1"/>
  <c r="C170" i="10" s="1"/>
  <c r="C171" i="10" s="1"/>
  <c r="C172" i="10" s="1"/>
  <c r="C173" i="10" s="1"/>
  <c r="C174" i="10" s="1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199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6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3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0" i="10" s="1"/>
  <c r="C281" i="10" s="1"/>
  <c r="C282" i="10" s="1"/>
  <c r="C283" i="10" s="1"/>
  <c r="C284" i="10" s="1"/>
  <c r="C285" i="10" s="1"/>
  <c r="C286" i="10" s="1"/>
  <c r="C287" i="10" s="1"/>
  <c r="C288" i="10" s="1"/>
  <c r="C289" i="10" s="1"/>
  <c r="C290" i="10" s="1"/>
  <c r="C291" i="10" s="1"/>
  <c r="C292" i="10" s="1"/>
  <c r="C293" i="10" s="1"/>
  <c r="C294" i="10" s="1"/>
  <c r="C295" i="10" s="1"/>
  <c r="C296" i="10" s="1"/>
  <c r="C297" i="10" s="1"/>
  <c r="C298" i="10" s="1"/>
  <c r="C299" i="10" s="1"/>
  <c r="C300" i="10" s="1"/>
  <c r="C301" i="10" s="1"/>
  <c r="C302" i="10" s="1"/>
  <c r="C303" i="10" s="1"/>
  <c r="C304" i="10" s="1"/>
  <c r="C305" i="10" s="1"/>
  <c r="C306" i="10" s="1"/>
  <c r="C307" i="10" s="1"/>
  <c r="C308" i="10" s="1"/>
  <c r="C309" i="10" s="1"/>
  <c r="C310" i="10" s="1"/>
  <c r="C311" i="10" s="1"/>
  <c r="C312" i="10" s="1"/>
  <c r="C313" i="10" s="1"/>
  <c r="C314" i="10" s="1"/>
  <c r="C315" i="10" s="1"/>
  <c r="C316" i="10" s="1"/>
  <c r="C317" i="10" s="1"/>
  <c r="C318" i="10" s="1"/>
  <c r="C319" i="10" s="1"/>
  <c r="C320" i="10" s="1"/>
  <c r="C321" i="10" s="1"/>
  <c r="C322" i="10" s="1"/>
  <c r="C323" i="10" s="1"/>
  <c r="C324" i="10" s="1"/>
  <c r="C325" i="10" s="1"/>
  <c r="C326" i="10" s="1"/>
  <c r="C327" i="10" s="1"/>
  <c r="C328" i="10" s="1"/>
  <c r="C329" i="10" s="1"/>
  <c r="C330" i="10" s="1"/>
  <c r="C331" i="10" s="1"/>
  <c r="C332" i="10" s="1"/>
  <c r="C333" i="10" s="1"/>
  <c r="C334" i="10" s="1"/>
  <c r="C335" i="10" s="1"/>
  <c r="C336" i="10" s="1"/>
  <c r="C337" i="10" s="1"/>
  <c r="C338" i="10" s="1"/>
  <c r="C339" i="10" s="1"/>
  <c r="C340" i="10" s="1"/>
  <c r="C341" i="10" s="1"/>
  <c r="C342" i="10" s="1"/>
  <c r="C343" i="10" s="1"/>
  <c r="C344" i="10" s="1"/>
  <c r="C345" i="10" s="1"/>
  <c r="C346" i="10" s="1"/>
  <c r="C347" i="10" s="1"/>
  <c r="C348" i="10" s="1"/>
  <c r="C349" i="10" s="1"/>
  <c r="C350" i="10" s="1"/>
  <c r="C351" i="10" s="1"/>
  <c r="C352" i="10" s="1"/>
  <c r="C353" i="10" s="1"/>
  <c r="C354" i="10" s="1"/>
  <c r="C355" i="10" s="1"/>
  <c r="C356" i="10" s="1"/>
  <c r="C357" i="10" s="1"/>
  <c r="C358" i="10" s="1"/>
  <c r="C359" i="10" s="1"/>
  <c r="C360" i="10" s="1"/>
  <c r="C361" i="10" s="1"/>
  <c r="C362" i="10" s="1"/>
  <c r="C363" i="10" s="1"/>
  <c r="C364" i="10" s="1"/>
  <c r="C365" i="10" s="1"/>
  <c r="C366" i="10" s="1"/>
  <c r="C367" i="10" s="1"/>
  <c r="C368" i="10" s="1"/>
  <c r="C369" i="10" s="1"/>
  <c r="C370" i="10" s="1"/>
  <c r="C371" i="10" s="1"/>
  <c r="C372" i="10" s="1"/>
  <c r="C373" i="10" s="1"/>
  <c r="C374" i="10" s="1"/>
  <c r="C375" i="10" s="1"/>
  <c r="C376" i="10" s="1"/>
  <c r="C377" i="10" s="1"/>
  <c r="C378" i="10" s="1"/>
  <c r="C379" i="10" s="1"/>
  <c r="C380" i="10" s="1"/>
  <c r="C381" i="10" s="1"/>
  <c r="C382" i="10" s="1"/>
  <c r="C383" i="10" s="1"/>
  <c r="C384" i="10" s="1"/>
  <c r="C385" i="10" s="1"/>
  <c r="C386" i="10" s="1"/>
  <c r="C387" i="10" s="1"/>
  <c r="C388" i="10" s="1"/>
  <c r="C389" i="10" s="1"/>
  <c r="C390" i="10" s="1"/>
  <c r="C391" i="10" s="1"/>
  <c r="C392" i="10" s="1"/>
  <c r="C393" i="10" s="1"/>
  <c r="C394" i="10" s="1"/>
  <c r="C395" i="10" s="1"/>
  <c r="C396" i="10" s="1"/>
  <c r="C397" i="10" s="1"/>
  <c r="C398" i="10" s="1"/>
  <c r="C399" i="10" s="1"/>
  <c r="C400" i="10" s="1"/>
  <c r="C401" i="10" s="1"/>
  <c r="C402" i="10" s="1"/>
  <c r="C403" i="10" s="1"/>
  <c r="C404" i="10" s="1"/>
  <c r="C405" i="10" s="1"/>
  <c r="C406" i="10" s="1"/>
  <c r="C407" i="10" s="1"/>
  <c r="C408" i="10" s="1"/>
  <c r="C409" i="10" s="1"/>
  <c r="C410" i="10" s="1"/>
  <c r="C411" i="10" s="1"/>
  <c r="C412" i="10" s="1"/>
  <c r="C413" i="10" s="1"/>
  <c r="C414" i="10" s="1"/>
  <c r="C415" i="10" s="1"/>
  <c r="C416" i="10" s="1"/>
  <c r="C417" i="10" s="1"/>
  <c r="C418" i="10" s="1"/>
  <c r="C419" i="10" s="1"/>
  <c r="C420" i="10" s="1"/>
  <c r="C421" i="10" s="1"/>
  <c r="C422" i="10" s="1"/>
  <c r="C423" i="10" s="1"/>
  <c r="C424" i="10" s="1"/>
  <c r="C425" i="10" s="1"/>
  <c r="C426" i="10" s="1"/>
  <c r="C427" i="10" s="1"/>
  <c r="C428" i="10" s="1"/>
  <c r="C429" i="10" s="1"/>
  <c r="C430" i="10" s="1"/>
  <c r="C431" i="10" s="1"/>
  <c r="C432" i="10" s="1"/>
  <c r="C433" i="10" s="1"/>
  <c r="C434" i="10" s="1"/>
  <c r="C435" i="10" s="1"/>
  <c r="C436" i="10" s="1"/>
  <c r="C437" i="10" s="1"/>
  <c r="C438" i="10" s="1"/>
  <c r="C439" i="10" s="1"/>
  <c r="C440" i="10" s="1"/>
  <c r="C441" i="10" s="1"/>
  <c r="C442" i="10" s="1"/>
  <c r="C443" i="10" s="1"/>
  <c r="C444" i="10" s="1"/>
  <c r="C445" i="10" s="1"/>
  <c r="C446" i="10" s="1"/>
  <c r="C447" i="10" s="1"/>
  <c r="C448" i="10" s="1"/>
  <c r="C449" i="10" s="1"/>
  <c r="C450" i="10" s="1"/>
  <c r="C451" i="10" s="1"/>
  <c r="C452" i="10" s="1"/>
  <c r="C453" i="10" s="1"/>
  <c r="C454" i="10" s="1"/>
  <c r="C455" i="10" s="1"/>
  <c r="C456" i="10" s="1"/>
  <c r="C457" i="10" s="1"/>
  <c r="C458" i="10" s="1"/>
  <c r="C459" i="10" s="1"/>
  <c r="C460" i="10" s="1"/>
  <c r="C461" i="10" s="1"/>
  <c r="C462" i="10" s="1"/>
  <c r="C463" i="10" s="1"/>
  <c r="C464" i="10" s="1"/>
  <c r="C465" i="10" s="1"/>
  <c r="C466" i="10" s="1"/>
  <c r="C467" i="10" s="1"/>
  <c r="C468" i="10" s="1"/>
  <c r="C469" i="10" s="1"/>
  <c r="C470" i="10" s="1"/>
  <c r="C471" i="10" s="1"/>
  <c r="C472" i="10" s="1"/>
  <c r="C473" i="10" s="1"/>
  <c r="C474" i="10" s="1"/>
  <c r="C475" i="10" s="1"/>
  <c r="C476" i="10" s="1"/>
  <c r="C477" i="10" s="1"/>
  <c r="C478" i="10" s="1"/>
  <c r="C479" i="10" s="1"/>
  <c r="C480" i="10" s="1"/>
  <c r="C481" i="10" s="1"/>
  <c r="C482" i="10" s="1"/>
  <c r="C483" i="10" s="1"/>
  <c r="C484" i="10" s="1"/>
  <c r="C485" i="10" s="1"/>
  <c r="C486" i="10" s="1"/>
  <c r="C487" i="10" s="1"/>
  <c r="C488" i="10" s="1"/>
  <c r="C489" i="10" s="1"/>
  <c r="C490" i="10" s="1"/>
  <c r="C491" i="10" s="1"/>
  <c r="C492" i="10" s="1"/>
  <c r="C493" i="10" s="1"/>
  <c r="C494" i="10" s="1"/>
  <c r="C495" i="10" s="1"/>
  <c r="C496" i="10" s="1"/>
  <c r="C497" i="10" s="1"/>
  <c r="C498" i="10" s="1"/>
  <c r="C499" i="10" s="1"/>
  <c r="C500" i="10" s="1"/>
  <c r="C501" i="10" s="1"/>
  <c r="C502" i="10" s="1"/>
  <c r="C503" i="10" s="1"/>
  <c r="C504" i="10" s="1"/>
  <c r="C505" i="10" s="1"/>
  <c r="C506" i="10" s="1"/>
  <c r="C507" i="10" s="1"/>
  <c r="C508" i="10" s="1"/>
  <c r="C509" i="10" s="1"/>
  <c r="C510" i="10" s="1"/>
  <c r="C511" i="10" s="1"/>
  <c r="C512" i="10" s="1"/>
  <c r="C513" i="10" s="1"/>
  <c r="C514" i="10" s="1"/>
  <c r="C515" i="10" s="1"/>
  <c r="C516" i="10" s="1"/>
  <c r="C517" i="10" s="1"/>
  <c r="C518" i="10" s="1"/>
  <c r="C519" i="10" s="1"/>
  <c r="C520" i="10" s="1"/>
  <c r="C521" i="10" s="1"/>
  <c r="C522" i="10" s="1"/>
  <c r="C523" i="10" s="1"/>
  <c r="C524" i="10" s="1"/>
  <c r="C525" i="10" s="1"/>
  <c r="C526" i="10" s="1"/>
  <c r="C527" i="10" s="1"/>
  <c r="C528" i="10" s="1"/>
  <c r="C529" i="10" s="1"/>
  <c r="C530" i="10" s="1"/>
  <c r="C531" i="10" s="1"/>
  <c r="C532" i="10" s="1"/>
  <c r="C533" i="10" s="1"/>
  <c r="C534" i="10" s="1"/>
  <c r="C535" i="10" s="1"/>
  <c r="C536" i="10" s="1"/>
  <c r="C537" i="10" s="1"/>
  <c r="C538" i="10" s="1"/>
  <c r="C539" i="10" s="1"/>
  <c r="C540" i="10" s="1"/>
  <c r="C541" i="10" s="1"/>
  <c r="C542" i="10" s="1"/>
  <c r="C543" i="10" s="1"/>
  <c r="C544" i="10" s="1"/>
  <c r="C545" i="10" s="1"/>
  <c r="C546" i="10" s="1"/>
  <c r="C547" i="10" s="1"/>
  <c r="C548" i="10" s="1"/>
  <c r="C549" i="10" s="1"/>
  <c r="C550" i="10" s="1"/>
  <c r="C551" i="10" s="1"/>
  <c r="C552" i="10" s="1"/>
  <c r="C553" i="10" s="1"/>
  <c r="C554" i="10" s="1"/>
  <c r="C555" i="10" s="1"/>
  <c r="C556" i="10" s="1"/>
  <c r="C557" i="10" s="1"/>
  <c r="C558" i="10" s="1"/>
  <c r="C559" i="10" s="1"/>
  <c r="C560" i="10" s="1"/>
  <c r="C561" i="10" s="1"/>
  <c r="C562" i="10" s="1"/>
  <c r="C563" i="10" s="1"/>
  <c r="C564" i="10" s="1"/>
  <c r="C565" i="10" s="1"/>
  <c r="C566" i="10" s="1"/>
  <c r="C567" i="10" s="1"/>
  <c r="C568" i="10" s="1"/>
  <c r="C569" i="10" s="1"/>
  <c r="C570" i="10" s="1"/>
  <c r="C571" i="10" s="1"/>
  <c r="C572" i="10" s="1"/>
  <c r="C573" i="10" s="1"/>
  <c r="C574" i="10" s="1"/>
  <c r="C575" i="10" s="1"/>
  <c r="C576" i="10" s="1"/>
  <c r="C577" i="10" s="1"/>
  <c r="C578" i="10" s="1"/>
  <c r="C579" i="10" s="1"/>
  <c r="C580" i="10" s="1"/>
  <c r="C581" i="10" s="1"/>
  <c r="C582" i="10" s="1"/>
  <c r="C583" i="10" s="1"/>
  <c r="C584" i="10" s="1"/>
  <c r="C585" i="10" s="1"/>
  <c r="C586" i="10" s="1"/>
  <c r="C587" i="10" s="1"/>
  <c r="C588" i="10" s="1"/>
  <c r="C589" i="10" s="1"/>
  <c r="C590" i="10" s="1"/>
  <c r="C591" i="10" s="1"/>
  <c r="C592" i="10" s="1"/>
  <c r="C593" i="10" s="1"/>
  <c r="C594" i="10" s="1"/>
  <c r="C595" i="10" s="1"/>
  <c r="C596" i="10" s="1"/>
  <c r="C597" i="10" s="1"/>
  <c r="C598" i="10" s="1"/>
  <c r="C599" i="10" s="1"/>
  <c r="C600" i="10" s="1"/>
  <c r="C601" i="10" s="1"/>
  <c r="C602" i="10" s="1"/>
  <c r="C603" i="10" s="1"/>
  <c r="C604" i="10" s="1"/>
  <c r="C605" i="10" s="1"/>
  <c r="C606" i="10" s="1"/>
  <c r="C607" i="10" s="1"/>
  <c r="Z6" i="10"/>
  <c r="Y6" i="10"/>
  <c r="X6" i="10"/>
  <c r="W6" i="10"/>
  <c r="V6" i="10"/>
  <c r="U6" i="10"/>
  <c r="T6" i="10"/>
  <c r="S6" i="10"/>
  <c r="R6" i="10"/>
  <c r="Q6" i="10"/>
  <c r="Q5" i="10"/>
  <c r="R5" i="10" s="1"/>
  <c r="Z3" i="10"/>
  <c r="D3" i="10"/>
  <c r="O8" i="10" s="1"/>
  <c r="D2" i="10"/>
  <c r="D1" i="10"/>
  <c r="K7" i="10" s="1"/>
  <c r="U17" i="4"/>
  <c r="N17" i="4"/>
  <c r="M17" i="4"/>
  <c r="F17" i="4"/>
  <c r="E17" i="4"/>
  <c r="D24" i="3"/>
  <c r="D20" i="3"/>
  <c r="D21" i="3" s="1"/>
  <c r="D22" i="3" s="1"/>
  <c r="T17" i="4"/>
  <c r="C9" i="28"/>
  <c r="F9" i="28"/>
  <c r="H17" i="4" s="1"/>
  <c r="F15" i="5"/>
  <c r="V17" i="4" l="1"/>
  <c r="G17" i="4"/>
  <c r="O17" i="4"/>
  <c r="W17" i="4"/>
  <c r="X17" i="4"/>
  <c r="I17" i="4"/>
  <c r="Q17" i="4"/>
  <c r="Y17" i="4"/>
  <c r="P17" i="4"/>
  <c r="J17" i="4"/>
  <c r="R17" i="4"/>
  <c r="Z17" i="4"/>
  <c r="K17" i="4"/>
  <c r="S17" i="4"/>
  <c r="AA17" i="4"/>
  <c r="D17" i="4"/>
  <c r="L17" i="4"/>
  <c r="E24" i="3"/>
  <c r="Q7" i="10"/>
  <c r="O9" i="10"/>
  <c r="O10" i="10" s="1"/>
  <c r="O11" i="10" s="1"/>
  <c r="O12" i="10" s="1"/>
  <c r="O13" i="10" s="1"/>
  <c r="O14" i="10" s="1"/>
  <c r="O15" i="10" s="1"/>
  <c r="O16" i="10" s="1"/>
  <c r="O17" i="10" s="1"/>
  <c r="O18" i="10" s="1"/>
  <c r="O19" i="10" s="1"/>
  <c r="O20" i="10" s="1"/>
  <c r="O21" i="10" s="1"/>
  <c r="O22" i="10" s="1"/>
  <c r="O23" i="10" s="1"/>
  <c r="O24" i="10" s="1"/>
  <c r="O25" i="10" s="1"/>
  <c r="O26" i="10" s="1"/>
  <c r="O27" i="10" s="1"/>
  <c r="O28" i="10" s="1"/>
  <c r="O29" i="10" s="1"/>
  <c r="O30" i="10" s="1"/>
  <c r="O31" i="10" s="1"/>
  <c r="O32" i="10" s="1"/>
  <c r="O33" i="10" s="1"/>
  <c r="O34" i="10" s="1"/>
  <c r="O35" i="10" s="1"/>
  <c r="O36" i="10" s="1"/>
  <c r="O37" i="10" s="1"/>
  <c r="O38" i="10" s="1"/>
  <c r="O39" i="10" s="1"/>
  <c r="O40" i="10" s="1"/>
  <c r="O41" i="10" s="1"/>
  <c r="O42" i="10" s="1"/>
  <c r="O43" i="10" s="1"/>
  <c r="O44" i="10" s="1"/>
  <c r="O45" i="10" s="1"/>
  <c r="O46" i="10" s="1"/>
  <c r="O47" i="10" s="1"/>
  <c r="O48" i="10" s="1"/>
  <c r="O49" i="10" s="1"/>
  <c r="O50" i="10" s="1"/>
  <c r="O51" i="10" s="1"/>
  <c r="O52" i="10" s="1"/>
  <c r="O53" i="10" s="1"/>
  <c r="O54" i="10" s="1"/>
  <c r="O55" i="10" s="1"/>
  <c r="O56" i="10" s="1"/>
  <c r="O57" i="10" s="1"/>
  <c r="O58" i="10" s="1"/>
  <c r="O59" i="10" s="1"/>
  <c r="O60" i="10" s="1"/>
  <c r="O61" i="10" s="1"/>
  <c r="O62" i="10" s="1"/>
  <c r="O63" i="10" s="1"/>
  <c r="O64" i="10" s="1"/>
  <c r="O65" i="10" s="1"/>
  <c r="O66" i="10" s="1"/>
  <c r="O67" i="10" s="1"/>
  <c r="O68" i="10" s="1"/>
  <c r="O69" i="10" s="1"/>
  <c r="O70" i="10" s="1"/>
  <c r="O71" i="10" s="1"/>
  <c r="O72" i="10" s="1"/>
  <c r="O73" i="10" s="1"/>
  <c r="O74" i="10" s="1"/>
  <c r="O75" i="10" s="1"/>
  <c r="O76" i="10" s="1"/>
  <c r="O77" i="10" s="1"/>
  <c r="O78" i="10" s="1"/>
  <c r="O79" i="10" s="1"/>
  <c r="O80" i="10" s="1"/>
  <c r="O81" i="10" s="1"/>
  <c r="O82" i="10" s="1"/>
  <c r="O83" i="10" s="1"/>
  <c r="O84" i="10" s="1"/>
  <c r="O85" i="10" s="1"/>
  <c r="O86" i="10" s="1"/>
  <c r="O87" i="10" s="1"/>
  <c r="O88" i="10" s="1"/>
  <c r="O89" i="10" s="1"/>
  <c r="O90" i="10" s="1"/>
  <c r="O91" i="10" s="1"/>
  <c r="O92" i="10" s="1"/>
  <c r="O93" i="10" s="1"/>
  <c r="O94" i="10" s="1"/>
  <c r="O95" i="10" s="1"/>
  <c r="O96" i="10" s="1"/>
  <c r="O97" i="10" s="1"/>
  <c r="O98" i="10" s="1"/>
  <c r="O99" i="10" s="1"/>
  <c r="O100" i="10" s="1"/>
  <c r="O101" i="10" s="1"/>
  <c r="O102" i="10" s="1"/>
  <c r="O103" i="10" s="1"/>
  <c r="O104" i="10" s="1"/>
  <c r="O105" i="10" s="1"/>
  <c r="O106" i="10" s="1"/>
  <c r="O107" i="10" s="1"/>
  <c r="O108" i="10" s="1"/>
  <c r="O109" i="10" s="1"/>
  <c r="O110" i="10" s="1"/>
  <c r="O111" i="10" s="1"/>
  <c r="O112" i="10" s="1"/>
  <c r="O113" i="10" s="1"/>
  <c r="O114" i="10" s="1"/>
  <c r="O115" i="10" s="1"/>
  <c r="O116" i="10" s="1"/>
  <c r="O117" i="10" s="1"/>
  <c r="O118" i="10" s="1"/>
  <c r="O119" i="10" s="1"/>
  <c r="O120" i="10" s="1"/>
  <c r="O121" i="10" s="1"/>
  <c r="O122" i="10" s="1"/>
  <c r="O123" i="10" s="1"/>
  <c r="O124" i="10" s="1"/>
  <c r="O125" i="10" s="1"/>
  <c r="O126" i="10" s="1"/>
  <c r="O127" i="10" s="1"/>
  <c r="O128" i="10" s="1"/>
  <c r="O129" i="10" s="1"/>
  <c r="O130" i="10" s="1"/>
  <c r="O131" i="10" s="1"/>
  <c r="O132" i="10" s="1"/>
  <c r="O133" i="10" s="1"/>
  <c r="O134" i="10" s="1"/>
  <c r="O135" i="10" s="1"/>
  <c r="O136" i="10" s="1"/>
  <c r="O137" i="10" s="1"/>
  <c r="O138" i="10" s="1"/>
  <c r="O139" i="10" s="1"/>
  <c r="O140" i="10" s="1"/>
  <c r="O141" i="10" s="1"/>
  <c r="O142" i="10" s="1"/>
  <c r="O143" i="10" s="1"/>
  <c r="O144" i="10" s="1"/>
  <c r="O145" i="10" s="1"/>
  <c r="O146" i="10" s="1"/>
  <c r="O147" i="10" s="1"/>
  <c r="O148" i="10" s="1"/>
  <c r="O149" i="10" s="1"/>
  <c r="O150" i="10" s="1"/>
  <c r="O151" i="10" s="1"/>
  <c r="O152" i="10" s="1"/>
  <c r="O153" i="10" s="1"/>
  <c r="O154" i="10" s="1"/>
  <c r="O155" i="10" s="1"/>
  <c r="O156" i="10" s="1"/>
  <c r="O157" i="10" s="1"/>
  <c r="O158" i="10" s="1"/>
  <c r="O159" i="10" s="1"/>
  <c r="O160" i="10" s="1"/>
  <c r="O161" i="10" s="1"/>
  <c r="O162" i="10" s="1"/>
  <c r="O163" i="10" s="1"/>
  <c r="O164" i="10" s="1"/>
  <c r="O165" i="10" s="1"/>
  <c r="O166" i="10" s="1"/>
  <c r="O167" i="10" s="1"/>
  <c r="O168" i="10" s="1"/>
  <c r="O169" i="10" s="1"/>
  <c r="O170" i="10" s="1"/>
  <c r="O171" i="10" s="1"/>
  <c r="O172" i="10" s="1"/>
  <c r="O173" i="10" s="1"/>
  <c r="O174" i="10" s="1"/>
  <c r="O175" i="10" s="1"/>
  <c r="O176" i="10" s="1"/>
  <c r="O177" i="10" s="1"/>
  <c r="O178" i="10" s="1"/>
  <c r="O179" i="10" s="1"/>
  <c r="O180" i="10" s="1"/>
  <c r="O181" i="10" s="1"/>
  <c r="O182" i="10" s="1"/>
  <c r="O183" i="10" s="1"/>
  <c r="O184" i="10" s="1"/>
  <c r="O185" i="10" s="1"/>
  <c r="O186" i="10" s="1"/>
  <c r="O187" i="10" s="1"/>
  <c r="O188" i="10" s="1"/>
  <c r="O189" i="10" s="1"/>
  <c r="O190" i="10" s="1"/>
  <c r="O191" i="10" s="1"/>
  <c r="O192" i="10" s="1"/>
  <c r="O193" i="10" s="1"/>
  <c r="O194" i="10" s="1"/>
  <c r="O195" i="10" s="1"/>
  <c r="O196" i="10" s="1"/>
  <c r="O197" i="10" s="1"/>
  <c r="O198" i="10" s="1"/>
  <c r="O199" i="10" s="1"/>
  <c r="O200" i="10" s="1"/>
  <c r="O201" i="10" s="1"/>
  <c r="O202" i="10" s="1"/>
  <c r="O203" i="10" s="1"/>
  <c r="O204" i="10" s="1"/>
  <c r="O205" i="10" s="1"/>
  <c r="O206" i="10" s="1"/>
  <c r="O207" i="10" s="1"/>
  <c r="O208" i="10" s="1"/>
  <c r="O209" i="10" s="1"/>
  <c r="O210" i="10" s="1"/>
  <c r="O211" i="10" s="1"/>
  <c r="O212" i="10" s="1"/>
  <c r="O213" i="10" s="1"/>
  <c r="O214" i="10" s="1"/>
  <c r="O215" i="10" s="1"/>
  <c r="O216" i="10" s="1"/>
  <c r="O217" i="10" s="1"/>
  <c r="O218" i="10" s="1"/>
  <c r="O219" i="10" s="1"/>
  <c r="O220" i="10" s="1"/>
  <c r="O221" i="10" s="1"/>
  <c r="O222" i="10" s="1"/>
  <c r="O223" i="10" s="1"/>
  <c r="O224" i="10" s="1"/>
  <c r="O225" i="10" s="1"/>
  <c r="O226" i="10" s="1"/>
  <c r="O227" i="10" s="1"/>
  <c r="O228" i="10" s="1"/>
  <c r="O229" i="10" s="1"/>
  <c r="O230" i="10" s="1"/>
  <c r="O231" i="10" s="1"/>
  <c r="O232" i="10" s="1"/>
  <c r="O233" i="10" s="1"/>
  <c r="O234" i="10" s="1"/>
  <c r="O235" i="10" s="1"/>
  <c r="O236" i="10" s="1"/>
  <c r="O237" i="10" s="1"/>
  <c r="O238" i="10" s="1"/>
  <c r="O239" i="10" s="1"/>
  <c r="O240" i="10" s="1"/>
  <c r="O241" i="10" s="1"/>
  <c r="O242" i="10" s="1"/>
  <c r="O243" i="10" s="1"/>
  <c r="O244" i="10" s="1"/>
  <c r="O245" i="10" s="1"/>
  <c r="O246" i="10" s="1"/>
  <c r="O247" i="10" s="1"/>
  <c r="O248" i="10" s="1"/>
  <c r="O249" i="10" s="1"/>
  <c r="O250" i="10" s="1"/>
  <c r="O251" i="10" s="1"/>
  <c r="O252" i="10" s="1"/>
  <c r="O253" i="10" s="1"/>
  <c r="O254" i="10" s="1"/>
  <c r="O255" i="10" s="1"/>
  <c r="O256" i="10" s="1"/>
  <c r="O257" i="10" s="1"/>
  <c r="O258" i="10" s="1"/>
  <c r="O259" i="10" s="1"/>
  <c r="O260" i="10" s="1"/>
  <c r="O261" i="10" s="1"/>
  <c r="O262" i="10" s="1"/>
  <c r="O263" i="10" s="1"/>
  <c r="O264" i="10" s="1"/>
  <c r="O265" i="10" s="1"/>
  <c r="O266" i="10" s="1"/>
  <c r="O267" i="10" s="1"/>
  <c r="O268" i="10" s="1"/>
  <c r="O269" i="10" s="1"/>
  <c r="O270" i="10" s="1"/>
  <c r="O271" i="10" s="1"/>
  <c r="O272" i="10" s="1"/>
  <c r="O273" i="10" s="1"/>
  <c r="O274" i="10" s="1"/>
  <c r="O275" i="10" s="1"/>
  <c r="O276" i="10" s="1"/>
  <c r="O277" i="10" s="1"/>
  <c r="O278" i="10" s="1"/>
  <c r="O279" i="10" s="1"/>
  <c r="O280" i="10" s="1"/>
  <c r="O281" i="10" s="1"/>
  <c r="O282" i="10" s="1"/>
  <c r="O283" i="10" s="1"/>
  <c r="O284" i="10" s="1"/>
  <c r="O285" i="10" s="1"/>
  <c r="O286" i="10" s="1"/>
  <c r="O287" i="10" s="1"/>
  <c r="O288" i="10" s="1"/>
  <c r="O289" i="10" s="1"/>
  <c r="O290" i="10" s="1"/>
  <c r="O291" i="10" s="1"/>
  <c r="O292" i="10" s="1"/>
  <c r="O293" i="10" s="1"/>
  <c r="O294" i="10" s="1"/>
  <c r="O295" i="10" s="1"/>
  <c r="O296" i="10" s="1"/>
  <c r="O297" i="10" s="1"/>
  <c r="O298" i="10" s="1"/>
  <c r="O299" i="10" s="1"/>
  <c r="O300" i="10" s="1"/>
  <c r="O301" i="10" s="1"/>
  <c r="O302" i="10" s="1"/>
  <c r="O303" i="10" s="1"/>
  <c r="O304" i="10" s="1"/>
  <c r="O305" i="10" s="1"/>
  <c r="O306" i="10" s="1"/>
  <c r="O307" i="10" s="1"/>
  <c r="O308" i="10" s="1"/>
  <c r="O309" i="10" s="1"/>
  <c r="O310" i="10" s="1"/>
  <c r="O311" i="10" s="1"/>
  <c r="O312" i="10" s="1"/>
  <c r="O313" i="10" s="1"/>
  <c r="O314" i="10" s="1"/>
  <c r="O315" i="10" s="1"/>
  <c r="O316" i="10" s="1"/>
  <c r="O317" i="10" s="1"/>
  <c r="O318" i="10" s="1"/>
  <c r="O319" i="10" s="1"/>
  <c r="O320" i="10" s="1"/>
  <c r="O321" i="10" s="1"/>
  <c r="O322" i="10" s="1"/>
  <c r="O323" i="10" s="1"/>
  <c r="O324" i="10" s="1"/>
  <c r="O325" i="10" s="1"/>
  <c r="O326" i="10" s="1"/>
  <c r="O327" i="10" s="1"/>
  <c r="O328" i="10" s="1"/>
  <c r="O329" i="10" s="1"/>
  <c r="O330" i="10" s="1"/>
  <c r="O331" i="10" s="1"/>
  <c r="O332" i="10" s="1"/>
  <c r="O333" i="10" s="1"/>
  <c r="O334" i="10" s="1"/>
  <c r="O335" i="10" s="1"/>
  <c r="O336" i="10" s="1"/>
  <c r="O337" i="10" s="1"/>
  <c r="O338" i="10" s="1"/>
  <c r="O339" i="10" s="1"/>
  <c r="O340" i="10" s="1"/>
  <c r="O341" i="10" s="1"/>
  <c r="O342" i="10" s="1"/>
  <c r="O343" i="10" s="1"/>
  <c r="O344" i="10" s="1"/>
  <c r="O345" i="10" s="1"/>
  <c r="O346" i="10" s="1"/>
  <c r="O347" i="10" s="1"/>
  <c r="O348" i="10" s="1"/>
  <c r="O349" i="10" s="1"/>
  <c r="O350" i="10" s="1"/>
  <c r="O351" i="10" s="1"/>
  <c r="O352" i="10" s="1"/>
  <c r="O353" i="10" s="1"/>
  <c r="O354" i="10" s="1"/>
  <c r="O355" i="10" s="1"/>
  <c r="O356" i="10" s="1"/>
  <c r="O357" i="10" s="1"/>
  <c r="O358" i="10" s="1"/>
  <c r="O359" i="10" s="1"/>
  <c r="O360" i="10" s="1"/>
  <c r="O361" i="10" s="1"/>
  <c r="O362" i="10" s="1"/>
  <c r="O363" i="10" s="1"/>
  <c r="O364" i="10" s="1"/>
  <c r="O365" i="10" s="1"/>
  <c r="O366" i="10" s="1"/>
  <c r="O367" i="10" s="1"/>
  <c r="O368" i="10" s="1"/>
  <c r="O369" i="10" s="1"/>
  <c r="O370" i="10" s="1"/>
  <c r="O371" i="10" s="1"/>
  <c r="O372" i="10" s="1"/>
  <c r="O373" i="10" s="1"/>
  <c r="O374" i="10" s="1"/>
  <c r="O375" i="10" s="1"/>
  <c r="O376" i="10" s="1"/>
  <c r="O377" i="10" s="1"/>
  <c r="O378" i="10" s="1"/>
  <c r="O379" i="10" s="1"/>
  <c r="O380" i="10" s="1"/>
  <c r="O381" i="10" s="1"/>
  <c r="O382" i="10" s="1"/>
  <c r="O383" i="10" s="1"/>
  <c r="O384" i="10" s="1"/>
  <c r="O385" i="10" s="1"/>
  <c r="O386" i="10" s="1"/>
  <c r="O387" i="10" s="1"/>
  <c r="O388" i="10" s="1"/>
  <c r="O389" i="10" s="1"/>
  <c r="O390" i="10" s="1"/>
  <c r="O391" i="10" s="1"/>
  <c r="O392" i="10" s="1"/>
  <c r="O393" i="10" s="1"/>
  <c r="O394" i="10" s="1"/>
  <c r="O395" i="10" s="1"/>
  <c r="O396" i="10" s="1"/>
  <c r="O397" i="10" s="1"/>
  <c r="O398" i="10" s="1"/>
  <c r="O399" i="10" s="1"/>
  <c r="O400" i="10" s="1"/>
  <c r="O401" i="10" s="1"/>
  <c r="O402" i="10" s="1"/>
  <c r="O403" i="10" s="1"/>
  <c r="O404" i="10" s="1"/>
  <c r="O405" i="10" s="1"/>
  <c r="O406" i="10" s="1"/>
  <c r="O407" i="10" s="1"/>
  <c r="O408" i="10" s="1"/>
  <c r="O409" i="10" s="1"/>
  <c r="O410" i="10" s="1"/>
  <c r="O411" i="10" s="1"/>
  <c r="O412" i="10" s="1"/>
  <c r="O413" i="10" s="1"/>
  <c r="O414" i="10" s="1"/>
  <c r="O415" i="10" s="1"/>
  <c r="O416" i="10" s="1"/>
  <c r="O417" i="10" s="1"/>
  <c r="O418" i="10" s="1"/>
  <c r="O419" i="10" s="1"/>
  <c r="O420" i="10" s="1"/>
  <c r="O421" i="10" s="1"/>
  <c r="O422" i="10" s="1"/>
  <c r="O423" i="10" s="1"/>
  <c r="O424" i="10" s="1"/>
  <c r="O425" i="10" s="1"/>
  <c r="O426" i="10" s="1"/>
  <c r="O427" i="10" s="1"/>
  <c r="O428" i="10" s="1"/>
  <c r="O429" i="10" s="1"/>
  <c r="O430" i="10" s="1"/>
  <c r="O431" i="10" s="1"/>
  <c r="O432" i="10" s="1"/>
  <c r="O433" i="10" s="1"/>
  <c r="O434" i="10" s="1"/>
  <c r="O435" i="10" s="1"/>
  <c r="O436" i="10" s="1"/>
  <c r="O437" i="10" s="1"/>
  <c r="O438" i="10" s="1"/>
  <c r="O439" i="10" s="1"/>
  <c r="O440" i="10" s="1"/>
  <c r="O441" i="10" s="1"/>
  <c r="O442" i="10" s="1"/>
  <c r="O443" i="10" s="1"/>
  <c r="O444" i="10" s="1"/>
  <c r="O445" i="10" s="1"/>
  <c r="O446" i="10" s="1"/>
  <c r="O447" i="10" s="1"/>
  <c r="O448" i="10" s="1"/>
  <c r="O449" i="10" s="1"/>
  <c r="O450" i="10" s="1"/>
  <c r="O451" i="10" s="1"/>
  <c r="O452" i="10" s="1"/>
  <c r="O453" i="10" s="1"/>
  <c r="O454" i="10" s="1"/>
  <c r="O455" i="10" s="1"/>
  <c r="O456" i="10" s="1"/>
  <c r="O457" i="10" s="1"/>
  <c r="O458" i="10" s="1"/>
  <c r="O459" i="10" s="1"/>
  <c r="O460" i="10" s="1"/>
  <c r="O461" i="10" s="1"/>
  <c r="O462" i="10" s="1"/>
  <c r="O463" i="10" s="1"/>
  <c r="O464" i="10" s="1"/>
  <c r="O465" i="10" s="1"/>
  <c r="O466" i="10" s="1"/>
  <c r="O467" i="10" s="1"/>
  <c r="O468" i="10" s="1"/>
  <c r="O469" i="10" s="1"/>
  <c r="O470" i="10" s="1"/>
  <c r="O471" i="10" s="1"/>
  <c r="O472" i="10" s="1"/>
  <c r="O473" i="10" s="1"/>
  <c r="O474" i="10" s="1"/>
  <c r="O475" i="10" s="1"/>
  <c r="O476" i="10" s="1"/>
  <c r="O477" i="10" s="1"/>
  <c r="O478" i="10" s="1"/>
  <c r="O479" i="10" s="1"/>
  <c r="O480" i="10" s="1"/>
  <c r="O481" i="10" s="1"/>
  <c r="O482" i="10" s="1"/>
  <c r="O483" i="10" s="1"/>
  <c r="O484" i="10" s="1"/>
  <c r="O485" i="10" s="1"/>
  <c r="O486" i="10" s="1"/>
  <c r="O487" i="10" s="1"/>
  <c r="O488" i="10" s="1"/>
  <c r="O489" i="10" s="1"/>
  <c r="O490" i="10" s="1"/>
  <c r="O491" i="10" s="1"/>
  <c r="O492" i="10" s="1"/>
  <c r="O493" i="10" s="1"/>
  <c r="O494" i="10" s="1"/>
  <c r="O495" i="10" s="1"/>
  <c r="O496" i="10" s="1"/>
  <c r="O497" i="10" s="1"/>
  <c r="O498" i="10" s="1"/>
  <c r="O499" i="10" s="1"/>
  <c r="O500" i="10" s="1"/>
  <c r="O501" i="10" s="1"/>
  <c r="O502" i="10" s="1"/>
  <c r="O503" i="10" s="1"/>
  <c r="O504" i="10" s="1"/>
  <c r="O505" i="10" s="1"/>
  <c r="O506" i="10" s="1"/>
  <c r="O507" i="10" s="1"/>
  <c r="O508" i="10" s="1"/>
  <c r="O509" i="10" s="1"/>
  <c r="O510" i="10" s="1"/>
  <c r="O511" i="10" s="1"/>
  <c r="O512" i="10" s="1"/>
  <c r="O513" i="10" s="1"/>
  <c r="O514" i="10" s="1"/>
  <c r="O515" i="10" s="1"/>
  <c r="O516" i="10" s="1"/>
  <c r="O517" i="10" s="1"/>
  <c r="O518" i="10" s="1"/>
  <c r="O519" i="10" s="1"/>
  <c r="O520" i="10" s="1"/>
  <c r="O521" i="10" s="1"/>
  <c r="O522" i="10" s="1"/>
  <c r="O523" i="10" s="1"/>
  <c r="O524" i="10" s="1"/>
  <c r="O525" i="10" s="1"/>
  <c r="O526" i="10" s="1"/>
  <c r="O527" i="10" s="1"/>
  <c r="O528" i="10" s="1"/>
  <c r="O529" i="10" s="1"/>
  <c r="O530" i="10" s="1"/>
  <c r="O531" i="10" s="1"/>
  <c r="O532" i="10" s="1"/>
  <c r="O533" i="10" s="1"/>
  <c r="O534" i="10" s="1"/>
  <c r="O535" i="10" s="1"/>
  <c r="O536" i="10" s="1"/>
  <c r="O537" i="10" s="1"/>
  <c r="O538" i="10" s="1"/>
  <c r="O539" i="10" s="1"/>
  <c r="O540" i="10" s="1"/>
  <c r="O541" i="10" s="1"/>
  <c r="O542" i="10" s="1"/>
  <c r="O543" i="10" s="1"/>
  <c r="O544" i="10" s="1"/>
  <c r="O545" i="10" s="1"/>
  <c r="O546" i="10" s="1"/>
  <c r="O547" i="10" s="1"/>
  <c r="O548" i="10" s="1"/>
  <c r="O549" i="10" s="1"/>
  <c r="O550" i="10" s="1"/>
  <c r="O551" i="10" s="1"/>
  <c r="O552" i="10" s="1"/>
  <c r="O553" i="10" s="1"/>
  <c r="O554" i="10" s="1"/>
  <c r="O555" i="10" s="1"/>
  <c r="O556" i="10" s="1"/>
  <c r="O557" i="10" s="1"/>
  <c r="O558" i="10" s="1"/>
  <c r="O559" i="10" s="1"/>
  <c r="O560" i="10" s="1"/>
  <c r="O561" i="10" s="1"/>
  <c r="O562" i="10" s="1"/>
  <c r="O563" i="10" s="1"/>
  <c r="O564" i="10" s="1"/>
  <c r="O565" i="10" s="1"/>
  <c r="O566" i="10" s="1"/>
  <c r="O567" i="10" s="1"/>
  <c r="O568" i="10" s="1"/>
  <c r="O569" i="10" s="1"/>
  <c r="O570" i="10" s="1"/>
  <c r="O571" i="10" s="1"/>
  <c r="O572" i="10" s="1"/>
  <c r="O573" i="10" s="1"/>
  <c r="O574" i="10" s="1"/>
  <c r="O575" i="10" s="1"/>
  <c r="O576" i="10" s="1"/>
  <c r="O577" i="10" s="1"/>
  <c r="O578" i="10" s="1"/>
  <c r="O579" i="10" s="1"/>
  <c r="O580" i="10" s="1"/>
  <c r="O581" i="10" s="1"/>
  <c r="O582" i="10" s="1"/>
  <c r="O583" i="10" s="1"/>
  <c r="O584" i="10" s="1"/>
  <c r="O585" i="10" s="1"/>
  <c r="O586" i="10" s="1"/>
  <c r="O587" i="10" s="1"/>
  <c r="O588" i="10" s="1"/>
  <c r="O589" i="10" s="1"/>
  <c r="O590" i="10" s="1"/>
  <c r="O591" i="10" s="1"/>
  <c r="O592" i="10" s="1"/>
  <c r="O593" i="10" s="1"/>
  <c r="O594" i="10" s="1"/>
  <c r="O595" i="10" s="1"/>
  <c r="O596" i="10" s="1"/>
  <c r="O597" i="10" s="1"/>
  <c r="O598" i="10" s="1"/>
  <c r="O599" i="10" s="1"/>
  <c r="O600" i="10" s="1"/>
  <c r="O601" i="10" s="1"/>
  <c r="O602" i="10" s="1"/>
  <c r="O603" i="10" s="1"/>
  <c r="O604" i="10" s="1"/>
  <c r="O605" i="10" s="1"/>
  <c r="O606" i="10" s="1"/>
  <c r="O607" i="10" s="1"/>
  <c r="S5" i="10"/>
  <c r="R7" i="10"/>
  <c r="D18" i="3"/>
  <c r="D23" i="3" s="1"/>
  <c r="E20" i="3"/>
  <c r="D8" i="4"/>
  <c r="F49" i="5"/>
  <c r="F9" i="5"/>
  <c r="F8" i="5" s="1"/>
  <c r="F54" i="5" s="1"/>
  <c r="F704" i="10"/>
  <c r="F696" i="10"/>
  <c r="F688" i="10"/>
  <c r="F680" i="10"/>
  <c r="F672" i="10"/>
  <c r="F664" i="10"/>
  <c r="F656" i="10"/>
  <c r="F648" i="10"/>
  <c r="F640" i="10"/>
  <c r="F632" i="10"/>
  <c r="F624" i="10"/>
  <c r="F616" i="10"/>
  <c r="F703" i="10"/>
  <c r="F695" i="10"/>
  <c r="F687" i="10"/>
  <c r="F679" i="10"/>
  <c r="F671" i="10"/>
  <c r="F663" i="10"/>
  <c r="F655" i="10"/>
  <c r="F647" i="10"/>
  <c r="F639" i="10"/>
  <c r="F631" i="10"/>
  <c r="F623" i="10"/>
  <c r="F615" i="10"/>
  <c r="F702" i="10"/>
  <c r="F694" i="10"/>
  <c r="F686" i="10"/>
  <c r="F678" i="10"/>
  <c r="F670" i="10"/>
  <c r="F662" i="10"/>
  <c r="F654" i="10"/>
  <c r="F646" i="10"/>
  <c r="F638" i="10"/>
  <c r="F630" i="10"/>
  <c r="F622" i="10"/>
  <c r="F614" i="10"/>
  <c r="F701" i="10"/>
  <c r="F693" i="10"/>
  <c r="F685" i="10"/>
  <c r="F677" i="10"/>
  <c r="F669" i="10"/>
  <c r="F661" i="10"/>
  <c r="F653" i="10"/>
  <c r="F645" i="10"/>
  <c r="F637" i="10"/>
  <c r="F629" i="10"/>
  <c r="F621" i="10"/>
  <c r="F613" i="10"/>
  <c r="F700" i="10"/>
  <c r="F692" i="10"/>
  <c r="F684" i="10"/>
  <c r="F676" i="10"/>
  <c r="F668" i="10"/>
  <c r="F660" i="10"/>
  <c r="F652" i="10"/>
  <c r="F644" i="10"/>
  <c r="F636" i="10"/>
  <c r="F628" i="10"/>
  <c r="F620" i="10"/>
  <c r="F612" i="10"/>
  <c r="F699" i="10"/>
  <c r="F691" i="10"/>
  <c r="F683" i="10"/>
  <c r="F675" i="10"/>
  <c r="F667" i="10"/>
  <c r="F659" i="10"/>
  <c r="F651" i="10"/>
  <c r="F643" i="10"/>
  <c r="F635" i="10"/>
  <c r="F627" i="10"/>
  <c r="F619" i="10"/>
  <c r="F611" i="10"/>
  <c r="F698" i="10"/>
  <c r="F690" i="10"/>
  <c r="F682" i="10"/>
  <c r="F674" i="10"/>
  <c r="F666" i="10"/>
  <c r="F658" i="10"/>
  <c r="F650" i="10"/>
  <c r="F642" i="10"/>
  <c r="F634" i="10"/>
  <c r="F626" i="10"/>
  <c r="F618" i="10"/>
  <c r="F610" i="10"/>
  <c r="F697" i="10"/>
  <c r="F633" i="10"/>
  <c r="F689" i="10"/>
  <c r="F625" i="10"/>
  <c r="F681" i="10"/>
  <c r="F617" i="10"/>
  <c r="F673" i="10"/>
  <c r="F609" i="10"/>
  <c r="F665" i="10"/>
  <c r="F657" i="10"/>
  <c r="F641" i="10"/>
  <c r="F649" i="10"/>
  <c r="I8" i="10"/>
  <c r="G7" i="10"/>
  <c r="J8" i="10"/>
  <c r="F8" i="10"/>
  <c r="AB17" i="4" l="1"/>
  <c r="D36" i="4"/>
  <c r="D37" i="3"/>
  <c r="D38" i="3" s="1"/>
  <c r="D36" i="3" s="1"/>
  <c r="D31" i="3"/>
  <c r="D32" i="3" s="1"/>
  <c r="D30" i="3" s="1"/>
  <c r="D34" i="3"/>
  <c r="D35" i="3" s="1"/>
  <c r="D33" i="3" s="1"/>
  <c r="D40" i="3"/>
  <c r="D41" i="3" s="1"/>
  <c r="D39" i="3" s="1"/>
  <c r="D28" i="3"/>
  <c r="D29" i="3" s="1"/>
  <c r="D27" i="3" s="1"/>
  <c r="F24" i="3"/>
  <c r="T5" i="10"/>
  <c r="S7" i="10"/>
  <c r="E8" i="4"/>
  <c r="F20" i="3"/>
  <c r="E21" i="3"/>
  <c r="E22" i="3" s="1"/>
  <c r="E18" i="3"/>
  <c r="E23" i="3" s="1"/>
  <c r="P607" i="10"/>
  <c r="P605" i="10"/>
  <c r="P603" i="10"/>
  <c r="P601" i="10"/>
  <c r="P599" i="10"/>
  <c r="P597" i="10"/>
  <c r="P595" i="10"/>
  <c r="P593" i="10"/>
  <c r="P591" i="10"/>
  <c r="P589" i="10"/>
  <c r="P587" i="10"/>
  <c r="P606" i="10"/>
  <c r="P604" i="10"/>
  <c r="P602" i="10"/>
  <c r="P600" i="10"/>
  <c r="P598" i="10"/>
  <c r="P596" i="10"/>
  <c r="P594" i="10"/>
  <c r="P592" i="10"/>
  <c r="P590" i="10"/>
  <c r="P588" i="10"/>
  <c r="P583" i="10"/>
  <c r="P579" i="10"/>
  <c r="P575" i="10"/>
  <c r="P571" i="10"/>
  <c r="P567" i="10"/>
  <c r="P563" i="10"/>
  <c r="P548" i="10"/>
  <c r="P546" i="10"/>
  <c r="P544" i="10"/>
  <c r="P542" i="10"/>
  <c r="P540" i="10"/>
  <c r="P538" i="10"/>
  <c r="P536" i="10"/>
  <c r="P534" i="10"/>
  <c r="P532" i="10"/>
  <c r="P530" i="10"/>
  <c r="P528" i="10"/>
  <c r="P526" i="10"/>
  <c r="P524" i="10"/>
  <c r="P522" i="10"/>
  <c r="P520" i="10"/>
  <c r="P515" i="10"/>
  <c r="P584" i="10"/>
  <c r="P580" i="10"/>
  <c r="P576" i="10"/>
  <c r="P572" i="10"/>
  <c r="P568" i="10"/>
  <c r="P564" i="10"/>
  <c r="P560" i="10"/>
  <c r="P557" i="10"/>
  <c r="P553" i="10"/>
  <c r="P550" i="10"/>
  <c r="P518" i="10"/>
  <c r="P510" i="10"/>
  <c r="P513" i="10"/>
  <c r="P505" i="10"/>
  <c r="P497" i="10"/>
  <c r="P585" i="10"/>
  <c r="P581" i="10"/>
  <c r="P577" i="10"/>
  <c r="P573" i="10"/>
  <c r="P569" i="10"/>
  <c r="P565" i="10"/>
  <c r="P561" i="10"/>
  <c r="P549" i="10"/>
  <c r="P547" i="10"/>
  <c r="P545" i="10"/>
  <c r="P543" i="10"/>
  <c r="P541" i="10"/>
  <c r="P539" i="10"/>
  <c r="P537" i="10"/>
  <c r="P535" i="10"/>
  <c r="P533" i="10"/>
  <c r="P531" i="10"/>
  <c r="P529" i="10"/>
  <c r="P527" i="10"/>
  <c r="P525" i="10"/>
  <c r="P523" i="10"/>
  <c r="P521" i="10"/>
  <c r="P519" i="10"/>
  <c r="P511" i="10"/>
  <c r="P551" i="10"/>
  <c r="P517" i="10"/>
  <c r="P509" i="10"/>
  <c r="P562" i="10"/>
  <c r="P555" i="10"/>
  <c r="P507" i="10"/>
  <c r="P503" i="10"/>
  <c r="P496" i="10"/>
  <c r="P494" i="10"/>
  <c r="P489" i="10"/>
  <c r="P481" i="10"/>
  <c r="P473" i="10"/>
  <c r="P582" i="10"/>
  <c r="P558" i="10"/>
  <c r="P500" i="10"/>
  <c r="P498" i="10"/>
  <c r="P492" i="10"/>
  <c r="P484" i="10"/>
  <c r="P476" i="10"/>
  <c r="P468" i="10"/>
  <c r="P570" i="10"/>
  <c r="P512" i="10"/>
  <c r="P506" i="10"/>
  <c r="P487" i="10"/>
  <c r="P479" i="10"/>
  <c r="P471" i="10"/>
  <c r="P556" i="10"/>
  <c r="P502" i="10"/>
  <c r="P490" i="10"/>
  <c r="P482" i="10"/>
  <c r="P474" i="10"/>
  <c r="P466" i="10"/>
  <c r="P578" i="10"/>
  <c r="P559" i="10"/>
  <c r="P514" i="10"/>
  <c r="P495" i="10"/>
  <c r="P493" i="10"/>
  <c r="P485" i="10"/>
  <c r="P477" i="10"/>
  <c r="P469" i="10"/>
  <c r="P566" i="10"/>
  <c r="P554" i="10"/>
  <c r="P504" i="10"/>
  <c r="P501" i="10"/>
  <c r="P499" i="10"/>
  <c r="P488" i="10"/>
  <c r="P480" i="10"/>
  <c r="P472" i="10"/>
  <c r="P464" i="10"/>
  <c r="P586" i="10"/>
  <c r="P491" i="10"/>
  <c r="P483" i="10"/>
  <c r="P475" i="10"/>
  <c r="P467" i="10"/>
  <c r="P463" i="10"/>
  <c r="P454" i="10"/>
  <c r="P446" i="10"/>
  <c r="P438" i="10"/>
  <c r="P430" i="10"/>
  <c r="P422" i="10"/>
  <c r="P414" i="10"/>
  <c r="P406" i="10"/>
  <c r="P552" i="10"/>
  <c r="P508" i="10"/>
  <c r="P478" i="10"/>
  <c r="P457" i="10"/>
  <c r="P449" i="10"/>
  <c r="P441" i="10"/>
  <c r="P433" i="10"/>
  <c r="P425" i="10"/>
  <c r="P417" i="10"/>
  <c r="P409" i="10"/>
  <c r="P574" i="10"/>
  <c r="P462" i="10"/>
  <c r="P460" i="10"/>
  <c r="P452" i="10"/>
  <c r="P444" i="10"/>
  <c r="P436" i="10"/>
  <c r="P428" i="10"/>
  <c r="P420" i="10"/>
  <c r="P412" i="10"/>
  <c r="P470" i="10"/>
  <c r="P455" i="10"/>
  <c r="P447" i="10"/>
  <c r="P439" i="10"/>
  <c r="P431" i="10"/>
  <c r="P423" i="10"/>
  <c r="P415" i="10"/>
  <c r="P407" i="10"/>
  <c r="P516" i="10"/>
  <c r="P458" i="10"/>
  <c r="P450" i="10"/>
  <c r="P442" i="10"/>
  <c r="P434" i="10"/>
  <c r="P426" i="10"/>
  <c r="P418" i="10"/>
  <c r="P410" i="10"/>
  <c r="P465" i="10"/>
  <c r="P461" i="10"/>
  <c r="P453" i="10"/>
  <c r="P445" i="10"/>
  <c r="P437" i="10"/>
  <c r="P429" i="10"/>
  <c r="P421" i="10"/>
  <c r="P413" i="10"/>
  <c r="P456" i="10"/>
  <c r="P448" i="10"/>
  <c r="P440" i="10"/>
  <c r="P432" i="10"/>
  <c r="P424" i="10"/>
  <c r="P416" i="10"/>
  <c r="P408" i="10"/>
  <c r="P486" i="10"/>
  <c r="P435" i="10"/>
  <c r="P399" i="10"/>
  <c r="P391" i="10"/>
  <c r="P402" i="10"/>
  <c r="P394" i="10"/>
  <c r="P386" i="10"/>
  <c r="P378" i="10"/>
  <c r="P370" i="10"/>
  <c r="P362" i="10"/>
  <c r="P354" i="10"/>
  <c r="P346" i="10"/>
  <c r="P459" i="10"/>
  <c r="P427" i="10"/>
  <c r="P397" i="10"/>
  <c r="P389" i="10"/>
  <c r="P381" i="10"/>
  <c r="P373" i="10"/>
  <c r="P365" i="10"/>
  <c r="P357" i="10"/>
  <c r="P349" i="10"/>
  <c r="P400" i="10"/>
  <c r="P392" i="10"/>
  <c r="P451" i="10"/>
  <c r="P419" i="10"/>
  <c r="P395" i="10"/>
  <c r="P387" i="10"/>
  <c r="P379" i="10"/>
  <c r="P371" i="10"/>
  <c r="P363" i="10"/>
  <c r="P355" i="10"/>
  <c r="P347" i="10"/>
  <c r="P404" i="10"/>
  <c r="P403" i="10"/>
  <c r="P398" i="10"/>
  <c r="P390" i="10"/>
  <c r="P382" i="10"/>
  <c r="P374" i="10"/>
  <c r="P366" i="10"/>
  <c r="P358" i="10"/>
  <c r="P350" i="10"/>
  <c r="P396" i="10"/>
  <c r="P388" i="10"/>
  <c r="P380" i="10"/>
  <c r="P372" i="10"/>
  <c r="P364" i="10"/>
  <c r="P356" i="10"/>
  <c r="P348" i="10"/>
  <c r="P383" i="10"/>
  <c r="P377" i="10"/>
  <c r="P351" i="10"/>
  <c r="P339" i="10"/>
  <c r="P331" i="10"/>
  <c r="P323" i="10"/>
  <c r="P315" i="10"/>
  <c r="P307" i="10"/>
  <c r="P299" i="10"/>
  <c r="P393" i="10"/>
  <c r="P384" i="10"/>
  <c r="P352" i="10"/>
  <c r="P342" i="10"/>
  <c r="P334" i="10"/>
  <c r="P326" i="10"/>
  <c r="P318" i="10"/>
  <c r="P310" i="10"/>
  <c r="P302" i="10"/>
  <c r="P294" i="10"/>
  <c r="P385" i="10"/>
  <c r="P359" i="10"/>
  <c r="P353" i="10"/>
  <c r="P345" i="10"/>
  <c r="P337" i="10"/>
  <c r="P329" i="10"/>
  <c r="P321" i="10"/>
  <c r="P313" i="10"/>
  <c r="P411" i="10"/>
  <c r="P360" i="10"/>
  <c r="P340" i="10"/>
  <c r="P332" i="10"/>
  <c r="P324" i="10"/>
  <c r="P316" i="10"/>
  <c r="P308" i="10"/>
  <c r="P300" i="10"/>
  <c r="P367" i="10"/>
  <c r="P361" i="10"/>
  <c r="P343" i="10"/>
  <c r="P335" i="10"/>
  <c r="P327" i="10"/>
  <c r="P319" i="10"/>
  <c r="P311" i="10"/>
  <c r="P303" i="10"/>
  <c r="P295" i="10"/>
  <c r="P368" i="10"/>
  <c r="P338" i="10"/>
  <c r="P330" i="10"/>
  <c r="P322" i="10"/>
  <c r="P314" i="10"/>
  <c r="P306" i="10"/>
  <c r="P375" i="10"/>
  <c r="P369" i="10"/>
  <c r="P341" i="10"/>
  <c r="P333" i="10"/>
  <c r="P325" i="10"/>
  <c r="P317" i="10"/>
  <c r="P309" i="10"/>
  <c r="P305" i="10"/>
  <c r="P292" i="10"/>
  <c r="P284" i="10"/>
  <c r="P344" i="10"/>
  <c r="P312" i="10"/>
  <c r="P287" i="10"/>
  <c r="P279" i="10"/>
  <c r="P271" i="10"/>
  <c r="P263" i="10"/>
  <c r="P255" i="10"/>
  <c r="P247" i="10"/>
  <c r="P239" i="10"/>
  <c r="P290" i="10"/>
  <c r="P282" i="10"/>
  <c r="P274" i="10"/>
  <c r="P266" i="10"/>
  <c r="P258" i="10"/>
  <c r="P250" i="10"/>
  <c r="P242" i="10"/>
  <c r="P336" i="10"/>
  <c r="P293" i="10"/>
  <c r="P285" i="10"/>
  <c r="P443" i="10"/>
  <c r="P401" i="10"/>
  <c r="P288" i="10"/>
  <c r="P280" i="10"/>
  <c r="P272" i="10"/>
  <c r="P264" i="10"/>
  <c r="P256" i="10"/>
  <c r="P248" i="10"/>
  <c r="P240" i="10"/>
  <c r="P328" i="10"/>
  <c r="P291" i="10"/>
  <c r="P283" i="10"/>
  <c r="P275" i="10"/>
  <c r="P267" i="10"/>
  <c r="P259" i="10"/>
  <c r="P251" i="10"/>
  <c r="P243" i="10"/>
  <c r="P405" i="10"/>
  <c r="P376" i="10"/>
  <c r="P320" i="10"/>
  <c r="P304" i="10"/>
  <c r="P301" i="10"/>
  <c r="P297" i="10"/>
  <c r="P296" i="10"/>
  <c r="P289" i="10"/>
  <c r="P281" i="10"/>
  <c r="P273" i="10"/>
  <c r="P265" i="10"/>
  <c r="P257" i="10"/>
  <c r="P249" i="10"/>
  <c r="P241" i="10"/>
  <c r="P276" i="10"/>
  <c r="P270" i="10"/>
  <c r="P244" i="10"/>
  <c r="P238" i="10"/>
  <c r="P234" i="10"/>
  <c r="P226" i="10"/>
  <c r="P218" i="10"/>
  <c r="P210" i="10"/>
  <c r="P202" i="10"/>
  <c r="P194" i="10"/>
  <c r="P186" i="10"/>
  <c r="P178" i="10"/>
  <c r="P277" i="10"/>
  <c r="P245" i="10"/>
  <c r="P237" i="10"/>
  <c r="P236" i="10"/>
  <c r="P229" i="10"/>
  <c r="P221" i="10"/>
  <c r="P213" i="10"/>
  <c r="P205" i="10"/>
  <c r="P197" i="10"/>
  <c r="P189" i="10"/>
  <c r="P181" i="10"/>
  <c r="P173" i="10"/>
  <c r="P286" i="10"/>
  <c r="P278" i="10"/>
  <c r="P252" i="10"/>
  <c r="P246" i="10"/>
  <c r="P232" i="10"/>
  <c r="P224" i="10"/>
  <c r="P216" i="10"/>
  <c r="P208" i="10"/>
  <c r="P200" i="10"/>
  <c r="P253" i="10"/>
  <c r="P235" i="10"/>
  <c r="P227" i="10"/>
  <c r="P219" i="10"/>
  <c r="P211" i="10"/>
  <c r="P203" i="10"/>
  <c r="P195" i="10"/>
  <c r="P187" i="10"/>
  <c r="P179" i="10"/>
  <c r="P298" i="10"/>
  <c r="P260" i="10"/>
  <c r="P254" i="10"/>
  <c r="P230" i="10"/>
  <c r="P222" i="10"/>
  <c r="P214" i="10"/>
  <c r="P206" i="10"/>
  <c r="P198" i="10"/>
  <c r="P190" i="10"/>
  <c r="P182" i="10"/>
  <c r="P174" i="10"/>
  <c r="P261" i="10"/>
  <c r="P233" i="10"/>
  <c r="P225" i="10"/>
  <c r="P217" i="10"/>
  <c r="P209" i="10"/>
  <c r="P201" i="10"/>
  <c r="P193" i="10"/>
  <c r="P185" i="10"/>
  <c r="P268" i="10"/>
  <c r="P262" i="10"/>
  <c r="P228" i="10"/>
  <c r="P220" i="10"/>
  <c r="P212" i="10"/>
  <c r="P204" i="10"/>
  <c r="P196" i="10"/>
  <c r="P188" i="10"/>
  <c r="P207" i="10"/>
  <c r="P192" i="10"/>
  <c r="P184" i="10"/>
  <c r="P170" i="10"/>
  <c r="P162" i="10"/>
  <c r="P154" i="10"/>
  <c r="P146" i="10"/>
  <c r="P138" i="10"/>
  <c r="P130" i="10"/>
  <c r="P122" i="10"/>
  <c r="P114" i="10"/>
  <c r="P165" i="10"/>
  <c r="P157" i="10"/>
  <c r="P149" i="10"/>
  <c r="P141" i="10"/>
  <c r="P133" i="10"/>
  <c r="P125" i="10"/>
  <c r="P117" i="10"/>
  <c r="P109" i="10"/>
  <c r="P101" i="10"/>
  <c r="P93" i="10"/>
  <c r="P85" i="10"/>
  <c r="P77" i="10"/>
  <c r="P69" i="10"/>
  <c r="P61" i="10"/>
  <c r="P231" i="10"/>
  <c r="P199" i="10"/>
  <c r="P168" i="10"/>
  <c r="P160" i="10"/>
  <c r="P152" i="10"/>
  <c r="P144" i="10"/>
  <c r="P136" i="10"/>
  <c r="P128" i="10"/>
  <c r="P120" i="10"/>
  <c r="P112" i="10"/>
  <c r="P104" i="10"/>
  <c r="P96" i="10"/>
  <c r="P88" i="10"/>
  <c r="P80" i="10"/>
  <c r="P72" i="10"/>
  <c r="P64" i="10"/>
  <c r="P269" i="10"/>
  <c r="P171" i="10"/>
  <c r="P163" i="10"/>
  <c r="P155" i="10"/>
  <c r="P147" i="10"/>
  <c r="P139" i="10"/>
  <c r="P131" i="10"/>
  <c r="P123" i="10"/>
  <c r="P115" i="10"/>
  <c r="P107" i="10"/>
  <c r="P223" i="10"/>
  <c r="P166" i="10"/>
  <c r="P158" i="10"/>
  <c r="P150" i="10"/>
  <c r="P142" i="10"/>
  <c r="P134" i="10"/>
  <c r="P126" i="10"/>
  <c r="P118" i="10"/>
  <c r="P110" i="10"/>
  <c r="P102" i="10"/>
  <c r="P94" i="10"/>
  <c r="P86" i="10"/>
  <c r="P78" i="10"/>
  <c r="P70" i="10"/>
  <c r="P62" i="10"/>
  <c r="P169" i="10"/>
  <c r="P161" i="10"/>
  <c r="P153" i="10"/>
  <c r="P145" i="10"/>
  <c r="P137" i="10"/>
  <c r="P129" i="10"/>
  <c r="P121" i="10"/>
  <c r="P113" i="10"/>
  <c r="P105" i="10"/>
  <c r="P97" i="10"/>
  <c r="P89" i="10"/>
  <c r="P81" i="10"/>
  <c r="P73" i="10"/>
  <c r="P65" i="10"/>
  <c r="P183" i="10"/>
  <c r="P180" i="10"/>
  <c r="P176" i="10"/>
  <c r="P175" i="10"/>
  <c r="P167" i="10"/>
  <c r="P159" i="10"/>
  <c r="P151" i="10"/>
  <c r="P143" i="10"/>
  <c r="P135" i="10"/>
  <c r="P127" i="10"/>
  <c r="P119" i="10"/>
  <c r="P111" i="10"/>
  <c r="P103" i="10"/>
  <c r="P95" i="10"/>
  <c r="P87" i="10"/>
  <c r="P79" i="10"/>
  <c r="P71" i="10"/>
  <c r="P63" i="10"/>
  <c r="P215" i="10"/>
  <c r="P177" i="10"/>
  <c r="P148" i="10"/>
  <c r="P116" i="10"/>
  <c r="P108" i="10"/>
  <c r="P91" i="10"/>
  <c r="P58" i="10"/>
  <c r="P51" i="10"/>
  <c r="P43" i="10"/>
  <c r="P35" i="10"/>
  <c r="P27" i="10"/>
  <c r="P19" i="10"/>
  <c r="P11" i="10"/>
  <c r="P48" i="10"/>
  <c r="P32" i="10"/>
  <c r="P16" i="10"/>
  <c r="P98" i="10"/>
  <c r="P92" i="10"/>
  <c r="P66" i="10"/>
  <c r="P54" i="10"/>
  <c r="P46" i="10"/>
  <c r="P38" i="10"/>
  <c r="P30" i="10"/>
  <c r="P22" i="10"/>
  <c r="P14" i="10"/>
  <c r="P59" i="10"/>
  <c r="P191" i="10"/>
  <c r="P172" i="10"/>
  <c r="P140" i="10"/>
  <c r="P99" i="10"/>
  <c r="P67" i="10"/>
  <c r="P49" i="10"/>
  <c r="P41" i="10"/>
  <c r="P33" i="10"/>
  <c r="P25" i="10"/>
  <c r="P17" i="10"/>
  <c r="P9" i="10"/>
  <c r="P84" i="10"/>
  <c r="P56" i="10"/>
  <c r="P24" i="10"/>
  <c r="P106" i="10"/>
  <c r="P100" i="10"/>
  <c r="P74" i="10"/>
  <c r="P68" i="10"/>
  <c r="P57" i="10"/>
  <c r="P52" i="10"/>
  <c r="P44" i="10"/>
  <c r="P36" i="10"/>
  <c r="P28" i="10"/>
  <c r="P20" i="10"/>
  <c r="P12" i="10"/>
  <c r="P164" i="10"/>
  <c r="P132" i="10"/>
  <c r="P75" i="10"/>
  <c r="P55" i="10"/>
  <c r="P47" i="10"/>
  <c r="P39" i="10"/>
  <c r="P31" i="10"/>
  <c r="P23" i="10"/>
  <c r="P15" i="10"/>
  <c r="P90" i="10"/>
  <c r="P40" i="10"/>
  <c r="P82" i="10"/>
  <c r="P76" i="10"/>
  <c r="P60" i="10"/>
  <c r="P50" i="10"/>
  <c r="P42" i="10"/>
  <c r="P34" i="10"/>
  <c r="P26" i="10"/>
  <c r="P18" i="10"/>
  <c r="P10" i="10"/>
  <c r="P156" i="10"/>
  <c r="P124" i="10"/>
  <c r="P83" i="10"/>
  <c r="P53" i="10"/>
  <c r="P45" i="10"/>
  <c r="P37" i="10"/>
  <c r="P29" i="10"/>
  <c r="P21" i="10"/>
  <c r="P13" i="10"/>
  <c r="P8" i="10"/>
  <c r="D8" i="10" s="1"/>
  <c r="H8" i="10"/>
  <c r="K8" i="10"/>
  <c r="E28" i="3" l="1"/>
  <c r="E29" i="3" s="1"/>
  <c r="E27" i="3" s="1"/>
  <c r="E40" i="3"/>
  <c r="E41" i="3" s="1"/>
  <c r="E39" i="3" s="1"/>
  <c r="E34" i="3"/>
  <c r="E35" i="3" s="1"/>
  <c r="E33" i="3" s="1"/>
  <c r="E37" i="3"/>
  <c r="E38" i="3" s="1"/>
  <c r="E36" i="3" s="1"/>
  <c r="E31" i="3"/>
  <c r="E32" i="3" s="1"/>
  <c r="E30" i="3" s="1"/>
  <c r="D26" i="3"/>
  <c r="G24" i="3"/>
  <c r="T7" i="10"/>
  <c r="U5" i="10"/>
  <c r="AB36" i="4"/>
  <c r="F8" i="4"/>
  <c r="F18" i="3"/>
  <c r="F23" i="3" s="1"/>
  <c r="F21" i="3"/>
  <c r="F22" i="3" s="1"/>
  <c r="G20" i="3"/>
  <c r="I9" i="10"/>
  <c r="K9" i="10" s="1"/>
  <c r="J9" i="10"/>
  <c r="E8" i="10"/>
  <c r="F34" i="3" l="1"/>
  <c r="F35" i="3" s="1"/>
  <c r="F33" i="3" s="1"/>
  <c r="F37" i="3"/>
  <c r="F38" i="3" s="1"/>
  <c r="F36" i="3" s="1"/>
  <c r="F40" i="3"/>
  <c r="F41" i="3" s="1"/>
  <c r="F39" i="3" s="1"/>
  <c r="F31" i="3"/>
  <c r="F32" i="3" s="1"/>
  <c r="F30" i="3" s="1"/>
  <c r="F28" i="3"/>
  <c r="F29" i="3" s="1"/>
  <c r="F27" i="3" s="1"/>
  <c r="E26" i="3"/>
  <c r="E25" i="3" s="1"/>
  <c r="H24" i="3"/>
  <c r="U7" i="10"/>
  <c r="V5" i="10"/>
  <c r="H20" i="3"/>
  <c r="G18" i="3"/>
  <c r="G23" i="3" s="1"/>
  <c r="G8" i="4"/>
  <c r="G21" i="3"/>
  <c r="G22" i="3" s="1"/>
  <c r="G8" i="10"/>
  <c r="J10" i="10"/>
  <c r="I10" i="10"/>
  <c r="H9" i="10"/>
  <c r="F26" i="3" l="1"/>
  <c r="F25" i="3" s="1"/>
  <c r="G28" i="3"/>
  <c r="G29" i="3" s="1"/>
  <c r="G27" i="3" s="1"/>
  <c r="G37" i="3"/>
  <c r="G38" i="3" s="1"/>
  <c r="G36" i="3" s="1"/>
  <c r="G34" i="3"/>
  <c r="G35" i="3" s="1"/>
  <c r="G33" i="3" s="1"/>
  <c r="G31" i="3"/>
  <c r="G32" i="3" s="1"/>
  <c r="G30" i="3" s="1"/>
  <c r="G40" i="3"/>
  <c r="G41" i="3" s="1"/>
  <c r="G39" i="3" s="1"/>
  <c r="I24" i="3"/>
  <c r="V7" i="10"/>
  <c r="W5" i="10"/>
  <c r="I20" i="3"/>
  <c r="H21" i="3"/>
  <c r="H22" i="3" s="1"/>
  <c r="H18" i="3"/>
  <c r="H23" i="3" s="1"/>
  <c r="H8" i="4"/>
  <c r="H10" i="10"/>
  <c r="K10" i="10"/>
  <c r="F9" i="10"/>
  <c r="H28" i="3" l="1"/>
  <c r="H29" i="3" s="1"/>
  <c r="H27" i="3" s="1"/>
  <c r="H34" i="3"/>
  <c r="H35" i="3" s="1"/>
  <c r="H33" i="3" s="1"/>
  <c r="H37" i="3"/>
  <c r="H38" i="3" s="1"/>
  <c r="H36" i="3" s="1"/>
  <c r="H40" i="3"/>
  <c r="H41" i="3" s="1"/>
  <c r="H39" i="3" s="1"/>
  <c r="H31" i="3"/>
  <c r="H32" i="3" s="1"/>
  <c r="H30" i="3" s="1"/>
  <c r="G26" i="3"/>
  <c r="G25" i="3" s="1"/>
  <c r="J24" i="3"/>
  <c r="X5" i="10"/>
  <c r="W7" i="10"/>
  <c r="J20" i="3"/>
  <c r="I21" i="3"/>
  <c r="I22" i="3" s="1"/>
  <c r="I18" i="3"/>
  <c r="I23" i="3" s="1"/>
  <c r="I8" i="4"/>
  <c r="J11" i="10"/>
  <c r="I11" i="10"/>
  <c r="D9" i="10"/>
  <c r="E24" i="4" s="1"/>
  <c r="I40" i="3" l="1"/>
  <c r="I41" i="3" s="1"/>
  <c r="I39" i="3" s="1"/>
  <c r="I34" i="3"/>
  <c r="I35" i="3" s="1"/>
  <c r="I33" i="3" s="1"/>
  <c r="I37" i="3"/>
  <c r="I38" i="3" s="1"/>
  <c r="I36" i="3" s="1"/>
  <c r="I28" i="3"/>
  <c r="I29" i="3" s="1"/>
  <c r="I27" i="3" s="1"/>
  <c r="I31" i="3"/>
  <c r="I32" i="3" s="1"/>
  <c r="I30" i="3" s="1"/>
  <c r="H26" i="3"/>
  <c r="H25" i="3" s="1"/>
  <c r="K24" i="3"/>
  <c r="X7" i="10"/>
  <c r="Y5" i="10"/>
  <c r="K20" i="3"/>
  <c r="J21" i="3"/>
  <c r="J22" i="3" s="1"/>
  <c r="J18" i="3"/>
  <c r="J23" i="3" s="1"/>
  <c r="J8" i="4"/>
  <c r="E9" i="10"/>
  <c r="H11" i="10"/>
  <c r="K11" i="10"/>
  <c r="I26" i="3" l="1"/>
  <c r="I25" i="3" s="1"/>
  <c r="J40" i="3"/>
  <c r="J41" i="3" s="1"/>
  <c r="J39" i="3" s="1"/>
  <c r="J34" i="3"/>
  <c r="J35" i="3" s="1"/>
  <c r="J33" i="3" s="1"/>
  <c r="J31" i="3"/>
  <c r="J32" i="3" s="1"/>
  <c r="J30" i="3" s="1"/>
  <c r="J28" i="3"/>
  <c r="J29" i="3" s="1"/>
  <c r="J27" i="3" s="1"/>
  <c r="J37" i="3"/>
  <c r="J38" i="3" s="1"/>
  <c r="J36" i="3" s="1"/>
  <c r="L24" i="3"/>
  <c r="Z5" i="10"/>
  <c r="Z7" i="10" s="1"/>
  <c r="Y7" i="10"/>
  <c r="K21" i="3"/>
  <c r="K22" i="3" s="1"/>
  <c r="K18" i="3"/>
  <c r="K23" i="3" s="1"/>
  <c r="K8" i="4"/>
  <c r="L20" i="3"/>
  <c r="J12" i="10"/>
  <c r="I12" i="10"/>
  <c r="G9" i="10"/>
  <c r="J26" i="3" l="1"/>
  <c r="J25" i="3" s="1"/>
  <c r="K37" i="3"/>
  <c r="K38" i="3" s="1"/>
  <c r="K36" i="3" s="1"/>
  <c r="K40" i="3"/>
  <c r="K41" i="3" s="1"/>
  <c r="K39" i="3" s="1"/>
  <c r="K28" i="3"/>
  <c r="K29" i="3" s="1"/>
  <c r="K27" i="3" s="1"/>
  <c r="K31" i="3"/>
  <c r="K32" i="3" s="1"/>
  <c r="K30" i="3" s="1"/>
  <c r="K34" i="3"/>
  <c r="K35" i="3" s="1"/>
  <c r="K33" i="3" s="1"/>
  <c r="M24" i="3"/>
  <c r="L18" i="3"/>
  <c r="L23" i="3" s="1"/>
  <c r="L8" i="4"/>
  <c r="M20" i="3"/>
  <c r="L21" i="3"/>
  <c r="L22" i="3" s="1"/>
  <c r="H12" i="10"/>
  <c r="K12" i="10"/>
  <c r="F10" i="10"/>
  <c r="L37" i="3" l="1"/>
  <c r="L38" i="3" s="1"/>
  <c r="L36" i="3" s="1"/>
  <c r="L34" i="3"/>
  <c r="L35" i="3" s="1"/>
  <c r="L33" i="3" s="1"/>
  <c r="L31" i="3"/>
  <c r="L32" i="3" s="1"/>
  <c r="L30" i="3" s="1"/>
  <c r="L40" i="3"/>
  <c r="L41" i="3" s="1"/>
  <c r="L39" i="3" s="1"/>
  <c r="L28" i="3"/>
  <c r="L29" i="3" s="1"/>
  <c r="L27" i="3" s="1"/>
  <c r="K26" i="3"/>
  <c r="K25" i="3" s="1"/>
  <c r="N24" i="3"/>
  <c r="M8" i="4"/>
  <c r="N20" i="3"/>
  <c r="M21" i="3"/>
  <c r="M22" i="3" s="1"/>
  <c r="M18" i="3"/>
  <c r="M23" i="3" s="1"/>
  <c r="D10" i="10"/>
  <c r="F24" i="4" s="1"/>
  <c r="J13" i="10"/>
  <c r="I13" i="10"/>
  <c r="L26" i="3" l="1"/>
  <c r="L25" i="3" s="1"/>
  <c r="M37" i="3"/>
  <c r="M38" i="3" s="1"/>
  <c r="M36" i="3" s="1"/>
  <c r="M40" i="3"/>
  <c r="M41" i="3" s="1"/>
  <c r="M39" i="3" s="1"/>
  <c r="M34" i="3"/>
  <c r="M35" i="3" s="1"/>
  <c r="M33" i="3" s="1"/>
  <c r="M31" i="3"/>
  <c r="M32" i="3" s="1"/>
  <c r="M30" i="3" s="1"/>
  <c r="M28" i="3"/>
  <c r="M29" i="3" s="1"/>
  <c r="M27" i="3" s="1"/>
  <c r="O24" i="3"/>
  <c r="N8" i="4"/>
  <c r="O20" i="3"/>
  <c r="N18" i="3"/>
  <c r="N23" i="3" s="1"/>
  <c r="N21" i="3"/>
  <c r="N22" i="3" s="1"/>
  <c r="H13" i="10"/>
  <c r="K13" i="10"/>
  <c r="E10" i="10"/>
  <c r="M26" i="3" l="1"/>
  <c r="M25" i="3" s="1"/>
  <c r="N28" i="3"/>
  <c r="N29" i="3" s="1"/>
  <c r="N27" i="3" s="1"/>
  <c r="N37" i="3"/>
  <c r="N38" i="3" s="1"/>
  <c r="N36" i="3" s="1"/>
  <c r="N34" i="3"/>
  <c r="N35" i="3" s="1"/>
  <c r="N33" i="3" s="1"/>
  <c r="N40" i="3"/>
  <c r="N41" i="3" s="1"/>
  <c r="N39" i="3" s="1"/>
  <c r="N31" i="3"/>
  <c r="N32" i="3" s="1"/>
  <c r="N30" i="3" s="1"/>
  <c r="P24" i="3"/>
  <c r="O18" i="3"/>
  <c r="O23" i="3" s="1"/>
  <c r="P20" i="3"/>
  <c r="O21" i="3"/>
  <c r="O22" i="3" s="1"/>
  <c r="O8" i="4"/>
  <c r="G10" i="10"/>
  <c r="J14" i="10"/>
  <c r="I14" i="10"/>
  <c r="O37" i="3" l="1"/>
  <c r="O38" i="3" s="1"/>
  <c r="O36" i="3" s="1"/>
  <c r="O34" i="3"/>
  <c r="O35" i="3" s="1"/>
  <c r="O33" i="3" s="1"/>
  <c r="O31" i="3"/>
  <c r="O32" i="3" s="1"/>
  <c r="O30" i="3" s="1"/>
  <c r="O28" i="3"/>
  <c r="O29" i="3" s="1"/>
  <c r="O27" i="3" s="1"/>
  <c r="O40" i="3"/>
  <c r="O41" i="3" s="1"/>
  <c r="O39" i="3" s="1"/>
  <c r="N26" i="3"/>
  <c r="N25" i="3" s="1"/>
  <c r="Q24" i="3"/>
  <c r="P18" i="3"/>
  <c r="P23" i="3" s="1"/>
  <c r="Q20" i="3"/>
  <c r="P21" i="3"/>
  <c r="P22" i="3" s="1"/>
  <c r="P8" i="4"/>
  <c r="H14" i="10"/>
  <c r="K14" i="10"/>
  <c r="F11" i="10"/>
  <c r="D11" i="10" s="1"/>
  <c r="G24" i="4" s="1"/>
  <c r="P28" i="3" l="1"/>
  <c r="P29" i="3" s="1"/>
  <c r="P27" i="3" s="1"/>
  <c r="P34" i="3"/>
  <c r="P35" i="3" s="1"/>
  <c r="P33" i="3" s="1"/>
  <c r="P40" i="3"/>
  <c r="P41" i="3" s="1"/>
  <c r="P39" i="3" s="1"/>
  <c r="P31" i="3"/>
  <c r="P32" i="3" s="1"/>
  <c r="P30" i="3" s="1"/>
  <c r="P37" i="3"/>
  <c r="P38" i="3" s="1"/>
  <c r="P36" i="3" s="1"/>
  <c r="O26" i="3"/>
  <c r="O25" i="3" s="1"/>
  <c r="R24" i="3"/>
  <c r="Q8" i="4"/>
  <c r="R20" i="3"/>
  <c r="Q21" i="3"/>
  <c r="Q22" i="3" s="1"/>
  <c r="Q18" i="3"/>
  <c r="Q23" i="3" s="1"/>
  <c r="E11" i="10"/>
  <c r="J15" i="10"/>
  <c r="I15" i="10"/>
  <c r="K15" i="10" s="1"/>
  <c r="Q37" i="3" l="1"/>
  <c r="Q38" i="3" s="1"/>
  <c r="Q36" i="3" s="1"/>
  <c r="Q34" i="3"/>
  <c r="Q35" i="3" s="1"/>
  <c r="Q33" i="3" s="1"/>
  <c r="Q40" i="3"/>
  <c r="Q41" i="3" s="1"/>
  <c r="Q39" i="3" s="1"/>
  <c r="Q28" i="3"/>
  <c r="Q29" i="3" s="1"/>
  <c r="Q27" i="3" s="1"/>
  <c r="Q31" i="3"/>
  <c r="Q32" i="3" s="1"/>
  <c r="Q30" i="3" s="1"/>
  <c r="P26" i="3"/>
  <c r="P25" i="3" s="1"/>
  <c r="S24" i="3"/>
  <c r="S20" i="3"/>
  <c r="R21" i="3"/>
  <c r="R22" i="3" s="1"/>
  <c r="R18" i="3"/>
  <c r="R23" i="3" s="1"/>
  <c r="R8" i="4"/>
  <c r="Q3" i="10" s="1"/>
  <c r="J16" i="10"/>
  <c r="I16" i="10"/>
  <c r="H15" i="10"/>
  <c r="G11" i="10"/>
  <c r="Q26" i="3" l="1"/>
  <c r="Q25" i="3" s="1"/>
  <c r="R40" i="3"/>
  <c r="R41" i="3" s="1"/>
  <c r="R39" i="3" s="1"/>
  <c r="R34" i="3"/>
  <c r="R35" i="3" s="1"/>
  <c r="R33" i="3" s="1"/>
  <c r="R31" i="3"/>
  <c r="R32" i="3" s="1"/>
  <c r="R30" i="3" s="1"/>
  <c r="R28" i="3"/>
  <c r="R29" i="3" s="1"/>
  <c r="R27" i="3" s="1"/>
  <c r="R37" i="3"/>
  <c r="R38" i="3" s="1"/>
  <c r="R36" i="3" s="1"/>
  <c r="T24" i="3"/>
  <c r="S21" i="3"/>
  <c r="S22" i="3" s="1"/>
  <c r="S18" i="3"/>
  <c r="S23" i="3" s="1"/>
  <c r="S8" i="4"/>
  <c r="R3" i="10" s="1"/>
  <c r="T20" i="3"/>
  <c r="H16" i="10"/>
  <c r="F12" i="10"/>
  <c r="D12" i="10" s="1"/>
  <c r="H24" i="4" s="1"/>
  <c r="K16" i="10"/>
  <c r="R26" i="3" l="1"/>
  <c r="R25" i="3" s="1"/>
  <c r="S34" i="3"/>
  <c r="S35" i="3" s="1"/>
  <c r="S33" i="3" s="1"/>
  <c r="S31" i="3"/>
  <c r="S32" i="3" s="1"/>
  <c r="S30" i="3" s="1"/>
  <c r="S28" i="3"/>
  <c r="S29" i="3" s="1"/>
  <c r="S27" i="3" s="1"/>
  <c r="S40" i="3"/>
  <c r="S41" i="3" s="1"/>
  <c r="S39" i="3" s="1"/>
  <c r="S37" i="3"/>
  <c r="S38" i="3" s="1"/>
  <c r="S36" i="3" s="1"/>
  <c r="U24" i="3"/>
  <c r="T21" i="3"/>
  <c r="T22" i="3" s="1"/>
  <c r="T18" i="3"/>
  <c r="T23" i="3" s="1"/>
  <c r="T8" i="4"/>
  <c r="S3" i="10" s="1"/>
  <c r="U20" i="3"/>
  <c r="E12" i="10"/>
  <c r="I17" i="10"/>
  <c r="J17" i="10"/>
  <c r="S26" i="3" l="1"/>
  <c r="S25" i="3" s="1"/>
  <c r="T37" i="3"/>
  <c r="T38" i="3" s="1"/>
  <c r="T36" i="3" s="1"/>
  <c r="T28" i="3"/>
  <c r="T29" i="3" s="1"/>
  <c r="T27" i="3" s="1"/>
  <c r="T31" i="3"/>
  <c r="T32" i="3" s="1"/>
  <c r="T30" i="3" s="1"/>
  <c r="T34" i="3"/>
  <c r="T35" i="3" s="1"/>
  <c r="T33" i="3" s="1"/>
  <c r="T40" i="3"/>
  <c r="T41" i="3" s="1"/>
  <c r="T39" i="3" s="1"/>
  <c r="V24" i="3"/>
  <c r="U8" i="4"/>
  <c r="T3" i="10" s="1"/>
  <c r="V20" i="3"/>
  <c r="U21" i="3"/>
  <c r="U22" i="3" s="1"/>
  <c r="U18" i="3"/>
  <c r="U23" i="3" s="1"/>
  <c r="H17" i="10"/>
  <c r="K17" i="10"/>
  <c r="G12" i="10"/>
  <c r="T26" i="3" l="1"/>
  <c r="T25" i="3" s="1"/>
  <c r="U34" i="3"/>
  <c r="U35" i="3" s="1"/>
  <c r="U33" i="3" s="1"/>
  <c r="U40" i="3"/>
  <c r="U41" i="3" s="1"/>
  <c r="U39" i="3" s="1"/>
  <c r="U31" i="3"/>
  <c r="U32" i="3" s="1"/>
  <c r="U30" i="3" s="1"/>
  <c r="U28" i="3"/>
  <c r="U29" i="3" s="1"/>
  <c r="U27" i="3" s="1"/>
  <c r="U37" i="3"/>
  <c r="U38" i="3" s="1"/>
  <c r="U36" i="3" s="1"/>
  <c r="W24" i="3"/>
  <c r="V8" i="4"/>
  <c r="U3" i="10" s="1"/>
  <c r="W20" i="3"/>
  <c r="V21" i="3"/>
  <c r="V22" i="3" s="1"/>
  <c r="V18" i="3"/>
  <c r="V23" i="3" s="1"/>
  <c r="F13" i="10"/>
  <c r="D13" i="10" s="1"/>
  <c r="I24" i="4" s="1"/>
  <c r="J18" i="10"/>
  <c r="I18" i="10"/>
  <c r="U26" i="3" l="1"/>
  <c r="U25" i="3" s="1"/>
  <c r="V34" i="3"/>
  <c r="V35" i="3" s="1"/>
  <c r="V33" i="3" s="1"/>
  <c r="V40" i="3"/>
  <c r="V41" i="3" s="1"/>
  <c r="V39" i="3" s="1"/>
  <c r="V31" i="3"/>
  <c r="V32" i="3" s="1"/>
  <c r="V30" i="3" s="1"/>
  <c r="V37" i="3"/>
  <c r="V38" i="3" s="1"/>
  <c r="V36" i="3" s="1"/>
  <c r="V28" i="3"/>
  <c r="V29" i="3" s="1"/>
  <c r="V27" i="3" s="1"/>
  <c r="X24" i="3"/>
  <c r="W21" i="3"/>
  <c r="W22" i="3" s="1"/>
  <c r="X20" i="3"/>
  <c r="W18" i="3"/>
  <c r="W23" i="3" s="1"/>
  <c r="W8" i="4"/>
  <c r="V3" i="10" s="1"/>
  <c r="H18" i="10"/>
  <c r="E13" i="10"/>
  <c r="G13" i="10" s="1"/>
  <c r="K18" i="10"/>
  <c r="V26" i="3" l="1"/>
  <c r="V25" i="3" s="1"/>
  <c r="W28" i="3"/>
  <c r="W29" i="3" s="1"/>
  <c r="W27" i="3" s="1"/>
  <c r="W37" i="3"/>
  <c r="W38" i="3" s="1"/>
  <c r="W36" i="3" s="1"/>
  <c r="W34" i="3"/>
  <c r="W35" i="3" s="1"/>
  <c r="W33" i="3" s="1"/>
  <c r="W31" i="3"/>
  <c r="W32" i="3" s="1"/>
  <c r="W30" i="3" s="1"/>
  <c r="W40" i="3"/>
  <c r="W41" i="3" s="1"/>
  <c r="W39" i="3" s="1"/>
  <c r="Y24" i="3"/>
  <c r="Y20" i="3"/>
  <c r="X18" i="3"/>
  <c r="X23" i="3" s="1"/>
  <c r="X8" i="4"/>
  <c r="W3" i="10" s="1"/>
  <c r="X21" i="3"/>
  <c r="X22" i="3" s="1"/>
  <c r="J19" i="10"/>
  <c r="I19" i="10"/>
  <c r="F14" i="10"/>
  <c r="D14" i="10" s="1"/>
  <c r="J24" i="4" s="1"/>
  <c r="X28" i="3" l="1"/>
  <c r="X29" i="3" s="1"/>
  <c r="X27" i="3" s="1"/>
  <c r="X34" i="3"/>
  <c r="X35" i="3" s="1"/>
  <c r="X33" i="3" s="1"/>
  <c r="X40" i="3"/>
  <c r="X41" i="3" s="1"/>
  <c r="X39" i="3" s="1"/>
  <c r="X31" i="3"/>
  <c r="X32" i="3" s="1"/>
  <c r="X30" i="3" s="1"/>
  <c r="X37" i="3"/>
  <c r="X38" i="3" s="1"/>
  <c r="X36" i="3" s="1"/>
  <c r="W26" i="3"/>
  <c r="W25" i="3" s="1"/>
  <c r="Z24" i="3"/>
  <c r="H19" i="10"/>
  <c r="Z20" i="3"/>
  <c r="Y18" i="3"/>
  <c r="Y23" i="3" s="1"/>
  <c r="Y8" i="4"/>
  <c r="X3" i="10" s="1"/>
  <c r="Y21" i="3"/>
  <c r="Y22" i="3" s="1"/>
  <c r="E14" i="10"/>
  <c r="G14" i="10" s="1"/>
  <c r="K19" i="10"/>
  <c r="Y34" i="3" l="1"/>
  <c r="Y35" i="3" s="1"/>
  <c r="Y33" i="3" s="1"/>
  <c r="Y40" i="3"/>
  <c r="Y41" i="3" s="1"/>
  <c r="Y39" i="3" s="1"/>
  <c r="Y28" i="3"/>
  <c r="Y29" i="3" s="1"/>
  <c r="Y27" i="3" s="1"/>
  <c r="Y31" i="3"/>
  <c r="Y32" i="3" s="1"/>
  <c r="Y30" i="3" s="1"/>
  <c r="Y37" i="3"/>
  <c r="Y38" i="3" s="1"/>
  <c r="Y36" i="3" s="1"/>
  <c r="X26" i="3"/>
  <c r="X25" i="3" s="1"/>
  <c r="AA24" i="3"/>
  <c r="AA20" i="3"/>
  <c r="Z21" i="3"/>
  <c r="Z22" i="3" s="1"/>
  <c r="Z18" i="3"/>
  <c r="Z23" i="3" s="1"/>
  <c r="Z8" i="4"/>
  <c r="Y3" i="10" s="1"/>
  <c r="J20" i="10"/>
  <c r="I20" i="10"/>
  <c r="F15" i="10"/>
  <c r="D15" i="10" s="1"/>
  <c r="K24" i="4" s="1"/>
  <c r="Y26" i="3" l="1"/>
  <c r="Y25" i="3" s="1"/>
  <c r="Z40" i="3"/>
  <c r="Z41" i="3" s="1"/>
  <c r="Z39" i="3" s="1"/>
  <c r="Z31" i="3"/>
  <c r="Z32" i="3" s="1"/>
  <c r="Z30" i="3" s="1"/>
  <c r="Z34" i="3"/>
  <c r="Z35" i="3" s="1"/>
  <c r="Z33" i="3" s="1"/>
  <c r="Z28" i="3"/>
  <c r="Z29" i="3" s="1"/>
  <c r="Z27" i="3" s="1"/>
  <c r="Z37" i="3"/>
  <c r="Z38" i="3" s="1"/>
  <c r="Z36" i="3" s="1"/>
  <c r="AA21" i="3"/>
  <c r="AA22" i="3" s="1"/>
  <c r="AA18" i="3"/>
  <c r="AA23" i="3" s="1"/>
  <c r="AA8" i="4"/>
  <c r="H20" i="10"/>
  <c r="E15" i="10"/>
  <c r="G15" i="10" s="1"/>
  <c r="K20" i="10"/>
  <c r="Z26" i="3" l="1"/>
  <c r="Z25" i="3" s="1"/>
  <c r="AA34" i="3"/>
  <c r="AA35" i="3" s="1"/>
  <c r="AA33" i="3" s="1"/>
  <c r="AA28" i="3"/>
  <c r="AA29" i="3" s="1"/>
  <c r="AA27" i="3" s="1"/>
  <c r="AA40" i="3"/>
  <c r="AA41" i="3" s="1"/>
  <c r="AA39" i="3" s="1"/>
  <c r="AA31" i="3"/>
  <c r="AA32" i="3" s="1"/>
  <c r="AA30" i="3" s="1"/>
  <c r="AA37" i="3"/>
  <c r="AA38" i="3" s="1"/>
  <c r="AA36" i="3" s="1"/>
  <c r="J21" i="10"/>
  <c r="I21" i="10"/>
  <c r="F16" i="10"/>
  <c r="D16" i="10" s="1"/>
  <c r="L24" i="4" s="1"/>
  <c r="AA26" i="3" l="1"/>
  <c r="AA25" i="3" s="1"/>
  <c r="H21" i="10"/>
  <c r="E16" i="10"/>
  <c r="G16" i="10" s="1"/>
  <c r="K21" i="10"/>
  <c r="J22" i="10" l="1"/>
  <c r="I22" i="10"/>
  <c r="F17" i="10"/>
  <c r="D17" i="10" s="1"/>
  <c r="M24" i="4" s="1"/>
  <c r="H22" i="10" l="1"/>
  <c r="E17" i="10"/>
  <c r="G17" i="10" s="1"/>
  <c r="K22" i="10"/>
  <c r="J23" i="10" l="1"/>
  <c r="I23" i="10"/>
  <c r="F18" i="10"/>
  <c r="D18" i="10" s="1"/>
  <c r="N24" i="4" s="1"/>
  <c r="H23" i="10" l="1"/>
  <c r="E18" i="10"/>
  <c r="G18" i="10" s="1"/>
  <c r="K23" i="10"/>
  <c r="J24" i="10" l="1"/>
  <c r="I24" i="10"/>
  <c r="F19" i="10"/>
  <c r="D19" i="10" s="1"/>
  <c r="O24" i="4" s="1"/>
  <c r="E19" i="10" l="1"/>
  <c r="G19" i="10" s="1"/>
  <c r="H24" i="10"/>
  <c r="K24" i="10"/>
  <c r="J25" i="10" l="1"/>
  <c r="I25" i="10"/>
  <c r="F20" i="10"/>
  <c r="D20" i="10" s="1"/>
  <c r="P24" i="4" s="1"/>
  <c r="H25" i="10" l="1"/>
  <c r="E20" i="10"/>
  <c r="G20" i="10" s="1"/>
  <c r="K25" i="10"/>
  <c r="F21" i="10" l="1"/>
  <c r="D21" i="10" s="1"/>
  <c r="Q24" i="4" s="1"/>
  <c r="J26" i="10"/>
  <c r="I26" i="10"/>
  <c r="H26" i="10" l="1"/>
  <c r="E21" i="10"/>
  <c r="G21" i="10" s="1"/>
  <c r="K26" i="10"/>
  <c r="J27" i="10" l="1"/>
  <c r="I27" i="10"/>
  <c r="F22" i="10"/>
  <c r="D22" i="10" s="1"/>
  <c r="R24" i="4" s="1"/>
  <c r="H27" i="10" l="1"/>
  <c r="E22" i="10"/>
  <c r="G22" i="10" s="1"/>
  <c r="K27" i="10"/>
  <c r="J28" i="10" l="1"/>
  <c r="I28" i="10"/>
  <c r="F23" i="10"/>
  <c r="D23" i="10" s="1"/>
  <c r="S24" i="4" s="1"/>
  <c r="H28" i="10" l="1"/>
  <c r="E23" i="10"/>
  <c r="G23" i="10" s="1"/>
  <c r="K28" i="10"/>
  <c r="F24" i="10" l="1"/>
  <c r="D24" i="10" s="1"/>
  <c r="T24" i="4" s="1"/>
  <c r="J29" i="10"/>
  <c r="I29" i="10"/>
  <c r="H29" i="10" l="1"/>
  <c r="E24" i="10"/>
  <c r="G24" i="10" s="1"/>
  <c r="K29" i="10"/>
  <c r="J30" i="10" l="1"/>
  <c r="I30" i="10"/>
  <c r="F25" i="10"/>
  <c r="D25" i="10" s="1"/>
  <c r="U24" i="4" s="1"/>
  <c r="H30" i="10" l="1"/>
  <c r="K30" i="10"/>
  <c r="E25" i="10"/>
  <c r="G25" i="10" s="1"/>
  <c r="F26" i="10" l="1"/>
  <c r="D26" i="10" s="1"/>
  <c r="V24" i="4" s="1"/>
  <c r="J31" i="10"/>
  <c r="I31" i="10"/>
  <c r="E26" i="10" l="1"/>
  <c r="G26" i="10" s="1"/>
  <c r="H31" i="10"/>
  <c r="K31" i="10"/>
  <c r="J32" i="10" l="1"/>
  <c r="I32" i="10"/>
  <c r="F27" i="10"/>
  <c r="D27" i="10" s="1"/>
  <c r="W24" i="4" s="1"/>
  <c r="H32" i="10" l="1"/>
  <c r="E27" i="10"/>
  <c r="G27" i="10" s="1"/>
  <c r="K32" i="10"/>
  <c r="I33" i="10" l="1"/>
  <c r="J33" i="10"/>
  <c r="F28" i="10"/>
  <c r="D28" i="10" s="1"/>
  <c r="X24" i="4" s="1"/>
  <c r="H33" i="10" l="1"/>
  <c r="E28" i="10"/>
  <c r="G28" i="10" s="1"/>
  <c r="K33" i="10"/>
  <c r="J34" i="10" l="1"/>
  <c r="I34" i="10"/>
  <c r="F29" i="10"/>
  <c r="D29" i="10" s="1"/>
  <c r="Y24" i="4" s="1"/>
  <c r="H34" i="10" l="1"/>
  <c r="E29" i="10"/>
  <c r="G29" i="10" s="1"/>
  <c r="K34" i="10"/>
  <c r="J35" i="10" l="1"/>
  <c r="I35" i="10"/>
  <c r="F30" i="10"/>
  <c r="D30" i="10" s="1"/>
  <c r="Z24" i="4" s="1"/>
  <c r="H35" i="10" l="1"/>
  <c r="E30" i="10"/>
  <c r="G30" i="10" s="1"/>
  <c r="K35" i="10"/>
  <c r="J36" i="10" l="1"/>
  <c r="I36" i="10"/>
  <c r="F31" i="10"/>
  <c r="D31" i="10" s="1"/>
  <c r="AA24" i="4" s="1"/>
  <c r="AB24" i="4" s="1"/>
  <c r="H36" i="10" l="1"/>
  <c r="E31" i="10"/>
  <c r="G31" i="10" s="1"/>
  <c r="K36" i="10"/>
  <c r="J37" i="10" l="1"/>
  <c r="I37" i="10"/>
  <c r="F32" i="10"/>
  <c r="D32" i="10" s="1"/>
  <c r="E32" i="10" s="1"/>
  <c r="G32" i="10" s="1"/>
  <c r="H37" i="10" l="1"/>
  <c r="F33" i="10"/>
  <c r="D33" i="10" s="1"/>
  <c r="E33" i="10" s="1"/>
  <c r="G33" i="10" s="1"/>
  <c r="K37" i="10"/>
  <c r="F34" i="10" l="1"/>
  <c r="D34" i="10" s="1"/>
  <c r="E34" i="10" s="1"/>
  <c r="G34" i="10" s="1"/>
  <c r="J38" i="10"/>
  <c r="I38" i="10"/>
  <c r="H38" i="10" l="1"/>
  <c r="F35" i="10"/>
  <c r="D35" i="10" s="1"/>
  <c r="E35" i="10" s="1"/>
  <c r="G35" i="10" s="1"/>
  <c r="K38" i="10"/>
  <c r="F36" i="10" l="1"/>
  <c r="D36" i="10" s="1"/>
  <c r="E36" i="10" s="1"/>
  <c r="G36" i="10" s="1"/>
  <c r="J39" i="10"/>
  <c r="I39" i="10"/>
  <c r="H39" i="10" l="1"/>
  <c r="F37" i="10"/>
  <c r="D37" i="10" s="1"/>
  <c r="E37" i="10" s="1"/>
  <c r="G37" i="10" s="1"/>
  <c r="K39" i="10"/>
  <c r="F38" i="10" l="1"/>
  <c r="D38" i="10" s="1"/>
  <c r="E38" i="10" s="1"/>
  <c r="G38" i="10" s="1"/>
  <c r="J40" i="10"/>
  <c r="I40" i="10"/>
  <c r="H40" i="10" l="1"/>
  <c r="F39" i="10"/>
  <c r="D39" i="10" s="1"/>
  <c r="E39" i="10" s="1"/>
  <c r="G39" i="10" s="1"/>
  <c r="K40" i="10"/>
  <c r="F40" i="10" l="1"/>
  <c r="D40" i="10" s="1"/>
  <c r="E40" i="10" s="1"/>
  <c r="G40" i="10" s="1"/>
  <c r="I41" i="10"/>
  <c r="K41" i="10" s="1"/>
  <c r="J41" i="10"/>
  <c r="F41" i="10" l="1"/>
  <c r="D41" i="10" s="1"/>
  <c r="E41" i="10" s="1"/>
  <c r="G41" i="10" s="1"/>
  <c r="J42" i="10"/>
  <c r="I42" i="10"/>
  <c r="H41" i="10"/>
  <c r="H42" i="10" l="1"/>
  <c r="F42" i="10"/>
  <c r="D42" i="10" s="1"/>
  <c r="E42" i="10" s="1"/>
  <c r="G42" i="10" s="1"/>
  <c r="K42" i="10"/>
  <c r="F43" i="10" l="1"/>
  <c r="D43" i="10" s="1"/>
  <c r="E43" i="10" s="1"/>
  <c r="G43" i="10" s="1"/>
  <c r="J43" i="10"/>
  <c r="I43" i="10"/>
  <c r="H43" i="10" l="1"/>
  <c r="F44" i="10"/>
  <c r="D44" i="10" s="1"/>
  <c r="E44" i="10" s="1"/>
  <c r="G44" i="10" s="1"/>
  <c r="K43" i="10"/>
  <c r="F45" i="10" l="1"/>
  <c r="D45" i="10" s="1"/>
  <c r="E45" i="10" s="1"/>
  <c r="G45" i="10" s="1"/>
  <c r="J44" i="10"/>
  <c r="I44" i="10"/>
  <c r="H44" i="10" l="1"/>
  <c r="F46" i="10"/>
  <c r="D46" i="10" s="1"/>
  <c r="E46" i="10" s="1"/>
  <c r="G46" i="10" s="1"/>
  <c r="K44" i="10"/>
  <c r="F47" i="10" l="1"/>
  <c r="D47" i="10" s="1"/>
  <c r="E47" i="10" s="1"/>
  <c r="G47" i="10" s="1"/>
  <c r="J45" i="10"/>
  <c r="I45" i="10"/>
  <c r="H45" i="10" l="1"/>
  <c r="F48" i="10"/>
  <c r="D48" i="10" s="1"/>
  <c r="E48" i="10" s="1"/>
  <c r="G48" i="10" s="1"/>
  <c r="K45" i="10"/>
  <c r="F49" i="10" l="1"/>
  <c r="D49" i="10" s="1"/>
  <c r="E49" i="10" s="1"/>
  <c r="G49" i="10" s="1"/>
  <c r="J46" i="10"/>
  <c r="I46" i="10"/>
  <c r="H46" i="10" l="1"/>
  <c r="F50" i="10"/>
  <c r="D50" i="10" s="1"/>
  <c r="E50" i="10" s="1"/>
  <c r="G50" i="10" s="1"/>
  <c r="K46" i="10"/>
  <c r="F51" i="10" l="1"/>
  <c r="D51" i="10" s="1"/>
  <c r="E51" i="10" s="1"/>
  <c r="G51" i="10" s="1"/>
  <c r="J47" i="10"/>
  <c r="I47" i="10"/>
  <c r="H47" i="10" l="1"/>
  <c r="F52" i="10"/>
  <c r="D52" i="10" s="1"/>
  <c r="E52" i="10" s="1"/>
  <c r="G52" i="10" s="1"/>
  <c r="K47" i="10"/>
  <c r="F53" i="10" l="1"/>
  <c r="D53" i="10" s="1"/>
  <c r="E53" i="10" s="1"/>
  <c r="G53" i="10" s="1"/>
  <c r="J48" i="10"/>
  <c r="I48" i="10"/>
  <c r="H48" i="10" l="1"/>
  <c r="F54" i="10"/>
  <c r="D54" i="10" s="1"/>
  <c r="E54" i="10" s="1"/>
  <c r="G54" i="10" s="1"/>
  <c r="K48" i="10"/>
  <c r="F55" i="10" l="1"/>
  <c r="D55" i="10" s="1"/>
  <c r="E55" i="10" s="1"/>
  <c r="G55" i="10" s="1"/>
  <c r="I49" i="10"/>
  <c r="K49" i="10" s="1"/>
  <c r="J49" i="10"/>
  <c r="F56" i="10" l="1"/>
  <c r="D56" i="10" s="1"/>
  <c r="E56" i="10" s="1"/>
  <c r="G56" i="10" s="1"/>
  <c r="J50" i="10"/>
  <c r="I50" i="10"/>
  <c r="H49" i="10"/>
  <c r="H50" i="10" l="1"/>
  <c r="F57" i="10"/>
  <c r="D57" i="10" s="1"/>
  <c r="E57" i="10" s="1"/>
  <c r="G57" i="10" s="1"/>
  <c r="K50" i="10"/>
  <c r="F58" i="10" l="1"/>
  <c r="D58" i="10" s="1"/>
  <c r="E58" i="10" s="1"/>
  <c r="G58" i="10" s="1"/>
  <c r="J51" i="10"/>
  <c r="I51" i="10"/>
  <c r="H51" i="10" l="1"/>
  <c r="F59" i="10"/>
  <c r="D59" i="10" s="1"/>
  <c r="E59" i="10" s="1"/>
  <c r="G59" i="10" s="1"/>
  <c r="K51" i="10"/>
  <c r="F60" i="10" l="1"/>
  <c r="D60" i="10" s="1"/>
  <c r="E60" i="10" s="1"/>
  <c r="G60" i="10" s="1"/>
  <c r="J52" i="10"/>
  <c r="I52" i="10"/>
  <c r="H52" i="10" l="1"/>
  <c r="F61" i="10"/>
  <c r="D61" i="10" s="1"/>
  <c r="E61" i="10" s="1"/>
  <c r="G61" i="10" s="1"/>
  <c r="K52" i="10"/>
  <c r="F62" i="10" l="1"/>
  <c r="D62" i="10" s="1"/>
  <c r="E62" i="10" s="1"/>
  <c r="G62" i="10" s="1"/>
  <c r="J53" i="10"/>
  <c r="I53" i="10"/>
  <c r="H53" i="10" l="1"/>
  <c r="F63" i="10"/>
  <c r="D63" i="10" s="1"/>
  <c r="E63" i="10" s="1"/>
  <c r="G63" i="10" s="1"/>
  <c r="K53" i="10"/>
  <c r="F64" i="10" l="1"/>
  <c r="D64" i="10" s="1"/>
  <c r="E64" i="10" s="1"/>
  <c r="G64" i="10" s="1"/>
  <c r="J54" i="10"/>
  <c r="I54" i="10"/>
  <c r="H54" i="10" l="1"/>
  <c r="F65" i="10"/>
  <c r="D65" i="10" s="1"/>
  <c r="E65" i="10" s="1"/>
  <c r="G65" i="10" s="1"/>
  <c r="K54" i="10"/>
  <c r="F66" i="10" l="1"/>
  <c r="D66" i="10" s="1"/>
  <c r="E66" i="10" s="1"/>
  <c r="G66" i="10" s="1"/>
  <c r="J55" i="10"/>
  <c r="I55" i="10"/>
  <c r="H55" i="10" l="1"/>
  <c r="F67" i="10"/>
  <c r="D67" i="10" s="1"/>
  <c r="E67" i="10" s="1"/>
  <c r="G67" i="10" s="1"/>
  <c r="K55" i="10"/>
  <c r="F68" i="10" l="1"/>
  <c r="D68" i="10" s="1"/>
  <c r="E68" i="10" s="1"/>
  <c r="G68" i="10" s="1"/>
  <c r="J56" i="10"/>
  <c r="I56" i="10"/>
  <c r="H56" i="10" l="1"/>
  <c r="F69" i="10"/>
  <c r="D69" i="10" s="1"/>
  <c r="E69" i="10" s="1"/>
  <c r="G69" i="10" s="1"/>
  <c r="K56" i="10"/>
  <c r="F70" i="10" l="1"/>
  <c r="D70" i="10" s="1"/>
  <c r="E70" i="10" s="1"/>
  <c r="G70" i="10" s="1"/>
  <c r="J57" i="10"/>
  <c r="I57" i="10"/>
  <c r="H57" i="10" l="1"/>
  <c r="F71" i="10"/>
  <c r="D71" i="10" s="1"/>
  <c r="E71" i="10" s="1"/>
  <c r="G71" i="10" s="1"/>
  <c r="K57" i="10"/>
  <c r="F72" i="10" l="1"/>
  <c r="D72" i="10" s="1"/>
  <c r="E72" i="10" s="1"/>
  <c r="G72" i="10" s="1"/>
  <c r="J58" i="10"/>
  <c r="I58" i="10"/>
  <c r="H58" i="10" l="1"/>
  <c r="F73" i="10"/>
  <c r="D73" i="10" s="1"/>
  <c r="E73" i="10" s="1"/>
  <c r="G73" i="10" s="1"/>
  <c r="K58" i="10"/>
  <c r="F74" i="10" l="1"/>
  <c r="D74" i="10" s="1"/>
  <c r="E74" i="10" s="1"/>
  <c r="G74" i="10" s="1"/>
  <c r="J59" i="10"/>
  <c r="I59" i="10"/>
  <c r="H59" i="10" l="1"/>
  <c r="F75" i="10"/>
  <c r="D75" i="10" s="1"/>
  <c r="E75" i="10" s="1"/>
  <c r="G75" i="10" s="1"/>
  <c r="K59" i="10"/>
  <c r="F76" i="10" l="1"/>
  <c r="D76" i="10" s="1"/>
  <c r="E76" i="10" s="1"/>
  <c r="G76" i="10" s="1"/>
  <c r="J60" i="10"/>
  <c r="I60" i="10"/>
  <c r="H60" i="10" l="1"/>
  <c r="F77" i="10"/>
  <c r="D77" i="10" s="1"/>
  <c r="E77" i="10" s="1"/>
  <c r="G77" i="10" s="1"/>
  <c r="K60" i="10"/>
  <c r="F78" i="10" l="1"/>
  <c r="D78" i="10" s="1"/>
  <c r="E78" i="10" s="1"/>
  <c r="G78" i="10" s="1"/>
  <c r="J61" i="10"/>
  <c r="I61" i="10"/>
  <c r="H61" i="10" l="1"/>
  <c r="F79" i="10"/>
  <c r="D79" i="10" s="1"/>
  <c r="E79" i="10" s="1"/>
  <c r="G79" i="10" s="1"/>
  <c r="K61" i="10"/>
  <c r="F80" i="10" l="1"/>
  <c r="D80" i="10" s="1"/>
  <c r="E80" i="10" s="1"/>
  <c r="G80" i="10" s="1"/>
  <c r="J62" i="10"/>
  <c r="I62" i="10"/>
  <c r="H62" i="10" l="1"/>
  <c r="F81" i="10"/>
  <c r="D81" i="10" s="1"/>
  <c r="E81" i="10" s="1"/>
  <c r="G81" i="10" s="1"/>
  <c r="K62" i="10"/>
  <c r="F82" i="10" l="1"/>
  <c r="D82" i="10" s="1"/>
  <c r="E82" i="10" s="1"/>
  <c r="G82" i="10" s="1"/>
  <c r="J63" i="10"/>
  <c r="I63" i="10"/>
  <c r="H63" i="10" l="1"/>
  <c r="F83" i="10"/>
  <c r="D83" i="10" s="1"/>
  <c r="E83" i="10" s="1"/>
  <c r="G83" i="10" s="1"/>
  <c r="K63" i="10"/>
  <c r="F84" i="10" l="1"/>
  <c r="D84" i="10" s="1"/>
  <c r="E84" i="10" s="1"/>
  <c r="G84" i="10" s="1"/>
  <c r="J64" i="10"/>
  <c r="I64" i="10"/>
  <c r="H64" i="10" l="1"/>
  <c r="F85" i="10"/>
  <c r="D85" i="10" s="1"/>
  <c r="E85" i="10" s="1"/>
  <c r="G85" i="10" s="1"/>
  <c r="K64" i="10"/>
  <c r="F86" i="10" l="1"/>
  <c r="D86" i="10" s="1"/>
  <c r="E86" i="10" s="1"/>
  <c r="G86" i="10" s="1"/>
  <c r="J65" i="10"/>
  <c r="I65" i="10"/>
  <c r="H65" i="10" l="1"/>
  <c r="F87" i="10"/>
  <c r="D87" i="10" s="1"/>
  <c r="E87" i="10" s="1"/>
  <c r="G87" i="10" s="1"/>
  <c r="K65" i="10"/>
  <c r="F88" i="10" l="1"/>
  <c r="D88" i="10" s="1"/>
  <c r="E88" i="10" s="1"/>
  <c r="G88" i="10" s="1"/>
  <c r="J66" i="10"/>
  <c r="I66" i="10"/>
  <c r="H66" i="10" l="1"/>
  <c r="F89" i="10"/>
  <c r="D89" i="10" s="1"/>
  <c r="E89" i="10" s="1"/>
  <c r="G89" i="10" s="1"/>
  <c r="K66" i="10"/>
  <c r="F90" i="10" l="1"/>
  <c r="D90" i="10" s="1"/>
  <c r="E90" i="10" s="1"/>
  <c r="G90" i="10" s="1"/>
  <c r="J67" i="10"/>
  <c r="I67" i="10"/>
  <c r="H67" i="10" l="1"/>
  <c r="F91" i="10"/>
  <c r="D91" i="10" s="1"/>
  <c r="E91" i="10" s="1"/>
  <c r="G91" i="10" s="1"/>
  <c r="K67" i="10"/>
  <c r="F92" i="10" l="1"/>
  <c r="D92" i="10" s="1"/>
  <c r="E92" i="10" s="1"/>
  <c r="G92" i="10" s="1"/>
  <c r="J68" i="10"/>
  <c r="I68" i="10"/>
  <c r="H68" i="10" l="1"/>
  <c r="F93" i="10"/>
  <c r="D93" i="10" s="1"/>
  <c r="E93" i="10" s="1"/>
  <c r="G93" i="10" s="1"/>
  <c r="K68" i="10"/>
  <c r="F94" i="10" l="1"/>
  <c r="D94" i="10" s="1"/>
  <c r="E94" i="10" s="1"/>
  <c r="G94" i="10" s="1"/>
  <c r="J69" i="10"/>
  <c r="I69" i="10"/>
  <c r="H69" i="10" l="1"/>
  <c r="F95" i="10"/>
  <c r="D95" i="10" s="1"/>
  <c r="E95" i="10" s="1"/>
  <c r="G95" i="10" s="1"/>
  <c r="K69" i="10"/>
  <c r="F96" i="10" l="1"/>
  <c r="D96" i="10" s="1"/>
  <c r="E96" i="10" s="1"/>
  <c r="G96" i="10" s="1"/>
  <c r="J70" i="10"/>
  <c r="I70" i="10"/>
  <c r="H70" i="10" l="1"/>
  <c r="F97" i="10"/>
  <c r="D97" i="10" s="1"/>
  <c r="E97" i="10" s="1"/>
  <c r="G97" i="10" s="1"/>
  <c r="K70" i="10"/>
  <c r="F98" i="10" l="1"/>
  <c r="D98" i="10" s="1"/>
  <c r="E98" i="10" s="1"/>
  <c r="G98" i="10" s="1"/>
  <c r="J71" i="10"/>
  <c r="I71" i="10"/>
  <c r="H71" i="10" l="1"/>
  <c r="F99" i="10"/>
  <c r="D99" i="10" s="1"/>
  <c r="E99" i="10" s="1"/>
  <c r="G99" i="10" s="1"/>
  <c r="K71" i="10"/>
  <c r="F100" i="10" l="1"/>
  <c r="D100" i="10" s="1"/>
  <c r="E100" i="10" s="1"/>
  <c r="G100" i="10" s="1"/>
  <c r="J72" i="10"/>
  <c r="I72" i="10"/>
  <c r="H72" i="10" l="1"/>
  <c r="F101" i="10"/>
  <c r="D101" i="10" s="1"/>
  <c r="E101" i="10" s="1"/>
  <c r="G101" i="10" s="1"/>
  <c r="K72" i="10"/>
  <c r="F102" i="10" l="1"/>
  <c r="D102" i="10" s="1"/>
  <c r="E102" i="10" s="1"/>
  <c r="G102" i="10" s="1"/>
  <c r="J73" i="10"/>
  <c r="I73" i="10"/>
  <c r="H73" i="10" l="1"/>
  <c r="F103" i="10"/>
  <c r="D103" i="10" s="1"/>
  <c r="E103" i="10" s="1"/>
  <c r="G103" i="10" s="1"/>
  <c r="K73" i="10"/>
  <c r="F104" i="10" l="1"/>
  <c r="D104" i="10" s="1"/>
  <c r="E104" i="10" s="1"/>
  <c r="G104" i="10" s="1"/>
  <c r="J74" i="10"/>
  <c r="I74" i="10"/>
  <c r="H74" i="10" l="1"/>
  <c r="F105" i="10"/>
  <c r="D105" i="10" s="1"/>
  <c r="E105" i="10" s="1"/>
  <c r="G105" i="10" s="1"/>
  <c r="K74" i="10"/>
  <c r="F106" i="10" l="1"/>
  <c r="D106" i="10" s="1"/>
  <c r="E106" i="10" s="1"/>
  <c r="G106" i="10" s="1"/>
  <c r="J75" i="10"/>
  <c r="I75" i="10"/>
  <c r="H75" i="10" l="1"/>
  <c r="F107" i="10"/>
  <c r="D107" i="10" s="1"/>
  <c r="E107" i="10" s="1"/>
  <c r="G107" i="10" s="1"/>
  <c r="K75" i="10"/>
  <c r="F108" i="10" l="1"/>
  <c r="D108" i="10" s="1"/>
  <c r="E108" i="10" s="1"/>
  <c r="G108" i="10" s="1"/>
  <c r="J76" i="10"/>
  <c r="I76" i="10"/>
  <c r="H76" i="10" l="1"/>
  <c r="F109" i="10"/>
  <c r="D109" i="10" s="1"/>
  <c r="E109" i="10" s="1"/>
  <c r="G109" i="10" s="1"/>
  <c r="K76" i="10"/>
  <c r="F110" i="10" l="1"/>
  <c r="D110" i="10" s="1"/>
  <c r="E110" i="10" s="1"/>
  <c r="G110" i="10" s="1"/>
  <c r="J77" i="10"/>
  <c r="I77" i="10"/>
  <c r="H77" i="10" l="1"/>
  <c r="F111" i="10"/>
  <c r="D111" i="10" s="1"/>
  <c r="E111" i="10" s="1"/>
  <c r="G111" i="10" s="1"/>
  <c r="K77" i="10"/>
  <c r="F112" i="10" l="1"/>
  <c r="D112" i="10" s="1"/>
  <c r="E112" i="10" s="1"/>
  <c r="G112" i="10" s="1"/>
  <c r="J78" i="10"/>
  <c r="I78" i="10"/>
  <c r="H78" i="10" l="1"/>
  <c r="F113" i="10"/>
  <c r="D113" i="10" s="1"/>
  <c r="E113" i="10" s="1"/>
  <c r="G113" i="10" s="1"/>
  <c r="K78" i="10"/>
  <c r="F114" i="10" l="1"/>
  <c r="D114" i="10" s="1"/>
  <c r="E114" i="10" s="1"/>
  <c r="G114" i="10" s="1"/>
  <c r="J79" i="10"/>
  <c r="I79" i="10"/>
  <c r="H79" i="10" l="1"/>
  <c r="F115" i="10"/>
  <c r="D115" i="10" s="1"/>
  <c r="E115" i="10" s="1"/>
  <c r="G115" i="10" s="1"/>
  <c r="K79" i="10"/>
  <c r="F116" i="10" l="1"/>
  <c r="D116" i="10" s="1"/>
  <c r="E116" i="10" s="1"/>
  <c r="G116" i="10" s="1"/>
  <c r="J80" i="10"/>
  <c r="I80" i="10"/>
  <c r="H80" i="10" l="1"/>
  <c r="F117" i="10"/>
  <c r="D117" i="10" s="1"/>
  <c r="E117" i="10" s="1"/>
  <c r="G117" i="10" s="1"/>
  <c r="K80" i="10"/>
  <c r="F118" i="10" l="1"/>
  <c r="D118" i="10" s="1"/>
  <c r="E118" i="10" s="1"/>
  <c r="G118" i="10" s="1"/>
  <c r="J81" i="10"/>
  <c r="I81" i="10"/>
  <c r="H81" i="10" l="1"/>
  <c r="F119" i="10"/>
  <c r="D119" i="10" s="1"/>
  <c r="E119" i="10" s="1"/>
  <c r="G119" i="10" s="1"/>
  <c r="K81" i="10"/>
  <c r="F120" i="10" l="1"/>
  <c r="D120" i="10" s="1"/>
  <c r="E120" i="10" s="1"/>
  <c r="G120" i="10" s="1"/>
  <c r="J82" i="10"/>
  <c r="I82" i="10"/>
  <c r="H82" i="10" l="1"/>
  <c r="F121" i="10"/>
  <c r="D121" i="10" s="1"/>
  <c r="E121" i="10" s="1"/>
  <c r="G121" i="10" s="1"/>
  <c r="K82" i="10"/>
  <c r="F122" i="10" l="1"/>
  <c r="D122" i="10" s="1"/>
  <c r="E122" i="10" s="1"/>
  <c r="G122" i="10" s="1"/>
  <c r="J83" i="10"/>
  <c r="I83" i="10"/>
  <c r="H83" i="10" l="1"/>
  <c r="F123" i="10"/>
  <c r="D123" i="10" s="1"/>
  <c r="E123" i="10" s="1"/>
  <c r="G123" i="10" s="1"/>
  <c r="K83" i="10"/>
  <c r="F124" i="10" l="1"/>
  <c r="D124" i="10" s="1"/>
  <c r="E124" i="10" s="1"/>
  <c r="G124" i="10" s="1"/>
  <c r="J84" i="10"/>
  <c r="I84" i="10"/>
  <c r="H84" i="10" l="1"/>
  <c r="F125" i="10"/>
  <c r="D125" i="10" s="1"/>
  <c r="E125" i="10" s="1"/>
  <c r="G125" i="10" s="1"/>
  <c r="K84" i="10"/>
  <c r="F126" i="10" l="1"/>
  <c r="D126" i="10" s="1"/>
  <c r="E126" i="10" s="1"/>
  <c r="G126" i="10" s="1"/>
  <c r="J85" i="10"/>
  <c r="I85" i="10"/>
  <c r="H85" i="10" l="1"/>
  <c r="F127" i="10"/>
  <c r="D127" i="10" s="1"/>
  <c r="E127" i="10" s="1"/>
  <c r="G127" i="10" s="1"/>
  <c r="K85" i="10"/>
  <c r="F128" i="10" l="1"/>
  <c r="D128" i="10" s="1"/>
  <c r="E128" i="10" s="1"/>
  <c r="G128" i="10" s="1"/>
  <c r="J86" i="10"/>
  <c r="I86" i="10"/>
  <c r="H86" i="10" l="1"/>
  <c r="F129" i="10"/>
  <c r="D129" i="10" s="1"/>
  <c r="E129" i="10" s="1"/>
  <c r="G129" i="10" s="1"/>
  <c r="K86" i="10"/>
  <c r="F130" i="10" l="1"/>
  <c r="D130" i="10" s="1"/>
  <c r="E130" i="10" s="1"/>
  <c r="G130" i="10" s="1"/>
  <c r="J87" i="10"/>
  <c r="I87" i="10"/>
  <c r="H87" i="10" l="1"/>
  <c r="F131" i="10"/>
  <c r="D131" i="10" s="1"/>
  <c r="E131" i="10" s="1"/>
  <c r="G131" i="10" s="1"/>
  <c r="K87" i="10"/>
  <c r="F132" i="10" l="1"/>
  <c r="D132" i="10" s="1"/>
  <c r="E132" i="10" s="1"/>
  <c r="G132" i="10" s="1"/>
  <c r="J88" i="10"/>
  <c r="I88" i="10"/>
  <c r="H88" i="10" l="1"/>
  <c r="F133" i="10"/>
  <c r="D133" i="10" s="1"/>
  <c r="E133" i="10" s="1"/>
  <c r="G133" i="10" s="1"/>
  <c r="K88" i="10"/>
  <c r="F134" i="10" l="1"/>
  <c r="D134" i="10" s="1"/>
  <c r="E134" i="10" s="1"/>
  <c r="G134" i="10" s="1"/>
  <c r="J89" i="10"/>
  <c r="I89" i="10"/>
  <c r="H89" i="10" l="1"/>
  <c r="F135" i="10"/>
  <c r="D135" i="10" s="1"/>
  <c r="E135" i="10" s="1"/>
  <c r="G135" i="10" s="1"/>
  <c r="K89" i="10"/>
  <c r="F136" i="10" l="1"/>
  <c r="D136" i="10" s="1"/>
  <c r="E136" i="10" s="1"/>
  <c r="G136" i="10" s="1"/>
  <c r="J90" i="10"/>
  <c r="I90" i="10"/>
  <c r="H90" i="10" l="1"/>
  <c r="F137" i="10"/>
  <c r="D137" i="10" s="1"/>
  <c r="E137" i="10" s="1"/>
  <c r="G137" i="10" s="1"/>
  <c r="K90" i="10"/>
  <c r="F138" i="10" l="1"/>
  <c r="D138" i="10" s="1"/>
  <c r="E138" i="10" s="1"/>
  <c r="G138" i="10" s="1"/>
  <c r="J91" i="10"/>
  <c r="I91" i="10"/>
  <c r="H91" i="10" l="1"/>
  <c r="F139" i="10"/>
  <c r="D139" i="10" s="1"/>
  <c r="E139" i="10" s="1"/>
  <c r="G139" i="10" s="1"/>
  <c r="K91" i="10"/>
  <c r="F140" i="10" l="1"/>
  <c r="D140" i="10" s="1"/>
  <c r="E140" i="10" s="1"/>
  <c r="G140" i="10" s="1"/>
  <c r="J92" i="10"/>
  <c r="I92" i="10"/>
  <c r="H92" i="10" l="1"/>
  <c r="F141" i="10"/>
  <c r="D141" i="10" s="1"/>
  <c r="E141" i="10" s="1"/>
  <c r="G141" i="10" s="1"/>
  <c r="K92" i="10"/>
  <c r="F142" i="10" l="1"/>
  <c r="D142" i="10" s="1"/>
  <c r="E142" i="10" s="1"/>
  <c r="G142" i="10" s="1"/>
  <c r="J93" i="10"/>
  <c r="I93" i="10"/>
  <c r="H93" i="10" l="1"/>
  <c r="F143" i="10"/>
  <c r="D143" i="10" s="1"/>
  <c r="E143" i="10" s="1"/>
  <c r="G143" i="10" s="1"/>
  <c r="K93" i="10"/>
  <c r="F144" i="10" l="1"/>
  <c r="D144" i="10" s="1"/>
  <c r="E144" i="10" s="1"/>
  <c r="G144" i="10" s="1"/>
  <c r="J94" i="10"/>
  <c r="I94" i="10"/>
  <c r="H94" i="10" l="1"/>
  <c r="F145" i="10"/>
  <c r="D145" i="10" s="1"/>
  <c r="E145" i="10" s="1"/>
  <c r="G145" i="10" s="1"/>
  <c r="K94" i="10"/>
  <c r="F146" i="10" l="1"/>
  <c r="D146" i="10" s="1"/>
  <c r="E146" i="10" s="1"/>
  <c r="G146" i="10" s="1"/>
  <c r="J95" i="10"/>
  <c r="I95" i="10"/>
  <c r="H95" i="10" l="1"/>
  <c r="F147" i="10"/>
  <c r="D147" i="10" s="1"/>
  <c r="E147" i="10" s="1"/>
  <c r="G147" i="10" s="1"/>
  <c r="K95" i="10"/>
  <c r="F148" i="10" l="1"/>
  <c r="D148" i="10" s="1"/>
  <c r="E148" i="10" s="1"/>
  <c r="G148" i="10" s="1"/>
  <c r="J96" i="10"/>
  <c r="I96" i="10"/>
  <c r="H96" i="10" l="1"/>
  <c r="F149" i="10"/>
  <c r="D149" i="10" s="1"/>
  <c r="E149" i="10" s="1"/>
  <c r="G149" i="10" s="1"/>
  <c r="K96" i="10"/>
  <c r="F150" i="10" l="1"/>
  <c r="D150" i="10" s="1"/>
  <c r="E150" i="10" s="1"/>
  <c r="G150" i="10" s="1"/>
  <c r="J97" i="10"/>
  <c r="I97" i="10"/>
  <c r="H97" i="10" l="1"/>
  <c r="F151" i="10"/>
  <c r="D151" i="10" s="1"/>
  <c r="E151" i="10" s="1"/>
  <c r="G151" i="10" s="1"/>
  <c r="K97" i="10"/>
  <c r="F152" i="10" l="1"/>
  <c r="D152" i="10" s="1"/>
  <c r="E152" i="10" s="1"/>
  <c r="G152" i="10" s="1"/>
  <c r="J98" i="10"/>
  <c r="I98" i="10"/>
  <c r="H98" i="10" l="1"/>
  <c r="F153" i="10"/>
  <c r="D153" i="10" s="1"/>
  <c r="E153" i="10" s="1"/>
  <c r="G153" i="10" s="1"/>
  <c r="K98" i="10"/>
  <c r="F154" i="10" l="1"/>
  <c r="D154" i="10" s="1"/>
  <c r="E154" i="10" s="1"/>
  <c r="G154" i="10" s="1"/>
  <c r="J99" i="10"/>
  <c r="I99" i="10"/>
  <c r="H99" i="10" l="1"/>
  <c r="F155" i="10"/>
  <c r="D155" i="10" s="1"/>
  <c r="E155" i="10" s="1"/>
  <c r="G155" i="10" s="1"/>
  <c r="K99" i="10"/>
  <c r="F156" i="10" l="1"/>
  <c r="D156" i="10" s="1"/>
  <c r="E156" i="10" s="1"/>
  <c r="G156" i="10" s="1"/>
  <c r="J100" i="10"/>
  <c r="I100" i="10"/>
  <c r="H100" i="10" l="1"/>
  <c r="F157" i="10"/>
  <c r="D157" i="10" s="1"/>
  <c r="E157" i="10" s="1"/>
  <c r="G157" i="10" s="1"/>
  <c r="K100" i="10"/>
  <c r="F158" i="10" l="1"/>
  <c r="D158" i="10" s="1"/>
  <c r="E158" i="10" s="1"/>
  <c r="G158" i="10" s="1"/>
  <c r="J101" i="10"/>
  <c r="I101" i="10"/>
  <c r="H101" i="10" l="1"/>
  <c r="F159" i="10"/>
  <c r="D159" i="10" s="1"/>
  <c r="E159" i="10" s="1"/>
  <c r="G159" i="10" s="1"/>
  <c r="K101" i="10"/>
  <c r="F160" i="10" l="1"/>
  <c r="D160" i="10" s="1"/>
  <c r="E160" i="10" s="1"/>
  <c r="G160" i="10" s="1"/>
  <c r="J102" i="10"/>
  <c r="I102" i="10"/>
  <c r="H102" i="10" l="1"/>
  <c r="F161" i="10"/>
  <c r="D161" i="10" s="1"/>
  <c r="E161" i="10" s="1"/>
  <c r="G161" i="10" s="1"/>
  <c r="K102" i="10"/>
  <c r="F162" i="10" l="1"/>
  <c r="D162" i="10" s="1"/>
  <c r="E162" i="10" s="1"/>
  <c r="G162" i="10" s="1"/>
  <c r="J103" i="10"/>
  <c r="I103" i="10"/>
  <c r="H103" i="10" l="1"/>
  <c r="F163" i="10"/>
  <c r="D163" i="10" s="1"/>
  <c r="E163" i="10" s="1"/>
  <c r="G163" i="10" s="1"/>
  <c r="K103" i="10"/>
  <c r="F164" i="10" l="1"/>
  <c r="D164" i="10" s="1"/>
  <c r="E164" i="10" s="1"/>
  <c r="G164" i="10" s="1"/>
  <c r="J104" i="10"/>
  <c r="I104" i="10"/>
  <c r="H104" i="10" l="1"/>
  <c r="F165" i="10"/>
  <c r="D165" i="10" s="1"/>
  <c r="E165" i="10" s="1"/>
  <c r="G165" i="10" s="1"/>
  <c r="K104" i="10"/>
  <c r="F166" i="10" l="1"/>
  <c r="D166" i="10" s="1"/>
  <c r="E166" i="10" s="1"/>
  <c r="G166" i="10" s="1"/>
  <c r="J105" i="10"/>
  <c r="I105" i="10"/>
  <c r="H105" i="10" l="1"/>
  <c r="F167" i="10"/>
  <c r="D167" i="10" s="1"/>
  <c r="E167" i="10" s="1"/>
  <c r="G167" i="10" s="1"/>
  <c r="K105" i="10"/>
  <c r="F168" i="10" l="1"/>
  <c r="D168" i="10" s="1"/>
  <c r="E168" i="10" s="1"/>
  <c r="G168" i="10" s="1"/>
  <c r="J106" i="10"/>
  <c r="I106" i="10"/>
  <c r="H106" i="10" l="1"/>
  <c r="F169" i="10"/>
  <c r="D169" i="10" s="1"/>
  <c r="E169" i="10" s="1"/>
  <c r="G169" i="10" s="1"/>
  <c r="K106" i="10"/>
  <c r="F170" i="10" l="1"/>
  <c r="D170" i="10" s="1"/>
  <c r="E170" i="10" s="1"/>
  <c r="G170" i="10" s="1"/>
  <c r="J107" i="10"/>
  <c r="I107" i="10"/>
  <c r="H107" i="10" l="1"/>
  <c r="F171" i="10"/>
  <c r="D171" i="10" s="1"/>
  <c r="E171" i="10" s="1"/>
  <c r="G171" i="10" s="1"/>
  <c r="K107" i="10"/>
  <c r="F172" i="10" l="1"/>
  <c r="D172" i="10" s="1"/>
  <c r="E172" i="10" s="1"/>
  <c r="G172" i="10" s="1"/>
  <c r="J108" i="10"/>
  <c r="I108" i="10"/>
  <c r="H108" i="10" l="1"/>
  <c r="F173" i="10"/>
  <c r="D173" i="10" s="1"/>
  <c r="E173" i="10" s="1"/>
  <c r="G173" i="10" s="1"/>
  <c r="K108" i="10"/>
  <c r="F174" i="10" l="1"/>
  <c r="D174" i="10" s="1"/>
  <c r="E174" i="10" s="1"/>
  <c r="G174" i="10" s="1"/>
  <c r="J109" i="10"/>
  <c r="I109" i="10"/>
  <c r="H109" i="10" l="1"/>
  <c r="F175" i="10"/>
  <c r="D175" i="10" s="1"/>
  <c r="E175" i="10" s="1"/>
  <c r="G175" i="10" s="1"/>
  <c r="K109" i="10"/>
  <c r="F176" i="10" l="1"/>
  <c r="D176" i="10" s="1"/>
  <c r="E176" i="10" s="1"/>
  <c r="G176" i="10" s="1"/>
  <c r="J110" i="10"/>
  <c r="I110" i="10"/>
  <c r="H110" i="10" l="1"/>
  <c r="F177" i="10"/>
  <c r="D177" i="10" s="1"/>
  <c r="E177" i="10" s="1"/>
  <c r="G177" i="10" s="1"/>
  <c r="K110" i="10"/>
  <c r="F178" i="10" l="1"/>
  <c r="D178" i="10" s="1"/>
  <c r="E178" i="10" s="1"/>
  <c r="G178" i="10" s="1"/>
  <c r="J111" i="10"/>
  <c r="I111" i="10"/>
  <c r="H111" i="10" l="1"/>
  <c r="F179" i="10"/>
  <c r="D179" i="10" s="1"/>
  <c r="E179" i="10" s="1"/>
  <c r="G179" i="10" s="1"/>
  <c r="K111" i="10"/>
  <c r="F180" i="10" l="1"/>
  <c r="D180" i="10" s="1"/>
  <c r="E180" i="10" s="1"/>
  <c r="G180" i="10" s="1"/>
  <c r="J112" i="10"/>
  <c r="I112" i="10"/>
  <c r="H112" i="10" l="1"/>
  <c r="F181" i="10"/>
  <c r="D181" i="10" s="1"/>
  <c r="E181" i="10" s="1"/>
  <c r="G181" i="10" s="1"/>
  <c r="K112" i="10"/>
  <c r="F182" i="10" l="1"/>
  <c r="D182" i="10" s="1"/>
  <c r="E182" i="10" s="1"/>
  <c r="G182" i="10" s="1"/>
  <c r="J113" i="10"/>
  <c r="I113" i="10"/>
  <c r="H113" i="10" l="1"/>
  <c r="F183" i="10"/>
  <c r="D183" i="10" s="1"/>
  <c r="E183" i="10" s="1"/>
  <c r="G183" i="10" s="1"/>
  <c r="K113" i="10"/>
  <c r="F184" i="10" l="1"/>
  <c r="D184" i="10" s="1"/>
  <c r="E184" i="10" s="1"/>
  <c r="G184" i="10" s="1"/>
  <c r="J114" i="10"/>
  <c r="I114" i="10"/>
  <c r="H114" i="10" l="1"/>
  <c r="F185" i="10"/>
  <c r="D185" i="10" s="1"/>
  <c r="E185" i="10" s="1"/>
  <c r="G185" i="10" s="1"/>
  <c r="K114" i="10"/>
  <c r="F186" i="10" l="1"/>
  <c r="D186" i="10" s="1"/>
  <c r="E186" i="10" s="1"/>
  <c r="G186" i="10" s="1"/>
  <c r="J115" i="10"/>
  <c r="I115" i="10"/>
  <c r="H115" i="10" l="1"/>
  <c r="F187" i="10"/>
  <c r="D187" i="10" s="1"/>
  <c r="E187" i="10" s="1"/>
  <c r="G187" i="10" s="1"/>
  <c r="K115" i="10"/>
  <c r="F188" i="10" l="1"/>
  <c r="D188" i="10" s="1"/>
  <c r="E188" i="10" s="1"/>
  <c r="G188" i="10" s="1"/>
  <c r="J116" i="10"/>
  <c r="I116" i="10"/>
  <c r="H116" i="10" l="1"/>
  <c r="F189" i="10"/>
  <c r="D189" i="10" s="1"/>
  <c r="E189" i="10" s="1"/>
  <c r="G189" i="10" s="1"/>
  <c r="K116" i="10"/>
  <c r="F190" i="10" l="1"/>
  <c r="D190" i="10" s="1"/>
  <c r="E190" i="10" s="1"/>
  <c r="G190" i="10" s="1"/>
  <c r="J117" i="10"/>
  <c r="I117" i="10"/>
  <c r="H117" i="10" l="1"/>
  <c r="F191" i="10"/>
  <c r="D191" i="10" s="1"/>
  <c r="E191" i="10" s="1"/>
  <c r="G191" i="10" s="1"/>
  <c r="K117" i="10"/>
  <c r="F192" i="10" l="1"/>
  <c r="D192" i="10" s="1"/>
  <c r="E192" i="10" s="1"/>
  <c r="G192" i="10" s="1"/>
  <c r="J118" i="10"/>
  <c r="I118" i="10"/>
  <c r="H118" i="10" l="1"/>
  <c r="F193" i="10"/>
  <c r="D193" i="10" s="1"/>
  <c r="E193" i="10" s="1"/>
  <c r="G193" i="10" s="1"/>
  <c r="K118" i="10"/>
  <c r="F194" i="10" l="1"/>
  <c r="D194" i="10" s="1"/>
  <c r="E194" i="10" s="1"/>
  <c r="G194" i="10" s="1"/>
  <c r="J119" i="10"/>
  <c r="I119" i="10"/>
  <c r="H119" i="10" l="1"/>
  <c r="F195" i="10"/>
  <c r="D195" i="10" s="1"/>
  <c r="E195" i="10" s="1"/>
  <c r="G195" i="10" s="1"/>
  <c r="K119" i="10"/>
  <c r="F196" i="10" l="1"/>
  <c r="D196" i="10" s="1"/>
  <c r="E196" i="10" s="1"/>
  <c r="G196" i="10" s="1"/>
  <c r="J120" i="10"/>
  <c r="I120" i="10"/>
  <c r="H120" i="10" l="1"/>
  <c r="F197" i="10"/>
  <c r="D197" i="10" s="1"/>
  <c r="E197" i="10" s="1"/>
  <c r="G197" i="10" s="1"/>
  <c r="K120" i="10"/>
  <c r="F198" i="10" l="1"/>
  <c r="D198" i="10" s="1"/>
  <c r="E198" i="10" s="1"/>
  <c r="G198" i="10" s="1"/>
  <c r="J121" i="10"/>
  <c r="I121" i="10"/>
  <c r="H121" i="10" l="1"/>
  <c r="F199" i="10"/>
  <c r="D199" i="10" s="1"/>
  <c r="E199" i="10" s="1"/>
  <c r="G199" i="10" s="1"/>
  <c r="K121" i="10"/>
  <c r="F200" i="10" l="1"/>
  <c r="D200" i="10" s="1"/>
  <c r="E200" i="10" s="1"/>
  <c r="G200" i="10" s="1"/>
  <c r="J122" i="10"/>
  <c r="I122" i="10"/>
  <c r="H122" i="10" l="1"/>
  <c r="F201" i="10"/>
  <c r="D201" i="10" s="1"/>
  <c r="E201" i="10" s="1"/>
  <c r="G201" i="10" s="1"/>
  <c r="K122" i="10"/>
  <c r="F202" i="10" l="1"/>
  <c r="D202" i="10" s="1"/>
  <c r="E202" i="10" s="1"/>
  <c r="G202" i="10" s="1"/>
  <c r="J123" i="10"/>
  <c r="I123" i="10"/>
  <c r="H123" i="10" l="1"/>
  <c r="F203" i="10"/>
  <c r="D203" i="10" s="1"/>
  <c r="E203" i="10" s="1"/>
  <c r="G203" i="10" s="1"/>
  <c r="K123" i="10"/>
  <c r="F204" i="10" l="1"/>
  <c r="D204" i="10" s="1"/>
  <c r="E204" i="10" s="1"/>
  <c r="G204" i="10" s="1"/>
  <c r="J124" i="10"/>
  <c r="I124" i="10"/>
  <c r="H124" i="10" l="1"/>
  <c r="F205" i="10"/>
  <c r="D205" i="10" s="1"/>
  <c r="E205" i="10" s="1"/>
  <c r="G205" i="10" s="1"/>
  <c r="K124" i="10"/>
  <c r="F206" i="10" l="1"/>
  <c r="D206" i="10" s="1"/>
  <c r="E206" i="10" s="1"/>
  <c r="G206" i="10" s="1"/>
  <c r="J125" i="10"/>
  <c r="I125" i="10"/>
  <c r="H125" i="10" l="1"/>
  <c r="F207" i="10"/>
  <c r="D207" i="10" s="1"/>
  <c r="E207" i="10" s="1"/>
  <c r="G207" i="10" s="1"/>
  <c r="K125" i="10"/>
  <c r="F208" i="10" l="1"/>
  <c r="D208" i="10" s="1"/>
  <c r="E208" i="10" s="1"/>
  <c r="G208" i="10" s="1"/>
  <c r="J126" i="10"/>
  <c r="I126" i="10"/>
  <c r="H126" i="10" l="1"/>
  <c r="F209" i="10"/>
  <c r="D209" i="10" s="1"/>
  <c r="E209" i="10" s="1"/>
  <c r="G209" i="10" s="1"/>
  <c r="K126" i="10"/>
  <c r="F210" i="10" l="1"/>
  <c r="D210" i="10" s="1"/>
  <c r="E210" i="10" s="1"/>
  <c r="G210" i="10" s="1"/>
  <c r="J127" i="10"/>
  <c r="I127" i="10"/>
  <c r="H127" i="10" l="1"/>
  <c r="F211" i="10"/>
  <c r="D211" i="10" s="1"/>
  <c r="E211" i="10" s="1"/>
  <c r="G211" i="10" s="1"/>
  <c r="K127" i="10"/>
  <c r="F212" i="10" l="1"/>
  <c r="D212" i="10" s="1"/>
  <c r="E212" i="10" s="1"/>
  <c r="G212" i="10" s="1"/>
  <c r="J128" i="10"/>
  <c r="I128" i="10"/>
  <c r="H128" i="10" l="1"/>
  <c r="F213" i="10"/>
  <c r="D213" i="10" s="1"/>
  <c r="E213" i="10" s="1"/>
  <c r="G213" i="10" s="1"/>
  <c r="K128" i="10"/>
  <c r="F214" i="10" l="1"/>
  <c r="D214" i="10" s="1"/>
  <c r="E214" i="10" s="1"/>
  <c r="G214" i="10" s="1"/>
  <c r="J129" i="10"/>
  <c r="I129" i="10"/>
  <c r="H129" i="10" l="1"/>
  <c r="F215" i="10"/>
  <c r="D215" i="10" s="1"/>
  <c r="E215" i="10" s="1"/>
  <c r="G215" i="10" s="1"/>
  <c r="K129" i="10"/>
  <c r="F216" i="10" l="1"/>
  <c r="D216" i="10" s="1"/>
  <c r="E216" i="10" s="1"/>
  <c r="G216" i="10" s="1"/>
  <c r="J130" i="10"/>
  <c r="I130" i="10"/>
  <c r="H130" i="10" l="1"/>
  <c r="F217" i="10"/>
  <c r="D217" i="10" s="1"/>
  <c r="E217" i="10" s="1"/>
  <c r="G217" i="10" s="1"/>
  <c r="K130" i="10"/>
  <c r="F218" i="10" l="1"/>
  <c r="D218" i="10" s="1"/>
  <c r="E218" i="10" s="1"/>
  <c r="G218" i="10" s="1"/>
  <c r="J131" i="10"/>
  <c r="I131" i="10"/>
  <c r="H131" i="10" l="1"/>
  <c r="F219" i="10"/>
  <c r="D219" i="10" s="1"/>
  <c r="E219" i="10" s="1"/>
  <c r="G219" i="10" s="1"/>
  <c r="K131" i="10"/>
  <c r="F220" i="10" l="1"/>
  <c r="D220" i="10" s="1"/>
  <c r="E220" i="10" s="1"/>
  <c r="G220" i="10" s="1"/>
  <c r="J132" i="10"/>
  <c r="I132" i="10"/>
  <c r="H132" i="10" l="1"/>
  <c r="F221" i="10"/>
  <c r="D221" i="10" s="1"/>
  <c r="E221" i="10" s="1"/>
  <c r="G221" i="10" s="1"/>
  <c r="K132" i="10"/>
  <c r="F222" i="10" l="1"/>
  <c r="D222" i="10" s="1"/>
  <c r="E222" i="10" s="1"/>
  <c r="G222" i="10" s="1"/>
  <c r="J133" i="10"/>
  <c r="I133" i="10"/>
  <c r="H133" i="10" l="1"/>
  <c r="F223" i="10"/>
  <c r="D223" i="10" s="1"/>
  <c r="E223" i="10" s="1"/>
  <c r="G223" i="10" s="1"/>
  <c r="K133" i="10"/>
  <c r="F224" i="10" l="1"/>
  <c r="D224" i="10" s="1"/>
  <c r="E224" i="10" s="1"/>
  <c r="G224" i="10" s="1"/>
  <c r="J134" i="10"/>
  <c r="I134" i="10"/>
  <c r="H134" i="10" l="1"/>
  <c r="F225" i="10"/>
  <c r="D225" i="10" s="1"/>
  <c r="E225" i="10" s="1"/>
  <c r="G225" i="10" s="1"/>
  <c r="K134" i="10"/>
  <c r="F226" i="10" l="1"/>
  <c r="D226" i="10" s="1"/>
  <c r="E226" i="10" s="1"/>
  <c r="G226" i="10" s="1"/>
  <c r="J135" i="10"/>
  <c r="I135" i="10"/>
  <c r="H135" i="10" l="1"/>
  <c r="F227" i="10"/>
  <c r="D227" i="10" s="1"/>
  <c r="E227" i="10" s="1"/>
  <c r="G227" i="10" s="1"/>
  <c r="K135" i="10"/>
  <c r="F228" i="10" l="1"/>
  <c r="D228" i="10" s="1"/>
  <c r="E228" i="10" s="1"/>
  <c r="G228" i="10" s="1"/>
  <c r="J136" i="10"/>
  <c r="I136" i="10"/>
  <c r="H136" i="10" l="1"/>
  <c r="F229" i="10"/>
  <c r="D229" i="10" s="1"/>
  <c r="E229" i="10" s="1"/>
  <c r="G229" i="10" s="1"/>
  <c r="K136" i="10"/>
  <c r="F230" i="10" l="1"/>
  <c r="D230" i="10" s="1"/>
  <c r="E230" i="10" s="1"/>
  <c r="G230" i="10" s="1"/>
  <c r="J137" i="10"/>
  <c r="I137" i="10"/>
  <c r="H137" i="10" l="1"/>
  <c r="F231" i="10"/>
  <c r="D231" i="10" s="1"/>
  <c r="E231" i="10" s="1"/>
  <c r="G231" i="10" s="1"/>
  <c r="K137" i="10"/>
  <c r="F232" i="10" l="1"/>
  <c r="D232" i="10" s="1"/>
  <c r="E232" i="10" s="1"/>
  <c r="G232" i="10" s="1"/>
  <c r="J138" i="10"/>
  <c r="I138" i="10"/>
  <c r="H138" i="10" l="1"/>
  <c r="F233" i="10"/>
  <c r="D233" i="10" s="1"/>
  <c r="E233" i="10" s="1"/>
  <c r="G233" i="10" s="1"/>
  <c r="K138" i="10"/>
  <c r="F234" i="10" l="1"/>
  <c r="D234" i="10" s="1"/>
  <c r="E234" i="10" s="1"/>
  <c r="G234" i="10" s="1"/>
  <c r="J139" i="10"/>
  <c r="I139" i="10"/>
  <c r="H139" i="10" l="1"/>
  <c r="F235" i="10"/>
  <c r="D235" i="10" s="1"/>
  <c r="E235" i="10" s="1"/>
  <c r="G235" i="10" s="1"/>
  <c r="K139" i="10"/>
  <c r="F236" i="10" l="1"/>
  <c r="D236" i="10" s="1"/>
  <c r="E236" i="10" s="1"/>
  <c r="G236" i="10" s="1"/>
  <c r="J140" i="10"/>
  <c r="I140" i="10"/>
  <c r="H140" i="10" l="1"/>
  <c r="F237" i="10"/>
  <c r="D237" i="10" s="1"/>
  <c r="E237" i="10" s="1"/>
  <c r="G237" i="10" s="1"/>
  <c r="K140" i="10"/>
  <c r="F238" i="10" l="1"/>
  <c r="D238" i="10" s="1"/>
  <c r="E238" i="10" s="1"/>
  <c r="G238" i="10" s="1"/>
  <c r="J141" i="10"/>
  <c r="I141" i="10"/>
  <c r="H141" i="10" l="1"/>
  <c r="F239" i="10"/>
  <c r="D239" i="10" s="1"/>
  <c r="E239" i="10" s="1"/>
  <c r="G239" i="10" s="1"/>
  <c r="K141" i="10"/>
  <c r="F240" i="10" l="1"/>
  <c r="D240" i="10" s="1"/>
  <c r="E240" i="10" s="1"/>
  <c r="G240" i="10" s="1"/>
  <c r="J142" i="10"/>
  <c r="I142" i="10"/>
  <c r="H142" i="10" l="1"/>
  <c r="F241" i="10"/>
  <c r="D241" i="10" s="1"/>
  <c r="E241" i="10" s="1"/>
  <c r="G241" i="10" s="1"/>
  <c r="K142" i="10"/>
  <c r="F242" i="10" l="1"/>
  <c r="D242" i="10" s="1"/>
  <c r="E242" i="10" s="1"/>
  <c r="G242" i="10" s="1"/>
  <c r="J143" i="10"/>
  <c r="I143" i="10"/>
  <c r="H143" i="10" l="1"/>
  <c r="F243" i="10"/>
  <c r="D243" i="10" s="1"/>
  <c r="E243" i="10" s="1"/>
  <c r="G243" i="10" s="1"/>
  <c r="K143" i="10"/>
  <c r="F244" i="10" l="1"/>
  <c r="D244" i="10" s="1"/>
  <c r="E244" i="10" s="1"/>
  <c r="G244" i="10" s="1"/>
  <c r="J144" i="10"/>
  <c r="I144" i="10"/>
  <c r="H144" i="10" l="1"/>
  <c r="F245" i="10"/>
  <c r="D245" i="10" s="1"/>
  <c r="E245" i="10" s="1"/>
  <c r="G245" i="10" s="1"/>
  <c r="K144" i="10"/>
  <c r="F246" i="10" l="1"/>
  <c r="D246" i="10" s="1"/>
  <c r="E246" i="10" s="1"/>
  <c r="G246" i="10" s="1"/>
  <c r="J145" i="10"/>
  <c r="I145" i="10"/>
  <c r="H145" i="10" l="1"/>
  <c r="F247" i="10"/>
  <c r="D247" i="10" s="1"/>
  <c r="E247" i="10" s="1"/>
  <c r="G247" i="10" s="1"/>
  <c r="K145" i="10"/>
  <c r="F248" i="10" l="1"/>
  <c r="D248" i="10" s="1"/>
  <c r="E248" i="10" s="1"/>
  <c r="G248" i="10" s="1"/>
  <c r="J146" i="10"/>
  <c r="I146" i="10"/>
  <c r="H146" i="10" l="1"/>
  <c r="F249" i="10"/>
  <c r="D249" i="10" s="1"/>
  <c r="E249" i="10" s="1"/>
  <c r="G249" i="10" s="1"/>
  <c r="K146" i="10"/>
  <c r="F250" i="10" l="1"/>
  <c r="D250" i="10" s="1"/>
  <c r="E250" i="10" s="1"/>
  <c r="G250" i="10" s="1"/>
  <c r="J147" i="10"/>
  <c r="I147" i="10"/>
  <c r="H147" i="10" l="1"/>
  <c r="F251" i="10"/>
  <c r="D251" i="10" s="1"/>
  <c r="E251" i="10" s="1"/>
  <c r="G251" i="10" s="1"/>
  <c r="K147" i="10"/>
  <c r="F252" i="10" l="1"/>
  <c r="D252" i="10" s="1"/>
  <c r="E252" i="10" s="1"/>
  <c r="G252" i="10" s="1"/>
  <c r="J148" i="10"/>
  <c r="I148" i="10"/>
  <c r="H148" i="10" l="1"/>
  <c r="F253" i="10"/>
  <c r="D253" i="10" s="1"/>
  <c r="E253" i="10" s="1"/>
  <c r="G253" i="10" s="1"/>
  <c r="K148" i="10"/>
  <c r="F254" i="10" l="1"/>
  <c r="D254" i="10" s="1"/>
  <c r="E254" i="10" s="1"/>
  <c r="G254" i="10" s="1"/>
  <c r="J149" i="10"/>
  <c r="I149" i="10"/>
  <c r="H149" i="10" l="1"/>
  <c r="F255" i="10"/>
  <c r="D255" i="10" s="1"/>
  <c r="E255" i="10" s="1"/>
  <c r="G255" i="10" s="1"/>
  <c r="K149" i="10"/>
  <c r="F256" i="10" l="1"/>
  <c r="D256" i="10" s="1"/>
  <c r="E256" i="10" s="1"/>
  <c r="G256" i="10" s="1"/>
  <c r="J150" i="10"/>
  <c r="I150" i="10"/>
  <c r="H150" i="10" l="1"/>
  <c r="F257" i="10"/>
  <c r="D257" i="10" s="1"/>
  <c r="E257" i="10" s="1"/>
  <c r="G257" i="10" s="1"/>
  <c r="K150" i="10"/>
  <c r="F258" i="10" l="1"/>
  <c r="D258" i="10" s="1"/>
  <c r="E258" i="10" s="1"/>
  <c r="G258" i="10" s="1"/>
  <c r="J151" i="10"/>
  <c r="I151" i="10"/>
  <c r="H151" i="10" l="1"/>
  <c r="F259" i="10"/>
  <c r="D259" i="10" s="1"/>
  <c r="E259" i="10" s="1"/>
  <c r="G259" i="10" s="1"/>
  <c r="K151" i="10"/>
  <c r="F260" i="10" l="1"/>
  <c r="D260" i="10" s="1"/>
  <c r="E260" i="10" s="1"/>
  <c r="G260" i="10" s="1"/>
  <c r="J152" i="10"/>
  <c r="I152" i="10"/>
  <c r="H152" i="10" l="1"/>
  <c r="F261" i="10"/>
  <c r="D261" i="10" s="1"/>
  <c r="E261" i="10" s="1"/>
  <c r="G261" i="10" s="1"/>
  <c r="K152" i="10"/>
  <c r="F262" i="10" l="1"/>
  <c r="D262" i="10" s="1"/>
  <c r="E262" i="10" s="1"/>
  <c r="G262" i="10" s="1"/>
  <c r="J153" i="10"/>
  <c r="I153" i="10"/>
  <c r="H153" i="10" l="1"/>
  <c r="F263" i="10"/>
  <c r="D263" i="10" s="1"/>
  <c r="E263" i="10" s="1"/>
  <c r="G263" i="10" s="1"/>
  <c r="K153" i="10"/>
  <c r="F264" i="10" l="1"/>
  <c r="D264" i="10" s="1"/>
  <c r="E264" i="10" s="1"/>
  <c r="G264" i="10" s="1"/>
  <c r="J154" i="10"/>
  <c r="I154" i="10"/>
  <c r="H154" i="10" l="1"/>
  <c r="F265" i="10"/>
  <c r="D265" i="10" s="1"/>
  <c r="E265" i="10" s="1"/>
  <c r="G265" i="10" s="1"/>
  <c r="K154" i="10"/>
  <c r="F266" i="10" l="1"/>
  <c r="D266" i="10" s="1"/>
  <c r="E266" i="10" s="1"/>
  <c r="G266" i="10" s="1"/>
  <c r="J155" i="10"/>
  <c r="I155" i="10"/>
  <c r="H155" i="10" l="1"/>
  <c r="F267" i="10"/>
  <c r="D267" i="10" s="1"/>
  <c r="E267" i="10" s="1"/>
  <c r="G267" i="10" s="1"/>
  <c r="K155" i="10"/>
  <c r="F268" i="10" l="1"/>
  <c r="D268" i="10" s="1"/>
  <c r="E268" i="10" s="1"/>
  <c r="G268" i="10" s="1"/>
  <c r="J156" i="10"/>
  <c r="I156" i="10"/>
  <c r="H156" i="10" l="1"/>
  <c r="F269" i="10"/>
  <c r="D269" i="10" s="1"/>
  <c r="E269" i="10" s="1"/>
  <c r="G269" i="10" s="1"/>
  <c r="K156" i="10"/>
  <c r="F270" i="10" l="1"/>
  <c r="D270" i="10" s="1"/>
  <c r="E270" i="10" s="1"/>
  <c r="G270" i="10" s="1"/>
  <c r="J157" i="10"/>
  <c r="I157" i="10"/>
  <c r="H157" i="10" l="1"/>
  <c r="F271" i="10"/>
  <c r="D271" i="10" s="1"/>
  <c r="E271" i="10" s="1"/>
  <c r="G271" i="10" s="1"/>
  <c r="K157" i="10"/>
  <c r="F272" i="10" l="1"/>
  <c r="D272" i="10" s="1"/>
  <c r="E272" i="10" s="1"/>
  <c r="G272" i="10" s="1"/>
  <c r="J158" i="10"/>
  <c r="I158" i="10"/>
  <c r="H158" i="10" l="1"/>
  <c r="F273" i="10"/>
  <c r="D273" i="10" s="1"/>
  <c r="E273" i="10" s="1"/>
  <c r="G273" i="10" s="1"/>
  <c r="K158" i="10"/>
  <c r="F274" i="10" l="1"/>
  <c r="D274" i="10" s="1"/>
  <c r="E274" i="10" s="1"/>
  <c r="G274" i="10" s="1"/>
  <c r="J159" i="10"/>
  <c r="I159" i="10"/>
  <c r="H159" i="10" l="1"/>
  <c r="F275" i="10"/>
  <c r="D275" i="10" s="1"/>
  <c r="E275" i="10" s="1"/>
  <c r="G275" i="10" s="1"/>
  <c r="K159" i="10"/>
  <c r="F276" i="10" l="1"/>
  <c r="D276" i="10" s="1"/>
  <c r="E276" i="10" s="1"/>
  <c r="G276" i="10" s="1"/>
  <c r="J160" i="10"/>
  <c r="I160" i="10"/>
  <c r="H160" i="10" l="1"/>
  <c r="F277" i="10"/>
  <c r="D277" i="10" s="1"/>
  <c r="E277" i="10" s="1"/>
  <c r="G277" i="10" s="1"/>
  <c r="K160" i="10"/>
  <c r="F278" i="10" l="1"/>
  <c r="D278" i="10" s="1"/>
  <c r="E278" i="10" s="1"/>
  <c r="G278" i="10" s="1"/>
  <c r="J161" i="10"/>
  <c r="I161" i="10"/>
  <c r="H161" i="10" l="1"/>
  <c r="F279" i="10"/>
  <c r="D279" i="10" s="1"/>
  <c r="E279" i="10" s="1"/>
  <c r="G279" i="10" s="1"/>
  <c r="K161" i="10"/>
  <c r="F280" i="10" l="1"/>
  <c r="D280" i="10" s="1"/>
  <c r="E280" i="10" s="1"/>
  <c r="G280" i="10" s="1"/>
  <c r="J162" i="10"/>
  <c r="I162" i="10"/>
  <c r="H162" i="10" l="1"/>
  <c r="F281" i="10"/>
  <c r="D281" i="10" s="1"/>
  <c r="E281" i="10" s="1"/>
  <c r="G281" i="10" s="1"/>
  <c r="K162" i="10"/>
  <c r="F282" i="10" l="1"/>
  <c r="D282" i="10" s="1"/>
  <c r="E282" i="10" s="1"/>
  <c r="G282" i="10" s="1"/>
  <c r="J163" i="10"/>
  <c r="I163" i="10"/>
  <c r="H163" i="10" l="1"/>
  <c r="F283" i="10"/>
  <c r="D283" i="10" s="1"/>
  <c r="E283" i="10" s="1"/>
  <c r="G283" i="10" s="1"/>
  <c r="K163" i="10"/>
  <c r="F284" i="10" l="1"/>
  <c r="D284" i="10" s="1"/>
  <c r="E284" i="10" s="1"/>
  <c r="G284" i="10" s="1"/>
  <c r="J164" i="10"/>
  <c r="I164" i="10"/>
  <c r="H164" i="10" l="1"/>
  <c r="F285" i="10"/>
  <c r="D285" i="10" s="1"/>
  <c r="E285" i="10" s="1"/>
  <c r="G285" i="10" s="1"/>
  <c r="K164" i="10"/>
  <c r="F286" i="10" l="1"/>
  <c r="D286" i="10" s="1"/>
  <c r="E286" i="10" s="1"/>
  <c r="G286" i="10" s="1"/>
  <c r="J165" i="10"/>
  <c r="I165" i="10"/>
  <c r="H165" i="10" l="1"/>
  <c r="F287" i="10"/>
  <c r="D287" i="10" s="1"/>
  <c r="E287" i="10" s="1"/>
  <c r="G287" i="10" s="1"/>
  <c r="K165" i="10"/>
  <c r="F288" i="10" l="1"/>
  <c r="D288" i="10" s="1"/>
  <c r="E288" i="10" s="1"/>
  <c r="G288" i="10" s="1"/>
  <c r="J166" i="10"/>
  <c r="I166" i="10"/>
  <c r="H166" i="10" l="1"/>
  <c r="F289" i="10"/>
  <c r="D289" i="10" s="1"/>
  <c r="E289" i="10" s="1"/>
  <c r="G289" i="10" s="1"/>
  <c r="K166" i="10"/>
  <c r="F290" i="10" l="1"/>
  <c r="D290" i="10" s="1"/>
  <c r="E290" i="10" s="1"/>
  <c r="G290" i="10" s="1"/>
  <c r="J167" i="10"/>
  <c r="I167" i="10"/>
  <c r="H167" i="10" l="1"/>
  <c r="F291" i="10"/>
  <c r="D291" i="10" s="1"/>
  <c r="E291" i="10" s="1"/>
  <c r="G291" i="10" s="1"/>
  <c r="K167" i="10"/>
  <c r="F292" i="10" l="1"/>
  <c r="D292" i="10" s="1"/>
  <c r="E292" i="10" s="1"/>
  <c r="G292" i="10" s="1"/>
  <c r="J168" i="10"/>
  <c r="I168" i="10"/>
  <c r="H168" i="10" l="1"/>
  <c r="F293" i="10"/>
  <c r="D293" i="10" s="1"/>
  <c r="E293" i="10" s="1"/>
  <c r="G293" i="10" s="1"/>
  <c r="K168" i="10"/>
  <c r="F294" i="10" l="1"/>
  <c r="D294" i="10" s="1"/>
  <c r="E294" i="10" s="1"/>
  <c r="G294" i="10" s="1"/>
  <c r="J169" i="10"/>
  <c r="I169" i="10"/>
  <c r="H169" i="10" l="1"/>
  <c r="F295" i="10"/>
  <c r="D295" i="10" s="1"/>
  <c r="E295" i="10" s="1"/>
  <c r="G295" i="10" s="1"/>
  <c r="K169" i="10"/>
  <c r="F296" i="10" l="1"/>
  <c r="D296" i="10" s="1"/>
  <c r="E296" i="10" s="1"/>
  <c r="G296" i="10" s="1"/>
  <c r="J170" i="10"/>
  <c r="I170" i="10"/>
  <c r="H170" i="10" l="1"/>
  <c r="F297" i="10"/>
  <c r="D297" i="10" s="1"/>
  <c r="E297" i="10" s="1"/>
  <c r="G297" i="10" s="1"/>
  <c r="K170" i="10"/>
  <c r="F298" i="10" l="1"/>
  <c r="D298" i="10" s="1"/>
  <c r="E298" i="10" s="1"/>
  <c r="G298" i="10" s="1"/>
  <c r="J171" i="10"/>
  <c r="I171" i="10"/>
  <c r="H171" i="10" l="1"/>
  <c r="F299" i="10"/>
  <c r="D299" i="10" s="1"/>
  <c r="E299" i="10" s="1"/>
  <c r="G299" i="10" s="1"/>
  <c r="K171" i="10"/>
  <c r="F300" i="10" l="1"/>
  <c r="D300" i="10" s="1"/>
  <c r="E300" i="10" s="1"/>
  <c r="G300" i="10" s="1"/>
  <c r="J172" i="10"/>
  <c r="I172" i="10"/>
  <c r="H172" i="10" l="1"/>
  <c r="F301" i="10"/>
  <c r="D301" i="10" s="1"/>
  <c r="E301" i="10" s="1"/>
  <c r="G301" i="10" s="1"/>
  <c r="K172" i="10"/>
  <c r="F302" i="10" l="1"/>
  <c r="D302" i="10" s="1"/>
  <c r="E302" i="10" s="1"/>
  <c r="G302" i="10" s="1"/>
  <c r="J173" i="10"/>
  <c r="I173" i="10"/>
  <c r="H173" i="10" l="1"/>
  <c r="F303" i="10"/>
  <c r="D303" i="10" s="1"/>
  <c r="E303" i="10" s="1"/>
  <c r="G303" i="10" s="1"/>
  <c r="K173" i="10"/>
  <c r="F304" i="10" l="1"/>
  <c r="D304" i="10" s="1"/>
  <c r="E304" i="10" s="1"/>
  <c r="G304" i="10" s="1"/>
  <c r="J174" i="10"/>
  <c r="I174" i="10"/>
  <c r="H174" i="10" l="1"/>
  <c r="F305" i="10"/>
  <c r="D305" i="10" s="1"/>
  <c r="E305" i="10" s="1"/>
  <c r="G305" i="10" s="1"/>
  <c r="K174" i="10"/>
  <c r="F306" i="10" l="1"/>
  <c r="D306" i="10" s="1"/>
  <c r="E306" i="10" s="1"/>
  <c r="G306" i="10" s="1"/>
  <c r="J175" i="10"/>
  <c r="I175" i="10"/>
  <c r="H175" i="10" l="1"/>
  <c r="F307" i="10"/>
  <c r="D307" i="10" s="1"/>
  <c r="E307" i="10" s="1"/>
  <c r="G307" i="10" s="1"/>
  <c r="K175" i="10"/>
  <c r="F308" i="10" l="1"/>
  <c r="D308" i="10" s="1"/>
  <c r="E308" i="10" s="1"/>
  <c r="G308" i="10" s="1"/>
  <c r="J176" i="10"/>
  <c r="I176" i="10"/>
  <c r="H176" i="10" l="1"/>
  <c r="F309" i="10"/>
  <c r="D309" i="10" s="1"/>
  <c r="E309" i="10" s="1"/>
  <c r="G309" i="10" s="1"/>
  <c r="K176" i="10"/>
  <c r="F310" i="10" l="1"/>
  <c r="D310" i="10" s="1"/>
  <c r="E310" i="10" s="1"/>
  <c r="G310" i="10" s="1"/>
  <c r="J177" i="10"/>
  <c r="I177" i="10"/>
  <c r="H177" i="10" l="1"/>
  <c r="F311" i="10"/>
  <c r="D311" i="10" s="1"/>
  <c r="E311" i="10" s="1"/>
  <c r="G311" i="10" s="1"/>
  <c r="K177" i="10"/>
  <c r="F312" i="10" l="1"/>
  <c r="D312" i="10" s="1"/>
  <c r="E312" i="10" s="1"/>
  <c r="G312" i="10" s="1"/>
  <c r="J178" i="10"/>
  <c r="I178" i="10"/>
  <c r="H178" i="10" l="1"/>
  <c r="F313" i="10"/>
  <c r="D313" i="10" s="1"/>
  <c r="E313" i="10" s="1"/>
  <c r="G313" i="10" s="1"/>
  <c r="K178" i="10"/>
  <c r="F314" i="10" l="1"/>
  <c r="D314" i="10" s="1"/>
  <c r="E314" i="10" s="1"/>
  <c r="G314" i="10" s="1"/>
  <c r="J179" i="10"/>
  <c r="I179" i="10"/>
  <c r="H179" i="10" l="1"/>
  <c r="F315" i="10"/>
  <c r="D315" i="10" s="1"/>
  <c r="E315" i="10" s="1"/>
  <c r="G315" i="10" s="1"/>
  <c r="K179" i="10"/>
  <c r="F316" i="10" l="1"/>
  <c r="D316" i="10" s="1"/>
  <c r="E316" i="10" s="1"/>
  <c r="G316" i="10" s="1"/>
  <c r="J180" i="10"/>
  <c r="I180" i="10"/>
  <c r="H180" i="10" l="1"/>
  <c r="F317" i="10"/>
  <c r="D317" i="10" s="1"/>
  <c r="E317" i="10" s="1"/>
  <c r="G317" i="10" s="1"/>
  <c r="K180" i="10"/>
  <c r="F318" i="10" l="1"/>
  <c r="D318" i="10" s="1"/>
  <c r="E318" i="10" s="1"/>
  <c r="G318" i="10" s="1"/>
  <c r="J181" i="10"/>
  <c r="I181" i="10"/>
  <c r="H181" i="10" l="1"/>
  <c r="F319" i="10"/>
  <c r="D319" i="10" s="1"/>
  <c r="E319" i="10" s="1"/>
  <c r="G319" i="10" s="1"/>
  <c r="K181" i="10"/>
  <c r="F320" i="10" l="1"/>
  <c r="D320" i="10" s="1"/>
  <c r="E320" i="10" s="1"/>
  <c r="G320" i="10" s="1"/>
  <c r="J182" i="10"/>
  <c r="I182" i="10"/>
  <c r="H182" i="10" l="1"/>
  <c r="F321" i="10"/>
  <c r="D321" i="10" s="1"/>
  <c r="E321" i="10" s="1"/>
  <c r="G321" i="10" s="1"/>
  <c r="K182" i="10"/>
  <c r="F322" i="10" l="1"/>
  <c r="D322" i="10" s="1"/>
  <c r="E322" i="10" s="1"/>
  <c r="G322" i="10" s="1"/>
  <c r="J183" i="10"/>
  <c r="I183" i="10"/>
  <c r="H183" i="10" l="1"/>
  <c r="F323" i="10"/>
  <c r="D323" i="10" s="1"/>
  <c r="E323" i="10" s="1"/>
  <c r="G323" i="10" s="1"/>
  <c r="K183" i="10"/>
  <c r="F324" i="10" l="1"/>
  <c r="D324" i="10" s="1"/>
  <c r="E324" i="10" s="1"/>
  <c r="G324" i="10" s="1"/>
  <c r="J184" i="10"/>
  <c r="I184" i="10"/>
  <c r="H184" i="10" l="1"/>
  <c r="F325" i="10"/>
  <c r="D325" i="10" s="1"/>
  <c r="E325" i="10" s="1"/>
  <c r="G325" i="10" s="1"/>
  <c r="K184" i="10"/>
  <c r="F326" i="10" l="1"/>
  <c r="D326" i="10" s="1"/>
  <c r="E326" i="10" s="1"/>
  <c r="G326" i="10" s="1"/>
  <c r="J185" i="10"/>
  <c r="I185" i="10"/>
  <c r="H185" i="10" l="1"/>
  <c r="F327" i="10"/>
  <c r="D327" i="10" s="1"/>
  <c r="E327" i="10" s="1"/>
  <c r="G327" i="10" s="1"/>
  <c r="K185" i="10"/>
  <c r="F328" i="10" l="1"/>
  <c r="D328" i="10" s="1"/>
  <c r="E328" i="10" s="1"/>
  <c r="G328" i="10" s="1"/>
  <c r="J186" i="10"/>
  <c r="I186" i="10"/>
  <c r="H186" i="10" l="1"/>
  <c r="F329" i="10"/>
  <c r="D329" i="10" s="1"/>
  <c r="E329" i="10" s="1"/>
  <c r="G329" i="10" s="1"/>
  <c r="K186" i="10"/>
  <c r="F330" i="10" l="1"/>
  <c r="D330" i="10" s="1"/>
  <c r="E330" i="10" s="1"/>
  <c r="G330" i="10" s="1"/>
  <c r="J187" i="10"/>
  <c r="I187" i="10"/>
  <c r="H187" i="10" l="1"/>
  <c r="F331" i="10"/>
  <c r="D331" i="10" s="1"/>
  <c r="E331" i="10" s="1"/>
  <c r="G331" i="10" s="1"/>
  <c r="K187" i="10"/>
  <c r="F332" i="10" l="1"/>
  <c r="D332" i="10" s="1"/>
  <c r="E332" i="10" s="1"/>
  <c r="G332" i="10" s="1"/>
  <c r="J188" i="10"/>
  <c r="I188" i="10"/>
  <c r="H188" i="10" l="1"/>
  <c r="F333" i="10"/>
  <c r="D333" i="10" s="1"/>
  <c r="E333" i="10" s="1"/>
  <c r="G333" i="10" s="1"/>
  <c r="K188" i="10"/>
  <c r="F334" i="10" l="1"/>
  <c r="D334" i="10" s="1"/>
  <c r="E334" i="10" s="1"/>
  <c r="G334" i="10" s="1"/>
  <c r="J189" i="10"/>
  <c r="I189" i="10"/>
  <c r="H189" i="10" l="1"/>
  <c r="F335" i="10"/>
  <c r="D335" i="10" s="1"/>
  <c r="E335" i="10" s="1"/>
  <c r="G335" i="10" s="1"/>
  <c r="K189" i="10"/>
  <c r="F336" i="10" l="1"/>
  <c r="D336" i="10" s="1"/>
  <c r="E336" i="10" s="1"/>
  <c r="G336" i="10" s="1"/>
  <c r="J190" i="10"/>
  <c r="I190" i="10"/>
  <c r="H190" i="10" l="1"/>
  <c r="F337" i="10"/>
  <c r="D337" i="10" s="1"/>
  <c r="E337" i="10" s="1"/>
  <c r="G337" i="10" s="1"/>
  <c r="K190" i="10"/>
  <c r="F338" i="10" l="1"/>
  <c r="D338" i="10" s="1"/>
  <c r="E338" i="10" s="1"/>
  <c r="G338" i="10" s="1"/>
  <c r="J191" i="10"/>
  <c r="I191" i="10"/>
  <c r="H191" i="10" l="1"/>
  <c r="F339" i="10"/>
  <c r="D339" i="10" s="1"/>
  <c r="E339" i="10" s="1"/>
  <c r="G339" i="10" s="1"/>
  <c r="K191" i="10"/>
  <c r="F340" i="10" l="1"/>
  <c r="D340" i="10" s="1"/>
  <c r="E340" i="10" s="1"/>
  <c r="G340" i="10" s="1"/>
  <c r="J192" i="10"/>
  <c r="I192" i="10"/>
  <c r="H192" i="10" l="1"/>
  <c r="F341" i="10"/>
  <c r="D341" i="10" s="1"/>
  <c r="E341" i="10" s="1"/>
  <c r="G341" i="10" s="1"/>
  <c r="K192" i="10"/>
  <c r="F342" i="10" l="1"/>
  <c r="D342" i="10" s="1"/>
  <c r="E342" i="10" s="1"/>
  <c r="G342" i="10" s="1"/>
  <c r="J193" i="10"/>
  <c r="I193" i="10"/>
  <c r="H193" i="10" l="1"/>
  <c r="F343" i="10"/>
  <c r="D343" i="10" s="1"/>
  <c r="E343" i="10" s="1"/>
  <c r="G343" i="10" s="1"/>
  <c r="K193" i="10"/>
  <c r="F344" i="10" l="1"/>
  <c r="D344" i="10" s="1"/>
  <c r="E344" i="10" s="1"/>
  <c r="G344" i="10" s="1"/>
  <c r="J194" i="10"/>
  <c r="I194" i="10"/>
  <c r="H194" i="10" l="1"/>
  <c r="F345" i="10"/>
  <c r="D345" i="10" s="1"/>
  <c r="E345" i="10" s="1"/>
  <c r="G345" i="10" s="1"/>
  <c r="K194" i="10"/>
  <c r="F346" i="10" l="1"/>
  <c r="D346" i="10" s="1"/>
  <c r="E346" i="10" s="1"/>
  <c r="G346" i="10" s="1"/>
  <c r="J195" i="10"/>
  <c r="I195" i="10"/>
  <c r="H195" i="10" l="1"/>
  <c r="F347" i="10"/>
  <c r="D347" i="10" s="1"/>
  <c r="E347" i="10" s="1"/>
  <c r="G347" i="10" s="1"/>
  <c r="K195" i="10"/>
  <c r="F348" i="10" l="1"/>
  <c r="D348" i="10" s="1"/>
  <c r="E348" i="10" s="1"/>
  <c r="G348" i="10" s="1"/>
  <c r="J196" i="10"/>
  <c r="I196" i="10"/>
  <c r="H196" i="10" l="1"/>
  <c r="F349" i="10"/>
  <c r="D349" i="10" s="1"/>
  <c r="E349" i="10" s="1"/>
  <c r="G349" i="10" s="1"/>
  <c r="K196" i="10"/>
  <c r="F350" i="10" l="1"/>
  <c r="D350" i="10" s="1"/>
  <c r="E350" i="10" s="1"/>
  <c r="G350" i="10" s="1"/>
  <c r="J197" i="10"/>
  <c r="I197" i="10"/>
  <c r="H197" i="10" l="1"/>
  <c r="F351" i="10"/>
  <c r="D351" i="10" s="1"/>
  <c r="E351" i="10" s="1"/>
  <c r="G351" i="10" s="1"/>
  <c r="K197" i="10"/>
  <c r="F352" i="10" l="1"/>
  <c r="D352" i="10" s="1"/>
  <c r="E352" i="10" s="1"/>
  <c r="G352" i="10" s="1"/>
  <c r="J198" i="10"/>
  <c r="I198" i="10"/>
  <c r="H198" i="10" l="1"/>
  <c r="F353" i="10"/>
  <c r="D353" i="10" s="1"/>
  <c r="E353" i="10" s="1"/>
  <c r="G353" i="10" s="1"/>
  <c r="K198" i="10"/>
  <c r="F354" i="10" l="1"/>
  <c r="D354" i="10" s="1"/>
  <c r="E354" i="10" s="1"/>
  <c r="G354" i="10" s="1"/>
  <c r="J199" i="10"/>
  <c r="I199" i="10"/>
  <c r="H199" i="10" l="1"/>
  <c r="F355" i="10"/>
  <c r="D355" i="10" s="1"/>
  <c r="E355" i="10" s="1"/>
  <c r="G355" i="10" s="1"/>
  <c r="K199" i="10"/>
  <c r="F356" i="10" l="1"/>
  <c r="D356" i="10" s="1"/>
  <c r="E356" i="10" s="1"/>
  <c r="G356" i="10" s="1"/>
  <c r="J200" i="10"/>
  <c r="I200" i="10"/>
  <c r="H200" i="10" l="1"/>
  <c r="F357" i="10"/>
  <c r="D357" i="10" s="1"/>
  <c r="E357" i="10" s="1"/>
  <c r="G357" i="10" s="1"/>
  <c r="K200" i="10"/>
  <c r="F358" i="10" l="1"/>
  <c r="D358" i="10" s="1"/>
  <c r="E358" i="10" s="1"/>
  <c r="G358" i="10" s="1"/>
  <c r="J201" i="10"/>
  <c r="I201" i="10"/>
  <c r="H201" i="10" l="1"/>
  <c r="F359" i="10"/>
  <c r="D359" i="10" s="1"/>
  <c r="E359" i="10" s="1"/>
  <c r="G359" i="10" s="1"/>
  <c r="K201" i="10"/>
  <c r="F360" i="10" l="1"/>
  <c r="D360" i="10" s="1"/>
  <c r="E360" i="10" s="1"/>
  <c r="G360" i="10" s="1"/>
  <c r="J202" i="10"/>
  <c r="I202" i="10"/>
  <c r="H202" i="10" l="1"/>
  <c r="F361" i="10"/>
  <c r="D361" i="10" s="1"/>
  <c r="E361" i="10" s="1"/>
  <c r="G361" i="10" s="1"/>
  <c r="K202" i="10"/>
  <c r="F362" i="10" l="1"/>
  <c r="D362" i="10" s="1"/>
  <c r="E362" i="10" s="1"/>
  <c r="G362" i="10" s="1"/>
  <c r="J203" i="10"/>
  <c r="I203" i="10"/>
  <c r="H203" i="10" l="1"/>
  <c r="F363" i="10"/>
  <c r="D363" i="10" s="1"/>
  <c r="E363" i="10" s="1"/>
  <c r="G363" i="10" s="1"/>
  <c r="K203" i="10"/>
  <c r="F364" i="10" l="1"/>
  <c r="D364" i="10" s="1"/>
  <c r="E364" i="10" s="1"/>
  <c r="G364" i="10" s="1"/>
  <c r="J204" i="10"/>
  <c r="I204" i="10"/>
  <c r="H204" i="10" l="1"/>
  <c r="F365" i="10"/>
  <c r="D365" i="10" s="1"/>
  <c r="E365" i="10" s="1"/>
  <c r="G365" i="10" s="1"/>
  <c r="K204" i="10"/>
  <c r="F366" i="10" l="1"/>
  <c r="D366" i="10" s="1"/>
  <c r="E366" i="10" s="1"/>
  <c r="G366" i="10" s="1"/>
  <c r="J205" i="10"/>
  <c r="I205" i="10"/>
  <c r="H205" i="10" l="1"/>
  <c r="F367" i="10"/>
  <c r="D367" i="10" s="1"/>
  <c r="E367" i="10" s="1"/>
  <c r="G367" i="10" s="1"/>
  <c r="K205" i="10"/>
  <c r="F368" i="10" l="1"/>
  <c r="D368" i="10" s="1"/>
  <c r="E368" i="10" s="1"/>
  <c r="G368" i="10" s="1"/>
  <c r="J206" i="10"/>
  <c r="I206" i="10"/>
  <c r="H206" i="10" l="1"/>
  <c r="F369" i="10"/>
  <c r="D369" i="10" s="1"/>
  <c r="E369" i="10" s="1"/>
  <c r="G369" i="10" s="1"/>
  <c r="K206" i="10"/>
  <c r="F370" i="10" l="1"/>
  <c r="D370" i="10" s="1"/>
  <c r="E370" i="10" s="1"/>
  <c r="G370" i="10" s="1"/>
  <c r="J207" i="10"/>
  <c r="I207" i="10"/>
  <c r="H207" i="10" l="1"/>
  <c r="F371" i="10"/>
  <c r="D371" i="10" s="1"/>
  <c r="E371" i="10" s="1"/>
  <c r="G371" i="10" s="1"/>
  <c r="K207" i="10"/>
  <c r="F372" i="10" l="1"/>
  <c r="D372" i="10" s="1"/>
  <c r="E372" i="10" s="1"/>
  <c r="G372" i="10" s="1"/>
  <c r="J208" i="10"/>
  <c r="I208" i="10"/>
  <c r="H208" i="10" l="1"/>
  <c r="F373" i="10"/>
  <c r="D373" i="10" s="1"/>
  <c r="E373" i="10" s="1"/>
  <c r="G373" i="10" s="1"/>
  <c r="K208" i="10"/>
  <c r="F374" i="10" l="1"/>
  <c r="D374" i="10" s="1"/>
  <c r="E374" i="10" s="1"/>
  <c r="G374" i="10" s="1"/>
  <c r="J209" i="10"/>
  <c r="I209" i="10"/>
  <c r="H209" i="10" l="1"/>
  <c r="F375" i="10"/>
  <c r="D375" i="10" s="1"/>
  <c r="E375" i="10" s="1"/>
  <c r="G375" i="10" s="1"/>
  <c r="K209" i="10"/>
  <c r="F376" i="10" l="1"/>
  <c r="D376" i="10" s="1"/>
  <c r="E376" i="10" s="1"/>
  <c r="G376" i="10" s="1"/>
  <c r="J210" i="10"/>
  <c r="I210" i="10"/>
  <c r="H210" i="10" l="1"/>
  <c r="F377" i="10"/>
  <c r="D377" i="10" s="1"/>
  <c r="E377" i="10" s="1"/>
  <c r="G377" i="10" s="1"/>
  <c r="K210" i="10"/>
  <c r="F378" i="10" l="1"/>
  <c r="D378" i="10" s="1"/>
  <c r="E378" i="10" s="1"/>
  <c r="G378" i="10" s="1"/>
  <c r="J211" i="10"/>
  <c r="I211" i="10"/>
  <c r="H211" i="10" l="1"/>
  <c r="F379" i="10"/>
  <c r="D379" i="10" s="1"/>
  <c r="E379" i="10" s="1"/>
  <c r="G379" i="10" s="1"/>
  <c r="K211" i="10"/>
  <c r="F380" i="10" l="1"/>
  <c r="D380" i="10" s="1"/>
  <c r="E380" i="10" s="1"/>
  <c r="G380" i="10" s="1"/>
  <c r="J212" i="10"/>
  <c r="I212" i="10"/>
  <c r="H212" i="10" l="1"/>
  <c r="F381" i="10"/>
  <c r="D381" i="10" s="1"/>
  <c r="E381" i="10" s="1"/>
  <c r="G381" i="10" s="1"/>
  <c r="K212" i="10"/>
  <c r="F382" i="10" l="1"/>
  <c r="D382" i="10" s="1"/>
  <c r="E382" i="10" s="1"/>
  <c r="G382" i="10" s="1"/>
  <c r="J213" i="10"/>
  <c r="I213" i="10"/>
  <c r="H213" i="10" l="1"/>
  <c r="F383" i="10"/>
  <c r="D383" i="10" s="1"/>
  <c r="E383" i="10" s="1"/>
  <c r="G383" i="10" s="1"/>
  <c r="K213" i="10"/>
  <c r="F384" i="10" l="1"/>
  <c r="D384" i="10" s="1"/>
  <c r="E384" i="10" s="1"/>
  <c r="G384" i="10" s="1"/>
  <c r="J214" i="10"/>
  <c r="I214" i="10"/>
  <c r="H214" i="10" l="1"/>
  <c r="F385" i="10"/>
  <c r="D385" i="10" s="1"/>
  <c r="E385" i="10" s="1"/>
  <c r="G385" i="10" s="1"/>
  <c r="K214" i="10"/>
  <c r="F386" i="10" l="1"/>
  <c r="D386" i="10" s="1"/>
  <c r="E386" i="10" s="1"/>
  <c r="G386" i="10" s="1"/>
  <c r="J215" i="10"/>
  <c r="I215" i="10"/>
  <c r="H215" i="10" l="1"/>
  <c r="F387" i="10"/>
  <c r="D387" i="10" s="1"/>
  <c r="E387" i="10" s="1"/>
  <c r="G387" i="10" s="1"/>
  <c r="K215" i="10"/>
  <c r="F388" i="10" l="1"/>
  <c r="D388" i="10" s="1"/>
  <c r="E388" i="10" s="1"/>
  <c r="G388" i="10" s="1"/>
  <c r="J216" i="10"/>
  <c r="I216" i="10"/>
  <c r="H216" i="10" l="1"/>
  <c r="F389" i="10"/>
  <c r="D389" i="10" s="1"/>
  <c r="E389" i="10" s="1"/>
  <c r="G389" i="10" s="1"/>
  <c r="K216" i="10"/>
  <c r="F390" i="10" l="1"/>
  <c r="D390" i="10" s="1"/>
  <c r="E390" i="10" s="1"/>
  <c r="G390" i="10" s="1"/>
  <c r="J217" i="10"/>
  <c r="I217" i="10"/>
  <c r="H217" i="10" l="1"/>
  <c r="F391" i="10"/>
  <c r="D391" i="10" s="1"/>
  <c r="E391" i="10" s="1"/>
  <c r="G391" i="10" s="1"/>
  <c r="K217" i="10"/>
  <c r="F392" i="10" l="1"/>
  <c r="D392" i="10" s="1"/>
  <c r="E392" i="10" s="1"/>
  <c r="G392" i="10" s="1"/>
  <c r="J218" i="10"/>
  <c r="I218" i="10"/>
  <c r="H218" i="10" l="1"/>
  <c r="F393" i="10"/>
  <c r="D393" i="10" s="1"/>
  <c r="E393" i="10" s="1"/>
  <c r="G393" i="10" s="1"/>
  <c r="K218" i="10"/>
  <c r="F394" i="10" l="1"/>
  <c r="D394" i="10" s="1"/>
  <c r="E394" i="10" s="1"/>
  <c r="G394" i="10" s="1"/>
  <c r="J219" i="10"/>
  <c r="I219" i="10"/>
  <c r="H219" i="10" l="1"/>
  <c r="F395" i="10"/>
  <c r="D395" i="10" s="1"/>
  <c r="E395" i="10" s="1"/>
  <c r="G395" i="10" s="1"/>
  <c r="K219" i="10"/>
  <c r="F396" i="10" l="1"/>
  <c r="D396" i="10" s="1"/>
  <c r="E396" i="10" s="1"/>
  <c r="G396" i="10" s="1"/>
  <c r="J220" i="10"/>
  <c r="I220" i="10"/>
  <c r="H220" i="10" l="1"/>
  <c r="F397" i="10"/>
  <c r="D397" i="10" s="1"/>
  <c r="E397" i="10" s="1"/>
  <c r="G397" i="10" s="1"/>
  <c r="K220" i="10"/>
  <c r="F398" i="10" l="1"/>
  <c r="D398" i="10" s="1"/>
  <c r="E398" i="10" s="1"/>
  <c r="G398" i="10" s="1"/>
  <c r="J221" i="10"/>
  <c r="I221" i="10"/>
  <c r="H221" i="10" l="1"/>
  <c r="F399" i="10"/>
  <c r="D399" i="10" s="1"/>
  <c r="E399" i="10" s="1"/>
  <c r="G399" i="10" s="1"/>
  <c r="K221" i="10"/>
  <c r="F400" i="10" l="1"/>
  <c r="D400" i="10" s="1"/>
  <c r="E400" i="10" s="1"/>
  <c r="G400" i="10" s="1"/>
  <c r="J222" i="10"/>
  <c r="I222" i="10"/>
  <c r="H222" i="10" l="1"/>
  <c r="F401" i="10"/>
  <c r="D401" i="10" s="1"/>
  <c r="E401" i="10" s="1"/>
  <c r="G401" i="10" s="1"/>
  <c r="K222" i="10"/>
  <c r="F402" i="10" l="1"/>
  <c r="D402" i="10" s="1"/>
  <c r="E402" i="10" s="1"/>
  <c r="G402" i="10" s="1"/>
  <c r="J223" i="10"/>
  <c r="I223" i="10"/>
  <c r="H223" i="10" l="1"/>
  <c r="F403" i="10"/>
  <c r="D403" i="10" s="1"/>
  <c r="E403" i="10" s="1"/>
  <c r="G403" i="10" s="1"/>
  <c r="K223" i="10"/>
  <c r="F404" i="10" l="1"/>
  <c r="D404" i="10" s="1"/>
  <c r="E404" i="10" s="1"/>
  <c r="G404" i="10" s="1"/>
  <c r="J224" i="10"/>
  <c r="I224" i="10"/>
  <c r="H224" i="10" l="1"/>
  <c r="F405" i="10"/>
  <c r="D405" i="10" s="1"/>
  <c r="E405" i="10" s="1"/>
  <c r="G405" i="10" s="1"/>
  <c r="K224" i="10"/>
  <c r="F406" i="10" l="1"/>
  <c r="D406" i="10" s="1"/>
  <c r="E406" i="10" s="1"/>
  <c r="G406" i="10" s="1"/>
  <c r="J225" i="10"/>
  <c r="I225" i="10"/>
  <c r="H225" i="10" l="1"/>
  <c r="F407" i="10"/>
  <c r="D407" i="10" s="1"/>
  <c r="E407" i="10" s="1"/>
  <c r="G407" i="10" s="1"/>
  <c r="K225" i="10"/>
  <c r="F408" i="10" l="1"/>
  <c r="D408" i="10" s="1"/>
  <c r="E408" i="10" s="1"/>
  <c r="G408" i="10" s="1"/>
  <c r="J226" i="10"/>
  <c r="I226" i="10"/>
  <c r="H226" i="10" l="1"/>
  <c r="F409" i="10"/>
  <c r="D409" i="10" s="1"/>
  <c r="E409" i="10" s="1"/>
  <c r="G409" i="10" s="1"/>
  <c r="K226" i="10"/>
  <c r="F410" i="10" l="1"/>
  <c r="D410" i="10" s="1"/>
  <c r="E410" i="10" s="1"/>
  <c r="G410" i="10" s="1"/>
  <c r="J227" i="10"/>
  <c r="I227" i="10"/>
  <c r="H227" i="10" l="1"/>
  <c r="F411" i="10"/>
  <c r="D411" i="10" s="1"/>
  <c r="E411" i="10" s="1"/>
  <c r="G411" i="10" s="1"/>
  <c r="K227" i="10"/>
  <c r="F412" i="10" l="1"/>
  <c r="D412" i="10" s="1"/>
  <c r="E412" i="10" s="1"/>
  <c r="G412" i="10" s="1"/>
  <c r="J228" i="10"/>
  <c r="I228" i="10"/>
  <c r="H228" i="10" l="1"/>
  <c r="F413" i="10"/>
  <c r="D413" i="10" s="1"/>
  <c r="E413" i="10" s="1"/>
  <c r="G413" i="10" s="1"/>
  <c r="K228" i="10"/>
  <c r="F414" i="10" l="1"/>
  <c r="D414" i="10" s="1"/>
  <c r="E414" i="10" s="1"/>
  <c r="G414" i="10" s="1"/>
  <c r="J229" i="10"/>
  <c r="I229" i="10"/>
  <c r="H229" i="10" l="1"/>
  <c r="F415" i="10"/>
  <c r="D415" i="10" s="1"/>
  <c r="E415" i="10" s="1"/>
  <c r="G415" i="10" s="1"/>
  <c r="K229" i="10"/>
  <c r="F416" i="10" l="1"/>
  <c r="D416" i="10" s="1"/>
  <c r="E416" i="10" s="1"/>
  <c r="G416" i="10" s="1"/>
  <c r="J230" i="10"/>
  <c r="I230" i="10"/>
  <c r="H230" i="10" l="1"/>
  <c r="F417" i="10"/>
  <c r="D417" i="10" s="1"/>
  <c r="E417" i="10" s="1"/>
  <c r="G417" i="10" s="1"/>
  <c r="K230" i="10"/>
  <c r="F418" i="10" l="1"/>
  <c r="D418" i="10" s="1"/>
  <c r="E418" i="10" s="1"/>
  <c r="G418" i="10" s="1"/>
  <c r="J231" i="10"/>
  <c r="I231" i="10"/>
  <c r="H231" i="10" l="1"/>
  <c r="F419" i="10"/>
  <c r="D419" i="10" s="1"/>
  <c r="E419" i="10" s="1"/>
  <c r="G419" i="10" s="1"/>
  <c r="K231" i="10"/>
  <c r="F420" i="10" l="1"/>
  <c r="D420" i="10" s="1"/>
  <c r="E420" i="10" s="1"/>
  <c r="G420" i="10" s="1"/>
  <c r="J232" i="10"/>
  <c r="I232" i="10"/>
  <c r="H232" i="10" l="1"/>
  <c r="F421" i="10"/>
  <c r="D421" i="10" s="1"/>
  <c r="E421" i="10" s="1"/>
  <c r="G421" i="10" s="1"/>
  <c r="K232" i="10"/>
  <c r="F422" i="10" l="1"/>
  <c r="D422" i="10" s="1"/>
  <c r="E422" i="10" s="1"/>
  <c r="G422" i="10" s="1"/>
  <c r="J233" i="10"/>
  <c r="I233" i="10"/>
  <c r="H233" i="10" l="1"/>
  <c r="F423" i="10"/>
  <c r="D423" i="10" s="1"/>
  <c r="E423" i="10" s="1"/>
  <c r="G423" i="10" s="1"/>
  <c r="K233" i="10"/>
  <c r="F424" i="10" l="1"/>
  <c r="D424" i="10" s="1"/>
  <c r="E424" i="10" s="1"/>
  <c r="G424" i="10" s="1"/>
  <c r="J234" i="10"/>
  <c r="I234" i="10"/>
  <c r="H234" i="10" l="1"/>
  <c r="F425" i="10"/>
  <c r="D425" i="10" s="1"/>
  <c r="E425" i="10" s="1"/>
  <c r="G425" i="10" s="1"/>
  <c r="K234" i="10"/>
  <c r="F426" i="10" l="1"/>
  <c r="D426" i="10" s="1"/>
  <c r="E426" i="10" s="1"/>
  <c r="G426" i="10" s="1"/>
  <c r="J235" i="10"/>
  <c r="I235" i="10"/>
  <c r="H235" i="10" l="1"/>
  <c r="F427" i="10"/>
  <c r="D427" i="10" s="1"/>
  <c r="E427" i="10" s="1"/>
  <c r="G427" i="10" s="1"/>
  <c r="K235" i="10"/>
  <c r="F428" i="10" l="1"/>
  <c r="D428" i="10" s="1"/>
  <c r="E428" i="10" s="1"/>
  <c r="G428" i="10" s="1"/>
  <c r="J236" i="10"/>
  <c r="I236" i="10"/>
  <c r="H236" i="10" l="1"/>
  <c r="F429" i="10"/>
  <c r="D429" i="10" s="1"/>
  <c r="E429" i="10" s="1"/>
  <c r="G429" i="10" s="1"/>
  <c r="K236" i="10"/>
  <c r="F430" i="10" l="1"/>
  <c r="D430" i="10" s="1"/>
  <c r="E430" i="10" s="1"/>
  <c r="G430" i="10" s="1"/>
  <c r="J237" i="10"/>
  <c r="I237" i="10"/>
  <c r="H237" i="10" l="1"/>
  <c r="F431" i="10"/>
  <c r="D431" i="10" s="1"/>
  <c r="E431" i="10" s="1"/>
  <c r="G431" i="10" s="1"/>
  <c r="K237" i="10"/>
  <c r="F432" i="10" l="1"/>
  <c r="D432" i="10" s="1"/>
  <c r="E432" i="10" s="1"/>
  <c r="G432" i="10" s="1"/>
  <c r="J238" i="10"/>
  <c r="I238" i="10"/>
  <c r="H238" i="10" l="1"/>
  <c r="F433" i="10"/>
  <c r="D433" i="10" s="1"/>
  <c r="E433" i="10" s="1"/>
  <c r="G433" i="10" s="1"/>
  <c r="K238" i="10"/>
  <c r="F434" i="10" l="1"/>
  <c r="D434" i="10" s="1"/>
  <c r="E434" i="10" s="1"/>
  <c r="G434" i="10" s="1"/>
  <c r="J239" i="10"/>
  <c r="I239" i="10"/>
  <c r="H239" i="10" l="1"/>
  <c r="F435" i="10"/>
  <c r="D435" i="10" s="1"/>
  <c r="E435" i="10" s="1"/>
  <c r="G435" i="10" s="1"/>
  <c r="K239" i="10"/>
  <c r="F436" i="10" l="1"/>
  <c r="D436" i="10" s="1"/>
  <c r="E436" i="10" s="1"/>
  <c r="G436" i="10" s="1"/>
  <c r="J240" i="10"/>
  <c r="I240" i="10"/>
  <c r="H240" i="10" l="1"/>
  <c r="F437" i="10"/>
  <c r="D437" i="10" s="1"/>
  <c r="E437" i="10" s="1"/>
  <c r="G437" i="10" s="1"/>
  <c r="K240" i="10"/>
  <c r="F438" i="10" l="1"/>
  <c r="D438" i="10" s="1"/>
  <c r="E438" i="10" s="1"/>
  <c r="G438" i="10" s="1"/>
  <c r="J241" i="10"/>
  <c r="I241" i="10"/>
  <c r="H241" i="10" l="1"/>
  <c r="F439" i="10"/>
  <c r="D439" i="10" s="1"/>
  <c r="E439" i="10" s="1"/>
  <c r="G439" i="10" s="1"/>
  <c r="K241" i="10"/>
  <c r="F440" i="10" l="1"/>
  <c r="D440" i="10" s="1"/>
  <c r="E440" i="10" s="1"/>
  <c r="G440" i="10" s="1"/>
  <c r="J242" i="10"/>
  <c r="I242" i="10"/>
  <c r="H242" i="10" l="1"/>
  <c r="F441" i="10"/>
  <c r="D441" i="10" s="1"/>
  <c r="E441" i="10" s="1"/>
  <c r="G441" i="10" s="1"/>
  <c r="K242" i="10"/>
  <c r="F442" i="10" l="1"/>
  <c r="D442" i="10" s="1"/>
  <c r="E442" i="10" s="1"/>
  <c r="G442" i="10" s="1"/>
  <c r="J243" i="10"/>
  <c r="I243" i="10"/>
  <c r="H243" i="10" l="1"/>
  <c r="F443" i="10"/>
  <c r="D443" i="10" s="1"/>
  <c r="E443" i="10" s="1"/>
  <c r="G443" i="10" s="1"/>
  <c r="K243" i="10"/>
  <c r="F444" i="10" l="1"/>
  <c r="D444" i="10" s="1"/>
  <c r="E444" i="10" s="1"/>
  <c r="G444" i="10" s="1"/>
  <c r="J244" i="10"/>
  <c r="I244" i="10"/>
  <c r="H244" i="10" l="1"/>
  <c r="F445" i="10"/>
  <c r="D445" i="10" s="1"/>
  <c r="E445" i="10" s="1"/>
  <c r="G445" i="10" s="1"/>
  <c r="K244" i="10"/>
  <c r="F446" i="10" l="1"/>
  <c r="D446" i="10" s="1"/>
  <c r="E446" i="10" s="1"/>
  <c r="G446" i="10" s="1"/>
  <c r="J245" i="10"/>
  <c r="I245" i="10"/>
  <c r="H245" i="10" l="1"/>
  <c r="F447" i="10"/>
  <c r="D447" i="10" s="1"/>
  <c r="E447" i="10" s="1"/>
  <c r="G447" i="10" s="1"/>
  <c r="K245" i="10"/>
  <c r="F448" i="10" l="1"/>
  <c r="D448" i="10" s="1"/>
  <c r="E448" i="10" s="1"/>
  <c r="G448" i="10" s="1"/>
  <c r="J246" i="10"/>
  <c r="I246" i="10"/>
  <c r="H246" i="10" l="1"/>
  <c r="F449" i="10"/>
  <c r="D449" i="10" s="1"/>
  <c r="E449" i="10" s="1"/>
  <c r="G449" i="10" s="1"/>
  <c r="K246" i="10"/>
  <c r="F450" i="10" l="1"/>
  <c r="D450" i="10" s="1"/>
  <c r="E450" i="10" s="1"/>
  <c r="G450" i="10" s="1"/>
  <c r="J247" i="10"/>
  <c r="I247" i="10"/>
  <c r="H247" i="10" l="1"/>
  <c r="F451" i="10"/>
  <c r="D451" i="10" s="1"/>
  <c r="E451" i="10" s="1"/>
  <c r="G451" i="10" s="1"/>
  <c r="K247" i="10"/>
  <c r="F452" i="10" l="1"/>
  <c r="D452" i="10" s="1"/>
  <c r="E452" i="10" s="1"/>
  <c r="G452" i="10" s="1"/>
  <c r="J248" i="10"/>
  <c r="I248" i="10"/>
  <c r="H248" i="10" l="1"/>
  <c r="F453" i="10"/>
  <c r="D453" i="10" s="1"/>
  <c r="E453" i="10" s="1"/>
  <c r="G453" i="10" s="1"/>
  <c r="K248" i="10"/>
  <c r="F454" i="10" l="1"/>
  <c r="D454" i="10" s="1"/>
  <c r="E454" i="10" s="1"/>
  <c r="G454" i="10" s="1"/>
  <c r="J249" i="10"/>
  <c r="I249" i="10"/>
  <c r="H249" i="10" l="1"/>
  <c r="F455" i="10"/>
  <c r="D455" i="10" s="1"/>
  <c r="E455" i="10" s="1"/>
  <c r="G455" i="10" s="1"/>
  <c r="K249" i="10"/>
  <c r="F456" i="10" l="1"/>
  <c r="D456" i="10" s="1"/>
  <c r="E456" i="10" s="1"/>
  <c r="G456" i="10" s="1"/>
  <c r="J250" i="10"/>
  <c r="I250" i="10"/>
  <c r="H250" i="10" l="1"/>
  <c r="F457" i="10"/>
  <c r="D457" i="10" s="1"/>
  <c r="E457" i="10" s="1"/>
  <c r="G457" i="10" s="1"/>
  <c r="K250" i="10"/>
  <c r="F458" i="10" l="1"/>
  <c r="D458" i="10" s="1"/>
  <c r="E458" i="10" s="1"/>
  <c r="G458" i="10" s="1"/>
  <c r="J251" i="10"/>
  <c r="I251" i="10"/>
  <c r="H251" i="10" l="1"/>
  <c r="F459" i="10"/>
  <c r="D459" i="10" s="1"/>
  <c r="E459" i="10" s="1"/>
  <c r="G459" i="10" s="1"/>
  <c r="K251" i="10"/>
  <c r="F460" i="10" l="1"/>
  <c r="D460" i="10" s="1"/>
  <c r="E460" i="10" s="1"/>
  <c r="G460" i="10" s="1"/>
  <c r="J252" i="10"/>
  <c r="I252" i="10"/>
  <c r="H252" i="10" l="1"/>
  <c r="F461" i="10"/>
  <c r="D461" i="10" s="1"/>
  <c r="E461" i="10" s="1"/>
  <c r="G461" i="10" s="1"/>
  <c r="K252" i="10"/>
  <c r="F462" i="10" l="1"/>
  <c r="D462" i="10" s="1"/>
  <c r="E462" i="10" s="1"/>
  <c r="G462" i="10" s="1"/>
  <c r="J253" i="10"/>
  <c r="I253" i="10"/>
  <c r="H253" i="10" l="1"/>
  <c r="F463" i="10"/>
  <c r="D463" i="10" s="1"/>
  <c r="E463" i="10" s="1"/>
  <c r="G463" i="10" s="1"/>
  <c r="K253" i="10"/>
  <c r="F464" i="10" l="1"/>
  <c r="D464" i="10" s="1"/>
  <c r="E464" i="10" s="1"/>
  <c r="G464" i="10" s="1"/>
  <c r="J254" i="10"/>
  <c r="I254" i="10"/>
  <c r="H254" i="10" l="1"/>
  <c r="F465" i="10"/>
  <c r="D465" i="10" s="1"/>
  <c r="E465" i="10" s="1"/>
  <c r="G465" i="10" s="1"/>
  <c r="K254" i="10"/>
  <c r="F466" i="10" l="1"/>
  <c r="D466" i="10" s="1"/>
  <c r="E466" i="10" s="1"/>
  <c r="G466" i="10" s="1"/>
  <c r="J255" i="10"/>
  <c r="I255" i="10"/>
  <c r="H255" i="10" l="1"/>
  <c r="F467" i="10"/>
  <c r="D467" i="10" s="1"/>
  <c r="E467" i="10" s="1"/>
  <c r="G467" i="10" s="1"/>
  <c r="K255" i="10"/>
  <c r="F468" i="10" l="1"/>
  <c r="D468" i="10" s="1"/>
  <c r="E468" i="10" s="1"/>
  <c r="G468" i="10" s="1"/>
  <c r="J256" i="10"/>
  <c r="I256" i="10"/>
  <c r="H256" i="10" l="1"/>
  <c r="F469" i="10"/>
  <c r="D469" i="10" s="1"/>
  <c r="E469" i="10" s="1"/>
  <c r="G469" i="10" s="1"/>
  <c r="K256" i="10"/>
  <c r="F470" i="10" l="1"/>
  <c r="D470" i="10" s="1"/>
  <c r="E470" i="10" s="1"/>
  <c r="G470" i="10" s="1"/>
  <c r="J257" i="10"/>
  <c r="I257" i="10"/>
  <c r="H257" i="10" l="1"/>
  <c r="F471" i="10"/>
  <c r="D471" i="10" s="1"/>
  <c r="E471" i="10" s="1"/>
  <c r="G471" i="10" s="1"/>
  <c r="K257" i="10"/>
  <c r="F472" i="10" l="1"/>
  <c r="D472" i="10" s="1"/>
  <c r="E472" i="10" s="1"/>
  <c r="G472" i="10" s="1"/>
  <c r="J258" i="10"/>
  <c r="I258" i="10"/>
  <c r="H258" i="10" l="1"/>
  <c r="F473" i="10"/>
  <c r="D473" i="10" s="1"/>
  <c r="E473" i="10" s="1"/>
  <c r="G473" i="10" s="1"/>
  <c r="K258" i="10"/>
  <c r="F474" i="10" l="1"/>
  <c r="D474" i="10" s="1"/>
  <c r="E474" i="10" s="1"/>
  <c r="G474" i="10" s="1"/>
  <c r="J259" i="10"/>
  <c r="I259" i="10"/>
  <c r="H259" i="10" l="1"/>
  <c r="F475" i="10"/>
  <c r="D475" i="10" s="1"/>
  <c r="E475" i="10" s="1"/>
  <c r="G475" i="10" s="1"/>
  <c r="K259" i="10"/>
  <c r="F476" i="10" l="1"/>
  <c r="D476" i="10" s="1"/>
  <c r="E476" i="10" s="1"/>
  <c r="G476" i="10" s="1"/>
  <c r="J260" i="10"/>
  <c r="I260" i="10"/>
  <c r="H260" i="10" l="1"/>
  <c r="F477" i="10"/>
  <c r="D477" i="10" s="1"/>
  <c r="E477" i="10" s="1"/>
  <c r="G477" i="10" s="1"/>
  <c r="K260" i="10"/>
  <c r="F478" i="10" l="1"/>
  <c r="D478" i="10" s="1"/>
  <c r="E478" i="10" s="1"/>
  <c r="G478" i="10" s="1"/>
  <c r="J261" i="10"/>
  <c r="I261" i="10"/>
  <c r="H261" i="10" l="1"/>
  <c r="F479" i="10"/>
  <c r="D479" i="10" s="1"/>
  <c r="E479" i="10" s="1"/>
  <c r="G479" i="10" s="1"/>
  <c r="K261" i="10"/>
  <c r="F480" i="10" l="1"/>
  <c r="D480" i="10" s="1"/>
  <c r="E480" i="10" s="1"/>
  <c r="G480" i="10" s="1"/>
  <c r="J262" i="10"/>
  <c r="I262" i="10"/>
  <c r="H262" i="10" l="1"/>
  <c r="F481" i="10"/>
  <c r="D481" i="10" s="1"/>
  <c r="E481" i="10" s="1"/>
  <c r="G481" i="10" s="1"/>
  <c r="K262" i="10"/>
  <c r="F482" i="10" l="1"/>
  <c r="D482" i="10" s="1"/>
  <c r="E482" i="10" s="1"/>
  <c r="G482" i="10" s="1"/>
  <c r="J263" i="10"/>
  <c r="I263" i="10"/>
  <c r="H263" i="10" l="1"/>
  <c r="F483" i="10"/>
  <c r="D483" i="10" s="1"/>
  <c r="E483" i="10" s="1"/>
  <c r="G483" i="10" s="1"/>
  <c r="K263" i="10"/>
  <c r="F484" i="10" l="1"/>
  <c r="D484" i="10" s="1"/>
  <c r="E484" i="10" s="1"/>
  <c r="G484" i="10" s="1"/>
  <c r="J264" i="10"/>
  <c r="I264" i="10"/>
  <c r="H264" i="10" l="1"/>
  <c r="F485" i="10"/>
  <c r="D485" i="10" s="1"/>
  <c r="E485" i="10" s="1"/>
  <c r="G485" i="10" s="1"/>
  <c r="K264" i="10"/>
  <c r="F486" i="10" l="1"/>
  <c r="D486" i="10" s="1"/>
  <c r="E486" i="10" s="1"/>
  <c r="G486" i="10" s="1"/>
  <c r="J265" i="10"/>
  <c r="I265" i="10"/>
  <c r="H265" i="10" l="1"/>
  <c r="F487" i="10"/>
  <c r="D487" i="10" s="1"/>
  <c r="E487" i="10" s="1"/>
  <c r="G487" i="10" s="1"/>
  <c r="K265" i="10"/>
  <c r="F488" i="10" l="1"/>
  <c r="D488" i="10" s="1"/>
  <c r="E488" i="10" s="1"/>
  <c r="G488" i="10" s="1"/>
  <c r="J266" i="10"/>
  <c r="I266" i="10"/>
  <c r="H266" i="10" l="1"/>
  <c r="F489" i="10"/>
  <c r="D489" i="10" s="1"/>
  <c r="E489" i="10" s="1"/>
  <c r="G489" i="10" s="1"/>
  <c r="K266" i="10"/>
  <c r="F490" i="10" l="1"/>
  <c r="D490" i="10" s="1"/>
  <c r="E490" i="10" s="1"/>
  <c r="G490" i="10" s="1"/>
  <c r="J267" i="10"/>
  <c r="I267" i="10"/>
  <c r="H267" i="10" l="1"/>
  <c r="F491" i="10"/>
  <c r="D491" i="10" s="1"/>
  <c r="E491" i="10" s="1"/>
  <c r="G491" i="10" s="1"/>
  <c r="K267" i="10"/>
  <c r="F492" i="10" l="1"/>
  <c r="D492" i="10" s="1"/>
  <c r="E492" i="10" s="1"/>
  <c r="G492" i="10" s="1"/>
  <c r="J268" i="10"/>
  <c r="I268" i="10"/>
  <c r="H268" i="10" l="1"/>
  <c r="F493" i="10"/>
  <c r="D493" i="10" s="1"/>
  <c r="E493" i="10" s="1"/>
  <c r="G493" i="10" s="1"/>
  <c r="K268" i="10"/>
  <c r="F494" i="10" l="1"/>
  <c r="D494" i="10" s="1"/>
  <c r="E494" i="10" s="1"/>
  <c r="G494" i="10" s="1"/>
  <c r="J269" i="10"/>
  <c r="I269" i="10"/>
  <c r="H269" i="10" l="1"/>
  <c r="F495" i="10"/>
  <c r="D495" i="10" s="1"/>
  <c r="E495" i="10" s="1"/>
  <c r="G495" i="10" s="1"/>
  <c r="K269" i="10"/>
  <c r="F496" i="10" l="1"/>
  <c r="D496" i="10" s="1"/>
  <c r="E496" i="10" s="1"/>
  <c r="G496" i="10" s="1"/>
  <c r="J270" i="10"/>
  <c r="I270" i="10"/>
  <c r="H270" i="10" l="1"/>
  <c r="F497" i="10"/>
  <c r="D497" i="10" s="1"/>
  <c r="E497" i="10" s="1"/>
  <c r="G497" i="10" s="1"/>
  <c r="K270" i="10"/>
  <c r="F498" i="10" l="1"/>
  <c r="D498" i="10" s="1"/>
  <c r="E498" i="10" s="1"/>
  <c r="G498" i="10" s="1"/>
  <c r="J271" i="10"/>
  <c r="I271" i="10"/>
  <c r="H271" i="10" l="1"/>
  <c r="F499" i="10"/>
  <c r="D499" i="10" s="1"/>
  <c r="E499" i="10" s="1"/>
  <c r="G499" i="10" s="1"/>
  <c r="K271" i="10"/>
  <c r="F500" i="10" l="1"/>
  <c r="D500" i="10" s="1"/>
  <c r="E500" i="10" s="1"/>
  <c r="G500" i="10" s="1"/>
  <c r="J272" i="10"/>
  <c r="I272" i="10"/>
  <c r="H272" i="10" l="1"/>
  <c r="F501" i="10"/>
  <c r="D501" i="10" s="1"/>
  <c r="E501" i="10" s="1"/>
  <c r="G501" i="10" s="1"/>
  <c r="K272" i="10"/>
  <c r="F502" i="10" l="1"/>
  <c r="D502" i="10" s="1"/>
  <c r="E502" i="10" s="1"/>
  <c r="G502" i="10" s="1"/>
  <c r="J273" i="10"/>
  <c r="I273" i="10"/>
  <c r="H273" i="10" l="1"/>
  <c r="F503" i="10"/>
  <c r="D503" i="10" s="1"/>
  <c r="E503" i="10" s="1"/>
  <c r="G503" i="10" s="1"/>
  <c r="K273" i="10"/>
  <c r="F504" i="10" l="1"/>
  <c r="D504" i="10" s="1"/>
  <c r="E504" i="10" s="1"/>
  <c r="G504" i="10" s="1"/>
  <c r="J274" i="10"/>
  <c r="I274" i="10"/>
  <c r="H274" i="10" l="1"/>
  <c r="F505" i="10"/>
  <c r="D505" i="10" s="1"/>
  <c r="E505" i="10" s="1"/>
  <c r="G505" i="10" s="1"/>
  <c r="K274" i="10"/>
  <c r="F506" i="10" l="1"/>
  <c r="D506" i="10" s="1"/>
  <c r="E506" i="10" s="1"/>
  <c r="G506" i="10" s="1"/>
  <c r="J275" i="10"/>
  <c r="I275" i="10"/>
  <c r="H275" i="10" l="1"/>
  <c r="F507" i="10"/>
  <c r="D507" i="10" s="1"/>
  <c r="E507" i="10" s="1"/>
  <c r="G507" i="10" s="1"/>
  <c r="K275" i="10"/>
  <c r="F508" i="10" l="1"/>
  <c r="D508" i="10" s="1"/>
  <c r="E508" i="10" s="1"/>
  <c r="G508" i="10" s="1"/>
  <c r="J276" i="10"/>
  <c r="I276" i="10"/>
  <c r="H276" i="10" l="1"/>
  <c r="F509" i="10"/>
  <c r="D509" i="10" s="1"/>
  <c r="E509" i="10" s="1"/>
  <c r="G509" i="10" s="1"/>
  <c r="K276" i="10"/>
  <c r="F510" i="10" l="1"/>
  <c r="D510" i="10" s="1"/>
  <c r="E510" i="10" s="1"/>
  <c r="G510" i="10" s="1"/>
  <c r="J277" i="10"/>
  <c r="I277" i="10"/>
  <c r="H277" i="10" l="1"/>
  <c r="F511" i="10"/>
  <c r="D511" i="10" s="1"/>
  <c r="E511" i="10" s="1"/>
  <c r="G511" i="10" s="1"/>
  <c r="K277" i="10"/>
  <c r="F512" i="10" l="1"/>
  <c r="D512" i="10" s="1"/>
  <c r="E512" i="10" s="1"/>
  <c r="G512" i="10" s="1"/>
  <c r="J278" i="10"/>
  <c r="I278" i="10"/>
  <c r="H278" i="10" l="1"/>
  <c r="F513" i="10"/>
  <c r="D513" i="10" s="1"/>
  <c r="E513" i="10" s="1"/>
  <c r="G513" i="10" s="1"/>
  <c r="K278" i="10"/>
  <c r="F514" i="10" l="1"/>
  <c r="D514" i="10" s="1"/>
  <c r="E514" i="10" s="1"/>
  <c r="G514" i="10" s="1"/>
  <c r="J279" i="10"/>
  <c r="I279" i="10"/>
  <c r="H279" i="10" l="1"/>
  <c r="F515" i="10"/>
  <c r="D515" i="10" s="1"/>
  <c r="E515" i="10" s="1"/>
  <c r="G515" i="10" s="1"/>
  <c r="K279" i="10"/>
  <c r="F516" i="10" l="1"/>
  <c r="D516" i="10" s="1"/>
  <c r="E516" i="10" s="1"/>
  <c r="G516" i="10" s="1"/>
  <c r="J280" i="10"/>
  <c r="I280" i="10"/>
  <c r="H280" i="10" l="1"/>
  <c r="F517" i="10"/>
  <c r="D517" i="10" s="1"/>
  <c r="E517" i="10" s="1"/>
  <c r="G517" i="10" s="1"/>
  <c r="K280" i="10"/>
  <c r="F518" i="10" l="1"/>
  <c r="D518" i="10" s="1"/>
  <c r="E518" i="10" s="1"/>
  <c r="G518" i="10" s="1"/>
  <c r="J281" i="10"/>
  <c r="I281" i="10"/>
  <c r="H281" i="10" l="1"/>
  <c r="F519" i="10"/>
  <c r="D519" i="10" s="1"/>
  <c r="E519" i="10" s="1"/>
  <c r="G519" i="10" s="1"/>
  <c r="K281" i="10"/>
  <c r="F520" i="10" l="1"/>
  <c r="D520" i="10" s="1"/>
  <c r="E520" i="10" s="1"/>
  <c r="G520" i="10" s="1"/>
  <c r="J282" i="10"/>
  <c r="I282" i="10"/>
  <c r="H282" i="10" l="1"/>
  <c r="F521" i="10"/>
  <c r="D521" i="10" s="1"/>
  <c r="E521" i="10" s="1"/>
  <c r="G521" i="10" s="1"/>
  <c r="K282" i="10"/>
  <c r="F522" i="10" l="1"/>
  <c r="D522" i="10" s="1"/>
  <c r="E522" i="10" s="1"/>
  <c r="G522" i="10" s="1"/>
  <c r="J283" i="10"/>
  <c r="I283" i="10"/>
  <c r="H283" i="10" l="1"/>
  <c r="F523" i="10"/>
  <c r="D523" i="10" s="1"/>
  <c r="E523" i="10" s="1"/>
  <c r="G523" i="10" s="1"/>
  <c r="K283" i="10"/>
  <c r="F524" i="10" l="1"/>
  <c r="D524" i="10" s="1"/>
  <c r="E524" i="10" s="1"/>
  <c r="G524" i="10" s="1"/>
  <c r="J284" i="10"/>
  <c r="I284" i="10"/>
  <c r="H284" i="10" l="1"/>
  <c r="F525" i="10"/>
  <c r="D525" i="10" s="1"/>
  <c r="E525" i="10" s="1"/>
  <c r="G525" i="10" s="1"/>
  <c r="K284" i="10"/>
  <c r="F526" i="10" l="1"/>
  <c r="D526" i="10" s="1"/>
  <c r="E526" i="10" s="1"/>
  <c r="G526" i="10" s="1"/>
  <c r="J285" i="10"/>
  <c r="I285" i="10"/>
  <c r="H285" i="10" l="1"/>
  <c r="F527" i="10"/>
  <c r="D527" i="10" s="1"/>
  <c r="E527" i="10" s="1"/>
  <c r="G527" i="10" s="1"/>
  <c r="K285" i="10"/>
  <c r="F528" i="10" l="1"/>
  <c r="D528" i="10" s="1"/>
  <c r="E528" i="10" s="1"/>
  <c r="G528" i="10" s="1"/>
  <c r="J286" i="10"/>
  <c r="I286" i="10"/>
  <c r="H286" i="10" l="1"/>
  <c r="F529" i="10"/>
  <c r="D529" i="10" s="1"/>
  <c r="E529" i="10" s="1"/>
  <c r="G529" i="10" s="1"/>
  <c r="K286" i="10"/>
  <c r="F530" i="10" l="1"/>
  <c r="D530" i="10" s="1"/>
  <c r="E530" i="10" s="1"/>
  <c r="G530" i="10" s="1"/>
  <c r="J287" i="10"/>
  <c r="I287" i="10"/>
  <c r="H287" i="10" l="1"/>
  <c r="F531" i="10"/>
  <c r="D531" i="10" s="1"/>
  <c r="E531" i="10" s="1"/>
  <c r="G531" i="10" s="1"/>
  <c r="K287" i="10"/>
  <c r="F532" i="10" l="1"/>
  <c r="D532" i="10" s="1"/>
  <c r="E532" i="10" s="1"/>
  <c r="G532" i="10" s="1"/>
  <c r="J288" i="10"/>
  <c r="I288" i="10"/>
  <c r="H288" i="10" l="1"/>
  <c r="F533" i="10"/>
  <c r="D533" i="10" s="1"/>
  <c r="E533" i="10" s="1"/>
  <c r="G533" i="10" s="1"/>
  <c r="K288" i="10"/>
  <c r="F534" i="10" l="1"/>
  <c r="D534" i="10" s="1"/>
  <c r="E534" i="10" s="1"/>
  <c r="G534" i="10" s="1"/>
  <c r="J289" i="10"/>
  <c r="I289" i="10"/>
  <c r="H289" i="10" l="1"/>
  <c r="F535" i="10"/>
  <c r="D535" i="10" s="1"/>
  <c r="E535" i="10" s="1"/>
  <c r="G535" i="10" s="1"/>
  <c r="K289" i="10"/>
  <c r="F536" i="10" l="1"/>
  <c r="D536" i="10" s="1"/>
  <c r="E536" i="10" s="1"/>
  <c r="G536" i="10" s="1"/>
  <c r="J290" i="10"/>
  <c r="I290" i="10"/>
  <c r="H290" i="10" l="1"/>
  <c r="F537" i="10"/>
  <c r="D537" i="10" s="1"/>
  <c r="E537" i="10" s="1"/>
  <c r="G537" i="10" s="1"/>
  <c r="K290" i="10"/>
  <c r="F538" i="10" l="1"/>
  <c r="D538" i="10" s="1"/>
  <c r="E538" i="10" s="1"/>
  <c r="G538" i="10" s="1"/>
  <c r="J291" i="10"/>
  <c r="I291" i="10"/>
  <c r="H291" i="10" l="1"/>
  <c r="F539" i="10"/>
  <c r="D539" i="10" s="1"/>
  <c r="E539" i="10" s="1"/>
  <c r="G539" i="10" s="1"/>
  <c r="K291" i="10"/>
  <c r="F540" i="10" l="1"/>
  <c r="D540" i="10" s="1"/>
  <c r="E540" i="10" s="1"/>
  <c r="G540" i="10" s="1"/>
  <c r="J292" i="10"/>
  <c r="I292" i="10"/>
  <c r="H292" i="10" l="1"/>
  <c r="F541" i="10"/>
  <c r="D541" i="10" s="1"/>
  <c r="E541" i="10" s="1"/>
  <c r="G541" i="10" s="1"/>
  <c r="K292" i="10"/>
  <c r="F542" i="10" l="1"/>
  <c r="D542" i="10" s="1"/>
  <c r="E542" i="10" s="1"/>
  <c r="G542" i="10" s="1"/>
  <c r="J293" i="10"/>
  <c r="I293" i="10"/>
  <c r="H293" i="10" l="1"/>
  <c r="F543" i="10"/>
  <c r="D543" i="10" s="1"/>
  <c r="E543" i="10" s="1"/>
  <c r="G543" i="10" s="1"/>
  <c r="K293" i="10"/>
  <c r="F544" i="10" l="1"/>
  <c r="D544" i="10" s="1"/>
  <c r="E544" i="10" s="1"/>
  <c r="G544" i="10" s="1"/>
  <c r="J294" i="10"/>
  <c r="I294" i="10"/>
  <c r="H294" i="10" l="1"/>
  <c r="F545" i="10"/>
  <c r="D545" i="10" s="1"/>
  <c r="E545" i="10" s="1"/>
  <c r="G545" i="10" s="1"/>
  <c r="K294" i="10"/>
  <c r="F546" i="10" l="1"/>
  <c r="D546" i="10" s="1"/>
  <c r="E546" i="10" s="1"/>
  <c r="G546" i="10" s="1"/>
  <c r="J295" i="10"/>
  <c r="I295" i="10"/>
  <c r="H295" i="10" l="1"/>
  <c r="F547" i="10"/>
  <c r="D547" i="10" s="1"/>
  <c r="E547" i="10" s="1"/>
  <c r="G547" i="10" s="1"/>
  <c r="K295" i="10"/>
  <c r="F548" i="10" l="1"/>
  <c r="D548" i="10" s="1"/>
  <c r="E548" i="10" s="1"/>
  <c r="G548" i="10" s="1"/>
  <c r="J296" i="10"/>
  <c r="I296" i="10"/>
  <c r="H296" i="10" l="1"/>
  <c r="F549" i="10"/>
  <c r="D549" i="10" s="1"/>
  <c r="E549" i="10" s="1"/>
  <c r="G549" i="10" s="1"/>
  <c r="K296" i="10"/>
  <c r="F550" i="10" l="1"/>
  <c r="D550" i="10" s="1"/>
  <c r="E550" i="10" s="1"/>
  <c r="G550" i="10" s="1"/>
  <c r="J297" i="10"/>
  <c r="I297" i="10"/>
  <c r="H297" i="10" l="1"/>
  <c r="F551" i="10"/>
  <c r="D551" i="10" s="1"/>
  <c r="E551" i="10" s="1"/>
  <c r="G551" i="10" s="1"/>
  <c r="K297" i="10"/>
  <c r="F552" i="10" l="1"/>
  <c r="D552" i="10" s="1"/>
  <c r="E552" i="10" s="1"/>
  <c r="G552" i="10" s="1"/>
  <c r="J298" i="10"/>
  <c r="I298" i="10"/>
  <c r="H298" i="10" l="1"/>
  <c r="F553" i="10"/>
  <c r="D553" i="10" s="1"/>
  <c r="E553" i="10" s="1"/>
  <c r="G553" i="10" s="1"/>
  <c r="K298" i="10"/>
  <c r="F554" i="10" l="1"/>
  <c r="D554" i="10" s="1"/>
  <c r="E554" i="10" s="1"/>
  <c r="G554" i="10" s="1"/>
  <c r="J299" i="10"/>
  <c r="I299" i="10"/>
  <c r="H299" i="10" l="1"/>
  <c r="F555" i="10"/>
  <c r="D555" i="10" s="1"/>
  <c r="E555" i="10" s="1"/>
  <c r="G555" i="10" s="1"/>
  <c r="K299" i="10"/>
  <c r="F556" i="10" l="1"/>
  <c r="D556" i="10" s="1"/>
  <c r="E556" i="10" s="1"/>
  <c r="G556" i="10" s="1"/>
  <c r="J300" i="10"/>
  <c r="I300" i="10"/>
  <c r="H300" i="10" l="1"/>
  <c r="F557" i="10"/>
  <c r="D557" i="10" s="1"/>
  <c r="E557" i="10" s="1"/>
  <c r="G557" i="10" s="1"/>
  <c r="K300" i="10"/>
  <c r="F558" i="10" l="1"/>
  <c r="D558" i="10" s="1"/>
  <c r="E558" i="10" s="1"/>
  <c r="G558" i="10" s="1"/>
  <c r="J301" i="10"/>
  <c r="I301" i="10"/>
  <c r="H301" i="10" l="1"/>
  <c r="F559" i="10"/>
  <c r="D559" i="10" s="1"/>
  <c r="E559" i="10" s="1"/>
  <c r="G559" i="10" s="1"/>
  <c r="K301" i="10"/>
  <c r="F560" i="10" l="1"/>
  <c r="D560" i="10" s="1"/>
  <c r="E560" i="10" s="1"/>
  <c r="G560" i="10" s="1"/>
  <c r="J302" i="10"/>
  <c r="I302" i="10"/>
  <c r="H302" i="10" l="1"/>
  <c r="F561" i="10"/>
  <c r="D561" i="10" s="1"/>
  <c r="E561" i="10" s="1"/>
  <c r="G561" i="10" s="1"/>
  <c r="K302" i="10"/>
  <c r="F562" i="10" l="1"/>
  <c r="D562" i="10" s="1"/>
  <c r="E562" i="10" s="1"/>
  <c r="G562" i="10" s="1"/>
  <c r="J303" i="10"/>
  <c r="I303" i="10"/>
  <c r="H303" i="10" l="1"/>
  <c r="F563" i="10"/>
  <c r="D563" i="10" s="1"/>
  <c r="E563" i="10" s="1"/>
  <c r="G563" i="10" s="1"/>
  <c r="K303" i="10"/>
  <c r="F564" i="10" l="1"/>
  <c r="D564" i="10" s="1"/>
  <c r="E564" i="10" s="1"/>
  <c r="G564" i="10" s="1"/>
  <c r="J304" i="10"/>
  <c r="I304" i="10"/>
  <c r="H304" i="10" l="1"/>
  <c r="F565" i="10"/>
  <c r="D565" i="10" s="1"/>
  <c r="E565" i="10" s="1"/>
  <c r="G565" i="10" s="1"/>
  <c r="K304" i="10"/>
  <c r="F566" i="10" l="1"/>
  <c r="D566" i="10" s="1"/>
  <c r="E566" i="10" s="1"/>
  <c r="G566" i="10" s="1"/>
  <c r="J305" i="10"/>
  <c r="I305" i="10"/>
  <c r="H305" i="10" l="1"/>
  <c r="F567" i="10"/>
  <c r="D567" i="10" s="1"/>
  <c r="E567" i="10" s="1"/>
  <c r="G567" i="10" s="1"/>
  <c r="K305" i="10"/>
  <c r="F568" i="10" l="1"/>
  <c r="D568" i="10" s="1"/>
  <c r="E568" i="10" s="1"/>
  <c r="G568" i="10" s="1"/>
  <c r="J306" i="10"/>
  <c r="I306" i="10"/>
  <c r="H306" i="10" l="1"/>
  <c r="F569" i="10"/>
  <c r="D569" i="10" s="1"/>
  <c r="E569" i="10" s="1"/>
  <c r="G569" i="10" s="1"/>
  <c r="K306" i="10"/>
  <c r="F570" i="10" l="1"/>
  <c r="D570" i="10" s="1"/>
  <c r="E570" i="10" s="1"/>
  <c r="G570" i="10" s="1"/>
  <c r="J307" i="10"/>
  <c r="I307" i="10"/>
  <c r="H307" i="10" l="1"/>
  <c r="F571" i="10"/>
  <c r="D571" i="10" s="1"/>
  <c r="E571" i="10" s="1"/>
  <c r="G571" i="10" s="1"/>
  <c r="K307" i="10"/>
  <c r="F572" i="10" l="1"/>
  <c r="D572" i="10" s="1"/>
  <c r="E572" i="10" s="1"/>
  <c r="G572" i="10" s="1"/>
  <c r="J308" i="10"/>
  <c r="I308" i="10"/>
  <c r="H308" i="10" l="1"/>
  <c r="F573" i="10"/>
  <c r="D573" i="10" s="1"/>
  <c r="E573" i="10" s="1"/>
  <c r="G573" i="10" s="1"/>
  <c r="K308" i="10"/>
  <c r="F574" i="10" l="1"/>
  <c r="D574" i="10" s="1"/>
  <c r="E574" i="10" s="1"/>
  <c r="G574" i="10" s="1"/>
  <c r="J309" i="10"/>
  <c r="I309" i="10"/>
  <c r="H309" i="10" l="1"/>
  <c r="F575" i="10"/>
  <c r="D575" i="10" s="1"/>
  <c r="E575" i="10" s="1"/>
  <c r="G575" i="10" s="1"/>
  <c r="K309" i="10"/>
  <c r="F576" i="10" l="1"/>
  <c r="D576" i="10" s="1"/>
  <c r="E576" i="10" s="1"/>
  <c r="G576" i="10" s="1"/>
  <c r="J310" i="10"/>
  <c r="I310" i="10"/>
  <c r="H310" i="10" l="1"/>
  <c r="F577" i="10"/>
  <c r="D577" i="10" s="1"/>
  <c r="E577" i="10" s="1"/>
  <c r="G577" i="10" s="1"/>
  <c r="K310" i="10"/>
  <c r="F578" i="10" l="1"/>
  <c r="D578" i="10" s="1"/>
  <c r="E578" i="10" s="1"/>
  <c r="G578" i="10" s="1"/>
  <c r="J311" i="10"/>
  <c r="I311" i="10"/>
  <c r="H311" i="10" l="1"/>
  <c r="F579" i="10"/>
  <c r="D579" i="10" s="1"/>
  <c r="E579" i="10" s="1"/>
  <c r="G579" i="10" s="1"/>
  <c r="K311" i="10"/>
  <c r="F580" i="10" l="1"/>
  <c r="D580" i="10" s="1"/>
  <c r="E580" i="10" s="1"/>
  <c r="G580" i="10" s="1"/>
  <c r="J312" i="10"/>
  <c r="I312" i="10"/>
  <c r="H312" i="10" l="1"/>
  <c r="F581" i="10"/>
  <c r="D581" i="10" s="1"/>
  <c r="E581" i="10" s="1"/>
  <c r="G581" i="10" s="1"/>
  <c r="K312" i="10"/>
  <c r="F582" i="10" l="1"/>
  <c r="D582" i="10" s="1"/>
  <c r="E582" i="10" s="1"/>
  <c r="G582" i="10" s="1"/>
  <c r="J313" i="10"/>
  <c r="I313" i="10"/>
  <c r="H313" i="10" l="1"/>
  <c r="F583" i="10"/>
  <c r="D583" i="10" s="1"/>
  <c r="E583" i="10" s="1"/>
  <c r="G583" i="10" s="1"/>
  <c r="K313" i="10"/>
  <c r="F584" i="10" l="1"/>
  <c r="D584" i="10" s="1"/>
  <c r="E584" i="10" s="1"/>
  <c r="G584" i="10" s="1"/>
  <c r="J314" i="10"/>
  <c r="I314" i="10"/>
  <c r="H314" i="10" l="1"/>
  <c r="F585" i="10"/>
  <c r="D585" i="10" s="1"/>
  <c r="E585" i="10" s="1"/>
  <c r="G585" i="10" s="1"/>
  <c r="K314" i="10"/>
  <c r="F586" i="10" l="1"/>
  <c r="D586" i="10" s="1"/>
  <c r="E586" i="10" s="1"/>
  <c r="G586" i="10" s="1"/>
  <c r="J315" i="10"/>
  <c r="I315" i="10"/>
  <c r="H315" i="10" l="1"/>
  <c r="F587" i="10"/>
  <c r="D587" i="10" s="1"/>
  <c r="E587" i="10" s="1"/>
  <c r="G587" i="10" s="1"/>
  <c r="K315" i="10"/>
  <c r="F588" i="10" l="1"/>
  <c r="D588" i="10" s="1"/>
  <c r="E588" i="10" s="1"/>
  <c r="G588" i="10" s="1"/>
  <c r="J316" i="10"/>
  <c r="I316" i="10"/>
  <c r="H316" i="10" l="1"/>
  <c r="F589" i="10"/>
  <c r="D589" i="10" s="1"/>
  <c r="E589" i="10" s="1"/>
  <c r="G589" i="10" s="1"/>
  <c r="K316" i="10"/>
  <c r="F590" i="10" l="1"/>
  <c r="D590" i="10" s="1"/>
  <c r="E590" i="10" s="1"/>
  <c r="G590" i="10" s="1"/>
  <c r="J317" i="10"/>
  <c r="I317" i="10"/>
  <c r="H317" i="10" l="1"/>
  <c r="F591" i="10"/>
  <c r="D591" i="10" s="1"/>
  <c r="E591" i="10" s="1"/>
  <c r="G591" i="10" s="1"/>
  <c r="K317" i="10"/>
  <c r="F592" i="10" l="1"/>
  <c r="D592" i="10" s="1"/>
  <c r="E592" i="10" s="1"/>
  <c r="G592" i="10" s="1"/>
  <c r="J318" i="10"/>
  <c r="I318" i="10"/>
  <c r="H318" i="10" l="1"/>
  <c r="F593" i="10"/>
  <c r="D593" i="10" s="1"/>
  <c r="E593" i="10" s="1"/>
  <c r="G593" i="10" s="1"/>
  <c r="K318" i="10"/>
  <c r="F594" i="10" l="1"/>
  <c r="D594" i="10" s="1"/>
  <c r="E594" i="10" s="1"/>
  <c r="G594" i="10" s="1"/>
  <c r="J319" i="10"/>
  <c r="I319" i="10"/>
  <c r="H319" i="10" l="1"/>
  <c r="F595" i="10"/>
  <c r="D595" i="10" s="1"/>
  <c r="E595" i="10" s="1"/>
  <c r="G595" i="10" s="1"/>
  <c r="K319" i="10"/>
  <c r="F596" i="10" l="1"/>
  <c r="D596" i="10" s="1"/>
  <c r="E596" i="10" s="1"/>
  <c r="G596" i="10" s="1"/>
  <c r="J320" i="10"/>
  <c r="I320" i="10"/>
  <c r="H320" i="10" l="1"/>
  <c r="F597" i="10"/>
  <c r="D597" i="10" s="1"/>
  <c r="E597" i="10" s="1"/>
  <c r="G597" i="10" s="1"/>
  <c r="K320" i="10"/>
  <c r="F598" i="10" l="1"/>
  <c r="D598" i="10" s="1"/>
  <c r="E598" i="10" s="1"/>
  <c r="G598" i="10" s="1"/>
  <c r="J321" i="10"/>
  <c r="I321" i="10"/>
  <c r="H321" i="10" l="1"/>
  <c r="F599" i="10"/>
  <c r="D599" i="10" s="1"/>
  <c r="E599" i="10" s="1"/>
  <c r="G599" i="10" s="1"/>
  <c r="K321" i="10"/>
  <c r="F600" i="10" l="1"/>
  <c r="D600" i="10" s="1"/>
  <c r="E600" i="10" s="1"/>
  <c r="G600" i="10" s="1"/>
  <c r="J322" i="10"/>
  <c r="I322" i="10"/>
  <c r="H322" i="10" l="1"/>
  <c r="F601" i="10"/>
  <c r="D601" i="10" s="1"/>
  <c r="E601" i="10" s="1"/>
  <c r="G601" i="10" s="1"/>
  <c r="K322" i="10"/>
  <c r="F602" i="10" l="1"/>
  <c r="D602" i="10" s="1"/>
  <c r="E602" i="10" s="1"/>
  <c r="G602" i="10" s="1"/>
  <c r="J323" i="10"/>
  <c r="I323" i="10"/>
  <c r="H323" i="10" l="1"/>
  <c r="F603" i="10"/>
  <c r="D603" i="10" s="1"/>
  <c r="E603" i="10" s="1"/>
  <c r="G603" i="10" s="1"/>
  <c r="K323" i="10"/>
  <c r="F604" i="10" l="1"/>
  <c r="D604" i="10" s="1"/>
  <c r="E604" i="10" s="1"/>
  <c r="G604" i="10" s="1"/>
  <c r="J324" i="10"/>
  <c r="I324" i="10"/>
  <c r="H324" i="10" l="1"/>
  <c r="F605" i="10"/>
  <c r="D605" i="10" s="1"/>
  <c r="E605" i="10" s="1"/>
  <c r="G605" i="10" s="1"/>
  <c r="K324" i="10"/>
  <c r="F606" i="10" l="1"/>
  <c r="D606" i="10" s="1"/>
  <c r="E606" i="10" s="1"/>
  <c r="G606" i="10" s="1"/>
  <c r="J325" i="10"/>
  <c r="I325" i="10"/>
  <c r="H325" i="10" l="1"/>
  <c r="F607" i="10"/>
  <c r="D607" i="10" s="1"/>
  <c r="E607" i="10" s="1"/>
  <c r="K325" i="10"/>
  <c r="E7" i="10" l="1"/>
  <c r="G607" i="10"/>
  <c r="F608" i="10" s="1"/>
  <c r="F7" i="10" s="1"/>
  <c r="J326" i="10"/>
  <c r="I326" i="10"/>
  <c r="H326" i="10" l="1"/>
  <c r="D7" i="10"/>
  <c r="K326" i="10"/>
  <c r="J327" i="10" l="1"/>
  <c r="I327" i="10"/>
  <c r="H327" i="10" l="1"/>
  <c r="K327" i="10"/>
  <c r="J328" i="10" l="1"/>
  <c r="I328" i="10"/>
  <c r="H328" i="10" l="1"/>
  <c r="K328" i="10"/>
  <c r="J329" i="10" l="1"/>
  <c r="I329" i="10"/>
  <c r="H329" i="10" l="1"/>
  <c r="K329" i="10"/>
  <c r="J330" i="10" l="1"/>
  <c r="I330" i="10"/>
  <c r="H330" i="10" l="1"/>
  <c r="K330" i="10"/>
  <c r="J331" i="10" l="1"/>
  <c r="I331" i="10"/>
  <c r="H331" i="10" l="1"/>
  <c r="K331" i="10"/>
  <c r="J332" i="10" l="1"/>
  <c r="I332" i="10"/>
  <c r="H332" i="10" l="1"/>
  <c r="K332" i="10"/>
  <c r="J333" i="10" l="1"/>
  <c r="I333" i="10"/>
  <c r="H333" i="10" l="1"/>
  <c r="K333" i="10"/>
  <c r="J334" i="10" l="1"/>
  <c r="I334" i="10"/>
  <c r="H334" i="10" l="1"/>
  <c r="K334" i="10"/>
  <c r="J335" i="10" l="1"/>
  <c r="I335" i="10"/>
  <c r="H335" i="10" l="1"/>
  <c r="K335" i="10"/>
  <c r="J336" i="10" l="1"/>
  <c r="I336" i="10"/>
  <c r="H336" i="10" l="1"/>
  <c r="K336" i="10"/>
  <c r="J337" i="10" l="1"/>
  <c r="I337" i="10"/>
  <c r="H337" i="10" l="1"/>
  <c r="K337" i="10"/>
  <c r="J338" i="10" l="1"/>
  <c r="I338" i="10"/>
  <c r="H338" i="10" l="1"/>
  <c r="K338" i="10"/>
  <c r="J339" i="10" l="1"/>
  <c r="I339" i="10"/>
  <c r="H339" i="10" l="1"/>
  <c r="K339" i="10"/>
  <c r="J340" i="10" l="1"/>
  <c r="I340" i="10"/>
  <c r="H340" i="10" l="1"/>
  <c r="K340" i="10"/>
  <c r="J341" i="10" l="1"/>
  <c r="I341" i="10"/>
  <c r="H341" i="10" l="1"/>
  <c r="K341" i="10"/>
  <c r="J342" i="10" l="1"/>
  <c r="I342" i="10"/>
  <c r="H342" i="10" l="1"/>
  <c r="K342" i="10"/>
  <c r="J343" i="10" l="1"/>
  <c r="I343" i="10"/>
  <c r="H343" i="10" l="1"/>
  <c r="K343" i="10"/>
  <c r="J344" i="10" l="1"/>
  <c r="I344" i="10"/>
  <c r="H344" i="10" l="1"/>
  <c r="K344" i="10"/>
  <c r="J345" i="10" l="1"/>
  <c r="I345" i="10"/>
  <c r="H345" i="10" l="1"/>
  <c r="K345" i="10"/>
  <c r="J346" i="10" l="1"/>
  <c r="I346" i="10"/>
  <c r="H346" i="10" l="1"/>
  <c r="K346" i="10"/>
  <c r="J347" i="10" l="1"/>
  <c r="I347" i="10"/>
  <c r="H347" i="10" l="1"/>
  <c r="K347" i="10"/>
  <c r="J348" i="10" l="1"/>
  <c r="I348" i="10"/>
  <c r="H348" i="10" l="1"/>
  <c r="K348" i="10"/>
  <c r="J349" i="10" l="1"/>
  <c r="I349" i="10"/>
  <c r="H349" i="10" l="1"/>
  <c r="K349" i="10"/>
  <c r="J350" i="10" l="1"/>
  <c r="I350" i="10"/>
  <c r="H350" i="10" l="1"/>
  <c r="K350" i="10"/>
  <c r="J351" i="10" l="1"/>
  <c r="I351" i="10"/>
  <c r="H351" i="10" l="1"/>
  <c r="K351" i="10"/>
  <c r="J352" i="10" l="1"/>
  <c r="I352" i="10"/>
  <c r="H352" i="10" l="1"/>
  <c r="K352" i="10"/>
  <c r="J353" i="10" l="1"/>
  <c r="I353" i="10"/>
  <c r="H353" i="10" l="1"/>
  <c r="K353" i="10"/>
  <c r="J354" i="10" l="1"/>
  <c r="I354" i="10"/>
  <c r="H354" i="10" l="1"/>
  <c r="K354" i="10"/>
  <c r="J355" i="10" l="1"/>
  <c r="I355" i="10"/>
  <c r="H355" i="10" l="1"/>
  <c r="K355" i="10"/>
  <c r="J356" i="10" l="1"/>
  <c r="I356" i="10"/>
  <c r="H356" i="10" l="1"/>
  <c r="K356" i="10"/>
  <c r="J357" i="10" l="1"/>
  <c r="I357" i="10"/>
  <c r="H357" i="10" l="1"/>
  <c r="K357" i="10"/>
  <c r="J358" i="10" l="1"/>
  <c r="I358" i="10"/>
  <c r="H358" i="10" l="1"/>
  <c r="K358" i="10"/>
  <c r="J359" i="10" l="1"/>
  <c r="I359" i="10"/>
  <c r="H359" i="10" l="1"/>
  <c r="K359" i="10"/>
  <c r="J360" i="10" l="1"/>
  <c r="I360" i="10"/>
  <c r="H360" i="10" l="1"/>
  <c r="K360" i="10"/>
  <c r="J361" i="10" l="1"/>
  <c r="I361" i="10"/>
  <c r="H361" i="10" l="1"/>
  <c r="K361" i="10"/>
  <c r="J362" i="10" l="1"/>
  <c r="I362" i="10"/>
  <c r="H362" i="10" l="1"/>
  <c r="K362" i="10"/>
  <c r="J363" i="10" l="1"/>
  <c r="I363" i="10"/>
  <c r="H363" i="10" l="1"/>
  <c r="K363" i="10"/>
  <c r="J364" i="10" l="1"/>
  <c r="I364" i="10"/>
  <c r="H364" i="10" l="1"/>
  <c r="K364" i="10"/>
  <c r="J365" i="10" l="1"/>
  <c r="I365" i="10"/>
  <c r="H365" i="10" l="1"/>
  <c r="K365" i="10"/>
  <c r="J366" i="10" l="1"/>
  <c r="I366" i="10"/>
  <c r="H366" i="10" l="1"/>
  <c r="K366" i="10"/>
  <c r="J367" i="10" l="1"/>
  <c r="I367" i="10"/>
  <c r="H367" i="10" l="1"/>
  <c r="K367" i="10"/>
  <c r="J368" i="10" l="1"/>
  <c r="I368" i="10"/>
  <c r="H368" i="10" l="1"/>
  <c r="K368" i="10"/>
  <c r="J369" i="10" l="1"/>
  <c r="I369" i="10"/>
  <c r="H369" i="10" l="1"/>
  <c r="K369" i="10"/>
  <c r="J370" i="10" l="1"/>
  <c r="I370" i="10"/>
  <c r="H370" i="10" l="1"/>
  <c r="K370" i="10"/>
  <c r="J371" i="10" l="1"/>
  <c r="I371" i="10"/>
  <c r="H371" i="10" l="1"/>
  <c r="K371" i="10"/>
  <c r="J372" i="10" l="1"/>
  <c r="I372" i="10"/>
  <c r="H372" i="10" l="1"/>
  <c r="K372" i="10"/>
  <c r="J373" i="10" l="1"/>
  <c r="I373" i="10"/>
  <c r="H373" i="10" l="1"/>
  <c r="K373" i="10"/>
  <c r="J374" i="10" l="1"/>
  <c r="I374" i="10"/>
  <c r="H374" i="10" l="1"/>
  <c r="K374" i="10"/>
  <c r="J375" i="10" l="1"/>
  <c r="I375" i="10"/>
  <c r="H375" i="10" l="1"/>
  <c r="K375" i="10"/>
  <c r="J376" i="10" l="1"/>
  <c r="I376" i="10"/>
  <c r="H376" i="10" l="1"/>
  <c r="K376" i="10"/>
  <c r="J377" i="10" l="1"/>
  <c r="I377" i="10"/>
  <c r="H377" i="10" l="1"/>
  <c r="K377" i="10"/>
  <c r="J378" i="10" l="1"/>
  <c r="I378" i="10"/>
  <c r="H378" i="10" l="1"/>
  <c r="K378" i="10"/>
  <c r="J379" i="10" l="1"/>
  <c r="I379" i="10"/>
  <c r="H379" i="10" l="1"/>
  <c r="K379" i="10"/>
  <c r="J380" i="10" l="1"/>
  <c r="I380" i="10"/>
  <c r="H380" i="10" l="1"/>
  <c r="K380" i="10"/>
  <c r="J381" i="10" l="1"/>
  <c r="I381" i="10"/>
  <c r="H381" i="10" l="1"/>
  <c r="K381" i="10"/>
  <c r="J382" i="10" l="1"/>
  <c r="I382" i="10"/>
  <c r="H382" i="10" l="1"/>
  <c r="K382" i="10"/>
  <c r="J383" i="10" l="1"/>
  <c r="I383" i="10"/>
  <c r="H383" i="10" l="1"/>
  <c r="K383" i="10"/>
  <c r="J384" i="10" l="1"/>
  <c r="I384" i="10"/>
  <c r="H384" i="10" l="1"/>
  <c r="K384" i="10"/>
  <c r="J385" i="10" l="1"/>
  <c r="I385" i="10"/>
  <c r="H385" i="10" l="1"/>
  <c r="K385" i="10"/>
  <c r="J386" i="10" l="1"/>
  <c r="I386" i="10"/>
  <c r="H386" i="10" l="1"/>
  <c r="K386" i="10"/>
  <c r="J387" i="10" l="1"/>
  <c r="I387" i="10"/>
  <c r="H387" i="10" l="1"/>
  <c r="K387" i="10"/>
  <c r="J388" i="10" l="1"/>
  <c r="I388" i="10"/>
  <c r="H388" i="10" l="1"/>
  <c r="K388" i="10"/>
  <c r="J389" i="10" l="1"/>
  <c r="I389" i="10"/>
  <c r="H389" i="10" l="1"/>
  <c r="K389" i="10"/>
  <c r="J390" i="10" l="1"/>
  <c r="I390" i="10"/>
  <c r="H390" i="10" l="1"/>
  <c r="K390" i="10"/>
  <c r="J391" i="10" l="1"/>
  <c r="I391" i="10"/>
  <c r="H391" i="10" l="1"/>
  <c r="K391" i="10"/>
  <c r="J392" i="10" l="1"/>
  <c r="I392" i="10"/>
  <c r="H392" i="10" l="1"/>
  <c r="K392" i="10"/>
  <c r="J393" i="10" l="1"/>
  <c r="I393" i="10"/>
  <c r="H393" i="10" l="1"/>
  <c r="K393" i="10"/>
  <c r="J394" i="10" l="1"/>
  <c r="I394" i="10"/>
  <c r="H394" i="10" l="1"/>
  <c r="K394" i="10"/>
  <c r="J395" i="10" l="1"/>
  <c r="I395" i="10"/>
  <c r="H395" i="10" l="1"/>
  <c r="K395" i="10"/>
  <c r="J396" i="10" l="1"/>
  <c r="I396" i="10"/>
  <c r="H396" i="10" l="1"/>
  <c r="K396" i="10"/>
  <c r="J397" i="10" l="1"/>
  <c r="I397" i="10"/>
  <c r="H397" i="10" l="1"/>
  <c r="K397" i="10"/>
  <c r="J398" i="10" l="1"/>
  <c r="I398" i="10"/>
  <c r="H398" i="10" l="1"/>
  <c r="K398" i="10"/>
  <c r="J399" i="10" l="1"/>
  <c r="I399" i="10"/>
  <c r="H399" i="10" l="1"/>
  <c r="K399" i="10"/>
  <c r="J400" i="10" l="1"/>
  <c r="I400" i="10"/>
  <c r="H400" i="10" l="1"/>
  <c r="K400" i="10"/>
  <c r="J401" i="10" l="1"/>
  <c r="I401" i="10"/>
  <c r="H401" i="10" l="1"/>
  <c r="K401" i="10"/>
  <c r="J402" i="10" l="1"/>
  <c r="I402" i="10"/>
  <c r="H402" i="10" l="1"/>
  <c r="K402" i="10"/>
  <c r="J403" i="10" l="1"/>
  <c r="I403" i="10"/>
  <c r="H403" i="10" l="1"/>
  <c r="K403" i="10"/>
  <c r="J404" i="10" l="1"/>
  <c r="I404" i="10"/>
  <c r="H404" i="10" l="1"/>
  <c r="K404" i="10"/>
  <c r="J405" i="10" l="1"/>
  <c r="I405" i="10"/>
  <c r="H405" i="10" l="1"/>
  <c r="K405" i="10"/>
  <c r="J406" i="10" l="1"/>
  <c r="I406" i="10"/>
  <c r="H406" i="10" l="1"/>
  <c r="K406" i="10"/>
  <c r="J407" i="10" l="1"/>
  <c r="I407" i="10"/>
  <c r="H407" i="10" l="1"/>
  <c r="K407" i="10"/>
  <c r="J408" i="10" l="1"/>
  <c r="I408" i="10"/>
  <c r="H408" i="10" l="1"/>
  <c r="K408" i="10"/>
  <c r="J409" i="10" l="1"/>
  <c r="I409" i="10"/>
  <c r="H409" i="10" l="1"/>
  <c r="K409" i="10"/>
  <c r="J410" i="10" l="1"/>
  <c r="I410" i="10"/>
  <c r="H410" i="10" l="1"/>
  <c r="K410" i="10"/>
  <c r="J411" i="10" l="1"/>
  <c r="I411" i="10"/>
  <c r="H411" i="10" l="1"/>
  <c r="K411" i="10"/>
  <c r="J412" i="10" l="1"/>
  <c r="I412" i="10"/>
  <c r="H412" i="10" l="1"/>
  <c r="K412" i="10"/>
  <c r="J413" i="10" l="1"/>
  <c r="I413" i="10"/>
  <c r="H413" i="10" l="1"/>
  <c r="K413" i="10"/>
  <c r="J414" i="10" l="1"/>
  <c r="I414" i="10"/>
  <c r="H414" i="10" l="1"/>
  <c r="K414" i="10"/>
  <c r="J415" i="10" l="1"/>
  <c r="I415" i="10"/>
  <c r="H415" i="10" l="1"/>
  <c r="K415" i="10"/>
  <c r="J416" i="10" l="1"/>
  <c r="I416" i="10"/>
  <c r="H416" i="10" l="1"/>
  <c r="K416" i="10"/>
  <c r="J417" i="10" l="1"/>
  <c r="I417" i="10"/>
  <c r="H417" i="10" l="1"/>
  <c r="K417" i="10"/>
  <c r="J418" i="10" l="1"/>
  <c r="I418" i="10"/>
  <c r="H418" i="10" l="1"/>
  <c r="K418" i="10"/>
  <c r="J419" i="10" l="1"/>
  <c r="I419" i="10"/>
  <c r="H419" i="10" l="1"/>
  <c r="K419" i="10"/>
  <c r="J420" i="10" l="1"/>
  <c r="I420" i="10"/>
  <c r="H420" i="10" l="1"/>
  <c r="K420" i="10"/>
  <c r="J421" i="10" l="1"/>
  <c r="I421" i="10"/>
  <c r="H421" i="10" l="1"/>
  <c r="K421" i="10"/>
  <c r="J422" i="10" l="1"/>
  <c r="I422" i="10"/>
  <c r="H422" i="10" l="1"/>
  <c r="K422" i="10"/>
  <c r="J423" i="10" l="1"/>
  <c r="I423" i="10"/>
  <c r="H423" i="10" l="1"/>
  <c r="K423" i="10"/>
  <c r="J424" i="10" l="1"/>
  <c r="I424" i="10"/>
  <c r="H424" i="10" l="1"/>
  <c r="K424" i="10"/>
  <c r="J425" i="10" l="1"/>
  <c r="I425" i="10"/>
  <c r="H425" i="10" l="1"/>
  <c r="K425" i="10"/>
  <c r="J426" i="10" l="1"/>
  <c r="I426" i="10"/>
  <c r="H426" i="10" l="1"/>
  <c r="K426" i="10"/>
  <c r="J427" i="10" l="1"/>
  <c r="I427" i="10"/>
  <c r="H427" i="10" l="1"/>
  <c r="K427" i="10"/>
  <c r="J428" i="10" l="1"/>
  <c r="I428" i="10"/>
  <c r="H428" i="10" l="1"/>
  <c r="K428" i="10"/>
  <c r="J429" i="10" l="1"/>
  <c r="I429" i="10"/>
  <c r="H429" i="10" l="1"/>
  <c r="K429" i="10"/>
  <c r="J430" i="10" l="1"/>
  <c r="I430" i="10"/>
  <c r="H430" i="10" l="1"/>
  <c r="K430" i="10"/>
  <c r="J431" i="10" l="1"/>
  <c r="I431" i="10"/>
  <c r="H431" i="10" l="1"/>
  <c r="K431" i="10"/>
  <c r="J432" i="10" l="1"/>
  <c r="I432" i="10"/>
  <c r="H432" i="10" l="1"/>
  <c r="K432" i="10"/>
  <c r="J433" i="10" l="1"/>
  <c r="I433" i="10"/>
  <c r="H433" i="10" l="1"/>
  <c r="K433" i="10"/>
  <c r="J434" i="10" l="1"/>
  <c r="I434" i="10"/>
  <c r="H434" i="10" l="1"/>
  <c r="K434" i="10"/>
  <c r="J435" i="10" l="1"/>
  <c r="I435" i="10"/>
  <c r="H435" i="10" l="1"/>
  <c r="K435" i="10"/>
  <c r="J436" i="10" l="1"/>
  <c r="I436" i="10"/>
  <c r="H436" i="10" l="1"/>
  <c r="K436" i="10"/>
  <c r="J437" i="10" l="1"/>
  <c r="I437" i="10"/>
  <c r="H437" i="10" l="1"/>
  <c r="K437" i="10"/>
  <c r="J438" i="10" l="1"/>
  <c r="I438" i="10"/>
  <c r="H438" i="10" l="1"/>
  <c r="K438" i="10"/>
  <c r="J439" i="10" l="1"/>
  <c r="I439" i="10"/>
  <c r="H439" i="10" l="1"/>
  <c r="K439" i="10"/>
  <c r="J440" i="10" l="1"/>
  <c r="I440" i="10"/>
  <c r="H440" i="10" l="1"/>
  <c r="K440" i="10"/>
  <c r="J441" i="10" l="1"/>
  <c r="I441" i="10"/>
  <c r="H441" i="10" l="1"/>
  <c r="K441" i="10"/>
  <c r="J442" i="10" l="1"/>
  <c r="I442" i="10"/>
  <c r="H442" i="10" l="1"/>
  <c r="K442" i="10"/>
  <c r="J443" i="10" l="1"/>
  <c r="I443" i="10"/>
  <c r="H443" i="10" l="1"/>
  <c r="K443" i="10"/>
  <c r="J444" i="10" l="1"/>
  <c r="I444" i="10"/>
  <c r="H444" i="10" l="1"/>
  <c r="K444" i="10"/>
  <c r="J445" i="10" l="1"/>
  <c r="I445" i="10"/>
  <c r="H445" i="10" l="1"/>
  <c r="K445" i="10"/>
  <c r="J446" i="10" l="1"/>
  <c r="I446" i="10"/>
  <c r="H446" i="10" l="1"/>
  <c r="K446" i="10"/>
  <c r="J447" i="10" l="1"/>
  <c r="I447" i="10"/>
  <c r="H447" i="10" l="1"/>
  <c r="K447" i="10"/>
  <c r="J448" i="10" l="1"/>
  <c r="I448" i="10"/>
  <c r="H448" i="10" l="1"/>
  <c r="K448" i="10"/>
  <c r="J449" i="10" l="1"/>
  <c r="I449" i="10"/>
  <c r="H449" i="10" l="1"/>
  <c r="K449" i="10"/>
  <c r="J450" i="10" l="1"/>
  <c r="I450" i="10"/>
  <c r="H450" i="10" l="1"/>
  <c r="K450" i="10"/>
  <c r="J451" i="10" l="1"/>
  <c r="I451" i="10"/>
  <c r="H451" i="10" l="1"/>
  <c r="K451" i="10"/>
  <c r="J452" i="10" l="1"/>
  <c r="I452" i="10"/>
  <c r="H452" i="10" l="1"/>
  <c r="K452" i="10"/>
  <c r="J453" i="10" l="1"/>
  <c r="I453" i="10"/>
  <c r="H453" i="10" l="1"/>
  <c r="K453" i="10"/>
  <c r="J454" i="10" l="1"/>
  <c r="I454" i="10"/>
  <c r="H454" i="10" l="1"/>
  <c r="K454" i="10"/>
  <c r="J455" i="10" l="1"/>
  <c r="I455" i="10"/>
  <c r="H455" i="10" l="1"/>
  <c r="K455" i="10"/>
  <c r="J456" i="10" l="1"/>
  <c r="I456" i="10"/>
  <c r="H456" i="10" l="1"/>
  <c r="K456" i="10"/>
  <c r="J457" i="10" l="1"/>
  <c r="I457" i="10"/>
  <c r="H457" i="10" l="1"/>
  <c r="K457" i="10"/>
  <c r="J458" i="10" l="1"/>
  <c r="I458" i="10"/>
  <c r="H458" i="10" l="1"/>
  <c r="K458" i="10"/>
  <c r="J459" i="10" l="1"/>
  <c r="I459" i="10"/>
  <c r="H459" i="10" l="1"/>
  <c r="K459" i="10"/>
  <c r="J460" i="10" l="1"/>
  <c r="I460" i="10"/>
  <c r="H460" i="10" l="1"/>
  <c r="K460" i="10"/>
  <c r="J461" i="10" l="1"/>
  <c r="I461" i="10"/>
  <c r="H461" i="10" l="1"/>
  <c r="K461" i="10"/>
  <c r="J462" i="10" l="1"/>
  <c r="I462" i="10"/>
  <c r="H462" i="10" l="1"/>
  <c r="K462" i="10"/>
  <c r="J463" i="10" l="1"/>
  <c r="I463" i="10"/>
  <c r="H463" i="10" l="1"/>
  <c r="K463" i="10"/>
  <c r="J464" i="10" l="1"/>
  <c r="I464" i="10"/>
  <c r="H464" i="10" l="1"/>
  <c r="K464" i="10"/>
  <c r="J465" i="10" l="1"/>
  <c r="I465" i="10"/>
  <c r="H465" i="10" l="1"/>
  <c r="K465" i="10"/>
  <c r="J466" i="10" l="1"/>
  <c r="I466" i="10"/>
  <c r="H466" i="10" l="1"/>
  <c r="K466" i="10"/>
  <c r="J467" i="10" l="1"/>
  <c r="I467" i="10"/>
  <c r="H467" i="10" l="1"/>
  <c r="K467" i="10"/>
  <c r="J468" i="10" l="1"/>
  <c r="I468" i="10"/>
  <c r="H468" i="10" l="1"/>
  <c r="K468" i="10"/>
  <c r="J469" i="10" l="1"/>
  <c r="I469" i="10"/>
  <c r="H469" i="10" l="1"/>
  <c r="K469" i="10"/>
  <c r="J470" i="10" l="1"/>
  <c r="I470" i="10"/>
  <c r="H470" i="10" l="1"/>
  <c r="K470" i="10"/>
  <c r="J471" i="10" l="1"/>
  <c r="I471" i="10"/>
  <c r="H471" i="10" l="1"/>
  <c r="K471" i="10"/>
  <c r="J472" i="10" l="1"/>
  <c r="I472" i="10"/>
  <c r="H472" i="10" l="1"/>
  <c r="K472" i="10"/>
  <c r="J473" i="10" l="1"/>
  <c r="I473" i="10"/>
  <c r="H473" i="10" l="1"/>
  <c r="K473" i="10"/>
  <c r="J474" i="10" l="1"/>
  <c r="I474" i="10"/>
  <c r="H474" i="10" l="1"/>
  <c r="K474" i="10"/>
  <c r="J475" i="10" l="1"/>
  <c r="I475" i="10"/>
  <c r="H475" i="10" l="1"/>
  <c r="K475" i="10"/>
  <c r="J476" i="10" l="1"/>
  <c r="I476" i="10"/>
  <c r="H476" i="10" l="1"/>
  <c r="K476" i="10"/>
  <c r="J477" i="10" l="1"/>
  <c r="I477" i="10"/>
  <c r="H477" i="10" l="1"/>
  <c r="K477" i="10"/>
  <c r="J478" i="10" l="1"/>
  <c r="I478" i="10"/>
  <c r="H478" i="10" l="1"/>
  <c r="K478" i="10"/>
  <c r="J479" i="10" l="1"/>
  <c r="I479" i="10"/>
  <c r="H479" i="10" l="1"/>
  <c r="K479" i="10"/>
  <c r="J480" i="10" l="1"/>
  <c r="I480" i="10"/>
  <c r="H480" i="10" l="1"/>
  <c r="K480" i="10"/>
  <c r="J481" i="10" l="1"/>
  <c r="I481" i="10"/>
  <c r="H481" i="10" l="1"/>
  <c r="K481" i="10"/>
  <c r="J482" i="10" l="1"/>
  <c r="I482" i="10"/>
  <c r="H482" i="10" l="1"/>
  <c r="K482" i="10"/>
  <c r="J483" i="10" l="1"/>
  <c r="I483" i="10"/>
  <c r="H483" i="10" l="1"/>
  <c r="K483" i="10"/>
  <c r="J484" i="10" l="1"/>
  <c r="I484" i="10"/>
  <c r="H484" i="10" l="1"/>
  <c r="K484" i="10"/>
  <c r="J485" i="10" l="1"/>
  <c r="I485" i="10"/>
  <c r="H485" i="10" l="1"/>
  <c r="K485" i="10"/>
  <c r="J486" i="10" l="1"/>
  <c r="I486" i="10"/>
  <c r="H486" i="10" l="1"/>
  <c r="K486" i="10"/>
  <c r="J487" i="10" l="1"/>
  <c r="I487" i="10"/>
  <c r="H487" i="10" l="1"/>
  <c r="K487" i="10"/>
  <c r="J488" i="10" l="1"/>
  <c r="I488" i="10"/>
  <c r="H488" i="10" l="1"/>
  <c r="K488" i="10"/>
  <c r="J489" i="10" l="1"/>
  <c r="I489" i="10"/>
  <c r="H489" i="10" l="1"/>
  <c r="K489" i="10"/>
  <c r="J490" i="10" l="1"/>
  <c r="I490" i="10"/>
  <c r="H490" i="10" l="1"/>
  <c r="K490" i="10"/>
  <c r="J491" i="10" l="1"/>
  <c r="I491" i="10"/>
  <c r="H491" i="10" l="1"/>
  <c r="K491" i="10"/>
  <c r="J492" i="10" l="1"/>
  <c r="I492" i="10"/>
  <c r="H492" i="10" l="1"/>
  <c r="K492" i="10"/>
  <c r="J493" i="10" l="1"/>
  <c r="I493" i="10"/>
  <c r="H493" i="10" l="1"/>
  <c r="K493" i="10"/>
  <c r="J494" i="10" l="1"/>
  <c r="I494" i="10"/>
  <c r="H494" i="10" l="1"/>
  <c r="K494" i="10"/>
  <c r="J495" i="10" l="1"/>
  <c r="I495" i="10"/>
  <c r="H495" i="10" l="1"/>
  <c r="K495" i="10"/>
  <c r="J496" i="10" l="1"/>
  <c r="I496" i="10"/>
  <c r="H496" i="10" l="1"/>
  <c r="K496" i="10"/>
  <c r="J497" i="10" l="1"/>
  <c r="I497" i="10"/>
  <c r="H497" i="10" l="1"/>
  <c r="K497" i="10"/>
  <c r="J498" i="10" l="1"/>
  <c r="I498" i="10"/>
  <c r="H498" i="10" l="1"/>
  <c r="K498" i="10"/>
  <c r="J499" i="10" l="1"/>
  <c r="I499" i="10"/>
  <c r="H499" i="10" l="1"/>
  <c r="K499" i="10"/>
  <c r="J500" i="10" l="1"/>
  <c r="I500" i="10"/>
  <c r="H500" i="10" l="1"/>
  <c r="K500" i="10"/>
  <c r="J501" i="10" l="1"/>
  <c r="I501" i="10"/>
  <c r="H501" i="10" l="1"/>
  <c r="K501" i="10"/>
  <c r="J502" i="10" l="1"/>
  <c r="I502" i="10"/>
  <c r="H502" i="10" l="1"/>
  <c r="K502" i="10"/>
  <c r="J503" i="10" l="1"/>
  <c r="I503" i="10"/>
  <c r="H503" i="10" l="1"/>
  <c r="K503" i="10"/>
  <c r="J504" i="10" l="1"/>
  <c r="I504" i="10"/>
  <c r="H504" i="10" l="1"/>
  <c r="K504" i="10"/>
  <c r="J505" i="10" l="1"/>
  <c r="I505" i="10"/>
  <c r="H505" i="10" l="1"/>
  <c r="K505" i="10"/>
  <c r="J506" i="10" l="1"/>
  <c r="I506" i="10"/>
  <c r="H506" i="10" l="1"/>
  <c r="K506" i="10"/>
  <c r="J507" i="10" l="1"/>
  <c r="I507" i="10"/>
  <c r="H507" i="10" l="1"/>
  <c r="K507" i="10"/>
  <c r="J508" i="10" l="1"/>
  <c r="I508" i="10"/>
  <c r="H508" i="10" l="1"/>
  <c r="K508" i="10"/>
  <c r="J509" i="10" l="1"/>
  <c r="I509" i="10"/>
  <c r="H509" i="10" l="1"/>
  <c r="K509" i="10"/>
  <c r="J510" i="10" l="1"/>
  <c r="I510" i="10"/>
  <c r="H510" i="10" l="1"/>
  <c r="K510" i="10"/>
  <c r="J511" i="10" l="1"/>
  <c r="I511" i="10"/>
  <c r="H511" i="10" l="1"/>
  <c r="K511" i="10"/>
  <c r="J512" i="10" l="1"/>
  <c r="I512" i="10"/>
  <c r="H512" i="10" l="1"/>
  <c r="K512" i="10"/>
  <c r="J513" i="10" l="1"/>
  <c r="I513" i="10"/>
  <c r="H513" i="10" l="1"/>
  <c r="K513" i="10"/>
  <c r="J514" i="10" l="1"/>
  <c r="I514" i="10"/>
  <c r="H514" i="10" l="1"/>
  <c r="K514" i="10"/>
  <c r="J515" i="10" l="1"/>
  <c r="I515" i="10"/>
  <c r="H515" i="10" l="1"/>
  <c r="K515" i="10"/>
  <c r="J516" i="10" l="1"/>
  <c r="I516" i="10"/>
  <c r="H516" i="10" l="1"/>
  <c r="K516" i="10"/>
  <c r="J517" i="10" l="1"/>
  <c r="I517" i="10"/>
  <c r="H517" i="10" l="1"/>
  <c r="K517" i="10"/>
  <c r="J518" i="10" l="1"/>
  <c r="I518" i="10"/>
  <c r="H518" i="10" l="1"/>
  <c r="K518" i="10"/>
  <c r="J519" i="10" l="1"/>
  <c r="I519" i="10"/>
  <c r="H519" i="10" l="1"/>
  <c r="K519" i="10"/>
  <c r="J520" i="10" l="1"/>
  <c r="I520" i="10"/>
  <c r="H520" i="10" l="1"/>
  <c r="K520" i="10"/>
  <c r="J521" i="10" l="1"/>
  <c r="I521" i="10"/>
  <c r="H521" i="10" l="1"/>
  <c r="K521" i="10"/>
  <c r="J522" i="10" l="1"/>
  <c r="I522" i="10"/>
  <c r="H522" i="10" l="1"/>
  <c r="K522" i="10"/>
  <c r="J523" i="10" l="1"/>
  <c r="I523" i="10"/>
  <c r="H523" i="10" l="1"/>
  <c r="K523" i="10"/>
  <c r="J524" i="10" l="1"/>
  <c r="I524" i="10"/>
  <c r="H524" i="10" l="1"/>
  <c r="K524" i="10"/>
  <c r="J525" i="10" l="1"/>
  <c r="I525" i="10"/>
  <c r="H525" i="10" l="1"/>
  <c r="K525" i="10"/>
  <c r="J526" i="10" l="1"/>
  <c r="I526" i="10"/>
  <c r="H526" i="10" l="1"/>
  <c r="K526" i="10"/>
  <c r="J527" i="10" l="1"/>
  <c r="I527" i="10"/>
  <c r="H527" i="10" l="1"/>
  <c r="K527" i="10"/>
  <c r="J528" i="10" l="1"/>
  <c r="I528" i="10"/>
  <c r="H528" i="10" l="1"/>
  <c r="K528" i="10"/>
  <c r="J529" i="10" l="1"/>
  <c r="I529" i="10"/>
  <c r="H529" i="10" l="1"/>
  <c r="K529" i="10"/>
  <c r="J530" i="10" l="1"/>
  <c r="I530" i="10"/>
  <c r="H530" i="10" l="1"/>
  <c r="K530" i="10"/>
  <c r="J531" i="10" l="1"/>
  <c r="I531" i="10"/>
  <c r="H531" i="10" l="1"/>
  <c r="K531" i="10"/>
  <c r="J532" i="10" l="1"/>
  <c r="I532" i="10"/>
  <c r="H532" i="10" l="1"/>
  <c r="K532" i="10"/>
  <c r="J533" i="10" l="1"/>
  <c r="I533" i="10"/>
  <c r="H533" i="10" l="1"/>
  <c r="K533" i="10"/>
  <c r="J534" i="10" l="1"/>
  <c r="I534" i="10"/>
  <c r="H534" i="10" l="1"/>
  <c r="K534" i="10"/>
  <c r="J535" i="10" l="1"/>
  <c r="I535" i="10"/>
  <c r="H535" i="10" l="1"/>
  <c r="K535" i="10"/>
  <c r="J536" i="10" l="1"/>
  <c r="I536" i="10"/>
  <c r="H536" i="10" l="1"/>
  <c r="K536" i="10"/>
  <c r="J537" i="10" l="1"/>
  <c r="I537" i="10"/>
  <c r="H537" i="10" l="1"/>
  <c r="K537" i="10"/>
  <c r="J538" i="10" l="1"/>
  <c r="I538" i="10"/>
  <c r="H538" i="10" l="1"/>
  <c r="K538" i="10"/>
  <c r="J539" i="10" l="1"/>
  <c r="I539" i="10"/>
  <c r="H539" i="10" l="1"/>
  <c r="K539" i="10"/>
  <c r="J540" i="10" l="1"/>
  <c r="I540" i="10"/>
  <c r="H540" i="10" l="1"/>
  <c r="K540" i="10"/>
  <c r="J541" i="10" l="1"/>
  <c r="I541" i="10"/>
  <c r="H541" i="10" l="1"/>
  <c r="K541" i="10"/>
  <c r="J542" i="10" l="1"/>
  <c r="I542" i="10"/>
  <c r="H542" i="10" l="1"/>
  <c r="K542" i="10"/>
  <c r="J543" i="10" l="1"/>
  <c r="I543" i="10"/>
  <c r="H543" i="10" l="1"/>
  <c r="K543" i="10"/>
  <c r="J544" i="10" l="1"/>
  <c r="I544" i="10"/>
  <c r="H544" i="10" l="1"/>
  <c r="K544" i="10"/>
  <c r="J545" i="10" l="1"/>
  <c r="I545" i="10"/>
  <c r="H545" i="10" l="1"/>
  <c r="K545" i="10"/>
  <c r="J546" i="10" l="1"/>
  <c r="I546" i="10"/>
  <c r="H546" i="10" l="1"/>
  <c r="K546" i="10"/>
  <c r="J547" i="10" l="1"/>
  <c r="I547" i="10"/>
  <c r="H547" i="10" l="1"/>
  <c r="K547" i="10"/>
  <c r="J548" i="10" l="1"/>
  <c r="I548" i="10"/>
  <c r="H548" i="10" l="1"/>
  <c r="K548" i="10"/>
  <c r="J549" i="10" l="1"/>
  <c r="I549" i="10"/>
  <c r="H549" i="10" l="1"/>
  <c r="K549" i="10"/>
  <c r="J550" i="10" l="1"/>
  <c r="I550" i="10"/>
  <c r="H550" i="10" l="1"/>
  <c r="K550" i="10"/>
  <c r="J551" i="10" l="1"/>
  <c r="I551" i="10"/>
  <c r="H551" i="10" l="1"/>
  <c r="K551" i="10"/>
  <c r="J552" i="10" l="1"/>
  <c r="I552" i="10"/>
  <c r="H552" i="10" l="1"/>
  <c r="K552" i="10"/>
  <c r="J553" i="10" l="1"/>
  <c r="I553" i="10"/>
  <c r="H553" i="10" l="1"/>
  <c r="K553" i="10"/>
  <c r="J554" i="10" l="1"/>
  <c r="I554" i="10"/>
  <c r="H554" i="10" l="1"/>
  <c r="K554" i="10"/>
  <c r="J555" i="10" l="1"/>
  <c r="I555" i="10"/>
  <c r="H555" i="10" l="1"/>
  <c r="K555" i="10"/>
  <c r="J556" i="10" l="1"/>
  <c r="I556" i="10"/>
  <c r="H556" i="10" l="1"/>
  <c r="K556" i="10"/>
  <c r="J557" i="10" l="1"/>
  <c r="I557" i="10"/>
  <c r="H557" i="10" l="1"/>
  <c r="K557" i="10"/>
  <c r="J558" i="10" l="1"/>
  <c r="I558" i="10"/>
  <c r="H558" i="10" l="1"/>
  <c r="K558" i="10"/>
  <c r="J559" i="10" l="1"/>
  <c r="I559" i="10"/>
  <c r="H559" i="10" l="1"/>
  <c r="K559" i="10"/>
  <c r="J560" i="10" l="1"/>
  <c r="I560" i="10"/>
  <c r="H560" i="10" l="1"/>
  <c r="K560" i="10"/>
  <c r="J561" i="10" l="1"/>
  <c r="I561" i="10"/>
  <c r="H561" i="10" l="1"/>
  <c r="K561" i="10"/>
  <c r="J562" i="10" l="1"/>
  <c r="I562" i="10"/>
  <c r="H562" i="10" l="1"/>
  <c r="K562" i="10"/>
  <c r="J563" i="10" l="1"/>
  <c r="I563" i="10"/>
  <c r="H563" i="10" l="1"/>
  <c r="K563" i="10"/>
  <c r="J564" i="10" l="1"/>
  <c r="I564" i="10"/>
  <c r="H564" i="10" l="1"/>
  <c r="K564" i="10"/>
  <c r="J565" i="10" l="1"/>
  <c r="I565" i="10"/>
  <c r="H565" i="10" l="1"/>
  <c r="K565" i="10"/>
  <c r="J566" i="10" l="1"/>
  <c r="I566" i="10"/>
  <c r="H566" i="10" l="1"/>
  <c r="K566" i="10"/>
  <c r="J567" i="10" l="1"/>
  <c r="I567" i="10"/>
  <c r="H567" i="10" l="1"/>
  <c r="K567" i="10"/>
  <c r="J568" i="10" l="1"/>
  <c r="I568" i="10"/>
  <c r="H568" i="10" l="1"/>
  <c r="K568" i="10"/>
  <c r="J569" i="10" l="1"/>
  <c r="I569" i="10"/>
  <c r="H569" i="10" l="1"/>
  <c r="K569" i="10"/>
  <c r="J570" i="10" l="1"/>
  <c r="I570" i="10"/>
  <c r="H570" i="10" l="1"/>
  <c r="K570" i="10"/>
  <c r="J571" i="10" l="1"/>
  <c r="I571" i="10"/>
  <c r="H571" i="10" l="1"/>
  <c r="K571" i="10"/>
  <c r="J572" i="10" l="1"/>
  <c r="I572" i="10"/>
  <c r="H572" i="10" l="1"/>
  <c r="K572" i="10"/>
  <c r="J573" i="10" l="1"/>
  <c r="I573" i="10"/>
  <c r="H573" i="10" l="1"/>
  <c r="K573" i="10"/>
  <c r="J574" i="10" l="1"/>
  <c r="I574" i="10"/>
  <c r="H574" i="10" l="1"/>
  <c r="K574" i="10"/>
  <c r="J575" i="10" l="1"/>
  <c r="I575" i="10"/>
  <c r="H575" i="10" l="1"/>
  <c r="K575" i="10"/>
  <c r="J576" i="10" l="1"/>
  <c r="I576" i="10"/>
  <c r="H576" i="10" l="1"/>
  <c r="K576" i="10"/>
  <c r="J577" i="10" l="1"/>
  <c r="I577" i="10"/>
  <c r="H577" i="10" l="1"/>
  <c r="K577" i="10"/>
  <c r="J578" i="10" l="1"/>
  <c r="I578" i="10"/>
  <c r="H578" i="10" l="1"/>
  <c r="K578" i="10"/>
  <c r="J579" i="10" l="1"/>
  <c r="I579" i="10"/>
  <c r="H579" i="10" l="1"/>
  <c r="K579" i="10"/>
  <c r="J580" i="10" l="1"/>
  <c r="I580" i="10"/>
  <c r="H580" i="10" l="1"/>
  <c r="K580" i="10"/>
  <c r="J581" i="10" l="1"/>
  <c r="I581" i="10"/>
  <c r="H581" i="10" l="1"/>
  <c r="K581" i="10"/>
  <c r="J582" i="10" l="1"/>
  <c r="I582" i="10"/>
  <c r="H582" i="10" l="1"/>
  <c r="K582" i="10"/>
  <c r="J583" i="10" l="1"/>
  <c r="I583" i="10"/>
  <c r="H583" i="10" l="1"/>
  <c r="K583" i="10"/>
  <c r="J584" i="10" l="1"/>
  <c r="I584" i="10"/>
  <c r="H584" i="10" l="1"/>
  <c r="K584" i="10"/>
  <c r="J585" i="10" l="1"/>
  <c r="I585" i="10"/>
  <c r="H585" i="10" l="1"/>
  <c r="K585" i="10"/>
  <c r="J586" i="10" l="1"/>
  <c r="I586" i="10"/>
  <c r="H586" i="10" l="1"/>
  <c r="K586" i="10"/>
  <c r="J587" i="10" l="1"/>
  <c r="I587" i="10"/>
  <c r="H587" i="10" l="1"/>
  <c r="K587" i="10"/>
  <c r="J588" i="10" l="1"/>
  <c r="I588" i="10"/>
  <c r="H588" i="10" l="1"/>
  <c r="K588" i="10"/>
  <c r="J589" i="10" l="1"/>
  <c r="I589" i="10"/>
  <c r="H589" i="10" l="1"/>
  <c r="K589" i="10"/>
  <c r="J590" i="10" l="1"/>
  <c r="I590" i="10"/>
  <c r="H590" i="10" l="1"/>
  <c r="K590" i="10"/>
  <c r="J591" i="10" l="1"/>
  <c r="I591" i="10"/>
  <c r="H591" i="10" l="1"/>
  <c r="K591" i="10"/>
  <c r="J592" i="10" l="1"/>
  <c r="I592" i="10"/>
  <c r="H592" i="10" l="1"/>
  <c r="K592" i="10"/>
  <c r="J593" i="10" l="1"/>
  <c r="I593" i="10"/>
  <c r="H593" i="10" l="1"/>
  <c r="K593" i="10"/>
  <c r="J594" i="10" l="1"/>
  <c r="I594" i="10"/>
  <c r="H594" i="10" l="1"/>
  <c r="K594" i="10"/>
  <c r="J595" i="10" l="1"/>
  <c r="I595" i="10"/>
  <c r="H595" i="10" l="1"/>
  <c r="K595" i="10"/>
  <c r="J596" i="10" l="1"/>
  <c r="I596" i="10"/>
  <c r="H596" i="10" l="1"/>
  <c r="K596" i="10"/>
  <c r="J597" i="10" l="1"/>
  <c r="I597" i="10"/>
  <c r="H597" i="10" l="1"/>
  <c r="K597" i="10"/>
  <c r="J598" i="10" l="1"/>
  <c r="I598" i="10"/>
  <c r="H598" i="10" l="1"/>
  <c r="K598" i="10"/>
  <c r="J599" i="10" l="1"/>
  <c r="I599" i="10"/>
  <c r="H599" i="10" l="1"/>
  <c r="K599" i="10"/>
  <c r="J600" i="10" l="1"/>
  <c r="I600" i="10"/>
  <c r="H600" i="10" l="1"/>
  <c r="K600" i="10"/>
  <c r="J601" i="10" l="1"/>
  <c r="I601" i="10"/>
  <c r="H601" i="10" l="1"/>
  <c r="K601" i="10"/>
  <c r="J602" i="10" l="1"/>
  <c r="I602" i="10"/>
  <c r="H602" i="10" l="1"/>
  <c r="K602" i="10"/>
  <c r="J603" i="10" l="1"/>
  <c r="I603" i="10"/>
  <c r="H603" i="10" l="1"/>
  <c r="K603" i="10"/>
  <c r="J604" i="10" l="1"/>
  <c r="I604" i="10"/>
  <c r="H604" i="10" l="1"/>
  <c r="K604" i="10"/>
  <c r="J605" i="10" l="1"/>
  <c r="I605" i="10"/>
  <c r="H605" i="10" l="1"/>
  <c r="K605" i="10"/>
  <c r="J606" i="10" l="1"/>
  <c r="I606" i="10"/>
  <c r="H606" i="10" l="1"/>
  <c r="K606" i="10"/>
  <c r="J607" i="10" l="1"/>
  <c r="J7" i="10" s="1"/>
  <c r="I607" i="10"/>
  <c r="H607" i="10" l="1"/>
  <c r="I7" i="10"/>
  <c r="H7" i="10" s="1"/>
  <c r="K607" i="10"/>
  <c r="F9" i="4" l="1"/>
  <c r="I9" i="4"/>
  <c r="I21" i="4" l="1"/>
  <c r="F21" i="4"/>
  <c r="I35" i="4"/>
  <c r="I26" i="4" s="1"/>
  <c r="I20" i="4"/>
  <c r="I19" i="4" s="1"/>
  <c r="F35" i="4"/>
  <c r="F26" i="4" s="1"/>
  <c r="F20" i="4"/>
  <c r="F19" i="4" s="1"/>
  <c r="I25" i="4"/>
  <c r="F25" i="4"/>
  <c r="I14" i="4"/>
  <c r="I13" i="4"/>
  <c r="F14" i="4"/>
  <c r="F13" i="4"/>
  <c r="O9" i="4"/>
  <c r="AA9" i="4"/>
  <c r="Z9" i="4"/>
  <c r="X9" i="4"/>
  <c r="I16" i="4"/>
  <c r="Q9" i="4"/>
  <c r="T9" i="4"/>
  <c r="N9" i="4"/>
  <c r="R9" i="4"/>
  <c r="K9" i="4"/>
  <c r="P9" i="4"/>
  <c r="Y9" i="4"/>
  <c r="L9" i="4"/>
  <c r="U9" i="4"/>
  <c r="G9" i="4"/>
  <c r="E9" i="4"/>
  <c r="M9" i="4"/>
  <c r="V9" i="4"/>
  <c r="S9" i="4"/>
  <c r="H9" i="4"/>
  <c r="J9" i="4"/>
  <c r="D9" i="4"/>
  <c r="D25" i="3"/>
  <c r="F16" i="4"/>
  <c r="W9" i="4"/>
  <c r="K21" i="4" l="1"/>
  <c r="T21" i="4"/>
  <c r="AA21" i="4"/>
  <c r="M21" i="4"/>
  <c r="U21" i="4"/>
  <c r="Q21" i="4"/>
  <c r="R21" i="4"/>
  <c r="E21" i="4"/>
  <c r="G21" i="4"/>
  <c r="J21" i="4"/>
  <c r="L21" i="4"/>
  <c r="V21" i="4"/>
  <c r="W21" i="4"/>
  <c r="O21" i="4"/>
  <c r="N21" i="4"/>
  <c r="H21" i="4"/>
  <c r="Y21" i="4"/>
  <c r="X21" i="4"/>
  <c r="S21" i="4"/>
  <c r="P21" i="4"/>
  <c r="Z21" i="4"/>
  <c r="D25" i="4"/>
  <c r="D21" i="4"/>
  <c r="U35" i="4"/>
  <c r="U26" i="4" s="1"/>
  <c r="U20" i="4"/>
  <c r="Q35" i="4"/>
  <c r="Q26" i="4" s="1"/>
  <c r="Q20" i="4"/>
  <c r="Y35" i="4"/>
  <c r="Y26" i="4" s="1"/>
  <c r="Y20" i="4"/>
  <c r="Y19" i="4" s="1"/>
  <c r="X35" i="4"/>
  <c r="X26" i="4" s="1"/>
  <c r="X20" i="4"/>
  <c r="X19" i="4" s="1"/>
  <c r="H35" i="4"/>
  <c r="H26" i="4" s="1"/>
  <c r="H20" i="4"/>
  <c r="S35" i="4"/>
  <c r="S26" i="4" s="1"/>
  <c r="S20" i="4"/>
  <c r="P35" i="4"/>
  <c r="P26" i="4" s="1"/>
  <c r="P20" i="4"/>
  <c r="P19" i="4" s="1"/>
  <c r="Z35" i="4"/>
  <c r="Z26" i="4" s="1"/>
  <c r="Z20" i="4"/>
  <c r="Z19" i="4" s="1"/>
  <c r="L35" i="4"/>
  <c r="L26" i="4" s="1"/>
  <c r="L20" i="4"/>
  <c r="V35" i="4"/>
  <c r="V26" i="4" s="1"/>
  <c r="V20" i="4"/>
  <c r="V19" i="4" s="1"/>
  <c r="K35" i="4"/>
  <c r="K26" i="4" s="1"/>
  <c r="K20" i="4"/>
  <c r="K19" i="4" s="1"/>
  <c r="AA35" i="4"/>
  <c r="AA26" i="4" s="1"/>
  <c r="AA20" i="4"/>
  <c r="AA19" i="4" s="1"/>
  <c r="J35" i="4"/>
  <c r="J26" i="4" s="1"/>
  <c r="J20" i="4"/>
  <c r="W35" i="4"/>
  <c r="W26" i="4" s="1"/>
  <c r="W20" i="4"/>
  <c r="W19" i="4" s="1"/>
  <c r="M35" i="4"/>
  <c r="M26" i="4" s="1"/>
  <c r="M20" i="4"/>
  <c r="M19" i="4" s="1"/>
  <c r="R35" i="4"/>
  <c r="R26" i="4" s="1"/>
  <c r="R20" i="4"/>
  <c r="R19" i="4" s="1"/>
  <c r="O35" i="4"/>
  <c r="O26" i="4" s="1"/>
  <c r="O20" i="4"/>
  <c r="E35" i="4"/>
  <c r="E26" i="4" s="1"/>
  <c r="E20" i="4"/>
  <c r="N35" i="4"/>
  <c r="N26" i="4" s="1"/>
  <c r="N20" i="4"/>
  <c r="G35" i="4"/>
  <c r="G26" i="4" s="1"/>
  <c r="G20" i="4"/>
  <c r="G19" i="4" s="1"/>
  <c r="T35" i="4"/>
  <c r="T26" i="4" s="1"/>
  <c r="T20" i="4"/>
  <c r="H25" i="4"/>
  <c r="Y25" i="4"/>
  <c r="X25" i="4"/>
  <c r="V25" i="4"/>
  <c r="U25" i="4"/>
  <c r="J25" i="4"/>
  <c r="P25" i="4"/>
  <c r="K25" i="4"/>
  <c r="AA25" i="4"/>
  <c r="W25" i="4"/>
  <c r="M25" i="4"/>
  <c r="R25" i="4"/>
  <c r="O25" i="4"/>
  <c r="L25" i="4"/>
  <c r="S25" i="4"/>
  <c r="Z25" i="4"/>
  <c r="E25" i="4"/>
  <c r="N25" i="4"/>
  <c r="Q25" i="4"/>
  <c r="G25" i="4"/>
  <c r="T25" i="4"/>
  <c r="H13" i="4"/>
  <c r="H14" i="4"/>
  <c r="U14" i="4"/>
  <c r="U13" i="4"/>
  <c r="T13" i="4"/>
  <c r="T14" i="4"/>
  <c r="Q14" i="4"/>
  <c r="Q13" i="4"/>
  <c r="J14" i="4"/>
  <c r="J13" i="4"/>
  <c r="L13" i="4"/>
  <c r="L14" i="4"/>
  <c r="X13" i="4"/>
  <c r="X14" i="4"/>
  <c r="S14" i="4"/>
  <c r="S13" i="4"/>
  <c r="Z14" i="4"/>
  <c r="Z13" i="4"/>
  <c r="V13" i="4"/>
  <c r="V14" i="4"/>
  <c r="K14" i="4"/>
  <c r="K13" i="4"/>
  <c r="AA14" i="4"/>
  <c r="AA13" i="4"/>
  <c r="G13" i="4"/>
  <c r="G14" i="4"/>
  <c r="D13" i="4"/>
  <c r="D14" i="4"/>
  <c r="Y14" i="4"/>
  <c r="Y13" i="4"/>
  <c r="P13" i="4"/>
  <c r="P14" i="4"/>
  <c r="W13" i="4"/>
  <c r="W14" i="4"/>
  <c r="M13" i="4"/>
  <c r="M14" i="4"/>
  <c r="R14" i="4"/>
  <c r="R13" i="4"/>
  <c r="O13" i="4"/>
  <c r="O14" i="4"/>
  <c r="E13" i="4"/>
  <c r="E14" i="4"/>
  <c r="N14" i="4"/>
  <c r="N13" i="4"/>
  <c r="D48" i="4"/>
  <c r="AB9" i="4"/>
  <c r="D51" i="4" s="1"/>
  <c r="D20" i="4"/>
  <c r="V16" i="4"/>
  <c r="M16" i="4"/>
  <c r="J16" i="4"/>
  <c r="E16" i="4"/>
  <c r="H16" i="4"/>
  <c r="R16" i="4"/>
  <c r="Q16" i="4"/>
  <c r="AA16" i="4"/>
  <c r="W16" i="4"/>
  <c r="D35" i="4"/>
  <c r="D16" i="4"/>
  <c r="F3" i="24"/>
  <c r="X16" i="4"/>
  <c r="S16" i="4"/>
  <c r="F11" i="24"/>
  <c r="P16" i="4"/>
  <c r="N16" i="4"/>
  <c r="U16" i="4"/>
  <c r="Y16" i="4"/>
  <c r="K16" i="4"/>
  <c r="Z16" i="4"/>
  <c r="O16" i="4"/>
  <c r="G16" i="4"/>
  <c r="L16" i="4"/>
  <c r="T16" i="4"/>
  <c r="T19" i="4" l="1"/>
  <c r="J19" i="4"/>
  <c r="O19" i="4"/>
  <c r="E19" i="4"/>
  <c r="Q19" i="4"/>
  <c r="H19" i="4"/>
  <c r="U19" i="4"/>
  <c r="N19" i="4"/>
  <c r="S19" i="4"/>
  <c r="AB21" i="4"/>
  <c r="L19" i="4"/>
  <c r="AB25" i="4"/>
  <c r="AB13" i="4"/>
  <c r="AB35" i="4"/>
  <c r="AB14" i="4"/>
  <c r="AB16" i="4"/>
  <c r="AB12" i="4"/>
  <c r="AB20" i="4"/>
  <c r="D19" i="4"/>
  <c r="D26" i="4"/>
  <c r="AB26" i="4" s="1"/>
  <c r="F5" i="24"/>
  <c r="F7" i="24" s="1"/>
  <c r="F8" i="24" s="1"/>
  <c r="F10" i="28" s="1"/>
  <c r="F13" i="24"/>
  <c r="F15" i="24" s="1"/>
  <c r="F16" i="24" s="1"/>
  <c r="AB19" i="4" l="1"/>
  <c r="R18" i="4"/>
  <c r="J18" i="4"/>
  <c r="Q18" i="4"/>
  <c r="W18" i="4"/>
  <c r="S18" i="4"/>
  <c r="P18" i="4"/>
  <c r="Y18" i="4"/>
  <c r="T18" i="4"/>
  <c r="O18" i="4"/>
  <c r="D18" i="4"/>
  <c r="H18" i="4"/>
  <c r="AA18" i="4"/>
  <c r="K18" i="4"/>
  <c r="N18" i="4"/>
  <c r="I18" i="4"/>
  <c r="G18" i="4"/>
  <c r="M18" i="4"/>
  <c r="F18" i="4"/>
  <c r="E18" i="4"/>
  <c r="Z18" i="4"/>
  <c r="X18" i="4"/>
  <c r="L18" i="4"/>
  <c r="V18" i="4"/>
  <c r="U18" i="4"/>
  <c r="AB18" i="4" l="1"/>
  <c r="I42" i="4"/>
  <c r="I45" i="4" s="1"/>
  <c r="I15" i="4"/>
  <c r="I41" i="4" s="1"/>
  <c r="U42" i="4"/>
  <c r="U45" i="4" s="1"/>
  <c r="U15" i="4"/>
  <c r="U41" i="4" s="1"/>
  <c r="V42" i="4"/>
  <c r="V45" i="4" s="1"/>
  <c r="V15" i="4"/>
  <c r="V41" i="4" s="1"/>
  <c r="L42" i="4"/>
  <c r="L45" i="4" s="1"/>
  <c r="L15" i="4"/>
  <c r="L41" i="4" s="1"/>
  <c r="E42" i="4"/>
  <c r="E45" i="4" s="1"/>
  <c r="E15" i="4"/>
  <c r="E41" i="4" s="1"/>
  <c r="T42" i="4"/>
  <c r="T45" i="4" s="1"/>
  <c r="T15" i="4"/>
  <c r="T41" i="4" s="1"/>
  <c r="N42" i="4"/>
  <c r="N45" i="4" s="1"/>
  <c r="N15" i="4"/>
  <c r="N41" i="4" s="1"/>
  <c r="X42" i="4"/>
  <c r="X45" i="4" s="1"/>
  <c r="X15" i="4"/>
  <c r="X41" i="4" s="1"/>
  <c r="K42" i="4"/>
  <c r="K45" i="4" s="1"/>
  <c r="K15" i="4"/>
  <c r="K41" i="4" s="1"/>
  <c r="W42" i="4"/>
  <c r="W45" i="4" s="1"/>
  <c r="W15" i="4"/>
  <c r="W41" i="4" s="1"/>
  <c r="Q42" i="4"/>
  <c r="Q45" i="4" s="1"/>
  <c r="Q15" i="4"/>
  <c r="Q41" i="4" s="1"/>
  <c r="J42" i="4"/>
  <c r="J45" i="4" s="1"/>
  <c r="J15" i="4"/>
  <c r="J41" i="4" s="1"/>
  <c r="G42" i="4"/>
  <c r="G45" i="4" s="1"/>
  <c r="G15" i="4"/>
  <c r="G41" i="4" s="1"/>
  <c r="Y42" i="4"/>
  <c r="Y45" i="4" s="1"/>
  <c r="Y15" i="4"/>
  <c r="Y41" i="4" s="1"/>
  <c r="P42" i="4"/>
  <c r="P45" i="4" s="1"/>
  <c r="P15" i="4"/>
  <c r="P41" i="4" s="1"/>
  <c r="S42" i="4"/>
  <c r="S45" i="4" s="1"/>
  <c r="S15" i="4"/>
  <c r="S41" i="4" s="1"/>
  <c r="Z42" i="4"/>
  <c r="Z45" i="4" s="1"/>
  <c r="Z15" i="4"/>
  <c r="Z41" i="4" s="1"/>
  <c r="AA42" i="4"/>
  <c r="AA45" i="4" s="1"/>
  <c r="AA15" i="4"/>
  <c r="AA41" i="4" s="1"/>
  <c r="H42" i="4"/>
  <c r="H45" i="4" s="1"/>
  <c r="H15" i="4"/>
  <c r="H41" i="4" s="1"/>
  <c r="F42" i="4"/>
  <c r="F45" i="4" s="1"/>
  <c r="F15" i="4"/>
  <c r="F41" i="4" s="1"/>
  <c r="D42" i="4"/>
  <c r="D45" i="4" s="1"/>
  <c r="D15" i="4"/>
  <c r="D41" i="4" s="1"/>
  <c r="M42" i="4"/>
  <c r="M45" i="4" s="1"/>
  <c r="M15" i="4"/>
  <c r="M41" i="4" s="1"/>
  <c r="O42" i="4"/>
  <c r="O45" i="4" s="1"/>
  <c r="O15" i="4"/>
  <c r="O41" i="4" s="1"/>
  <c r="R42" i="4"/>
  <c r="R45" i="4" s="1"/>
  <c r="R15" i="4"/>
  <c r="R41" i="4" s="1"/>
  <c r="AB15" i="4" l="1"/>
  <c r="F43" i="4"/>
  <c r="F23" i="4" s="1"/>
  <c r="F10" i="4" s="1"/>
  <c r="S43" i="4"/>
  <c r="S23" i="4" s="1"/>
  <c r="S10" i="4" s="1"/>
  <c r="J43" i="4"/>
  <c r="J23" i="4" s="1"/>
  <c r="J10" i="4" s="1"/>
  <c r="X43" i="4"/>
  <c r="X23" i="4" s="1"/>
  <c r="X10" i="4" s="1"/>
  <c r="L43" i="4"/>
  <c r="L23" i="4" s="1"/>
  <c r="L10" i="4" s="1"/>
  <c r="H43" i="4"/>
  <c r="H23" i="4" s="1"/>
  <c r="P43" i="4"/>
  <c r="P23" i="4" s="1"/>
  <c r="Q43" i="4"/>
  <c r="Q23" i="4" s="1"/>
  <c r="N43" i="4"/>
  <c r="N23" i="4" s="1"/>
  <c r="V43" i="4"/>
  <c r="V23" i="4" s="1"/>
  <c r="R43" i="4"/>
  <c r="R23" i="4" s="1"/>
  <c r="O43" i="4"/>
  <c r="O23" i="4" s="1"/>
  <c r="AA43" i="4"/>
  <c r="AA23" i="4" s="1"/>
  <c r="Y43" i="4"/>
  <c r="Y23" i="4" s="1"/>
  <c r="W43" i="4"/>
  <c r="W23" i="4" s="1"/>
  <c r="T43" i="4"/>
  <c r="T23" i="4" s="1"/>
  <c r="T10" i="4" s="1"/>
  <c r="U43" i="4"/>
  <c r="U23" i="4" s="1"/>
  <c r="U10" i="4" s="1"/>
  <c r="M43" i="4"/>
  <c r="M23" i="4" s="1"/>
  <c r="D43" i="4"/>
  <c r="D23" i="4" s="1"/>
  <c r="D10" i="4" s="1"/>
  <c r="Z43" i="4"/>
  <c r="Z23" i="4" s="1"/>
  <c r="G43" i="4"/>
  <c r="G23" i="4" s="1"/>
  <c r="K43" i="4"/>
  <c r="K23" i="4" s="1"/>
  <c r="E43" i="4"/>
  <c r="E23" i="4" s="1"/>
  <c r="E10" i="4" s="1"/>
  <c r="I43" i="4"/>
  <c r="I23" i="4" s="1"/>
  <c r="I10" i="4" s="1"/>
  <c r="L37" i="4" l="1"/>
  <c r="K10" i="4"/>
  <c r="K37" i="4" s="1"/>
  <c r="W10" i="4"/>
  <c r="W37" i="4" s="1"/>
  <c r="X37" i="4"/>
  <c r="G10" i="4"/>
  <c r="G37" i="4" s="1"/>
  <c r="Y10" i="4"/>
  <c r="Y37" i="4" s="1"/>
  <c r="J37" i="4"/>
  <c r="Z10" i="4"/>
  <c r="Z37" i="4" s="1"/>
  <c r="AA10" i="4"/>
  <c r="AA37" i="4" s="1"/>
  <c r="S37" i="4"/>
  <c r="R10" i="4"/>
  <c r="R37" i="4" s="1"/>
  <c r="M10" i="4"/>
  <c r="M37" i="4" s="1"/>
  <c r="E37" i="4"/>
  <c r="U37" i="4"/>
  <c r="F37" i="4"/>
  <c r="H10" i="4"/>
  <c r="H37" i="4" s="1"/>
  <c r="O10" i="4"/>
  <c r="O37" i="4" s="1"/>
  <c r="V10" i="4"/>
  <c r="V37" i="4" s="1"/>
  <c r="I37" i="4"/>
  <c r="T37" i="4"/>
  <c r="N10" i="4"/>
  <c r="N37" i="4" s="1"/>
  <c r="Q10" i="4"/>
  <c r="Q37" i="4" s="1"/>
  <c r="P10" i="4"/>
  <c r="P37" i="4" s="1"/>
  <c r="AB23" i="4"/>
  <c r="AB10" i="4" l="1"/>
  <c r="D37" i="4"/>
  <c r="D38" i="4" s="1"/>
  <c r="D49" i="4" l="1"/>
  <c r="AB37" i="4"/>
  <c r="D52" i="4" s="1"/>
  <c r="D39" i="4"/>
  <c r="E38" i="4"/>
  <c r="F38" i="4" s="1"/>
  <c r="G38" i="4" s="1"/>
  <c r="H38" i="4" s="1"/>
  <c r="I38" i="4" s="1"/>
  <c r="J38" i="4" s="1"/>
  <c r="K38" i="4" s="1"/>
  <c r="L38" i="4" s="1"/>
  <c r="M38" i="4" s="1"/>
  <c r="N38" i="4" s="1"/>
  <c r="O38" i="4" s="1"/>
  <c r="P38" i="4" s="1"/>
  <c r="Q38" i="4" s="1"/>
  <c r="R38" i="4" s="1"/>
  <c r="S38" i="4" s="1"/>
  <c r="T38" i="4" s="1"/>
  <c r="U38" i="4" s="1"/>
  <c r="V38" i="4" s="1"/>
  <c r="W38" i="4" s="1"/>
  <c r="X38" i="4" s="1"/>
  <c r="Y38" i="4" s="1"/>
  <c r="Z38" i="4" s="1"/>
  <c r="AA38" i="4" s="1"/>
  <c r="D53" i="4" l="1"/>
  <c r="E39" i="4"/>
  <c r="D40" i="4"/>
  <c r="F39" i="4" l="1"/>
  <c r="E40" i="4"/>
  <c r="G39" i="4" l="1"/>
  <c r="F40" i="4"/>
  <c r="G40" i="4" l="1"/>
  <c r="H39" i="4"/>
  <c r="H40" i="4" l="1"/>
  <c r="I39" i="4"/>
  <c r="I40" i="4" l="1"/>
  <c r="J39" i="4"/>
  <c r="K39" i="4" l="1"/>
  <c r="J40" i="4"/>
  <c r="L39" i="4" l="1"/>
  <c r="K40" i="4"/>
  <c r="M39" i="4" l="1"/>
  <c r="L40" i="4"/>
  <c r="N39" i="4" l="1"/>
  <c r="M40" i="4"/>
  <c r="N40" i="4" l="1"/>
  <c r="O39" i="4"/>
  <c r="O40" i="4" l="1"/>
  <c r="P39" i="4"/>
  <c r="P40" i="4" l="1"/>
  <c r="Q39" i="4"/>
  <c r="R39" i="4" l="1"/>
  <c r="Q40" i="4"/>
  <c r="S39" i="4" l="1"/>
  <c r="R40" i="4"/>
  <c r="T39" i="4" l="1"/>
  <c r="S40" i="4"/>
  <c r="T40" i="4" l="1"/>
  <c r="U39" i="4"/>
  <c r="V39" i="4" l="1"/>
  <c r="U40" i="4"/>
  <c r="V40" i="4" l="1"/>
  <c r="W39" i="4"/>
  <c r="W40" i="4" l="1"/>
  <c r="X39" i="4"/>
  <c r="X40" i="4" l="1"/>
  <c r="Y39" i="4"/>
  <c r="Z39" i="4" l="1"/>
  <c r="Y40" i="4"/>
  <c r="AA39" i="4" l="1"/>
  <c r="Z40" i="4"/>
  <c r="AA40" i="4" l="1"/>
  <c r="D50" i="4" l="1"/>
</calcChain>
</file>

<file path=xl/sharedStrings.xml><?xml version="1.0" encoding="utf-8"?>
<sst xmlns="http://schemas.openxmlformats.org/spreadsheetml/2006/main" count="264" uniqueCount="213">
  <si>
    <t>Значение</t>
  </si>
  <si>
    <t>Окупаемость (в месяцах)</t>
  </si>
  <si>
    <t>Итого</t>
  </si>
  <si>
    <t>редактируемая ячейка</t>
  </si>
  <si>
    <t>автоматическое заполнение</t>
  </si>
  <si>
    <t>РЕЗУЛЬТАТ</t>
  </si>
  <si>
    <t>Средняя чистая ежемесячная прибыль</t>
  </si>
  <si>
    <t>Чистая прибыль</t>
  </si>
  <si>
    <t>Чистая прибыль нарастающим итогом</t>
  </si>
  <si>
    <t>Выручка</t>
  </si>
  <si>
    <t>Сумма кредита</t>
  </si>
  <si>
    <t>Сумма займа</t>
  </si>
  <si>
    <t>Ставка, % годовых</t>
  </si>
  <si>
    <t>Срок кредита, месяцы</t>
  </si>
  <si>
    <t>Дата выдачи кредита</t>
  </si>
  <si>
    <t>Номер платежа</t>
  </si>
  <si>
    <t>Месяц, год</t>
  </si>
  <si>
    <t>Дата платежа</t>
  </si>
  <si>
    <t>Аннуитетный платеж</t>
  </si>
  <si>
    <t>Дифференцированный платеж</t>
  </si>
  <si>
    <t>Досрочный возврат</t>
  </si>
  <si>
    <t>Сумма</t>
  </si>
  <si>
    <t>В погашение долга</t>
  </si>
  <si>
    <t>В погашение процентов</t>
  </si>
  <si>
    <t>Остаток долга после платежа</t>
  </si>
  <si>
    <t>Уменьшение платежа</t>
  </si>
  <si>
    <t>Уменьшение срока</t>
  </si>
  <si>
    <t>Всего:</t>
  </si>
  <si>
    <t>Ставка по кредиту</t>
  </si>
  <si>
    <t>Всего</t>
  </si>
  <si>
    <t>Ежемесячные выплаты по кредиту</t>
  </si>
  <si>
    <t>Параметр</t>
  </si>
  <si>
    <t>Месяц</t>
  </si>
  <si>
    <t>Оклад</t>
  </si>
  <si>
    <t>мес.</t>
  </si>
  <si>
    <t>Месяц начала работы</t>
  </si>
  <si>
    <t>Цветовые обозначения:</t>
  </si>
  <si>
    <t>Срок кредита</t>
  </si>
  <si>
    <t xml:space="preserve">Подготовка помещения </t>
  </si>
  <si>
    <t>Период окупаемости, месяц</t>
  </si>
  <si>
    <t>Рентабельность по чистой прибыли</t>
  </si>
  <si>
    <t>Этапы запуска франшизы. Действия франчайзи</t>
  </si>
  <si>
    <t>Этапы</t>
  </si>
  <si>
    <t xml:space="preserve"> Дней до задачи</t>
  </si>
  <si>
    <t xml:space="preserve"> Дней на задачу</t>
  </si>
  <si>
    <t>Паушальный взнос</t>
  </si>
  <si>
    <t>Страховые взносы за сотрудников</t>
  </si>
  <si>
    <t>от оф. оклада</t>
  </si>
  <si>
    <t>Средняя ежемесячная выручка</t>
  </si>
  <si>
    <t>Кол-во</t>
  </si>
  <si>
    <t>Налоги</t>
  </si>
  <si>
    <t>Чистая прибыль нарастающим итогом за вычетом инвестиционных затрат</t>
  </si>
  <si>
    <t>Ежемесячные затраты, в том числе:</t>
  </si>
  <si>
    <t>Выберите из раскрывающегося списка</t>
  </si>
  <si>
    <t>При необходимости</t>
  </si>
  <si>
    <t>Прочие</t>
  </si>
  <si>
    <t>ФОТ управленческого персонала</t>
  </si>
  <si>
    <t>Выберите организационно-правовую форму</t>
  </si>
  <si>
    <t>ИП</t>
  </si>
  <si>
    <t>ООО</t>
  </si>
  <si>
    <t>Страховые взносы за ИП</t>
  </si>
  <si>
    <t>Страховые взносы</t>
  </si>
  <si>
    <t>Номер месяца</t>
  </si>
  <si>
    <t>Сезонность</t>
  </si>
  <si>
    <t>ОПФ</t>
  </si>
  <si>
    <t>Затраты на рег.</t>
  </si>
  <si>
    <t>Варианты</t>
  </si>
  <si>
    <t>1 год</t>
  </si>
  <si>
    <t>Выручка 1 год</t>
  </si>
  <si>
    <t>Выручка 2 год</t>
  </si>
  <si>
    <t>2 год</t>
  </si>
  <si>
    <t>Если выр. менее 300 тыс.</t>
  </si>
  <si>
    <t>Если выр. более 300 тыс.</t>
  </si>
  <si>
    <t>Взнос за ИП за 1 год</t>
  </si>
  <si>
    <t>Взнос в мес.</t>
  </si>
  <si>
    <t>Взнос за ИП за 2 год</t>
  </si>
  <si>
    <t>Доходы-расходы (для УСН (Д-Р))</t>
  </si>
  <si>
    <t xml:space="preserve">Расчет вычета страховых взносов для УСН (Д) </t>
  </si>
  <si>
    <t>ЗАТРАТЫ НА ОРГАНИЗАЦИЮ БИЗНЕСА</t>
  </si>
  <si>
    <t>ПРОДАЖИ</t>
  </si>
  <si>
    <t>Привлечение заемных средств</t>
  </si>
  <si>
    <t>собственник франшизы</t>
  </si>
  <si>
    <t>наёмный сотрудник</t>
  </si>
  <si>
    <t>Страховые взносы для ИП</t>
  </si>
  <si>
    <t>Выход на плановые показатели по продажам</t>
  </si>
  <si>
    <t>Расчет УСН (Д) 6%</t>
  </si>
  <si>
    <t>в мес.</t>
  </si>
  <si>
    <t>УСН (Д-Р) 15%</t>
  </si>
  <si>
    <t>Выберите систему налогообложения</t>
  </si>
  <si>
    <t>Роялти</t>
  </si>
  <si>
    <t>ФОТ персонала</t>
  </si>
  <si>
    <t>Ставка аренды за квадратный метр в месяц</t>
  </si>
  <si>
    <t>ЕЖЕМЕСЯЧНЫЕ РАСХОДЫ</t>
  </si>
  <si>
    <t>ОСНОВНЫЕ ДАННЫЕ</t>
  </si>
  <si>
    <t>№ месяца</t>
  </si>
  <si>
    <t>Управляющий</t>
  </si>
  <si>
    <t xml:space="preserve">Прочие </t>
  </si>
  <si>
    <t>ПРИБЫЛЬ</t>
  </si>
  <si>
    <t>Пауш. взнос</t>
  </si>
  <si>
    <t>укажите стоимость за кв. м:</t>
  </si>
  <si>
    <t>взнос в фикс. взнос ОМС</t>
  </si>
  <si>
    <t>от оф. оклада:</t>
  </si>
  <si>
    <t xml:space="preserve">Выручка </t>
  </si>
  <si>
    <t>Поиск персонала</t>
  </si>
  <si>
    <t>Выход на плановые показатели продаж через</t>
  </si>
  <si>
    <t>Загруженность в 1-й месяц</t>
  </si>
  <si>
    <t>Рост после достижения 100% загрузки</t>
  </si>
  <si>
    <t>от плановой</t>
  </si>
  <si>
    <t>Выход на плановые показатели продаж</t>
  </si>
  <si>
    <t>Выручка в день</t>
  </si>
  <si>
    <r>
      <t>Инвестзатраты</t>
    </r>
    <r>
      <rPr>
        <b/>
        <sz val="12"/>
        <rFont val="Times New Roman"/>
        <family val="1"/>
        <charset val="204"/>
      </rPr>
      <t xml:space="preserve"> </t>
    </r>
  </si>
  <si>
    <t>Обучение персонала</t>
  </si>
  <si>
    <t>Стоимость ед.</t>
  </si>
  <si>
    <t xml:space="preserve">Маркетинг </t>
  </si>
  <si>
    <t>Открытие точки, старт работы</t>
  </si>
  <si>
    <t>Формат</t>
  </si>
  <si>
    <t>Премия</t>
  </si>
  <si>
    <t>Заключение договора франчайзинга, подписание договора</t>
  </si>
  <si>
    <t>Заказ, доставка и монтаж оборудования и мебели</t>
  </si>
  <si>
    <r>
      <t>Дизайн-проект (</t>
    </r>
    <r>
      <rPr>
        <sz val="12"/>
        <color rgb="FF000000"/>
        <rFont val="Times New Roman"/>
        <family val="1"/>
        <charset val="204"/>
      </rPr>
      <t>при необходимости)</t>
    </r>
  </si>
  <si>
    <t>Средний чек</t>
  </si>
  <si>
    <t>Дней в месяц</t>
  </si>
  <si>
    <t>Реклама</t>
  </si>
  <si>
    <t>ФИНАНСОВАЯ МОДЕЛЬ 
ПО ФРАНШИЗЕ</t>
  </si>
  <si>
    <t xml:space="preserve">Календарный план выполнения 
работ по франшизе </t>
  </si>
  <si>
    <t>Инвестиции на организацию 
бизнеса по франшизе</t>
  </si>
  <si>
    <t xml:space="preserve">Ежемесячные расходы
по франшизе </t>
  </si>
  <si>
    <t>План продаж 
по франшизе</t>
  </si>
  <si>
    <t>Прибыль 
по франшизе</t>
  </si>
  <si>
    <t>Структура продаж</t>
  </si>
  <si>
    <t>Хозяйственные и канцелярские принадлежности</t>
  </si>
  <si>
    <t>Связь и интернет</t>
  </si>
  <si>
    <t>Доля в выручке</t>
  </si>
  <si>
    <t>комиссия банка:</t>
  </si>
  <si>
    <t>Количество продаж в месяц</t>
  </si>
  <si>
    <t>Эквайринг</t>
  </si>
  <si>
    <t>от стоимости товара:</t>
  </si>
  <si>
    <t>Непредвиденные расходы</t>
  </si>
  <si>
    <t>Аренда</t>
  </si>
  <si>
    <t>Патент</t>
  </si>
  <si>
    <t>Формирование первичных запасов товара и расходных материалов</t>
  </si>
  <si>
    <t>Бухгалтерские услуги</t>
  </si>
  <si>
    <t>Выберите формат франшизы</t>
  </si>
  <si>
    <t>Выберите численность населения</t>
  </si>
  <si>
    <t>Численность</t>
  </si>
  <si>
    <t>До 500 тыс. человек</t>
  </si>
  <si>
    <t>От 500 тыс. до 1 млн человек</t>
  </si>
  <si>
    <t>От 1 млн человек</t>
  </si>
  <si>
    <t>Площадь</t>
  </si>
  <si>
    <r>
      <t xml:space="preserve">Эквайринг                                  </t>
    </r>
    <r>
      <rPr>
        <sz val="12"/>
        <color rgb="FF000000"/>
        <rFont val="Times New Roman"/>
        <family val="1"/>
        <charset val="204"/>
      </rPr>
      <t xml:space="preserve"> доля б/н оплаты:</t>
    </r>
  </si>
  <si>
    <t>Ремонт помещения</t>
  </si>
  <si>
    <t>Площадь помещения</t>
  </si>
  <si>
    <t>Аренда помещения за первый и последний месяц</t>
  </si>
  <si>
    <t>Поиск помещения, подписание договора аренды</t>
  </si>
  <si>
    <t>Основное оборудование и мебель</t>
  </si>
  <si>
    <t>Вывеска</t>
  </si>
  <si>
    <t>Оклад в месяц</t>
  </si>
  <si>
    <t>Ремонт и оформление помещения</t>
  </si>
  <si>
    <t>Первоначальная закупка товара и расходных материалов</t>
  </si>
  <si>
    <t>от выручки:</t>
  </si>
  <si>
    <t>Премия от выручки</t>
  </si>
  <si>
    <t>Ежемесячное обслуживание ПО</t>
  </si>
  <si>
    <t>Банковское и кассовое обслуживание</t>
  </si>
  <si>
    <t>Мелкий ремонт оборудования</t>
  </si>
  <si>
    <t>Количество продаж в день</t>
  </si>
  <si>
    <t>Прочее</t>
  </si>
  <si>
    <t>Шоурум</t>
  </si>
  <si>
    <t>Салон</t>
  </si>
  <si>
    <t>Обучение Франчайзи</t>
  </si>
  <si>
    <t>Техническое открытие</t>
  </si>
  <si>
    <t>Вешалка</t>
  </si>
  <si>
    <t>Рейл двухъярусный</t>
  </si>
  <si>
    <t>Диван</t>
  </si>
  <si>
    <t>Кресло</t>
  </si>
  <si>
    <t>Стол журнальный</t>
  </si>
  <si>
    <t>Манекен-торс</t>
  </si>
  <si>
    <t>Манекен ростовой</t>
  </si>
  <si>
    <t>Оснащение примерочной</t>
  </si>
  <si>
    <t>Ширма/штора</t>
  </si>
  <si>
    <t>Зеркало</t>
  </si>
  <si>
    <t>Пуф</t>
  </si>
  <si>
    <t>Коврик</t>
  </si>
  <si>
    <t>Антикражные ворота</t>
  </si>
  <si>
    <t>Оснащение чайной станции</t>
  </si>
  <si>
    <t>Кофемашина</t>
  </si>
  <si>
    <t>Кулер</t>
  </si>
  <si>
    <t>Комод</t>
  </si>
  <si>
    <t>Посуда</t>
  </si>
  <si>
    <t>Кассовое оборудование, ПО и прочее</t>
  </si>
  <si>
    <r>
      <t>Терминал оплаты</t>
    </r>
    <r>
      <rPr>
        <sz val="12"/>
        <color rgb="FF000000"/>
        <rFont val="Times New Roman"/>
        <family val="1"/>
        <charset val="204"/>
      </rPr>
      <t xml:space="preserve"> (предоставляет банк)</t>
    </r>
  </si>
  <si>
    <t>Касса</t>
  </si>
  <si>
    <t>Сканер штрих-кода</t>
  </si>
  <si>
    <t>Принтер этикеток</t>
  </si>
  <si>
    <t>Ноутбук</t>
  </si>
  <si>
    <t>Рабочий телефон</t>
  </si>
  <si>
    <t>Видеонаблюдение</t>
  </si>
  <si>
    <t>Подключение к ПО</t>
  </si>
  <si>
    <t>Форма для персонала</t>
  </si>
  <si>
    <t>Вывеска внутренняя</t>
  </si>
  <si>
    <t>Себестоимость товара</t>
  </si>
  <si>
    <t>Реинвестирование для закупа товара</t>
  </si>
  <si>
    <t>Брафиттер</t>
  </si>
  <si>
    <t>Кассир</t>
  </si>
  <si>
    <r>
      <t>Ежемесячное обслуживание ПО</t>
    </r>
    <r>
      <rPr>
        <sz val="12"/>
        <color rgb="FF000000"/>
        <rFont val="Times New Roman"/>
        <family val="1"/>
        <charset val="204"/>
      </rPr>
      <t xml:space="preserve"> (входит в роялти)</t>
    </r>
  </si>
  <si>
    <t>Клиентский сервис</t>
  </si>
  <si>
    <t>План. кол-во продаж в день</t>
  </si>
  <si>
    <t>Нижнее белье</t>
  </si>
  <si>
    <t>Корректирующее белье</t>
  </si>
  <si>
    <t>Домашняя одежда</t>
  </si>
  <si>
    <t>Спортивное белье</t>
  </si>
  <si>
    <t>Рабочие дни в Шоуруме</t>
  </si>
  <si>
    <t>Выручка за 2 года</t>
  </si>
  <si>
    <t>Чистая прибыль за 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</si>
</sst>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_р_._-;\-* #,##0.00_р_._-;_-* &quot;-&quot;??_р_._-;_-@_-"/>
    <numFmt numFmtId="165" formatCode="_-* #,##0_р_._-;\-* #,##0_р_._-;_-* &quot;-&quot;??_р_._-;_-@_-"/>
    <numFmt numFmtId="166" formatCode="_-* #,##0.000_р_._-;\-* #,##0.000_р_._-;_-* &quot;-&quot;??_р_._-;_-@_-"/>
    <numFmt numFmtId="167" formatCode="#,##0.0"/>
    <numFmt numFmtId="168" formatCode="0.0%"/>
    <numFmt numFmtId="169" formatCode="_-* #,##0.000000_р_._-;\-* #,##0.000000_р_._-;_-* &quot;-&quot;??_р_._-;_-@_-"/>
    <numFmt numFmtId="170" formatCode="#,##0_ ;\-#,##0\ "/>
    <numFmt numFmtId="171" formatCode="[$-419]mmmm;@"/>
    <numFmt numFmtId="172" formatCode="#,##0\ &quot;₽&quot;"/>
    <numFmt numFmtId="173" formatCode="0.0"/>
  </numFmts>
  <fonts count="75" x14ac:knownFonts="1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10"/>
      <color indexed="22"/>
      <name val="Times New Roman"/>
      <family val="1"/>
      <charset val="204"/>
    </font>
    <font>
      <b/>
      <sz val="10"/>
      <color indexed="22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Lora"/>
      <charset val="204"/>
    </font>
    <font>
      <sz val="9"/>
      <color theme="1"/>
      <name val="Lora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361B00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2"/>
      <color rgb="FF000000"/>
      <name val="Arial"/>
      <family val="2"/>
      <charset val="204"/>
    </font>
    <font>
      <i/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i/>
      <sz val="14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4"/>
      <color rgb="FF361B00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26"/>
      <color theme="0"/>
      <name val="Bahnschrift Light"/>
      <family val="2"/>
      <charset val="204"/>
    </font>
    <font>
      <sz val="11"/>
      <color theme="0"/>
      <name val="Times New Roman"/>
      <family val="1"/>
      <charset val="204"/>
    </font>
    <font>
      <sz val="11"/>
      <name val="Arial"/>
      <family val="2"/>
      <charset val="204"/>
    </font>
    <font>
      <i/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b/>
      <sz val="26"/>
      <color theme="1"/>
      <name val="Bahnschrift Light"/>
      <family val="2"/>
      <charset val="204"/>
    </font>
    <font>
      <sz val="22"/>
      <name val="Bahnschrift Light"/>
      <family val="2"/>
      <charset val="204"/>
    </font>
    <font>
      <b/>
      <sz val="22"/>
      <name val="Bahnschrift Light"/>
      <family val="2"/>
      <charset val="204"/>
    </font>
    <font>
      <sz val="26"/>
      <name val="Bahnschrift Light"/>
      <family val="2"/>
      <charset val="204"/>
    </font>
    <font>
      <b/>
      <sz val="32"/>
      <name val="Bahnschrift Light"/>
      <family val="2"/>
      <charset val="204"/>
    </font>
    <font>
      <b/>
      <sz val="26"/>
      <name val="Bahnschrift Light"/>
      <family val="2"/>
      <charset val="204"/>
    </font>
    <font>
      <sz val="14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2"/>
      <color theme="0"/>
      <name val="Calibri"/>
      <family val="2"/>
      <charset val="204"/>
    </font>
    <font>
      <i/>
      <sz val="11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rgb="FF9D4555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BE5F1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rgb="FFDAEEF3"/>
      </patternFill>
    </fill>
    <fill>
      <patternFill patternType="solid">
        <fgColor theme="0" tint="-0.14999847407452621"/>
        <bgColor rgb="FFDAEEF3"/>
      </patternFill>
    </fill>
    <fill>
      <patternFill patternType="solid">
        <fgColor rgb="FFE51A4B"/>
        <bgColor rgb="FFCC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D4555"/>
        <bgColor indexed="64"/>
      </patternFill>
    </fill>
    <fill>
      <patternFill patternType="solid">
        <fgColor rgb="FFE3D9DE"/>
        <bgColor indexed="64"/>
      </patternFill>
    </fill>
    <fill>
      <patternFill patternType="solid">
        <fgColor rgb="FF9D4555"/>
        <bgColor rgb="FFDBE5F1"/>
      </patternFill>
    </fill>
    <fill>
      <patternFill patternType="solid">
        <fgColor rgb="FF9D4555"/>
        <bgColor rgb="FFDAEEF3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0" fontId="42" fillId="0" borderId="0"/>
  </cellStyleXfs>
  <cellXfs count="453">
    <xf numFmtId="0" fontId="0" fillId="0" borderId="0" xfId="0"/>
    <xf numFmtId="0" fontId="5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5" fillId="6" borderId="1" xfId="1" applyNumberFormat="1" applyFont="1" applyFill="1" applyBorder="1" applyAlignment="1">
      <alignment horizontal="center" vertical="center"/>
    </xf>
    <xf numFmtId="166" fontId="5" fillId="6" borderId="1" xfId="1" applyNumberFormat="1" applyFont="1" applyFill="1" applyBorder="1" applyAlignment="1">
      <alignment horizontal="center" vertical="center"/>
    </xf>
    <xf numFmtId="167" fontId="4" fillId="7" borderId="1" xfId="0" applyNumberFormat="1" applyFont="1" applyFill="1" applyBorder="1" applyAlignment="1">
      <alignment horizontal="center" vertical="center"/>
    </xf>
    <xf numFmtId="4" fontId="9" fillId="9" borderId="12" xfId="0" applyNumberFormat="1" applyFont="1" applyFill="1" applyBorder="1" applyProtection="1">
      <protection locked="0" hidden="1"/>
    </xf>
    <xf numFmtId="2" fontId="2" fillId="0" borderId="0" xfId="0" applyNumberFormat="1" applyFont="1" applyProtection="1">
      <protection hidden="1"/>
    </xf>
    <xf numFmtId="4" fontId="2" fillId="0" borderId="0" xfId="0" applyNumberFormat="1" applyFont="1" applyProtection="1">
      <protection hidden="1"/>
    </xf>
    <xf numFmtId="4" fontId="9" fillId="0" borderId="0" xfId="0" applyNumberFormat="1" applyFont="1" applyProtection="1">
      <protection hidden="1"/>
    </xf>
    <xf numFmtId="0" fontId="10" fillId="0" borderId="0" xfId="0" applyFont="1" applyProtection="1">
      <protection hidden="1"/>
    </xf>
    <xf numFmtId="1" fontId="11" fillId="10" borderId="0" xfId="0" applyNumberFormat="1" applyFont="1" applyFill="1" applyProtection="1">
      <protection hidden="1"/>
    </xf>
    <xf numFmtId="2" fontId="11" fillId="10" borderId="0" xfId="0" applyNumberFormat="1" applyFont="1" applyFill="1" applyProtection="1">
      <protection hidden="1"/>
    </xf>
    <xf numFmtId="0" fontId="2" fillId="0" borderId="0" xfId="0" applyFont="1" applyAlignment="1">
      <alignment horizontal="center" vertical="center"/>
    </xf>
    <xf numFmtId="2" fontId="9" fillId="0" borderId="0" xfId="0" applyNumberFormat="1" applyFont="1" applyProtection="1">
      <protection hidden="1"/>
    </xf>
    <xf numFmtId="14" fontId="9" fillId="0" borderId="0" xfId="0" applyNumberFormat="1" applyFont="1" applyProtection="1">
      <protection hidden="1"/>
    </xf>
    <xf numFmtId="4" fontId="2" fillId="0" borderId="0" xfId="0" applyNumberFormat="1" applyFont="1" applyAlignment="1" applyProtection="1">
      <alignment horizontal="right"/>
      <protection hidden="1"/>
    </xf>
    <xf numFmtId="1" fontId="9" fillId="9" borderId="17" xfId="0" applyNumberFormat="1" applyFont="1" applyFill="1" applyBorder="1" applyProtection="1">
      <protection locked="0" hidden="1"/>
    </xf>
    <xf numFmtId="14" fontId="9" fillId="9" borderId="17" xfId="0" applyNumberFormat="1" applyFont="1" applyFill="1" applyBorder="1" applyProtection="1">
      <protection locked="0" hidden="1"/>
    </xf>
    <xf numFmtId="4" fontId="2" fillId="8" borderId="14" xfId="0" applyNumberFormat="1" applyFont="1" applyFill="1" applyBorder="1" applyAlignment="1" applyProtection="1">
      <alignment horizontal="center" vertical="center" wrapText="1"/>
      <protection hidden="1"/>
    </xf>
    <xf numFmtId="4" fontId="2" fillId="8" borderId="16" xfId="0" applyNumberFormat="1" applyFont="1" applyFill="1" applyBorder="1" applyAlignment="1" applyProtection="1">
      <alignment horizontal="center" vertical="center" wrapText="1"/>
      <protection hidden="1"/>
    </xf>
    <xf numFmtId="4" fontId="2" fillId="8" borderId="26" xfId="0" applyNumberFormat="1" applyFont="1" applyFill="1" applyBorder="1" applyAlignment="1" applyProtection="1">
      <alignment horizontal="center" vertical="center" wrapText="1"/>
      <protection hidden="1"/>
    </xf>
    <xf numFmtId="4" fontId="2" fillId="8" borderId="25" xfId="0" applyNumberFormat="1" applyFont="1" applyFill="1" applyBorder="1" applyAlignment="1" applyProtection="1">
      <alignment horizontal="center" vertical="center" wrapText="1"/>
      <protection hidden="1"/>
    </xf>
    <xf numFmtId="1" fontId="9" fillId="10" borderId="27" xfId="0" applyNumberFormat="1" applyFont="1" applyFill="1" applyBorder="1" applyAlignment="1" applyProtection="1">
      <alignment horizontal="center"/>
      <protection hidden="1"/>
    </xf>
    <xf numFmtId="1" fontId="9" fillId="10" borderId="28" xfId="0" applyNumberFormat="1" applyFont="1" applyFill="1" applyBorder="1" applyAlignment="1" applyProtection="1">
      <alignment horizontal="center"/>
      <protection hidden="1"/>
    </xf>
    <xf numFmtId="14" fontId="12" fillId="10" borderId="29" xfId="0" applyNumberFormat="1" applyFont="1" applyFill="1" applyBorder="1" applyAlignment="1" applyProtection="1">
      <alignment horizontal="left"/>
      <protection hidden="1"/>
    </xf>
    <xf numFmtId="4" fontId="9" fillId="10" borderId="30" xfId="0" applyNumberFormat="1" applyFont="1" applyFill="1" applyBorder="1" applyProtection="1">
      <protection hidden="1"/>
    </xf>
    <xf numFmtId="4" fontId="9" fillId="10" borderId="28" xfId="0" applyNumberFormat="1" applyFont="1" applyFill="1" applyBorder="1" applyProtection="1">
      <protection hidden="1"/>
    </xf>
    <xf numFmtId="4" fontId="9" fillId="10" borderId="31" xfId="0" applyNumberFormat="1" applyFont="1" applyFill="1" applyBorder="1" applyProtection="1">
      <protection hidden="1"/>
    </xf>
    <xf numFmtId="4" fontId="12" fillId="10" borderId="28" xfId="0" applyNumberFormat="1" applyFont="1" applyFill="1" applyBorder="1" applyProtection="1">
      <protection hidden="1"/>
    </xf>
    <xf numFmtId="4" fontId="9" fillId="10" borderId="27" xfId="0" applyNumberFormat="1" applyFont="1" applyFill="1" applyBorder="1" applyProtection="1">
      <protection hidden="1"/>
    </xf>
    <xf numFmtId="4" fontId="12" fillId="10" borderId="29" xfId="0" applyNumberFormat="1" applyFont="1" applyFill="1" applyBorder="1" applyProtection="1">
      <protection hidden="1"/>
    </xf>
    <xf numFmtId="4" fontId="9" fillId="10" borderId="29" xfId="0" applyNumberFormat="1" applyFont="1" applyFill="1" applyBorder="1" applyProtection="1">
      <protection hidden="1"/>
    </xf>
    <xf numFmtId="1" fontId="2" fillId="0" borderId="32" xfId="0" applyNumberFormat="1" applyFont="1" applyBorder="1" applyAlignment="1" applyProtection="1">
      <alignment horizontal="center"/>
      <protection hidden="1"/>
    </xf>
    <xf numFmtId="1" fontId="2" fillId="0" borderId="0" xfId="0" applyNumberFormat="1" applyFont="1" applyAlignment="1" applyProtection="1">
      <alignment horizontal="left"/>
      <protection hidden="1"/>
    </xf>
    <xf numFmtId="14" fontId="2" fillId="0" borderId="7" xfId="0" applyNumberFormat="1" applyFont="1" applyBorder="1" applyAlignment="1" applyProtection="1">
      <alignment horizontal="left"/>
      <protection hidden="1"/>
    </xf>
    <xf numFmtId="4" fontId="2" fillId="0" borderId="33" xfId="0" applyNumberFormat="1" applyFont="1" applyBorder="1" applyAlignment="1" applyProtection="1">
      <alignment horizontal="right"/>
      <protection hidden="1"/>
    </xf>
    <xf numFmtId="4" fontId="2" fillId="0" borderId="34" xfId="0" applyNumberFormat="1" applyFont="1" applyBorder="1" applyAlignment="1" applyProtection="1">
      <alignment horizontal="right"/>
      <protection hidden="1"/>
    </xf>
    <xf numFmtId="4" fontId="2" fillId="0" borderId="5" xfId="0" applyNumberFormat="1" applyFont="1" applyBorder="1" applyAlignment="1" applyProtection="1">
      <alignment horizontal="right"/>
      <protection hidden="1"/>
    </xf>
    <xf numFmtId="4" fontId="2" fillId="0" borderId="32" xfId="0" applyNumberFormat="1" applyFont="1" applyBorder="1" applyAlignment="1" applyProtection="1">
      <alignment horizontal="right"/>
      <protection hidden="1"/>
    </xf>
    <xf numFmtId="4" fontId="2" fillId="0" borderId="7" xfId="0" applyNumberFormat="1" applyFont="1" applyBorder="1" applyAlignment="1" applyProtection="1">
      <alignment horizontal="right"/>
      <protection hidden="1"/>
    </xf>
    <xf numFmtId="4" fontId="10" fillId="0" borderId="0" xfId="0" applyNumberFormat="1" applyFont="1" applyAlignment="1" applyProtection="1">
      <alignment horizontal="right"/>
      <protection hidden="1"/>
    </xf>
    <xf numFmtId="1" fontId="2" fillId="0" borderId="8" xfId="0" applyNumberFormat="1" applyFont="1" applyBorder="1" applyAlignment="1" applyProtection="1">
      <alignment horizontal="center"/>
      <protection hidden="1"/>
    </xf>
    <xf numFmtId="4" fontId="2" fillId="0" borderId="8" xfId="0" applyNumberFormat="1" applyFont="1" applyBorder="1" applyAlignment="1" applyProtection="1">
      <alignment horizontal="right"/>
      <protection hidden="1"/>
    </xf>
    <xf numFmtId="4" fontId="2" fillId="0" borderId="35" xfId="0" applyNumberFormat="1" applyFont="1" applyBorder="1" applyAlignment="1" applyProtection="1">
      <alignment horizontal="right"/>
      <protection hidden="1"/>
    </xf>
    <xf numFmtId="4" fontId="2" fillId="0" borderId="36" xfId="0" applyNumberFormat="1" applyFont="1" applyBorder="1" applyAlignment="1" applyProtection="1">
      <alignment horizontal="right"/>
      <protection hidden="1"/>
    </xf>
    <xf numFmtId="4" fontId="2" fillId="0" borderId="37" xfId="0" applyNumberFormat="1" applyFont="1" applyBorder="1" applyAlignment="1" applyProtection="1">
      <alignment horizontal="right"/>
      <protection hidden="1"/>
    </xf>
    <xf numFmtId="1" fontId="2" fillId="0" borderId="34" xfId="0" applyNumberFormat="1" applyFont="1" applyBorder="1" applyAlignment="1" applyProtection="1">
      <alignment horizontal="center"/>
      <protection hidden="1"/>
    </xf>
    <xf numFmtId="1" fontId="2" fillId="0" borderId="6" xfId="0" applyNumberFormat="1" applyFont="1" applyBorder="1" applyAlignment="1" applyProtection="1">
      <alignment horizontal="center"/>
      <protection hidden="1"/>
    </xf>
    <xf numFmtId="4" fontId="2" fillId="0" borderId="6" xfId="0" applyNumberFormat="1" applyFont="1" applyBorder="1" applyAlignment="1" applyProtection="1">
      <alignment horizontal="right"/>
      <protection hidden="1"/>
    </xf>
    <xf numFmtId="4" fontId="2" fillId="0" borderId="39" xfId="0" applyNumberFormat="1" applyFont="1" applyBorder="1" applyAlignment="1" applyProtection="1">
      <alignment horizontal="right"/>
      <protection hidden="1"/>
    </xf>
    <xf numFmtId="4" fontId="2" fillId="0" borderId="40" xfId="0" applyNumberFormat="1" applyFont="1" applyBorder="1" applyAlignment="1" applyProtection="1">
      <alignment horizontal="right"/>
      <protection hidden="1"/>
    </xf>
    <xf numFmtId="4" fontId="2" fillId="0" borderId="41" xfId="0" applyNumberFormat="1" applyFont="1" applyBorder="1" applyAlignment="1" applyProtection="1">
      <alignment horizontal="right"/>
      <protection hidden="1"/>
    </xf>
    <xf numFmtId="4" fontId="2" fillId="11" borderId="33" xfId="0" applyNumberFormat="1" applyFont="1" applyFill="1" applyBorder="1" applyAlignment="1" applyProtection="1">
      <alignment horizontal="right"/>
      <protection locked="0" hidden="1"/>
    </xf>
    <xf numFmtId="4" fontId="2" fillId="11" borderId="37" xfId="0" applyNumberFormat="1" applyFont="1" applyFill="1" applyBorder="1" applyAlignment="1" applyProtection="1">
      <alignment horizontal="right"/>
      <protection locked="0" hidden="1"/>
    </xf>
    <xf numFmtId="4" fontId="2" fillId="11" borderId="38" xfId="0" applyNumberFormat="1" applyFont="1" applyFill="1" applyBorder="1" applyAlignment="1" applyProtection="1">
      <alignment horizontal="right"/>
      <protection locked="0" hidden="1"/>
    </xf>
    <xf numFmtId="4" fontId="2" fillId="11" borderId="42" xfId="0" applyNumberFormat="1" applyFont="1" applyFill="1" applyBorder="1" applyAlignment="1" applyProtection="1">
      <alignment horizontal="right"/>
      <protection locked="0" hidden="1"/>
    </xf>
    <xf numFmtId="4" fontId="2" fillId="11" borderId="7" xfId="0" applyNumberFormat="1" applyFont="1" applyFill="1" applyBorder="1" applyAlignment="1" applyProtection="1">
      <alignment horizontal="right"/>
      <protection locked="0" hidden="1"/>
    </xf>
    <xf numFmtId="4" fontId="2" fillId="11" borderId="41" xfId="0" applyNumberFormat="1" applyFont="1" applyFill="1" applyBorder="1" applyAlignment="1" applyProtection="1">
      <alignment horizontal="right"/>
      <protection locked="0" hidden="1"/>
    </xf>
    <xf numFmtId="1" fontId="2" fillId="0" borderId="0" xfId="0" applyNumberFormat="1" applyFont="1" applyAlignment="1" applyProtection="1">
      <alignment horizontal="center"/>
      <protection hidden="1"/>
    </xf>
    <xf numFmtId="1" fontId="2" fillId="0" borderId="5" xfId="0" applyNumberFormat="1" applyFont="1" applyBorder="1" applyAlignment="1" applyProtection="1">
      <alignment horizontal="center"/>
      <protection hidden="1"/>
    </xf>
    <xf numFmtId="4" fontId="2" fillId="0" borderId="43" xfId="0" applyNumberFormat="1" applyFont="1" applyBorder="1" applyAlignment="1" applyProtection="1">
      <alignment horizontal="right"/>
      <protection hidden="1"/>
    </xf>
    <xf numFmtId="4" fontId="2" fillId="0" borderId="24" xfId="0" applyNumberFormat="1" applyFont="1" applyBorder="1" applyAlignment="1" applyProtection="1">
      <alignment horizontal="right"/>
      <protection hidden="1"/>
    </xf>
    <xf numFmtId="4" fontId="2" fillId="0" borderId="17" xfId="0" applyNumberFormat="1" applyFont="1" applyBorder="1" applyAlignment="1" applyProtection="1">
      <alignment horizontal="right"/>
      <protection hidden="1"/>
    </xf>
    <xf numFmtId="4" fontId="2" fillId="11" borderId="44" xfId="0" applyNumberFormat="1" applyFont="1" applyFill="1" applyBorder="1" applyAlignment="1" applyProtection="1">
      <alignment horizontal="right"/>
      <protection locked="0" hidden="1"/>
    </xf>
    <xf numFmtId="4" fontId="2" fillId="11" borderId="17" xfId="0" applyNumberFormat="1" applyFont="1" applyFill="1" applyBorder="1" applyAlignment="1" applyProtection="1">
      <alignment horizontal="right"/>
      <protection locked="0" hidden="1"/>
    </xf>
    <xf numFmtId="1" fontId="2" fillId="10" borderId="0" xfId="0" applyNumberFormat="1" applyFont="1" applyFill="1" applyAlignment="1" applyProtection="1">
      <alignment horizontal="right"/>
      <protection hidden="1"/>
    </xf>
    <xf numFmtId="0" fontId="2" fillId="10" borderId="0" xfId="0" applyFont="1" applyFill="1" applyAlignment="1" applyProtection="1">
      <alignment horizontal="left"/>
      <protection hidden="1"/>
    </xf>
    <xf numFmtId="4" fontId="2" fillId="10" borderId="0" xfId="0" applyNumberFormat="1" applyFont="1" applyFill="1" applyProtection="1">
      <protection hidden="1"/>
    </xf>
    <xf numFmtId="4" fontId="2" fillId="11" borderId="0" xfId="0" applyNumberFormat="1" applyFont="1" applyFill="1" applyProtection="1">
      <protection hidden="1"/>
    </xf>
    <xf numFmtId="0" fontId="10" fillId="10" borderId="0" xfId="0" applyFont="1" applyFill="1" applyProtection="1">
      <protection hidden="1"/>
    </xf>
    <xf numFmtId="0" fontId="0" fillId="0" borderId="0" xfId="0" applyProtection="1">
      <protection hidden="1"/>
    </xf>
    <xf numFmtId="0" fontId="2" fillId="2" borderId="0" xfId="0" applyFont="1" applyFill="1" applyProtection="1"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2" fillId="0" borderId="0" xfId="2" applyFont="1" applyProtection="1">
      <protection hidden="1"/>
    </xf>
    <xf numFmtId="0" fontId="2" fillId="2" borderId="0" xfId="2" applyFont="1" applyFill="1" applyProtection="1">
      <protection hidden="1"/>
    </xf>
    <xf numFmtId="0" fontId="24" fillId="2" borderId="0" xfId="0" applyFont="1" applyFill="1" applyProtection="1">
      <protection hidden="1"/>
    </xf>
    <xf numFmtId="0" fontId="2" fillId="0" borderId="0" xfId="0" applyFo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2" fillId="4" borderId="0" xfId="0" applyFont="1" applyFill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8" fillId="0" borderId="0" xfId="0" applyFont="1" applyProtection="1">
      <protection hidden="1"/>
    </xf>
    <xf numFmtId="0" fontId="27" fillId="0" borderId="0" xfId="0" applyFont="1" applyAlignment="1" applyProtection="1">
      <alignment horizontal="justify" vertical="center"/>
      <protection hidden="1"/>
    </xf>
    <xf numFmtId="0" fontId="27" fillId="0" borderId="0" xfId="0" applyFont="1" applyProtection="1">
      <protection hidden="1"/>
    </xf>
    <xf numFmtId="0" fontId="2" fillId="2" borderId="0" xfId="0" applyFont="1" applyFill="1" applyAlignment="1" applyProtection="1">
      <alignment wrapText="1"/>
      <protection hidden="1"/>
    </xf>
    <xf numFmtId="0" fontId="14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31" fillId="0" borderId="0" xfId="0" applyFont="1"/>
    <xf numFmtId="3" fontId="2" fillId="2" borderId="0" xfId="0" applyNumberFormat="1" applyFont="1" applyFill="1" applyProtection="1">
      <protection hidden="1"/>
    </xf>
    <xf numFmtId="172" fontId="32" fillId="0" borderId="47" xfId="0" applyNumberFormat="1" applyFont="1" applyBorder="1" applyAlignment="1" applyProtection="1">
      <alignment horizontal="left" vertical="top"/>
      <protection hidden="1"/>
    </xf>
    <xf numFmtId="0" fontId="0" fillId="0" borderId="0" xfId="0" applyAlignment="1" applyProtection="1">
      <alignment wrapText="1"/>
      <protection hidden="1"/>
    </xf>
    <xf numFmtId="0" fontId="32" fillId="0" borderId="47" xfId="0" applyFont="1" applyBorder="1" applyAlignment="1" applyProtection="1">
      <alignment horizontal="left" vertical="top"/>
      <protection hidden="1"/>
    </xf>
    <xf numFmtId="0" fontId="32" fillId="0" borderId="0" xfId="0" applyFont="1" applyAlignment="1" applyProtection="1">
      <alignment horizontal="left" vertical="top"/>
      <protection hidden="1"/>
    </xf>
    <xf numFmtId="171" fontId="32" fillId="0" borderId="0" xfId="0" applyNumberFormat="1" applyFont="1" applyAlignment="1" applyProtection="1">
      <alignment horizontal="left" vertical="top"/>
      <protection hidden="1"/>
    </xf>
    <xf numFmtId="9" fontId="32" fillId="0" borderId="0" xfId="0" applyNumberFormat="1" applyFont="1" applyAlignment="1" applyProtection="1">
      <alignment horizontal="left" vertical="top"/>
      <protection hidden="1"/>
    </xf>
    <xf numFmtId="0" fontId="36" fillId="0" borderId="47" xfId="0" applyFont="1" applyBorder="1" applyAlignment="1">
      <alignment horizontal="center"/>
    </xf>
    <xf numFmtId="0" fontId="36" fillId="0" borderId="0" xfId="0" applyFont="1"/>
    <xf numFmtId="0" fontId="39" fillId="0" borderId="0" xfId="0" applyFont="1"/>
    <xf numFmtId="0" fontId="39" fillId="0" borderId="0" xfId="0" applyFont="1" applyAlignment="1">
      <alignment horizontal="center"/>
    </xf>
    <xf numFmtId="0" fontId="22" fillId="2" borderId="39" xfId="2" applyFont="1" applyFill="1" applyBorder="1" applyAlignment="1" applyProtection="1">
      <alignment horizontal="left" vertical="center" indent="1"/>
      <protection hidden="1"/>
    </xf>
    <xf numFmtId="0" fontId="16" fillId="3" borderId="47" xfId="0" applyFont="1" applyFill="1" applyBorder="1" applyAlignment="1" applyProtection="1">
      <alignment horizontal="center" vertical="center"/>
      <protection hidden="1"/>
    </xf>
    <xf numFmtId="0" fontId="38" fillId="8" borderId="47" xfId="0" applyFont="1" applyFill="1" applyBorder="1" applyAlignment="1">
      <alignment vertical="center"/>
    </xf>
    <xf numFmtId="171" fontId="32" fillId="0" borderId="47" xfId="0" applyNumberFormat="1" applyFont="1" applyBorder="1" applyAlignment="1" applyProtection="1">
      <alignment horizontal="left" vertical="top"/>
      <protection hidden="1"/>
    </xf>
    <xf numFmtId="168" fontId="1" fillId="0" borderId="0" xfId="0" applyNumberFormat="1" applyFont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3" fontId="2" fillId="0" borderId="0" xfId="0" applyNumberFormat="1" applyFont="1" applyProtection="1">
      <protection hidden="1"/>
    </xf>
    <xf numFmtId="0" fontId="33" fillId="2" borderId="47" xfId="0" applyFont="1" applyFill="1" applyBorder="1" applyAlignment="1" applyProtection="1">
      <alignment horizontal="center" vertical="center" wrapText="1"/>
      <protection hidden="1"/>
    </xf>
    <xf numFmtId="0" fontId="33" fillId="2" borderId="46" xfId="0" applyFont="1" applyFill="1" applyBorder="1" applyAlignment="1" applyProtection="1">
      <alignment horizontal="center" vertical="center" wrapText="1"/>
      <protection hidden="1"/>
    </xf>
    <xf numFmtId="0" fontId="34" fillId="2" borderId="46" xfId="0" applyFont="1" applyFill="1" applyBorder="1" applyAlignment="1" applyProtection="1">
      <alignment horizontal="center" vertical="center" wrapText="1"/>
      <protection hidden="1"/>
    </xf>
    <xf numFmtId="0" fontId="36" fillId="0" borderId="0" xfId="0" applyFont="1" applyAlignment="1">
      <alignment horizontal="left"/>
    </xf>
    <xf numFmtId="0" fontId="2" fillId="0" borderId="0" xfId="0" applyFont="1" applyAlignment="1" applyProtection="1">
      <alignment wrapText="1"/>
      <protection hidden="1"/>
    </xf>
    <xf numFmtId="0" fontId="2" fillId="0" borderId="0" xfId="0" applyFont="1" applyAlignment="1" applyProtection="1">
      <alignment horizontal="left" vertical="top"/>
      <protection hidden="1"/>
    </xf>
    <xf numFmtId="0" fontId="2" fillId="0" borderId="47" xfId="0" applyFont="1" applyBorder="1" applyAlignment="1" applyProtection="1">
      <alignment horizontal="left" vertical="top"/>
      <protection hidden="1"/>
    </xf>
    <xf numFmtId="172" fontId="2" fillId="0" borderId="47" xfId="0" applyNumberFormat="1" applyFont="1" applyBorder="1" applyAlignment="1" applyProtection="1">
      <alignment horizontal="left" vertical="top"/>
      <protection hidden="1"/>
    </xf>
    <xf numFmtId="0" fontId="2" fillId="8" borderId="47" xfId="0" applyFont="1" applyFill="1" applyBorder="1" applyAlignment="1" applyProtection="1">
      <alignment horizontal="left" vertical="top"/>
      <protection hidden="1"/>
    </xf>
    <xf numFmtId="172" fontId="2" fillId="8" borderId="47" xfId="0" applyNumberFormat="1" applyFont="1" applyFill="1" applyBorder="1" applyAlignment="1" applyProtection="1">
      <alignment horizontal="left" vertical="top"/>
      <protection hidden="1"/>
    </xf>
    <xf numFmtId="0" fontId="38" fillId="2" borderId="47" xfId="6" applyFont="1" applyFill="1" applyBorder="1" applyAlignment="1">
      <alignment vertical="center" wrapText="1"/>
    </xf>
    <xf numFmtId="0" fontId="36" fillId="0" borderId="2" xfId="2" applyFont="1" applyBorder="1" applyAlignment="1">
      <alignment vertical="center" wrapText="1"/>
    </xf>
    <xf numFmtId="0" fontId="18" fillId="0" borderId="0" xfId="0" applyFont="1" applyAlignment="1" applyProtection="1">
      <alignment horizontal="left" vertical="top" wrapText="1"/>
      <protection hidden="1"/>
    </xf>
    <xf numFmtId="0" fontId="5" fillId="9" borderId="47" xfId="0" applyFont="1" applyFill="1" applyBorder="1" applyAlignment="1" applyProtection="1">
      <alignment horizontal="left" vertical="top" wrapText="1"/>
      <protection hidden="1"/>
    </xf>
    <xf numFmtId="0" fontId="5" fillId="9" borderId="47" xfId="0" applyFont="1" applyFill="1" applyBorder="1" applyAlignment="1" applyProtection="1">
      <alignment horizontal="left" vertical="top"/>
      <protection hidden="1"/>
    </xf>
    <xf numFmtId="0" fontId="2" fillId="9" borderId="47" xfId="0" applyFont="1" applyFill="1" applyBorder="1" applyAlignment="1" applyProtection="1">
      <alignment horizontal="left" vertical="top"/>
      <protection hidden="1"/>
    </xf>
    <xf numFmtId="0" fontId="18" fillId="9" borderId="47" xfId="0" applyFont="1" applyFill="1" applyBorder="1" applyAlignment="1" applyProtection="1">
      <alignment horizontal="left" vertical="top" wrapText="1"/>
      <protection hidden="1"/>
    </xf>
    <xf numFmtId="0" fontId="51" fillId="2" borderId="47" xfId="6" applyFont="1" applyFill="1" applyBorder="1" applyAlignment="1">
      <alignment vertical="center" wrapText="1"/>
    </xf>
    <xf numFmtId="0" fontId="38" fillId="8" borderId="47" xfId="0" applyFont="1" applyFill="1" applyBorder="1" applyAlignment="1">
      <alignment horizontal="center" vertical="center" wrapText="1"/>
    </xf>
    <xf numFmtId="0" fontId="36" fillId="0" borderId="0" xfId="0" applyFont="1" applyAlignment="1">
      <alignment wrapText="1"/>
    </xf>
    <xf numFmtId="0" fontId="36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0" fillId="0" borderId="0" xfId="0" applyAlignment="1">
      <alignment wrapText="1"/>
    </xf>
    <xf numFmtId="172" fontId="4" fillId="2" borderId="0" xfId="0" applyNumberFormat="1" applyFont="1" applyFill="1" applyAlignment="1" applyProtection="1">
      <alignment horizontal="center" vertical="center" wrapText="1"/>
      <protection locked="0" hidden="1"/>
    </xf>
    <xf numFmtId="9" fontId="2" fillId="0" borderId="0" xfId="0" applyNumberFormat="1" applyFont="1" applyAlignment="1" applyProtection="1">
      <alignment horizontal="left" vertical="top"/>
      <protection hidden="1"/>
    </xf>
    <xf numFmtId="9" fontId="48" fillId="0" borderId="0" xfId="0" applyNumberFormat="1" applyFont="1" applyAlignment="1" applyProtection="1">
      <alignment horizontal="left" vertical="top" wrapText="1"/>
      <protection hidden="1"/>
    </xf>
    <xf numFmtId="0" fontId="4" fillId="0" borderId="0" xfId="0" applyFont="1" applyProtection="1">
      <protection hidden="1"/>
    </xf>
    <xf numFmtId="0" fontId="40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24" fillId="0" borderId="0" xfId="0" applyFont="1" applyAlignment="1" applyProtection="1">
      <alignment vertical="center"/>
      <protection hidden="1"/>
    </xf>
    <xf numFmtId="165" fontId="15" fillId="0" borderId="0" xfId="1" applyNumberFormat="1" applyFont="1" applyFill="1" applyAlignme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3" fontId="29" fillId="2" borderId="47" xfId="4" applyNumberFormat="1" applyFont="1" applyFill="1" applyBorder="1" applyAlignment="1" applyProtection="1">
      <alignment horizontal="center" vertical="center"/>
      <protection hidden="1"/>
    </xf>
    <xf numFmtId="171" fontId="22" fillId="2" borderId="6" xfId="2" applyNumberFormat="1" applyFont="1" applyFill="1" applyBorder="1" applyAlignment="1" applyProtection="1">
      <alignment horizontal="center"/>
      <protection hidden="1"/>
    </xf>
    <xf numFmtId="0" fontId="35" fillId="2" borderId="2" xfId="2" applyFont="1" applyFill="1" applyBorder="1" applyAlignment="1" applyProtection="1">
      <alignment horizontal="left" vertical="center" indent="2"/>
      <protection hidden="1"/>
    </xf>
    <xf numFmtId="0" fontId="23" fillId="2" borderId="6" xfId="2" applyFont="1" applyFill="1" applyBorder="1" applyAlignment="1" applyProtection="1">
      <alignment horizontal="center"/>
      <protection hidden="1"/>
    </xf>
    <xf numFmtId="0" fontId="46" fillId="2" borderId="2" xfId="2" applyFont="1" applyFill="1" applyBorder="1" applyAlignment="1" applyProtection="1">
      <alignment horizontal="left" vertical="center" indent="2"/>
      <protection hidden="1"/>
    </xf>
    <xf numFmtId="9" fontId="47" fillId="2" borderId="47" xfId="4" applyFont="1" applyFill="1" applyBorder="1" applyAlignment="1" applyProtection="1">
      <alignment horizontal="center" vertical="center"/>
      <protection hidden="1"/>
    </xf>
    <xf numFmtId="172" fontId="28" fillId="2" borderId="47" xfId="4" applyNumberFormat="1" applyFont="1" applyFill="1" applyBorder="1" applyAlignment="1" applyProtection="1">
      <alignment horizontal="center" vertical="center"/>
      <protection hidden="1"/>
    </xf>
    <xf numFmtId="172" fontId="29" fillId="2" borderId="47" xfId="4" applyNumberFormat="1" applyFont="1" applyFill="1" applyBorder="1" applyAlignment="1" applyProtection="1">
      <alignment horizontal="center" vertical="center"/>
      <protection hidden="1"/>
    </xf>
    <xf numFmtId="0" fontId="53" fillId="2" borderId="45" xfId="0" applyFont="1" applyFill="1" applyBorder="1" applyAlignment="1" applyProtection="1">
      <alignment horizontal="center" vertical="center"/>
      <protection hidden="1"/>
    </xf>
    <xf numFmtId="0" fontId="53" fillId="2" borderId="47" xfId="0" applyFont="1" applyFill="1" applyBorder="1" applyAlignment="1" applyProtection="1">
      <alignment horizontal="center" vertical="center"/>
      <protection hidden="1"/>
    </xf>
    <xf numFmtId="0" fontId="54" fillId="2" borderId="2" xfId="0" applyFont="1" applyFill="1" applyBorder="1" applyAlignment="1" applyProtection="1">
      <alignment horizontal="left" vertical="center" indent="2"/>
      <protection hidden="1"/>
    </xf>
    <xf numFmtId="0" fontId="54" fillId="2" borderId="4" xfId="0" applyFont="1" applyFill="1" applyBorder="1" applyAlignment="1" applyProtection="1">
      <alignment horizontal="left" vertical="center" indent="1"/>
      <protection hidden="1"/>
    </xf>
    <xf numFmtId="0" fontId="54" fillId="2" borderId="4" xfId="0" applyFont="1" applyFill="1" applyBorder="1" applyAlignment="1" applyProtection="1">
      <alignment vertical="center"/>
      <protection hidden="1"/>
    </xf>
    <xf numFmtId="0" fontId="55" fillId="2" borderId="5" xfId="0" applyFont="1" applyFill="1" applyBorder="1" applyAlignment="1" applyProtection="1">
      <alignment horizontal="left" vertical="center" indent="1"/>
      <protection hidden="1"/>
    </xf>
    <xf numFmtId="0" fontId="14" fillId="2" borderId="0" xfId="0" applyFont="1" applyFill="1" applyProtection="1">
      <protection hidden="1"/>
    </xf>
    <xf numFmtId="0" fontId="24" fillId="2" borderId="2" xfId="0" applyFont="1" applyFill="1" applyBorder="1" applyAlignment="1" applyProtection="1">
      <alignment horizontal="left" vertical="center" indent="2"/>
      <protection hidden="1"/>
    </xf>
    <xf numFmtId="0" fontId="24" fillId="2" borderId="46" xfId="0" applyFont="1" applyFill="1" applyBorder="1" applyAlignment="1" applyProtection="1">
      <alignment vertical="center"/>
      <protection hidden="1"/>
    </xf>
    <xf numFmtId="0" fontId="24" fillId="2" borderId="47" xfId="0" applyFont="1" applyFill="1" applyBorder="1" applyAlignment="1" applyProtection="1">
      <alignment horizontal="center" vertical="center"/>
      <protection hidden="1"/>
    </xf>
    <xf numFmtId="0" fontId="24" fillId="2" borderId="39" xfId="0" applyFont="1" applyFill="1" applyBorder="1" applyAlignment="1" applyProtection="1">
      <alignment horizontal="left" vertical="center" indent="3"/>
      <protection hidden="1"/>
    </xf>
    <xf numFmtId="0" fontId="25" fillId="2" borderId="2" xfId="0" applyFont="1" applyFill="1" applyBorder="1" applyAlignment="1" applyProtection="1">
      <alignment horizontal="left" vertical="center" indent="1"/>
      <protection hidden="1"/>
    </xf>
    <xf numFmtId="0" fontId="28" fillId="2" borderId="4" xfId="0" applyFont="1" applyFill="1" applyBorder="1" applyAlignment="1" applyProtection="1">
      <alignment horizontal="left" vertical="center" wrapText="1"/>
      <protection hidden="1"/>
    </xf>
    <xf numFmtId="172" fontId="25" fillId="2" borderId="47" xfId="1" applyNumberFormat="1" applyFont="1" applyFill="1" applyBorder="1" applyAlignment="1" applyProtection="1">
      <alignment horizontal="center" vertical="center"/>
      <protection hidden="1"/>
    </xf>
    <xf numFmtId="172" fontId="25" fillId="2" borderId="47" xfId="0" applyNumberFormat="1" applyFont="1" applyFill="1" applyBorder="1" applyAlignment="1" applyProtection="1">
      <alignment horizontal="center" vertical="center"/>
      <protection hidden="1"/>
    </xf>
    <xf numFmtId="172" fontId="22" fillId="2" borderId="47" xfId="1" applyNumberFormat="1" applyFont="1" applyFill="1" applyBorder="1" applyAlignment="1" applyProtection="1">
      <alignment horizontal="center" vertical="center"/>
      <protection hidden="1"/>
    </xf>
    <xf numFmtId="172" fontId="23" fillId="2" borderId="47" xfId="0" applyNumberFormat="1" applyFont="1" applyFill="1" applyBorder="1" applyAlignment="1" applyProtection="1">
      <alignment horizontal="center" vertical="center" wrapText="1"/>
      <protection locked="0" hidden="1"/>
    </xf>
    <xf numFmtId="0" fontId="41" fillId="2" borderId="47" xfId="0" applyFont="1" applyFill="1" applyBorder="1" applyAlignment="1" applyProtection="1">
      <alignment horizontal="center" vertical="center"/>
      <protection hidden="1"/>
    </xf>
    <xf numFmtId="0" fontId="25" fillId="2" borderId="4" xfId="0" applyFont="1" applyFill="1" applyBorder="1" applyAlignment="1" applyProtection="1">
      <alignment wrapText="1"/>
      <protection hidden="1"/>
    </xf>
    <xf numFmtId="0" fontId="25" fillId="2" borderId="4" xfId="0" applyFont="1" applyFill="1" applyBorder="1" applyAlignment="1" applyProtection="1">
      <alignment horizontal="left" vertical="center" wrapText="1"/>
      <protection hidden="1"/>
    </xf>
    <xf numFmtId="0" fontId="25" fillId="2" borderId="2" xfId="0" applyFont="1" applyFill="1" applyBorder="1" applyAlignment="1" applyProtection="1">
      <alignment horizontal="left" indent="1"/>
      <protection hidden="1"/>
    </xf>
    <xf numFmtId="0" fontId="24" fillId="2" borderId="4" xfId="0" applyFont="1" applyFill="1" applyBorder="1" applyAlignment="1" applyProtection="1">
      <alignment horizontal="left" vertical="center" indent="3"/>
      <protection hidden="1"/>
    </xf>
    <xf numFmtId="0" fontId="43" fillId="2" borderId="2" xfId="0" applyFont="1" applyFill="1" applyBorder="1" applyAlignment="1" applyProtection="1">
      <alignment horizontal="left" vertical="center" indent="5"/>
      <protection hidden="1"/>
    </xf>
    <xf numFmtId="0" fontId="24" fillId="2" borderId="45" xfId="0" applyFont="1" applyFill="1" applyBorder="1" applyAlignment="1" applyProtection="1">
      <alignment horizontal="left" vertical="center" indent="3"/>
      <protection hidden="1"/>
    </xf>
    <xf numFmtId="0" fontId="23" fillId="2" borderId="39" xfId="0" applyFont="1" applyFill="1" applyBorder="1" applyAlignment="1" applyProtection="1">
      <alignment horizontal="left" vertical="center" indent="3"/>
      <protection hidden="1"/>
    </xf>
    <xf numFmtId="0" fontId="43" fillId="2" borderId="4" xfId="0" applyFont="1" applyFill="1" applyBorder="1" applyAlignment="1" applyProtection="1">
      <alignment horizontal="right" vertical="center"/>
      <protection hidden="1"/>
    </xf>
    <xf numFmtId="172" fontId="24" fillId="2" borderId="47" xfId="1" applyNumberFormat="1" applyFont="1" applyFill="1" applyBorder="1" applyAlignment="1" applyProtection="1">
      <alignment horizontal="center" vertical="center"/>
      <protection hidden="1"/>
    </xf>
    <xf numFmtId="3" fontId="24" fillId="2" borderId="39" xfId="0" applyNumberFormat="1" applyFont="1" applyFill="1" applyBorder="1" applyAlignment="1" applyProtection="1">
      <alignment horizontal="left" vertical="center" indent="3"/>
      <protection hidden="1"/>
    </xf>
    <xf numFmtId="0" fontId="24" fillId="2" borderId="2" xfId="0" applyFont="1" applyFill="1" applyBorder="1" applyAlignment="1" applyProtection="1">
      <alignment horizontal="left" vertical="center" indent="3"/>
      <protection hidden="1"/>
    </xf>
    <xf numFmtId="3" fontId="47" fillId="2" borderId="39" xfId="0" applyNumberFormat="1" applyFont="1" applyFill="1" applyBorder="1" applyAlignment="1" applyProtection="1">
      <alignment horizontal="left" vertical="center" indent="5"/>
      <protection hidden="1"/>
    </xf>
    <xf numFmtId="0" fontId="23" fillId="2" borderId="47" xfId="1" applyNumberFormat="1" applyFont="1" applyFill="1" applyBorder="1" applyAlignment="1" applyProtection="1">
      <alignment horizontal="center" vertical="center"/>
      <protection hidden="1"/>
    </xf>
    <xf numFmtId="170" fontId="15" fillId="2" borderId="47" xfId="0" applyNumberFormat="1" applyFont="1" applyFill="1" applyBorder="1" applyAlignment="1" applyProtection="1">
      <alignment horizontal="center" vertical="center"/>
      <protection hidden="1"/>
    </xf>
    <xf numFmtId="170" fontId="15" fillId="2" borderId="45" xfId="0" applyNumberFormat="1" applyFont="1" applyFill="1" applyBorder="1" applyAlignment="1" applyProtection="1">
      <alignment horizontal="center"/>
      <protection hidden="1"/>
    </xf>
    <xf numFmtId="0" fontId="16" fillId="2" borderId="4" xfId="0" applyFont="1" applyFill="1" applyBorder="1" applyAlignment="1" applyProtection="1">
      <alignment horizontal="right" vertical="center"/>
      <protection hidden="1"/>
    </xf>
    <xf numFmtId="0" fontId="16" fillId="2" borderId="4" xfId="0" applyFont="1" applyFill="1" applyBorder="1" applyAlignment="1" applyProtection="1">
      <alignment horizontal="center" vertical="center"/>
      <protection hidden="1"/>
    </xf>
    <xf numFmtId="0" fontId="23" fillId="2" borderId="4" xfId="0" applyFont="1" applyFill="1" applyBorder="1" applyAlignment="1" applyProtection="1">
      <alignment vertical="center"/>
      <protection hidden="1"/>
    </xf>
    <xf numFmtId="172" fontId="23" fillId="2" borderId="47" xfId="0" applyNumberFormat="1" applyFont="1" applyFill="1" applyBorder="1" applyAlignment="1" applyProtection="1">
      <alignment horizontal="center" vertical="center"/>
      <protection hidden="1"/>
    </xf>
    <xf numFmtId="172" fontId="22" fillId="2" borderId="47" xfId="0" applyNumberFormat="1" applyFont="1" applyFill="1" applyBorder="1" applyAlignment="1" applyProtection="1">
      <alignment horizontal="center" vertical="center" wrapText="1"/>
      <protection locked="0" hidden="1"/>
    </xf>
    <xf numFmtId="170" fontId="16" fillId="2" borderId="6" xfId="0" applyNumberFormat="1" applyFont="1" applyFill="1" applyBorder="1" applyAlignment="1" applyProtection="1">
      <alignment horizontal="right" vertical="center"/>
      <protection hidden="1"/>
    </xf>
    <xf numFmtId="0" fontId="25" fillId="2" borderId="4" xfId="0" applyFont="1" applyFill="1" applyBorder="1" applyAlignment="1" applyProtection="1">
      <alignment vertical="center"/>
      <protection hidden="1"/>
    </xf>
    <xf numFmtId="0" fontId="24" fillId="2" borderId="45" xfId="0" applyFont="1" applyFill="1" applyBorder="1" applyAlignment="1" applyProtection="1">
      <alignment horizontal="left" vertical="center" indent="2"/>
      <protection hidden="1"/>
    </xf>
    <xf numFmtId="0" fontId="24" fillId="2" borderId="45" xfId="0" applyFont="1" applyFill="1" applyBorder="1" applyAlignment="1" applyProtection="1">
      <alignment vertical="center"/>
      <protection hidden="1"/>
    </xf>
    <xf numFmtId="0" fontId="25" fillId="2" borderId="46" xfId="0" applyFont="1" applyFill="1" applyBorder="1" applyAlignment="1" applyProtection="1">
      <alignment vertical="center"/>
      <protection hidden="1"/>
    </xf>
    <xf numFmtId="10" fontId="23" fillId="2" borderId="2" xfId="2" applyNumberFormat="1" applyFont="1" applyFill="1" applyBorder="1" applyAlignment="1" applyProtection="1">
      <alignment horizontal="left" vertical="center" wrapText="1" indent="2"/>
      <protection hidden="1"/>
    </xf>
    <xf numFmtId="0" fontId="44" fillId="2" borderId="47" xfId="2" applyFont="1" applyFill="1" applyBorder="1" applyAlignment="1" applyProtection="1">
      <alignment horizontal="center" vertical="center" wrapText="1"/>
      <protection hidden="1"/>
    </xf>
    <xf numFmtId="168" fontId="23" fillId="2" borderId="47" xfId="4" applyNumberFormat="1" applyFont="1" applyFill="1" applyBorder="1" applyAlignment="1" applyProtection="1">
      <alignment horizontal="center" vertical="center"/>
      <protection locked="0" hidden="1"/>
    </xf>
    <xf numFmtId="0" fontId="24" fillId="2" borderId="47" xfId="0" applyFont="1" applyFill="1" applyBorder="1" applyAlignment="1" applyProtection="1">
      <alignment horizontal="left" indent="1"/>
      <protection hidden="1"/>
    </xf>
    <xf numFmtId="3" fontId="24" fillId="2" borderId="47" xfId="0" applyNumberFormat="1" applyFont="1" applyFill="1" applyBorder="1" applyAlignment="1" applyProtection="1">
      <alignment horizontal="center" vertical="center"/>
      <protection hidden="1"/>
    </xf>
    <xf numFmtId="168" fontId="23" fillId="2" borderId="47" xfId="0" applyNumberFormat="1" applyFont="1" applyFill="1" applyBorder="1" applyAlignment="1" applyProtection="1">
      <alignment horizontal="center" vertical="center"/>
      <protection hidden="1"/>
    </xf>
    <xf numFmtId="0" fontId="22" fillId="2" borderId="47" xfId="0" applyFont="1" applyFill="1" applyBorder="1" applyAlignment="1" applyProtection="1">
      <alignment horizontal="left" vertical="center" wrapText="1" indent="1"/>
      <protection hidden="1"/>
    </xf>
    <xf numFmtId="0" fontId="24" fillId="2" borderId="47" xfId="0" applyFont="1" applyFill="1" applyBorder="1" applyAlignment="1" applyProtection="1">
      <alignment horizontal="left" indent="3"/>
      <protection hidden="1"/>
    </xf>
    <xf numFmtId="172" fontId="24" fillId="2" borderId="47" xfId="1" applyNumberFormat="1" applyFont="1" applyFill="1" applyBorder="1" applyAlignment="1" applyProtection="1">
      <alignment horizontal="center"/>
      <protection hidden="1"/>
    </xf>
    <xf numFmtId="0" fontId="15" fillId="2" borderId="47" xfId="0" applyFont="1" applyFill="1" applyBorder="1" applyAlignment="1" applyProtection="1">
      <alignment horizontal="left" vertical="center" indent="5"/>
      <protection hidden="1"/>
    </xf>
    <xf numFmtId="172" fontId="15" fillId="2" borderId="47" xfId="1" applyNumberFormat="1" applyFont="1" applyFill="1" applyBorder="1" applyAlignment="1" applyProtection="1">
      <alignment horizontal="center" vertical="center"/>
      <protection hidden="1"/>
    </xf>
    <xf numFmtId="10" fontId="15" fillId="2" borderId="47" xfId="0" applyNumberFormat="1" applyFont="1" applyFill="1" applyBorder="1" applyAlignment="1" applyProtection="1">
      <alignment horizontal="left" vertical="center" indent="5"/>
      <protection hidden="1"/>
    </xf>
    <xf numFmtId="172" fontId="15" fillId="2" borderId="47" xfId="1" applyNumberFormat="1" applyFont="1" applyFill="1" applyBorder="1" applyAlignment="1" applyProtection="1">
      <alignment horizontal="center"/>
      <protection hidden="1"/>
    </xf>
    <xf numFmtId="0" fontId="22" fillId="2" borderId="47" xfId="0" applyFont="1" applyFill="1" applyBorder="1" applyAlignment="1" applyProtection="1">
      <alignment horizontal="left" wrapText="1" indent="1"/>
      <protection hidden="1"/>
    </xf>
    <xf numFmtId="0" fontId="24" fillId="2" borderId="47" xfId="0" applyFont="1" applyFill="1" applyBorder="1" applyAlignment="1" applyProtection="1">
      <alignment horizontal="left" vertical="center" indent="1"/>
      <protection hidden="1"/>
    </xf>
    <xf numFmtId="0" fontId="23" fillId="2" borderId="47" xfId="0" applyFont="1" applyFill="1" applyBorder="1" applyAlignment="1" applyProtection="1">
      <alignment horizontal="left" vertical="center" wrapText="1" indent="1"/>
      <protection hidden="1"/>
    </xf>
    <xf numFmtId="3" fontId="22" fillId="2" borderId="47" xfId="0" applyNumberFormat="1" applyFont="1" applyFill="1" applyBorder="1" applyAlignment="1" applyProtection="1">
      <alignment horizontal="center"/>
      <protection hidden="1"/>
    </xf>
    <xf numFmtId="165" fontId="40" fillId="2" borderId="47" xfId="1" applyNumberFormat="1" applyFont="1" applyFill="1" applyBorder="1" applyAlignment="1" applyProtection="1">
      <alignment horizontal="right" wrapText="1"/>
      <protection hidden="1"/>
    </xf>
    <xf numFmtId="172" fontId="16" fillId="2" borderId="47" xfId="1" applyNumberFormat="1" applyFont="1" applyFill="1" applyBorder="1" applyAlignment="1" applyProtection="1">
      <alignment horizontal="center" vertical="center"/>
      <protection hidden="1"/>
    </xf>
    <xf numFmtId="165" fontId="15" fillId="2" borderId="47" xfId="1" applyNumberFormat="1" applyFont="1" applyFill="1" applyBorder="1" applyAlignment="1" applyProtection="1">
      <alignment horizontal="right" wrapText="1"/>
      <protection hidden="1"/>
    </xf>
    <xf numFmtId="9" fontId="25" fillId="2" borderId="0" xfId="3" applyFont="1" applyFill="1" applyBorder="1" applyAlignment="1" applyProtection="1">
      <alignment horizontal="center"/>
      <protection hidden="1"/>
    </xf>
    <xf numFmtId="0" fontId="16" fillId="2" borderId="47" xfId="0" applyFont="1" applyFill="1" applyBorder="1" applyAlignment="1" applyProtection="1">
      <alignment horizontal="center" vertical="center"/>
      <protection hidden="1"/>
    </xf>
    <xf numFmtId="171" fontId="25" fillId="2" borderId="6" xfId="0" applyNumberFormat="1" applyFont="1" applyFill="1" applyBorder="1" applyAlignment="1" applyProtection="1">
      <alignment horizontal="center"/>
      <protection hidden="1"/>
    </xf>
    <xf numFmtId="0" fontId="7" fillId="2" borderId="45" xfId="0" applyFont="1" applyFill="1" applyBorder="1" applyAlignment="1" applyProtection="1">
      <alignment horizontal="center" vertical="center" wrapText="1"/>
      <protection hidden="1"/>
    </xf>
    <xf numFmtId="172" fontId="22" fillId="8" borderId="47" xfId="0" applyNumberFormat="1" applyFont="1" applyFill="1" applyBorder="1" applyAlignment="1" applyProtection="1">
      <alignment horizontal="center" vertical="center" wrapText="1"/>
      <protection hidden="1"/>
    </xf>
    <xf numFmtId="172" fontId="24" fillId="8" borderId="47" xfId="1" applyNumberFormat="1" applyFont="1" applyFill="1" applyBorder="1" applyAlignment="1" applyProtection="1">
      <alignment horizontal="center"/>
      <protection hidden="1"/>
    </xf>
    <xf numFmtId="172" fontId="15" fillId="8" borderId="47" xfId="1" applyNumberFormat="1" applyFont="1" applyFill="1" applyBorder="1" applyAlignment="1" applyProtection="1">
      <alignment horizontal="center"/>
      <protection hidden="1"/>
    </xf>
    <xf numFmtId="172" fontId="25" fillId="8" borderId="47" xfId="1" applyNumberFormat="1" applyFont="1" applyFill="1" applyBorder="1" applyAlignment="1" applyProtection="1">
      <alignment horizontal="center"/>
      <protection hidden="1"/>
    </xf>
    <xf numFmtId="172" fontId="24" fillId="8" borderId="47" xfId="1" applyNumberFormat="1" applyFont="1" applyFill="1" applyBorder="1" applyAlignment="1" applyProtection="1">
      <alignment horizontal="center" vertical="center"/>
      <protection hidden="1"/>
    </xf>
    <xf numFmtId="3" fontId="24" fillId="8" borderId="47" xfId="1" applyNumberFormat="1" applyFont="1" applyFill="1" applyBorder="1" applyAlignment="1" applyProtection="1">
      <alignment horizontal="center"/>
      <protection hidden="1"/>
    </xf>
    <xf numFmtId="165" fontId="15" fillId="8" borderId="47" xfId="1" applyNumberFormat="1" applyFont="1" applyFill="1" applyBorder="1" applyAlignment="1" applyProtection="1">
      <alignment horizontal="center" vertical="center"/>
      <protection hidden="1"/>
    </xf>
    <xf numFmtId="0" fontId="22" fillId="2" borderId="2" xfId="0" applyFont="1" applyFill="1" applyBorder="1" applyAlignment="1" applyProtection="1">
      <alignment horizontal="left" vertical="center" indent="1"/>
      <protection hidden="1"/>
    </xf>
    <xf numFmtId="173" fontId="18" fillId="0" borderId="0" xfId="0" applyNumberFormat="1" applyFont="1" applyAlignment="1" applyProtection="1">
      <alignment horizontal="left" vertical="top" wrapText="1"/>
      <protection hidden="1"/>
    </xf>
    <xf numFmtId="0" fontId="22" fillId="2" borderId="4" xfId="0" applyFont="1" applyFill="1" applyBorder="1" applyAlignment="1" applyProtection="1">
      <alignment horizontal="left" vertical="center" indent="1"/>
      <protection hidden="1"/>
    </xf>
    <xf numFmtId="0" fontId="15" fillId="2" borderId="45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26" fillId="2" borderId="0" xfId="0" applyFont="1" applyFill="1" applyAlignment="1" applyProtection="1">
      <alignment horizontal="center" vertical="center"/>
      <protection hidden="1"/>
    </xf>
    <xf numFmtId="3" fontId="2" fillId="2" borderId="0" xfId="0" applyNumberFormat="1" applyFont="1" applyFill="1" applyAlignment="1" applyProtection="1">
      <alignment horizontal="center" vertical="center"/>
      <protection hidden="1"/>
    </xf>
    <xf numFmtId="0" fontId="15" fillId="2" borderId="0" xfId="0" applyFont="1" applyFill="1" applyAlignment="1" applyProtection="1">
      <alignment vertical="center" wrapText="1"/>
      <protection hidden="1"/>
    </xf>
    <xf numFmtId="0" fontId="15" fillId="2" borderId="0" xfId="0" applyFont="1" applyFill="1" applyAlignment="1" applyProtection="1">
      <alignment horizontal="left" vertical="center" indent="1"/>
      <protection hidden="1"/>
    </xf>
    <xf numFmtId="0" fontId="2" fillId="2" borderId="0" xfId="2" applyFont="1" applyFill="1" applyAlignment="1" applyProtection="1">
      <alignment vertical="center" wrapText="1"/>
      <protection hidden="1"/>
    </xf>
    <xf numFmtId="0" fontId="28" fillId="2" borderId="0" xfId="0" applyFont="1" applyFill="1" applyAlignment="1" applyProtection="1">
      <alignment horizontal="left" vertical="center" wrapText="1" indent="1"/>
      <protection hidden="1"/>
    </xf>
    <xf numFmtId="0" fontId="28" fillId="2" borderId="0" xfId="0" applyFont="1" applyFill="1" applyAlignment="1" applyProtection="1">
      <alignment horizontal="left" vertical="center" wrapText="1"/>
      <protection hidden="1"/>
    </xf>
    <xf numFmtId="172" fontId="25" fillId="2" borderId="0" xfId="0" applyNumberFormat="1" applyFont="1" applyFill="1" applyAlignment="1" applyProtection="1">
      <alignment horizontal="center" vertical="center"/>
      <protection hidden="1"/>
    </xf>
    <xf numFmtId="0" fontId="15" fillId="2" borderId="0" xfId="0" applyFont="1" applyFill="1" applyAlignment="1" applyProtection="1">
      <alignment vertical="center"/>
      <protection hidden="1"/>
    </xf>
    <xf numFmtId="0" fontId="7" fillId="2" borderId="0" xfId="0" applyFont="1" applyFill="1" applyAlignment="1" applyProtection="1">
      <alignment horizontal="center" vertical="center" wrapText="1"/>
      <protection hidden="1"/>
    </xf>
    <xf numFmtId="0" fontId="16" fillId="2" borderId="0" xfId="0" applyFont="1" applyFill="1" applyAlignment="1" applyProtection="1">
      <alignment vertical="center" wrapText="1"/>
      <protection hidden="1"/>
    </xf>
    <xf numFmtId="0" fontId="15" fillId="2" borderId="0" xfId="0" applyFont="1" applyFill="1" applyProtection="1">
      <protection hidden="1"/>
    </xf>
    <xf numFmtId="0" fontId="23" fillId="2" borderId="0" xfId="2" applyFont="1" applyFill="1" applyAlignment="1" applyProtection="1">
      <alignment horizontal="left" vertical="center" wrapText="1" indent="2"/>
      <protection hidden="1"/>
    </xf>
    <xf numFmtId="0" fontId="44" fillId="2" borderId="0" xfId="2" applyFont="1" applyFill="1" applyAlignment="1" applyProtection="1">
      <alignment horizontal="center" vertical="center" wrapText="1"/>
      <protection hidden="1"/>
    </xf>
    <xf numFmtId="0" fontId="21" fillId="2" borderId="0" xfId="0" applyFont="1" applyFill="1" applyProtection="1">
      <protection hidden="1"/>
    </xf>
    <xf numFmtId="0" fontId="13" fillId="2" borderId="0" xfId="0" applyFont="1" applyFill="1" applyProtection="1">
      <protection hidden="1"/>
    </xf>
    <xf numFmtId="0" fontId="15" fillId="2" borderId="0" xfId="0" applyFont="1" applyFill="1" applyAlignment="1" applyProtection="1">
      <alignment horizontal="left" vertical="center" wrapText="1"/>
      <protection hidden="1"/>
    </xf>
    <xf numFmtId="0" fontId="25" fillId="2" borderId="0" xfId="0" applyFont="1" applyFill="1" applyAlignment="1" applyProtection="1">
      <alignment horizontal="left"/>
      <protection hidden="1"/>
    </xf>
    <xf numFmtId="0" fontId="22" fillId="2" borderId="0" xfId="0" applyFont="1" applyFill="1" applyAlignment="1" applyProtection="1">
      <alignment horizontal="left"/>
      <protection hidden="1"/>
    </xf>
    <xf numFmtId="0" fontId="22" fillId="2" borderId="0" xfId="0" applyFont="1" applyFill="1" applyAlignment="1" applyProtection="1">
      <alignment horizontal="center"/>
      <protection hidden="1"/>
    </xf>
    <xf numFmtId="0" fontId="22" fillId="5" borderId="0" xfId="0" applyFont="1" applyFill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left"/>
      <protection hidden="1"/>
    </xf>
    <xf numFmtId="169" fontId="6" fillId="2" borderId="0" xfId="0" applyNumberFormat="1" applyFont="1" applyFill="1" applyAlignment="1" applyProtection="1">
      <alignment horizontal="center"/>
      <protection hidden="1"/>
    </xf>
    <xf numFmtId="10" fontId="6" fillId="2" borderId="0" xfId="0" applyNumberFormat="1" applyFont="1" applyFill="1" applyAlignment="1" applyProtection="1">
      <alignment horizontal="center"/>
      <protection hidden="1"/>
    </xf>
    <xf numFmtId="0" fontId="6" fillId="2" borderId="0" xfId="0" applyFont="1" applyFill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center"/>
      <protection hidden="1"/>
    </xf>
    <xf numFmtId="165" fontId="2" fillId="2" borderId="0" xfId="0" applyNumberFormat="1" applyFont="1" applyFill="1" applyProtection="1">
      <protection hidden="1"/>
    </xf>
    <xf numFmtId="0" fontId="6" fillId="2" borderId="47" xfId="2" applyFont="1" applyFill="1" applyBorder="1" applyAlignment="1" applyProtection="1">
      <alignment horizontal="center" vertical="center" wrapText="1"/>
      <protection hidden="1"/>
    </xf>
    <xf numFmtId="0" fontId="6" fillId="2" borderId="47" xfId="0" applyFont="1" applyFill="1" applyBorder="1" applyAlignment="1" applyProtection="1">
      <alignment horizontal="center" vertical="center" wrapText="1"/>
      <protection hidden="1"/>
    </xf>
    <xf numFmtId="0" fontId="6" fillId="2" borderId="46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Protection="1">
      <protection hidden="1"/>
    </xf>
    <xf numFmtId="0" fontId="58" fillId="2" borderId="0" xfId="0" applyFont="1" applyFill="1" applyAlignment="1" applyProtection="1">
      <alignment horizontal="left" vertical="center" wrapText="1" indent="6"/>
      <protection hidden="1"/>
    </xf>
    <xf numFmtId="0" fontId="59" fillId="2" borderId="0" xfId="0" applyFont="1" applyFill="1" applyAlignment="1" applyProtection="1">
      <alignment vertical="center" wrapText="1"/>
      <protection hidden="1"/>
    </xf>
    <xf numFmtId="0" fontId="60" fillId="2" borderId="0" xfId="0" applyFont="1" applyFill="1" applyAlignment="1" applyProtection="1">
      <alignment horizontal="left" vertical="center" wrapText="1" indent="8"/>
      <protection hidden="1"/>
    </xf>
    <xf numFmtId="0" fontId="2" fillId="2" borderId="0" xfId="2" applyFont="1" applyFill="1" applyAlignment="1" applyProtection="1">
      <alignment horizontal="left" vertical="center" wrapText="1"/>
      <protection hidden="1"/>
    </xf>
    <xf numFmtId="0" fontId="62" fillId="2" borderId="0" xfId="0" applyFont="1" applyFill="1" applyAlignment="1" applyProtection="1">
      <alignment vertical="center"/>
      <protection hidden="1"/>
    </xf>
    <xf numFmtId="0" fontId="45" fillId="2" borderId="0" xfId="0" applyFont="1" applyFill="1" applyProtection="1">
      <protection hidden="1"/>
    </xf>
    <xf numFmtId="0" fontId="2" fillId="2" borderId="45" xfId="0" applyFont="1" applyFill="1" applyBorder="1" applyProtection="1">
      <protection hidden="1"/>
    </xf>
    <xf numFmtId="0" fontId="60" fillId="2" borderId="0" xfId="0" applyFont="1" applyFill="1" applyAlignment="1" applyProtection="1">
      <alignment horizontal="left" vertical="center" wrapText="1" indent="9"/>
      <protection hidden="1"/>
    </xf>
    <xf numFmtId="0" fontId="25" fillId="2" borderId="4" xfId="0" applyFont="1" applyFill="1" applyBorder="1" applyAlignment="1" applyProtection="1">
      <alignment horizontal="left" vertical="center" wrapText="1" indent="1"/>
      <protection hidden="1"/>
    </xf>
    <xf numFmtId="0" fontId="25" fillId="2" borderId="46" xfId="0" applyFont="1" applyFill="1" applyBorder="1" applyAlignment="1" applyProtection="1">
      <alignment horizontal="left" vertical="center" wrapText="1" indent="1"/>
      <protection hidden="1"/>
    </xf>
    <xf numFmtId="0" fontId="2" fillId="2" borderId="50" xfId="0" applyFont="1" applyFill="1" applyBorder="1" applyProtection="1">
      <protection hidden="1"/>
    </xf>
    <xf numFmtId="0" fontId="2" fillId="2" borderId="48" xfId="0" applyFont="1" applyFill="1" applyBorder="1" applyProtection="1">
      <protection hidden="1"/>
    </xf>
    <xf numFmtId="0" fontId="2" fillId="2" borderId="51" xfId="0" applyFont="1" applyFill="1" applyBorder="1" applyProtection="1">
      <protection hidden="1"/>
    </xf>
    <xf numFmtId="0" fontId="59" fillId="2" borderId="52" xfId="0" applyFont="1" applyFill="1" applyBorder="1" applyAlignment="1" applyProtection="1">
      <alignment vertical="center" wrapText="1"/>
      <protection hidden="1"/>
    </xf>
    <xf numFmtId="0" fontId="2" fillId="2" borderId="54" xfId="0" applyFont="1" applyFill="1" applyBorder="1" applyProtection="1">
      <protection hidden="1"/>
    </xf>
    <xf numFmtId="0" fontId="5" fillId="2" borderId="52" xfId="0" applyFont="1" applyFill="1" applyBorder="1" applyAlignment="1" applyProtection="1">
      <alignment horizontal="center"/>
      <protection hidden="1"/>
    </xf>
    <xf numFmtId="0" fontId="2" fillId="2" borderId="53" xfId="0" applyFont="1" applyFill="1" applyBorder="1" applyProtection="1">
      <protection hidden="1"/>
    </xf>
    <xf numFmtId="0" fontId="2" fillId="2" borderId="49" xfId="0" applyFont="1" applyFill="1" applyBorder="1" applyProtection="1">
      <protection hidden="1"/>
    </xf>
    <xf numFmtId="0" fontId="5" fillId="2" borderId="55" xfId="0" applyFont="1" applyFill="1" applyBorder="1" applyAlignment="1" applyProtection="1">
      <alignment horizontal="center"/>
      <protection hidden="1"/>
    </xf>
    <xf numFmtId="0" fontId="2" fillId="2" borderId="21" xfId="0" applyFont="1" applyFill="1" applyBorder="1" applyProtection="1">
      <protection hidden="1"/>
    </xf>
    <xf numFmtId="172" fontId="2" fillId="2" borderId="21" xfId="0" applyNumberFormat="1" applyFont="1" applyFill="1" applyBorder="1" applyProtection="1">
      <protection hidden="1"/>
    </xf>
    <xf numFmtId="3" fontId="2" fillId="2" borderId="48" xfId="0" applyNumberFormat="1" applyFont="1" applyFill="1" applyBorder="1" applyProtection="1">
      <protection hidden="1"/>
    </xf>
    <xf numFmtId="172" fontId="2" fillId="2" borderId="48" xfId="0" applyNumberFormat="1" applyFont="1" applyFill="1" applyBorder="1" applyProtection="1">
      <protection hidden="1"/>
    </xf>
    <xf numFmtId="0" fontId="0" fillId="2" borderId="51" xfId="0" applyFill="1" applyBorder="1" applyProtection="1">
      <protection hidden="1"/>
    </xf>
    <xf numFmtId="0" fontId="2" fillId="2" borderId="52" xfId="0" applyFont="1" applyFill="1" applyBorder="1" applyProtection="1">
      <protection hidden="1"/>
    </xf>
    <xf numFmtId="0" fontId="15" fillId="2" borderId="52" xfId="0" applyFont="1" applyFill="1" applyBorder="1" applyAlignment="1" applyProtection="1">
      <alignment vertical="center" wrapText="1"/>
      <protection hidden="1"/>
    </xf>
    <xf numFmtId="0" fontId="15" fillId="2" borderId="52" xfId="0" applyFont="1" applyFill="1" applyBorder="1" applyAlignment="1" applyProtection="1">
      <alignment horizontal="left" vertical="center" indent="1"/>
      <protection hidden="1"/>
    </xf>
    <xf numFmtId="0" fontId="2" fillId="2" borderId="55" xfId="0" applyFont="1" applyFill="1" applyBorder="1" applyProtection="1">
      <protection hidden="1"/>
    </xf>
    <xf numFmtId="0" fontId="20" fillId="2" borderId="50" xfId="2" applyFont="1" applyFill="1" applyBorder="1" applyProtection="1">
      <protection hidden="1"/>
    </xf>
    <xf numFmtId="0" fontId="20" fillId="2" borderId="48" xfId="2" applyFont="1" applyFill="1" applyBorder="1" applyProtection="1">
      <protection hidden="1"/>
    </xf>
    <xf numFmtId="0" fontId="20" fillId="2" borderId="51" xfId="2" applyFont="1" applyFill="1" applyBorder="1" applyAlignment="1" applyProtection="1">
      <alignment horizontal="center"/>
      <protection hidden="1"/>
    </xf>
    <xf numFmtId="0" fontId="2" fillId="2" borderId="54" xfId="2" applyFont="1" applyFill="1" applyBorder="1" applyProtection="1">
      <protection hidden="1"/>
    </xf>
    <xf numFmtId="0" fontId="2" fillId="2" borderId="52" xfId="2" applyFont="1" applyFill="1" applyBorder="1" applyProtection="1">
      <protection hidden="1"/>
    </xf>
    <xf numFmtId="0" fontId="2" fillId="2" borderId="53" xfId="2" applyFont="1" applyFill="1" applyBorder="1" applyProtection="1">
      <protection hidden="1"/>
    </xf>
    <xf numFmtId="0" fontId="2" fillId="2" borderId="49" xfId="2" applyFont="1" applyFill="1" applyBorder="1" applyProtection="1">
      <protection hidden="1"/>
    </xf>
    <xf numFmtId="0" fontId="2" fillId="2" borderId="55" xfId="2" applyFont="1" applyFill="1" applyBorder="1" applyProtection="1">
      <protection hidden="1"/>
    </xf>
    <xf numFmtId="0" fontId="62" fillId="2" borderId="52" xfId="0" applyFont="1" applyFill="1" applyBorder="1" applyAlignment="1" applyProtection="1">
      <alignment vertical="center"/>
      <protection hidden="1"/>
    </xf>
    <xf numFmtId="0" fontId="2" fillId="2" borderId="52" xfId="0" applyFont="1" applyFill="1" applyBorder="1" applyAlignment="1" applyProtection="1">
      <alignment horizontal="center" vertical="center" wrapText="1"/>
      <protection hidden="1"/>
    </xf>
    <xf numFmtId="0" fontId="5" fillId="2" borderId="52" xfId="0" applyFont="1" applyFill="1" applyBorder="1" applyProtection="1">
      <protection hidden="1"/>
    </xf>
    <xf numFmtId="0" fontId="2" fillId="2" borderId="49" xfId="0" applyFont="1" applyFill="1" applyBorder="1" applyAlignment="1" applyProtection="1">
      <alignment vertical="center"/>
      <protection hidden="1"/>
    </xf>
    <xf numFmtId="0" fontId="55" fillId="2" borderId="7" xfId="0" applyFont="1" applyFill="1" applyBorder="1" applyAlignment="1" applyProtection="1">
      <alignment wrapText="1"/>
      <protection hidden="1"/>
    </xf>
    <xf numFmtId="0" fontId="55" fillId="2" borderId="52" xfId="0" applyFont="1" applyFill="1" applyBorder="1" applyAlignment="1" applyProtection="1">
      <alignment wrapText="1"/>
      <protection hidden="1"/>
    </xf>
    <xf numFmtId="0" fontId="56" fillId="2" borderId="52" xfId="0" applyFont="1" applyFill="1" applyBorder="1" applyAlignment="1" applyProtection="1">
      <alignment horizontal="center" vertical="center"/>
      <protection hidden="1"/>
    </xf>
    <xf numFmtId="0" fontId="52" fillId="2" borderId="7" xfId="0" applyFont="1" applyFill="1" applyBorder="1" applyAlignment="1" applyProtection="1">
      <alignment horizontal="center" vertical="center" wrapText="1"/>
      <protection hidden="1"/>
    </xf>
    <xf numFmtId="0" fontId="52" fillId="2" borderId="52" xfId="0" applyFont="1" applyFill="1" applyBorder="1" applyAlignment="1" applyProtection="1">
      <alignment horizontal="center" vertical="center" wrapText="1"/>
      <protection hidden="1"/>
    </xf>
    <xf numFmtId="0" fontId="2" fillId="2" borderId="51" xfId="0" applyFont="1" applyFill="1" applyBorder="1" applyAlignment="1" applyProtection="1">
      <alignment vertical="center"/>
      <protection hidden="1"/>
    </xf>
    <xf numFmtId="0" fontId="2" fillId="2" borderId="52" xfId="0" applyFont="1" applyFill="1" applyBorder="1" applyAlignment="1" applyProtection="1">
      <alignment vertical="center"/>
      <protection hidden="1"/>
    </xf>
    <xf numFmtId="0" fontId="4" fillId="2" borderId="54" xfId="0" applyFont="1" applyFill="1" applyBorder="1" applyProtection="1">
      <protection hidden="1"/>
    </xf>
    <xf numFmtId="0" fontId="4" fillId="2" borderId="52" xfId="0" applyFont="1" applyFill="1" applyBorder="1" applyProtection="1">
      <protection hidden="1"/>
    </xf>
    <xf numFmtId="0" fontId="40" fillId="2" borderId="54" xfId="0" applyFont="1" applyFill="1" applyBorder="1" applyProtection="1">
      <protection hidden="1"/>
    </xf>
    <xf numFmtId="0" fontId="40" fillId="2" borderId="52" xfId="0" applyFont="1" applyFill="1" applyBorder="1" applyProtection="1">
      <protection hidden="1"/>
    </xf>
    <xf numFmtId="0" fontId="24" fillId="2" borderId="49" xfId="0" applyFont="1" applyFill="1" applyBorder="1" applyProtection="1">
      <protection hidden="1"/>
    </xf>
    <xf numFmtId="9" fontId="24" fillId="2" borderId="49" xfId="3" applyFont="1" applyFill="1" applyBorder="1" applyAlignment="1" applyProtection="1">
      <protection hidden="1"/>
    </xf>
    <xf numFmtId="0" fontId="13" fillId="2" borderId="52" xfId="0" applyFont="1" applyFill="1" applyBorder="1" applyProtection="1">
      <protection hidden="1"/>
    </xf>
    <xf numFmtId="0" fontId="21" fillId="2" borderId="52" xfId="0" applyFont="1" applyFill="1" applyBorder="1" applyProtection="1">
      <protection hidden="1"/>
    </xf>
    <xf numFmtId="0" fontId="2" fillId="2" borderId="54" xfId="0" applyFont="1" applyFill="1" applyBorder="1" applyAlignment="1" applyProtection="1">
      <alignment vertical="center"/>
      <protection hidden="1"/>
    </xf>
    <xf numFmtId="0" fontId="3" fillId="2" borderId="52" xfId="0" applyFont="1" applyFill="1" applyBorder="1" applyAlignment="1" applyProtection="1">
      <alignment vertical="center"/>
      <protection hidden="1"/>
    </xf>
    <xf numFmtId="0" fontId="24" fillId="2" borderId="54" xfId="0" applyFont="1" applyFill="1" applyBorder="1" applyProtection="1">
      <protection hidden="1"/>
    </xf>
    <xf numFmtId="0" fontId="25" fillId="2" borderId="52" xfId="0" applyFont="1" applyFill="1" applyBorder="1" applyAlignment="1" applyProtection="1">
      <alignment horizontal="center"/>
      <protection hidden="1"/>
    </xf>
    <xf numFmtId="165" fontId="25" fillId="2" borderId="52" xfId="1" applyNumberFormat="1" applyFont="1" applyFill="1" applyBorder="1" applyAlignment="1" applyProtection="1">
      <alignment horizontal="center"/>
      <protection hidden="1"/>
    </xf>
    <xf numFmtId="165" fontId="24" fillId="2" borderId="52" xfId="1" applyNumberFormat="1" applyFont="1" applyFill="1" applyBorder="1" applyAlignment="1" applyProtection="1">
      <alignment horizontal="center"/>
      <protection hidden="1"/>
    </xf>
    <xf numFmtId="0" fontId="24" fillId="2" borderId="54" xfId="0" applyFont="1" applyFill="1" applyBorder="1" applyAlignment="1" applyProtection="1">
      <alignment vertical="center"/>
      <protection hidden="1"/>
    </xf>
    <xf numFmtId="0" fontId="23" fillId="2" borderId="52" xfId="0" applyFont="1" applyFill="1" applyBorder="1" applyAlignment="1" applyProtection="1">
      <alignment horizontal="center" vertical="center"/>
      <protection hidden="1"/>
    </xf>
    <xf numFmtId="3" fontId="22" fillId="2" borderId="52" xfId="0" applyNumberFormat="1" applyFont="1" applyFill="1" applyBorder="1" applyAlignment="1" applyProtection="1">
      <alignment horizontal="center"/>
      <protection hidden="1"/>
    </xf>
    <xf numFmtId="165" fontId="15" fillId="2" borderId="54" xfId="1" applyNumberFormat="1" applyFont="1" applyFill="1" applyBorder="1" applyAlignment="1" applyProtection="1">
      <protection hidden="1"/>
    </xf>
    <xf numFmtId="165" fontId="15" fillId="2" borderId="52" xfId="1" applyNumberFormat="1" applyFont="1" applyFill="1" applyBorder="1" applyAlignment="1" applyProtection="1">
      <protection hidden="1"/>
    </xf>
    <xf numFmtId="0" fontId="22" fillId="2" borderId="52" xfId="0" applyFont="1" applyFill="1" applyBorder="1" applyAlignment="1" applyProtection="1">
      <alignment horizontal="center"/>
      <protection hidden="1"/>
    </xf>
    <xf numFmtId="0" fontId="6" fillId="2" borderId="52" xfId="0" applyFont="1" applyFill="1" applyBorder="1" applyAlignment="1" applyProtection="1">
      <alignment horizontal="center"/>
      <protection hidden="1"/>
    </xf>
    <xf numFmtId="0" fontId="2" fillId="2" borderId="49" xfId="0" applyFont="1" applyFill="1" applyBorder="1" applyAlignment="1" applyProtection="1">
      <alignment horizontal="center"/>
      <protection hidden="1"/>
    </xf>
    <xf numFmtId="10" fontId="24" fillId="2" borderId="39" xfId="0" applyNumberFormat="1" applyFont="1" applyFill="1" applyBorder="1" applyAlignment="1" applyProtection="1">
      <alignment horizontal="left" vertical="center" indent="4"/>
      <protection hidden="1"/>
    </xf>
    <xf numFmtId="10" fontId="15" fillId="2" borderId="0" xfId="0" applyNumberFormat="1" applyFont="1" applyFill="1" applyAlignment="1" applyProtection="1">
      <alignment horizontal="left" vertical="center" wrapText="1"/>
      <protection hidden="1"/>
    </xf>
    <xf numFmtId="0" fontId="16" fillId="2" borderId="45" xfId="0" applyFont="1" applyFill="1" applyBorder="1" applyAlignment="1" applyProtection="1">
      <alignment horizontal="right" vertical="center"/>
      <protection hidden="1"/>
    </xf>
    <xf numFmtId="0" fontId="2" fillId="2" borderId="7" xfId="0" applyFont="1" applyFill="1" applyBorder="1" applyProtection="1">
      <protection hidden="1"/>
    </xf>
    <xf numFmtId="0" fontId="50" fillId="12" borderId="0" xfId="0" applyFont="1" applyFill="1" applyProtection="1">
      <protection hidden="1"/>
    </xf>
    <xf numFmtId="0" fontId="65" fillId="12" borderId="2" xfId="0" applyFont="1" applyFill="1" applyBorder="1" applyAlignment="1" applyProtection="1">
      <alignment horizontal="left" vertical="center" indent="1"/>
      <protection hidden="1"/>
    </xf>
    <xf numFmtId="0" fontId="65" fillId="12" borderId="4" xfId="0" applyFont="1" applyFill="1" applyBorder="1" applyAlignment="1" applyProtection="1">
      <alignment vertical="center"/>
      <protection hidden="1"/>
    </xf>
    <xf numFmtId="0" fontId="66" fillId="13" borderId="47" xfId="0" applyFont="1" applyFill="1" applyBorder="1" applyAlignment="1" applyProtection="1">
      <alignment horizontal="center" vertical="center"/>
      <protection hidden="1"/>
    </xf>
    <xf numFmtId="0" fontId="50" fillId="12" borderId="0" xfId="2" applyFont="1" applyFill="1" applyProtection="1">
      <protection hidden="1"/>
    </xf>
    <xf numFmtId="0" fontId="50" fillId="12" borderId="0" xfId="0" applyFont="1" applyFill="1" applyAlignment="1" applyProtection="1">
      <alignment horizontal="center" vertical="center" wrapText="1"/>
      <protection hidden="1"/>
    </xf>
    <xf numFmtId="0" fontId="68" fillId="12" borderId="0" xfId="0" applyFont="1" applyFill="1" applyProtection="1">
      <protection hidden="1"/>
    </xf>
    <xf numFmtId="0" fontId="69" fillId="12" borderId="0" xfId="0" applyFont="1" applyFill="1" applyAlignment="1" applyProtection="1">
      <alignment vertical="center"/>
      <protection hidden="1"/>
    </xf>
    <xf numFmtId="0" fontId="50" fillId="12" borderId="0" xfId="0" applyFont="1" applyFill="1" applyAlignment="1" applyProtection="1">
      <alignment vertical="center"/>
      <protection hidden="1"/>
    </xf>
    <xf numFmtId="0" fontId="69" fillId="12" borderId="0" xfId="0" applyFont="1" applyFill="1" applyProtection="1">
      <protection hidden="1"/>
    </xf>
    <xf numFmtId="0" fontId="70" fillId="12" borderId="0" xfId="0" applyFont="1" applyFill="1" applyProtection="1">
      <protection hidden="1"/>
    </xf>
    <xf numFmtId="0" fontId="64" fillId="12" borderId="47" xfId="0" applyFont="1" applyFill="1" applyBorder="1" applyAlignment="1" applyProtection="1">
      <alignment vertical="center"/>
      <protection hidden="1"/>
    </xf>
    <xf numFmtId="0" fontId="65" fillId="12" borderId="47" xfId="0" applyFont="1" applyFill="1" applyBorder="1" applyAlignment="1" applyProtection="1">
      <alignment horizontal="center" vertical="center" wrapText="1"/>
      <protection hidden="1"/>
    </xf>
    <xf numFmtId="0" fontId="64" fillId="12" borderId="2" xfId="2" applyFont="1" applyFill="1" applyBorder="1" applyAlignment="1" applyProtection="1">
      <alignment horizontal="left" vertical="center" indent="1"/>
      <protection hidden="1"/>
    </xf>
    <xf numFmtId="0" fontId="63" fillId="12" borderId="0" xfId="0" applyFont="1" applyFill="1" applyProtection="1">
      <protection hidden="1"/>
    </xf>
    <xf numFmtId="0" fontId="73" fillId="12" borderId="4" xfId="2" applyFont="1" applyFill="1" applyBorder="1" applyAlignment="1" applyProtection="1">
      <alignment horizontal="left"/>
      <protection hidden="1"/>
    </xf>
    <xf numFmtId="0" fontId="50" fillId="12" borderId="0" xfId="0" applyFont="1" applyFill="1" applyAlignment="1" applyProtection="1">
      <alignment horizontal="center"/>
      <protection hidden="1"/>
    </xf>
    <xf numFmtId="0" fontId="63" fillId="12" borderId="0" xfId="0" applyFont="1" applyFill="1" applyAlignment="1" applyProtection="1">
      <alignment vertical="center"/>
      <protection hidden="1"/>
    </xf>
    <xf numFmtId="165" fontId="71" fillId="12" borderId="0" xfId="1" applyNumberFormat="1" applyFont="1" applyFill="1" applyAlignment="1" applyProtection="1">
      <protection hidden="1"/>
    </xf>
    <xf numFmtId="0" fontId="64" fillId="14" borderId="2" xfId="0" applyFont="1" applyFill="1" applyBorder="1" applyAlignment="1" applyProtection="1">
      <alignment horizontal="left" vertical="center"/>
      <protection hidden="1"/>
    </xf>
    <xf numFmtId="0" fontId="50" fillId="12" borderId="4" xfId="0" applyFont="1" applyFill="1" applyBorder="1" applyAlignment="1" applyProtection="1">
      <alignment vertical="center"/>
      <protection hidden="1"/>
    </xf>
    <xf numFmtId="172" fontId="4" fillId="13" borderId="47" xfId="0" applyNumberFormat="1" applyFont="1" applyFill="1" applyBorder="1" applyAlignment="1" applyProtection="1">
      <alignment horizontal="center" vertical="center"/>
      <protection hidden="1"/>
    </xf>
    <xf numFmtId="1" fontId="4" fillId="13" borderId="47" xfId="0" applyNumberFormat="1" applyFont="1" applyFill="1" applyBorder="1" applyAlignment="1" applyProtection="1">
      <alignment horizontal="center" vertical="center"/>
      <protection hidden="1"/>
    </xf>
    <xf numFmtId="172" fontId="4" fillId="13" borderId="47" xfId="0" applyNumberFormat="1" applyFont="1" applyFill="1" applyBorder="1" applyAlignment="1" applyProtection="1">
      <alignment horizontal="left" vertical="top"/>
      <protection hidden="1"/>
    </xf>
    <xf numFmtId="9" fontId="72" fillId="13" borderId="47" xfId="0" applyNumberFormat="1" applyFont="1" applyFill="1" applyBorder="1" applyAlignment="1" applyProtection="1">
      <alignment horizontal="left" vertical="top"/>
      <protection hidden="1"/>
    </xf>
    <xf numFmtId="3" fontId="23" fillId="13" borderId="47" xfId="0" applyNumberFormat="1" applyFont="1" applyFill="1" applyBorder="1" applyAlignment="1" applyProtection="1">
      <alignment horizontal="center" vertical="center"/>
      <protection locked="0" hidden="1"/>
    </xf>
    <xf numFmtId="172" fontId="23" fillId="13" borderId="47" xfId="0" applyNumberFormat="1" applyFont="1" applyFill="1" applyBorder="1" applyAlignment="1" applyProtection="1">
      <alignment horizontal="center" vertical="center" wrapText="1"/>
      <protection locked="0" hidden="1"/>
    </xf>
    <xf numFmtId="0" fontId="23" fillId="13" borderId="47" xfId="0" applyFont="1" applyFill="1" applyBorder="1" applyAlignment="1" applyProtection="1">
      <alignment horizontal="center" vertical="center"/>
      <protection hidden="1"/>
    </xf>
    <xf numFmtId="172" fontId="22" fillId="13" borderId="47" xfId="0" applyNumberFormat="1" applyFont="1" applyFill="1" applyBorder="1" applyAlignment="1" applyProtection="1">
      <alignment horizontal="center" vertical="center" wrapText="1"/>
      <protection locked="0" hidden="1"/>
    </xf>
    <xf numFmtId="172" fontId="23" fillId="13" borderId="47" xfId="1" applyNumberFormat="1" applyFont="1" applyFill="1" applyBorder="1" applyAlignment="1" applyProtection="1">
      <alignment horizontal="center" vertical="center"/>
      <protection hidden="1"/>
    </xf>
    <xf numFmtId="172" fontId="23" fillId="13" borderId="47" xfId="1" applyNumberFormat="1" applyFont="1" applyFill="1" applyBorder="1" applyAlignment="1" applyProtection="1">
      <alignment horizontal="center" vertical="center"/>
      <protection locked="0" hidden="1"/>
    </xf>
    <xf numFmtId="9" fontId="23" fillId="13" borderId="47" xfId="3" applyFont="1" applyFill="1" applyBorder="1" applyAlignment="1" applyProtection="1">
      <alignment horizontal="center" vertical="center"/>
      <protection locked="0" hidden="1"/>
    </xf>
    <xf numFmtId="0" fontId="23" fillId="13" borderId="47" xfId="0" applyFont="1" applyFill="1" applyBorder="1" applyAlignment="1" applyProtection="1">
      <alignment horizontal="center" vertical="center"/>
      <protection locked="0" hidden="1"/>
    </xf>
    <xf numFmtId="168" fontId="23" fillId="13" borderId="47" xfId="0" applyNumberFormat="1" applyFont="1" applyFill="1" applyBorder="1" applyAlignment="1" applyProtection="1">
      <alignment horizontal="center" vertical="center"/>
      <protection locked="0" hidden="1"/>
    </xf>
    <xf numFmtId="168" fontId="23" fillId="13" borderId="2" xfId="0" applyNumberFormat="1" applyFont="1" applyFill="1" applyBorder="1" applyAlignment="1" applyProtection="1">
      <alignment horizontal="center" vertical="center"/>
      <protection locked="0" hidden="1"/>
    </xf>
    <xf numFmtId="168" fontId="22" fillId="13" borderId="47" xfId="0" applyNumberFormat="1" applyFont="1" applyFill="1" applyBorder="1" applyAlignment="1" applyProtection="1">
      <alignment horizontal="center" vertical="center" wrapText="1"/>
      <protection locked="0" hidden="1"/>
    </xf>
    <xf numFmtId="0" fontId="23" fillId="13" borderId="8" xfId="1" applyNumberFormat="1" applyFont="1" applyFill="1" applyBorder="1" applyAlignment="1" applyProtection="1">
      <alignment horizontal="center" vertical="center"/>
      <protection hidden="1"/>
    </xf>
    <xf numFmtId="168" fontId="23" fillId="13" borderId="8" xfId="0" applyNumberFormat="1" applyFont="1" applyFill="1" applyBorder="1" applyAlignment="1" applyProtection="1">
      <alignment horizontal="center" vertical="center" wrapText="1"/>
      <protection locked="0" hidden="1"/>
    </xf>
    <xf numFmtId="172" fontId="22" fillId="13" borderId="47" xfId="4" applyNumberFormat="1" applyFont="1" applyFill="1" applyBorder="1" applyAlignment="1" applyProtection="1">
      <alignment horizontal="center" vertical="center"/>
      <protection locked="0" hidden="1"/>
    </xf>
    <xf numFmtId="3" fontId="22" fillId="13" borderId="47" xfId="4" applyNumberFormat="1" applyFont="1" applyFill="1" applyBorder="1" applyAlignment="1" applyProtection="1">
      <alignment horizontal="center" vertical="center"/>
      <protection locked="0" hidden="1"/>
    </xf>
    <xf numFmtId="3" fontId="23" fillId="13" borderId="47" xfId="4" applyNumberFormat="1" applyFont="1" applyFill="1" applyBorder="1" applyAlignment="1" applyProtection="1">
      <alignment horizontal="center" vertical="center"/>
      <protection locked="0" hidden="1"/>
    </xf>
    <xf numFmtId="168" fontId="23" fillId="13" borderId="47" xfId="4" applyNumberFormat="1" applyFont="1" applyFill="1" applyBorder="1" applyAlignment="1" applyProtection="1">
      <alignment horizontal="center" vertical="center"/>
      <protection locked="0" hidden="1"/>
    </xf>
    <xf numFmtId="0" fontId="46" fillId="2" borderId="2" xfId="2" applyFont="1" applyFill="1" applyBorder="1" applyAlignment="1" applyProtection="1">
      <alignment horizontal="left" vertical="center" indent="6"/>
      <protection hidden="1"/>
    </xf>
    <xf numFmtId="1" fontId="74" fillId="2" borderId="47" xfId="4" applyNumberFormat="1" applyFont="1" applyFill="1" applyBorder="1" applyAlignment="1" applyProtection="1">
      <alignment horizontal="center" vertical="center"/>
      <protection hidden="1"/>
    </xf>
    <xf numFmtId="0" fontId="58" fillId="2" borderId="50" xfId="0" applyFont="1" applyFill="1" applyBorder="1" applyAlignment="1" applyProtection="1">
      <alignment horizontal="left" vertical="center" wrapText="1" indent="6"/>
      <protection hidden="1"/>
    </xf>
    <xf numFmtId="0" fontId="58" fillId="2" borderId="48" xfId="0" applyFont="1" applyFill="1" applyBorder="1" applyAlignment="1" applyProtection="1">
      <alignment horizontal="left" vertical="center" wrapText="1" indent="6"/>
      <protection hidden="1"/>
    </xf>
    <xf numFmtId="0" fontId="58" fillId="2" borderId="53" xfId="0" applyFont="1" applyFill="1" applyBorder="1" applyAlignment="1" applyProtection="1">
      <alignment horizontal="left" vertical="center" wrapText="1" indent="6"/>
      <protection hidden="1"/>
    </xf>
    <xf numFmtId="0" fontId="58" fillId="2" borderId="49" xfId="0" applyFont="1" applyFill="1" applyBorder="1" applyAlignment="1" applyProtection="1">
      <alignment horizontal="left" vertical="center" wrapText="1" indent="6"/>
      <protection hidden="1"/>
    </xf>
    <xf numFmtId="9" fontId="67" fillId="13" borderId="2" xfId="0" applyNumberFormat="1" applyFont="1" applyFill="1" applyBorder="1" applyAlignment="1" applyProtection="1">
      <alignment horizontal="center" vertical="center"/>
      <protection locked="0" hidden="1"/>
    </xf>
    <xf numFmtId="9" fontId="67" fillId="13" borderId="46" xfId="0" applyNumberFormat="1" applyFont="1" applyFill="1" applyBorder="1" applyAlignment="1" applyProtection="1">
      <alignment horizontal="center" vertical="center"/>
      <protection locked="0" hidden="1"/>
    </xf>
    <xf numFmtId="171" fontId="67" fillId="13" borderId="2" xfId="0" applyNumberFormat="1" applyFont="1" applyFill="1" applyBorder="1" applyAlignment="1" applyProtection="1">
      <alignment horizontal="center" vertical="center"/>
      <protection locked="0" hidden="1"/>
    </xf>
    <xf numFmtId="171" fontId="67" fillId="13" borderId="46" xfId="0" applyNumberFormat="1" applyFont="1" applyFill="1" applyBorder="1" applyAlignment="1" applyProtection="1">
      <alignment horizontal="center" vertical="center"/>
      <protection locked="0" hidden="1"/>
    </xf>
    <xf numFmtId="0" fontId="65" fillId="12" borderId="47" xfId="0" applyFont="1" applyFill="1" applyBorder="1" applyAlignment="1" applyProtection="1">
      <alignment horizontal="center" vertical="center"/>
      <protection hidden="1"/>
    </xf>
    <xf numFmtId="0" fontId="67" fillId="13" borderId="2" xfId="0" applyFont="1" applyFill="1" applyBorder="1" applyAlignment="1" applyProtection="1">
      <alignment horizontal="center" vertical="center"/>
      <protection locked="0" hidden="1"/>
    </xf>
    <xf numFmtId="0" fontId="67" fillId="13" borderId="46" xfId="0" applyFont="1" applyFill="1" applyBorder="1" applyAlignment="1" applyProtection="1">
      <alignment horizontal="center" vertical="center"/>
      <protection locked="0" hidden="1"/>
    </xf>
    <xf numFmtId="0" fontId="65" fillId="12" borderId="33" xfId="0" applyFont="1" applyFill="1" applyBorder="1" applyAlignment="1" applyProtection="1">
      <alignment horizontal="center" vertical="center"/>
      <protection hidden="1"/>
    </xf>
    <xf numFmtId="0" fontId="65" fillId="12" borderId="34" xfId="0" applyFont="1" applyFill="1" applyBorder="1" applyAlignment="1" applyProtection="1">
      <alignment horizontal="center" vertical="center"/>
      <protection hidden="1"/>
    </xf>
    <xf numFmtId="0" fontId="65" fillId="12" borderId="5" xfId="0" applyFont="1" applyFill="1" applyBorder="1" applyAlignment="1" applyProtection="1">
      <alignment horizontal="center" vertical="center"/>
      <protection hidden="1"/>
    </xf>
    <xf numFmtId="3" fontId="67" fillId="13" borderId="2" xfId="1" applyNumberFormat="1" applyFont="1" applyFill="1" applyBorder="1" applyAlignment="1" applyProtection="1">
      <alignment horizontal="center" vertical="center"/>
      <protection locked="0" hidden="1"/>
    </xf>
    <xf numFmtId="3" fontId="67" fillId="13" borderId="46" xfId="1" applyNumberFormat="1" applyFont="1" applyFill="1" applyBorder="1" applyAlignment="1" applyProtection="1">
      <alignment horizontal="center" vertical="center"/>
      <protection locked="0" hidden="1"/>
    </xf>
    <xf numFmtId="0" fontId="18" fillId="9" borderId="2" xfId="0" applyFont="1" applyFill="1" applyBorder="1" applyAlignment="1" applyProtection="1">
      <alignment horizontal="left" vertical="top"/>
      <protection hidden="1"/>
    </xf>
    <xf numFmtId="0" fontId="18" fillId="9" borderId="46" xfId="0" applyFont="1" applyFill="1" applyBorder="1" applyAlignment="1" applyProtection="1">
      <alignment horizontal="left" vertical="top"/>
      <protection hidden="1"/>
    </xf>
    <xf numFmtId="0" fontId="18" fillId="9" borderId="47" xfId="0" applyFont="1" applyFill="1" applyBorder="1" applyAlignment="1" applyProtection="1">
      <alignment horizontal="left" vertical="top"/>
      <protection hidden="1"/>
    </xf>
    <xf numFmtId="171" fontId="18" fillId="9" borderId="47" xfId="0" applyNumberFormat="1" applyFont="1" applyFill="1" applyBorder="1" applyAlignment="1" applyProtection="1">
      <alignment horizontal="left" vertical="top" wrapText="1"/>
      <protection hidden="1"/>
    </xf>
    <xf numFmtId="0" fontId="5" fillId="9" borderId="47" xfId="0" applyFont="1" applyFill="1" applyBorder="1" applyAlignment="1" applyProtection="1">
      <alignment horizontal="left" vertical="top"/>
      <protection hidden="1"/>
    </xf>
    <xf numFmtId="0" fontId="2" fillId="9" borderId="47" xfId="0" applyFont="1" applyFill="1" applyBorder="1" applyAlignment="1" applyProtection="1">
      <alignment horizontal="left" vertical="top"/>
      <protection hidden="1"/>
    </xf>
    <xf numFmtId="0" fontId="2" fillId="2" borderId="0" xfId="2" applyFont="1" applyFill="1" applyAlignment="1" applyProtection="1">
      <alignment horizontal="center" vertical="center" wrapText="1"/>
      <protection hidden="1"/>
    </xf>
    <xf numFmtId="0" fontId="61" fillId="2" borderId="0" xfId="0" applyFont="1" applyFill="1" applyAlignment="1" applyProtection="1">
      <alignment horizontal="left" vertical="center" wrapText="1" indent="7"/>
      <protection hidden="1"/>
    </xf>
    <xf numFmtId="0" fontId="61" fillId="2" borderId="52" xfId="0" applyFont="1" applyFill="1" applyBorder="1" applyAlignment="1" applyProtection="1">
      <alignment horizontal="left" vertical="center" indent="7"/>
      <protection hidden="1"/>
    </xf>
    <xf numFmtId="0" fontId="61" fillId="2" borderId="0" xfId="0" applyFont="1" applyFill="1" applyAlignment="1" applyProtection="1">
      <alignment horizontal="left" vertical="center" indent="7"/>
      <protection hidden="1"/>
    </xf>
    <xf numFmtId="0" fontId="60" fillId="2" borderId="50" xfId="0" applyFont="1" applyFill="1" applyBorder="1" applyAlignment="1" applyProtection="1">
      <alignment horizontal="left" vertical="center" wrapText="1" indent="8"/>
      <protection hidden="1"/>
    </xf>
    <xf numFmtId="0" fontId="60" fillId="2" borderId="48" xfId="0" applyFont="1" applyFill="1" applyBorder="1" applyAlignment="1" applyProtection="1">
      <alignment horizontal="left" vertical="center" wrapText="1" indent="8"/>
      <protection hidden="1"/>
    </xf>
    <xf numFmtId="0" fontId="60" fillId="2" borderId="53" xfId="0" applyFont="1" applyFill="1" applyBorder="1" applyAlignment="1" applyProtection="1">
      <alignment horizontal="left" vertical="center" wrapText="1" indent="8"/>
      <protection hidden="1"/>
    </xf>
    <xf numFmtId="0" fontId="60" fillId="2" borderId="49" xfId="0" applyFont="1" applyFill="1" applyBorder="1" applyAlignment="1" applyProtection="1">
      <alignment horizontal="left" vertical="center" wrapText="1" indent="8"/>
      <protection hidden="1"/>
    </xf>
    <xf numFmtId="0" fontId="64" fillId="12" borderId="2" xfId="0" applyFont="1" applyFill="1" applyBorder="1" applyAlignment="1" applyProtection="1">
      <alignment horizontal="left" vertical="center" wrapText="1" indent="1"/>
      <protection hidden="1"/>
    </xf>
    <xf numFmtId="0" fontId="64" fillId="12" borderId="4" xfId="0" applyFont="1" applyFill="1" applyBorder="1" applyAlignment="1" applyProtection="1">
      <alignment horizontal="left" vertical="center" wrapText="1" indent="1"/>
      <protection hidden="1"/>
    </xf>
    <xf numFmtId="0" fontId="64" fillId="12" borderId="46" xfId="0" applyFont="1" applyFill="1" applyBorder="1" applyAlignment="1" applyProtection="1">
      <alignment horizontal="left" vertical="center" wrapText="1" indent="1"/>
      <protection hidden="1"/>
    </xf>
    <xf numFmtId="0" fontId="28" fillId="2" borderId="2" xfId="0" applyFont="1" applyFill="1" applyBorder="1" applyAlignment="1" applyProtection="1">
      <alignment horizontal="left" vertical="center" wrapText="1" indent="1"/>
      <protection hidden="1"/>
    </xf>
    <xf numFmtId="0" fontId="28" fillId="2" borderId="4" xfId="0" applyFont="1" applyFill="1" applyBorder="1" applyAlignment="1" applyProtection="1">
      <alignment horizontal="left" vertical="center" wrapText="1" indent="1"/>
      <protection hidden="1"/>
    </xf>
    <xf numFmtId="0" fontId="64" fillId="12" borderId="47" xfId="0" applyFont="1" applyFill="1" applyBorder="1" applyAlignment="1" applyProtection="1">
      <alignment horizontal="center" vertical="center"/>
      <protection hidden="1"/>
    </xf>
    <xf numFmtId="0" fontId="25" fillId="2" borderId="2" xfId="0" applyFont="1" applyFill="1" applyBorder="1" applyAlignment="1" applyProtection="1">
      <alignment horizontal="left" vertical="center" wrapText="1" indent="1"/>
      <protection hidden="1"/>
    </xf>
    <xf numFmtId="0" fontId="25" fillId="2" borderId="4" xfId="0" applyFont="1" applyFill="1" applyBorder="1" applyAlignment="1" applyProtection="1">
      <alignment horizontal="left" vertical="center" wrapText="1" indent="1"/>
      <protection hidden="1"/>
    </xf>
    <xf numFmtId="0" fontId="25" fillId="2" borderId="46" xfId="0" applyFont="1" applyFill="1" applyBorder="1" applyAlignment="1" applyProtection="1">
      <alignment horizontal="left" vertical="center" wrapText="1" indent="1"/>
      <protection hidden="1"/>
    </xf>
    <xf numFmtId="0" fontId="64" fillId="12" borderId="6" xfId="0" applyFont="1" applyFill="1" applyBorder="1" applyAlignment="1" applyProtection="1">
      <alignment horizontal="center" vertical="center"/>
      <protection hidden="1"/>
    </xf>
    <xf numFmtId="0" fontId="60" fillId="2" borderId="50" xfId="0" applyFont="1" applyFill="1" applyBorder="1" applyAlignment="1" applyProtection="1">
      <alignment horizontal="left" vertical="center" wrapText="1" indent="9"/>
      <protection hidden="1"/>
    </xf>
    <xf numFmtId="0" fontId="60" fillId="2" borderId="48" xfId="0" applyFont="1" applyFill="1" applyBorder="1" applyAlignment="1" applyProtection="1">
      <alignment horizontal="left" vertical="center" wrapText="1" indent="9"/>
      <protection hidden="1"/>
    </xf>
    <xf numFmtId="0" fontId="60" fillId="2" borderId="53" xfId="0" applyFont="1" applyFill="1" applyBorder="1" applyAlignment="1" applyProtection="1">
      <alignment horizontal="left" vertical="center" wrapText="1" indent="9"/>
      <protection hidden="1"/>
    </xf>
    <xf numFmtId="0" fontId="60" fillId="2" borderId="49" xfId="0" applyFont="1" applyFill="1" applyBorder="1" applyAlignment="1" applyProtection="1">
      <alignment horizontal="left" vertical="center" wrapText="1" indent="9"/>
      <protection hidden="1"/>
    </xf>
    <xf numFmtId="0" fontId="49" fillId="2" borderId="0" xfId="0" applyFont="1" applyFill="1" applyAlignment="1" applyProtection="1">
      <alignment horizontal="left" vertical="center" wrapText="1" indent="7"/>
      <protection hidden="1"/>
    </xf>
    <xf numFmtId="0" fontId="49" fillId="2" borderId="0" xfId="0" applyFont="1" applyFill="1" applyAlignment="1" applyProtection="1">
      <alignment horizontal="left" vertical="center" indent="7"/>
      <protection hidden="1"/>
    </xf>
    <xf numFmtId="0" fontId="23" fillId="2" borderId="2" xfId="2" applyFont="1" applyFill="1" applyBorder="1" applyAlignment="1" applyProtection="1">
      <alignment horizontal="left" vertical="center" wrapText="1" indent="2"/>
      <protection hidden="1"/>
    </xf>
    <xf numFmtId="0" fontId="23" fillId="2" borderId="46" xfId="2" applyFont="1" applyFill="1" applyBorder="1" applyAlignment="1" applyProtection="1">
      <alignment horizontal="left" vertical="center" wrapText="1" indent="2"/>
      <protection hidden="1"/>
    </xf>
    <xf numFmtId="0" fontId="64" fillId="12" borderId="2" xfId="0" applyFont="1" applyFill="1" applyBorder="1" applyAlignment="1" applyProtection="1">
      <alignment horizontal="left" vertical="center" indent="1"/>
      <protection hidden="1"/>
    </xf>
    <xf numFmtId="0" fontId="64" fillId="12" borderId="4" xfId="0" applyFont="1" applyFill="1" applyBorder="1" applyAlignment="1" applyProtection="1">
      <alignment horizontal="left" vertical="center" indent="1"/>
      <protection hidden="1"/>
    </xf>
    <xf numFmtId="0" fontId="64" fillId="12" borderId="46" xfId="0" applyFont="1" applyFill="1" applyBorder="1" applyAlignment="1" applyProtection="1">
      <alignment horizontal="left" vertical="center" indent="1"/>
      <protection hidden="1"/>
    </xf>
    <xf numFmtId="0" fontId="62" fillId="2" borderId="0" xfId="0" applyFont="1" applyFill="1" applyAlignment="1" applyProtection="1">
      <alignment horizontal="left" vertical="center" wrapText="1" indent="7"/>
      <protection hidden="1"/>
    </xf>
    <xf numFmtId="0" fontId="62" fillId="2" borderId="0" xfId="0" applyFont="1" applyFill="1" applyAlignment="1" applyProtection="1">
      <alignment horizontal="left" vertical="center" indent="7"/>
      <protection hidden="1"/>
    </xf>
    <xf numFmtId="0" fontId="57" fillId="2" borderId="0" xfId="0" applyFont="1" applyFill="1" applyAlignment="1" applyProtection="1">
      <alignment horizontal="left" vertical="center" wrapText="1" indent="7"/>
      <protection hidden="1"/>
    </xf>
    <xf numFmtId="0" fontId="57" fillId="2" borderId="0" xfId="0" applyFont="1" applyFill="1" applyAlignment="1" applyProtection="1">
      <alignment horizontal="left" vertical="center" indent="7"/>
      <protection hidden="1"/>
    </xf>
    <xf numFmtId="0" fontId="64" fillId="15" borderId="2" xfId="0" applyFont="1" applyFill="1" applyBorder="1" applyAlignment="1" applyProtection="1">
      <alignment horizontal="left"/>
      <protection hidden="1"/>
    </xf>
    <xf numFmtId="0" fontId="64" fillId="15" borderId="46" xfId="0" applyFont="1" applyFill="1" applyBorder="1" applyAlignment="1" applyProtection="1">
      <alignment horizontal="left"/>
      <protection hidden="1"/>
    </xf>
    <xf numFmtId="0" fontId="64" fillId="15" borderId="47" xfId="0" applyFont="1" applyFill="1" applyBorder="1" applyAlignment="1" applyProtection="1">
      <alignment horizontal="center" vertical="center"/>
      <protection hidden="1"/>
    </xf>
    <xf numFmtId="4" fontId="9" fillId="8" borderId="20" xfId="0" applyNumberFormat="1" applyFont="1" applyFill="1" applyBorder="1" applyAlignment="1" applyProtection="1">
      <alignment horizontal="center" vertical="center" wrapText="1"/>
      <protection hidden="1"/>
    </xf>
    <xf numFmtId="4" fontId="9" fillId="8" borderId="21" xfId="0" applyNumberFormat="1" applyFont="1" applyFill="1" applyBorder="1" applyAlignment="1" applyProtection="1">
      <alignment horizontal="center" vertical="center" wrapText="1"/>
      <protection hidden="1"/>
    </xf>
    <xf numFmtId="4" fontId="9" fillId="8" borderId="22" xfId="0" applyNumberFormat="1" applyFont="1" applyFill="1" applyBorder="1" applyAlignment="1" applyProtection="1">
      <alignment horizontal="center" vertical="center" wrapText="1"/>
      <protection hidden="1"/>
    </xf>
    <xf numFmtId="4" fontId="2" fillId="8" borderId="9" xfId="0" applyNumberFormat="1" applyFont="1" applyFill="1" applyBorder="1" applyAlignment="1" applyProtection="1">
      <alignment horizontal="center" vertical="center" wrapText="1"/>
      <protection hidden="1"/>
    </xf>
    <xf numFmtId="4" fontId="2" fillId="8" borderId="23" xfId="0" applyNumberFormat="1" applyFont="1" applyFill="1" applyBorder="1" applyAlignment="1" applyProtection="1">
      <alignment horizontal="center" vertical="center" wrapText="1"/>
      <protection hidden="1"/>
    </xf>
    <xf numFmtId="0" fontId="2" fillId="8" borderId="9" xfId="0" applyFont="1" applyFill="1" applyBorder="1" applyProtection="1">
      <protection hidden="1"/>
    </xf>
    <xf numFmtId="0" fontId="2" fillId="8" borderId="10" xfId="0" applyFont="1" applyFill="1" applyBorder="1" applyProtection="1">
      <protection hidden="1"/>
    </xf>
    <xf numFmtId="0" fontId="2" fillId="8" borderId="11" xfId="0" applyFont="1" applyFill="1" applyBorder="1" applyProtection="1">
      <protection hidden="1"/>
    </xf>
    <xf numFmtId="0" fontId="2" fillId="8" borderId="13" xfId="0" applyFont="1" applyFill="1" applyBorder="1" applyProtection="1">
      <protection hidden="1"/>
    </xf>
    <xf numFmtId="0" fontId="2" fillId="8" borderId="3" xfId="0" applyFont="1" applyFill="1" applyBorder="1" applyProtection="1">
      <protection hidden="1"/>
    </xf>
    <xf numFmtId="0" fontId="2" fillId="8" borderId="1" xfId="0" applyFont="1" applyFill="1" applyBorder="1" applyProtection="1">
      <protection hidden="1"/>
    </xf>
    <xf numFmtId="0" fontId="2" fillId="8" borderId="14" xfId="0" applyFont="1" applyFill="1" applyBorder="1" applyProtection="1">
      <protection hidden="1"/>
    </xf>
    <xf numFmtId="0" fontId="2" fillId="8" borderId="15" xfId="0" applyFont="1" applyFill="1" applyBorder="1" applyProtection="1">
      <protection hidden="1"/>
    </xf>
    <xf numFmtId="0" fontId="2" fillId="8" borderId="16" xfId="0" applyFont="1" applyFill="1" applyBorder="1" applyProtection="1">
      <protection hidden="1"/>
    </xf>
    <xf numFmtId="1" fontId="2" fillId="8" borderId="9" xfId="0" applyNumberFormat="1" applyFont="1" applyFill="1" applyBorder="1" applyAlignment="1" applyProtection="1">
      <alignment horizontal="center" vertical="center" wrapText="1"/>
      <protection hidden="1"/>
    </xf>
    <xf numFmtId="1" fontId="2" fillId="8" borderId="14" xfId="0" applyNumberFormat="1" applyFont="1" applyFill="1" applyBorder="1" applyAlignment="1" applyProtection="1">
      <alignment horizontal="center" vertical="center" wrapText="1"/>
      <protection hidden="1"/>
    </xf>
    <xf numFmtId="1" fontId="2" fillId="8" borderId="18" xfId="0" applyNumberFormat="1" applyFont="1" applyFill="1" applyBorder="1" applyAlignment="1" applyProtection="1">
      <alignment horizontal="center" vertical="center" wrapText="1"/>
      <protection hidden="1"/>
    </xf>
    <xf numFmtId="1" fontId="2" fillId="8" borderId="24" xfId="0" applyNumberFormat="1" applyFont="1" applyFill="1" applyBorder="1" applyAlignment="1" applyProtection="1">
      <alignment horizontal="center" vertical="center" wrapText="1"/>
      <protection hidden="1"/>
    </xf>
    <xf numFmtId="2" fontId="2" fillId="8" borderId="19" xfId="0" applyNumberFormat="1" applyFont="1" applyFill="1" applyBorder="1" applyAlignment="1" applyProtection="1">
      <alignment horizontal="center" vertical="center" wrapText="1"/>
      <protection hidden="1"/>
    </xf>
    <xf numFmtId="2" fontId="2" fillId="8" borderId="25" xfId="0" applyNumberFormat="1" applyFont="1" applyFill="1" applyBorder="1" applyAlignment="1" applyProtection="1">
      <alignment horizontal="center" vertical="center" wrapText="1"/>
      <protection hidden="1"/>
    </xf>
  </cellXfs>
  <cellStyles count="7">
    <cellStyle name="Excel Built-in Normal" xfId="5" xr:uid="{00000000-0005-0000-0000-000000000000}"/>
    <cellStyle name="Обычный" xfId="0" builtinId="0"/>
    <cellStyle name="Обычный 2" xfId="2" xr:uid="{00000000-0005-0000-0000-000002000000}"/>
    <cellStyle name="Обычный 2 2" xfId="6" xr:uid="{00000000-0005-0000-0000-000003000000}"/>
    <cellStyle name="Процентный" xfId="3" builtinId="5"/>
    <cellStyle name="Процентный 2" xfId="4" xr:uid="{00000000-0005-0000-0000-000005000000}"/>
    <cellStyle name="Финансовый" xfId="1" builtinId="3"/>
  </cellStyles>
  <dxfs count="15">
    <dxf>
      <font>
        <condense val="0"/>
        <extend val="0"/>
        <color indexed="22"/>
      </font>
      <fill>
        <patternFill patternType="solid">
          <bgColor indexed="22"/>
        </patternFill>
      </fill>
      <border>
        <left/>
        <right/>
        <top/>
        <bottom/>
      </border>
    </dxf>
    <dxf>
      <font>
        <color theme="0"/>
      </font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</dxf>
    <dxf>
      <numFmt numFmtId="172" formatCode="#,##0\ &quot;₽&quot;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theme="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3D9DE"/>
      <color rgb="FF9D4555"/>
      <color rgb="FF59FBFF"/>
      <color rgb="FF2880FF"/>
      <color rgb="FFFD8D03"/>
      <color rgb="FF0743FA"/>
      <color rgb="FF743708"/>
      <color rgb="FFA2E679"/>
      <color rgb="FFEA7D92"/>
      <color rgb="FFDDE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8500544706098819"/>
          <c:y val="6.5786935625561968E-2"/>
          <c:w val="0.49723243977072162"/>
          <c:h val="0.7605025654852859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Гантта!$C$2</c:f>
              <c:strCache>
                <c:ptCount val="1"/>
                <c:pt idx="0">
                  <c:v> Дней до задачи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Lato Light" panose="020F0502020204030203" pitchFamily="34" charset="0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Гантта!$B$3:$B$13</c:f>
              <c:strCache>
                <c:ptCount val="11"/>
                <c:pt idx="0">
                  <c:v>Открытие точки, старт работы</c:v>
                </c:pt>
                <c:pt idx="1">
                  <c:v>Техническое открытие</c:v>
                </c:pt>
                <c:pt idx="2">
                  <c:v>Формирование первичных запасов товара и расходных материалов</c:v>
                </c:pt>
                <c:pt idx="3">
                  <c:v>Обучение персонала</c:v>
                </c:pt>
                <c:pt idx="4">
                  <c:v>Заказ, доставка и монтаж оборудования и мебели</c:v>
                </c:pt>
                <c:pt idx="5">
                  <c:v>Ремонт и оформление помещения</c:v>
                </c:pt>
                <c:pt idx="6">
                  <c:v>Реклама</c:v>
                </c:pt>
                <c:pt idx="7">
                  <c:v>Поиск персонала</c:v>
                </c:pt>
                <c:pt idx="8">
                  <c:v>Поиск помещения, подписание договора аренды</c:v>
                </c:pt>
                <c:pt idx="9">
                  <c:v>Обучение Франчайзи</c:v>
                </c:pt>
                <c:pt idx="10">
                  <c:v>Заключение договора франчайзинга, подписание договора</c:v>
                </c:pt>
              </c:strCache>
            </c:strRef>
          </c:cat>
          <c:val>
            <c:numRef>
              <c:f>Гантта!$C$3:$C$13</c:f>
              <c:numCache>
                <c:formatCode>General</c:formatCode>
                <c:ptCount val="11"/>
                <c:pt idx="0">
                  <c:v>53</c:v>
                </c:pt>
                <c:pt idx="1">
                  <c:v>50</c:v>
                </c:pt>
                <c:pt idx="2">
                  <c:v>36</c:v>
                </c:pt>
                <c:pt idx="3">
                  <c:v>36</c:v>
                </c:pt>
                <c:pt idx="4">
                  <c:v>36</c:v>
                </c:pt>
                <c:pt idx="5">
                  <c:v>36</c:v>
                </c:pt>
                <c:pt idx="6">
                  <c:v>24</c:v>
                </c:pt>
                <c:pt idx="7">
                  <c:v>22</c:v>
                </c:pt>
                <c:pt idx="8">
                  <c:v>22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52-491B-8963-CE1DB616D7EA}"/>
            </c:ext>
          </c:extLst>
        </c:ser>
        <c:ser>
          <c:idx val="1"/>
          <c:order val="1"/>
          <c:tx>
            <c:strRef>
              <c:f>Гантта!$D$2</c:f>
              <c:strCache>
                <c:ptCount val="1"/>
                <c:pt idx="0">
                  <c:v> Дней на задачу</c:v>
                </c:pt>
              </c:strCache>
            </c:strRef>
          </c:tx>
          <c:spPr>
            <a:solidFill>
              <a:srgbClr val="E3D9DE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3627367939605008E-2"/>
                  <c:y val="-2.66666722659669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6D-4C7E-9D2E-AD34EC0E3051}"/>
                </c:ext>
              </c:extLst>
            </c:dLbl>
            <c:dLbl>
              <c:idx val="1"/>
              <c:layout>
                <c:manualLayout>
                  <c:x val="-1.2491609640497405E-1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6D-4C7E-9D2E-AD34EC0E3051}"/>
                </c:ext>
              </c:extLst>
            </c:dLbl>
            <c:dLbl>
              <c:idx val="7"/>
              <c:layout>
                <c:manualLayout>
                  <c:x val="-5.110262977352003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E0-4C2F-A36A-FF3026F654D3}"/>
                </c:ext>
              </c:extLst>
            </c:dLbl>
            <c:dLbl>
              <c:idx val="8"/>
              <c:layout>
                <c:manualLayout>
                  <c:x val="-3.406841984901376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79-4AF5-AA37-189612995D54}"/>
                </c:ext>
              </c:extLst>
            </c:dLbl>
            <c:dLbl>
              <c:idx val="10"/>
              <c:layout>
                <c:manualLayout>
                  <c:x val="1.8737630916956887E-2"/>
                  <c:y val="2.666667226596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6D-4C7E-9D2E-AD34EC0E30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Lato Light" panose="020F0502020204030203" pitchFamily="34" charset="0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Гантта!$B$3:$B$13</c:f>
              <c:strCache>
                <c:ptCount val="11"/>
                <c:pt idx="0">
                  <c:v>Открытие точки, старт работы</c:v>
                </c:pt>
                <c:pt idx="1">
                  <c:v>Техническое открытие</c:v>
                </c:pt>
                <c:pt idx="2">
                  <c:v>Формирование первичных запасов товара и расходных материалов</c:v>
                </c:pt>
                <c:pt idx="3">
                  <c:v>Обучение персонала</c:v>
                </c:pt>
                <c:pt idx="4">
                  <c:v>Заказ, доставка и монтаж оборудования и мебели</c:v>
                </c:pt>
                <c:pt idx="5">
                  <c:v>Ремонт и оформление помещения</c:v>
                </c:pt>
                <c:pt idx="6">
                  <c:v>Реклама</c:v>
                </c:pt>
                <c:pt idx="7">
                  <c:v>Поиск персонала</c:v>
                </c:pt>
                <c:pt idx="8">
                  <c:v>Поиск помещения, подписание договора аренды</c:v>
                </c:pt>
                <c:pt idx="9">
                  <c:v>Обучение Франчайзи</c:v>
                </c:pt>
                <c:pt idx="10">
                  <c:v>Заключение договора франчайзинга, подписание договора</c:v>
                </c:pt>
              </c:strCache>
            </c:strRef>
          </c:cat>
          <c:val>
            <c:numRef>
              <c:f>Гантта!$D$3:$D$13</c:f>
              <c:numCache>
                <c:formatCode>General</c:formatCode>
                <c:ptCount val="11"/>
                <c:pt idx="0">
                  <c:v>1</c:v>
                </c:pt>
                <c:pt idx="1">
                  <c:v>3</c:v>
                </c:pt>
                <c:pt idx="2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30</c:v>
                </c:pt>
                <c:pt idx="7">
                  <c:v>14</c:v>
                </c:pt>
                <c:pt idx="8">
                  <c:v>14</c:v>
                </c:pt>
                <c:pt idx="9">
                  <c:v>21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52-491B-8963-CE1DB616D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359104"/>
        <c:axId val="113373184"/>
      </c:barChart>
      <c:catAx>
        <c:axId val="113359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Lato Light" panose="020F0502020204030203" pitchFamily="34" charset="0"/>
                <a:cs typeface="Times New Roman" panose="02020603050405020304" pitchFamily="18" charset="0"/>
              </a:defRPr>
            </a:pPr>
            <a:endParaRPr lang="ru-RU"/>
          </a:p>
        </c:txPr>
        <c:crossAx val="113373184"/>
        <c:crosses val="autoZero"/>
        <c:auto val="1"/>
        <c:lblAlgn val="ctr"/>
        <c:lblOffset val="100"/>
        <c:noMultiLvlLbl val="0"/>
      </c:catAx>
      <c:valAx>
        <c:axId val="113373184"/>
        <c:scaling>
          <c:orientation val="minMax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Lato Light" panose="020F0502020204030203" pitchFamily="34" charset="0"/>
                <a:cs typeface="Times New Roman" panose="02020603050405020304" pitchFamily="18" charset="0"/>
              </a:defRPr>
            </a:pPr>
            <a:endParaRPr lang="ru-RU"/>
          </a:p>
        </c:txPr>
        <c:crossAx val="11335910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Lato Light" panose="020F0502020204030203" pitchFamily="34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Times New Roman" panose="02020603050405020304" pitchFamily="18" charset="0"/>
          <a:ea typeface="Lato Light" panose="020F0502020204030203" pitchFamily="34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53551702566017134"/>
          <c:y val="8.2224183338365425E-2"/>
          <c:w val="0.44321222762660006"/>
          <c:h val="0.8380033140208039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Гантта!$C$2</c:f>
              <c:strCache>
                <c:ptCount val="1"/>
                <c:pt idx="0">
                  <c:v> Дней до задачи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8.1841166699831509E-4"/>
                  <c:y val="-3.6132986538319033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74-4926-81AE-5AC67470F3A8}"/>
                </c:ext>
              </c:extLst>
            </c:dLbl>
            <c:dLbl>
              <c:idx val="8"/>
              <c:layout>
                <c:manualLayout>
                  <c:x val="-1.1280549361383237E-2"/>
                  <c:y val="7.030326695473924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74-4926-81AE-5AC67470F3A8}"/>
                </c:ext>
              </c:extLst>
            </c:dLbl>
            <c:dLbl>
              <c:idx val="9"/>
              <c:layout>
                <c:manualLayout>
                  <c:x val="-1.1140050657910296E-2"/>
                  <c:y val="6.472116768578135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AE-496C-9A74-4E88D120CC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Lato Light" panose="020F0502020204030203" pitchFamily="34" charset="0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Гантта!$B$3:$B$13</c:f>
              <c:strCache>
                <c:ptCount val="11"/>
                <c:pt idx="0">
                  <c:v>Открытие точки, старт работы</c:v>
                </c:pt>
                <c:pt idx="1">
                  <c:v>Техническое открытие</c:v>
                </c:pt>
                <c:pt idx="2">
                  <c:v>Формирование первичных запасов товара и расходных материалов</c:v>
                </c:pt>
                <c:pt idx="3">
                  <c:v>Обучение персонала</c:v>
                </c:pt>
                <c:pt idx="4">
                  <c:v>Заказ, доставка и монтаж оборудования и мебели</c:v>
                </c:pt>
                <c:pt idx="5">
                  <c:v>Ремонт и оформление помещения</c:v>
                </c:pt>
                <c:pt idx="6">
                  <c:v>Реклама</c:v>
                </c:pt>
                <c:pt idx="7">
                  <c:v>Поиск персонала</c:v>
                </c:pt>
                <c:pt idx="8">
                  <c:v>Поиск помещения, подписание договора аренды</c:v>
                </c:pt>
                <c:pt idx="9">
                  <c:v>Обучение Франчайзи</c:v>
                </c:pt>
                <c:pt idx="10">
                  <c:v>Заключение договора франчайзинга, подписание договора</c:v>
                </c:pt>
              </c:strCache>
            </c:strRef>
          </c:cat>
          <c:val>
            <c:numRef>
              <c:f>Гантта!$C$3:$C$13</c:f>
              <c:numCache>
                <c:formatCode>General</c:formatCode>
                <c:ptCount val="11"/>
                <c:pt idx="0">
                  <c:v>53</c:v>
                </c:pt>
                <c:pt idx="1">
                  <c:v>50</c:v>
                </c:pt>
                <c:pt idx="2">
                  <c:v>36</c:v>
                </c:pt>
                <c:pt idx="3">
                  <c:v>36</c:v>
                </c:pt>
                <c:pt idx="4">
                  <c:v>36</c:v>
                </c:pt>
                <c:pt idx="5">
                  <c:v>36</c:v>
                </c:pt>
                <c:pt idx="6">
                  <c:v>24</c:v>
                </c:pt>
                <c:pt idx="7">
                  <c:v>22</c:v>
                </c:pt>
                <c:pt idx="8">
                  <c:v>22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6-43AB-8568-B4359D81562A}"/>
            </c:ext>
          </c:extLst>
        </c:ser>
        <c:ser>
          <c:idx val="1"/>
          <c:order val="1"/>
          <c:tx>
            <c:strRef>
              <c:f>Гантта!$D$2</c:f>
              <c:strCache>
                <c:ptCount val="1"/>
                <c:pt idx="0">
                  <c:v> Дней на задачу</c:v>
                </c:pt>
              </c:strCache>
            </c:strRef>
          </c:tx>
          <c:spPr>
            <a:solidFill>
              <a:srgbClr val="E3D9DE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6426753808375019E-2"/>
                  <c:y val="1.91586485119834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E6-43AB-8568-B4359D81562A}"/>
                </c:ext>
              </c:extLst>
            </c:dLbl>
            <c:dLbl>
              <c:idx val="1"/>
              <c:layout>
                <c:manualLayout>
                  <c:x val="1.9043454752936206E-3"/>
                  <c:y val="2.780402692948617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7F-406D-8D72-67AA8BFDDEB2}"/>
                </c:ext>
              </c:extLst>
            </c:dLbl>
            <c:dLbl>
              <c:idx val="5"/>
              <c:layout>
                <c:manualLayout>
                  <c:x val="-9.4535437506919308E-17"/>
                  <c:y val="1.871364169550897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2A-43FC-8CF5-636BEF8173E2}"/>
                </c:ext>
              </c:extLst>
            </c:dLbl>
            <c:dLbl>
              <c:idx val="7"/>
              <c:layout>
                <c:manualLayout>
                  <c:x val="1.2345680212469223E-3"/>
                  <c:y val="-1.12046339035206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C8-45C0-908E-B66BE9B51B1F}"/>
                </c:ext>
              </c:extLst>
            </c:dLbl>
            <c:dLbl>
              <c:idx val="8"/>
              <c:layout>
                <c:manualLayout>
                  <c:x val="1.6809567105041099E-3"/>
                  <c:y val="3.742728339101573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05-4F88-8039-C3947ECAD8E6}"/>
                </c:ext>
              </c:extLst>
            </c:dLbl>
            <c:dLbl>
              <c:idx val="9"/>
              <c:layout>
                <c:manualLayout>
                  <c:x val="1.4295033954995038E-2"/>
                  <c:y val="1.77874300771786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20-4B17-91BA-DC5CC4C51233}"/>
                </c:ext>
              </c:extLst>
            </c:dLbl>
            <c:dLbl>
              <c:idx val="10"/>
              <c:layout>
                <c:manualLayout>
                  <c:x val="1.2903525742239486E-2"/>
                  <c:y val="1.54823185444425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AE-496C-9A74-4E88D120CC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sz="13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Lato Light" panose="020F0502020204030203" pitchFamily="34" charset="0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Гантта!$B$3:$B$13</c:f>
              <c:strCache>
                <c:ptCount val="11"/>
                <c:pt idx="0">
                  <c:v>Открытие точки, старт работы</c:v>
                </c:pt>
                <c:pt idx="1">
                  <c:v>Техническое открытие</c:v>
                </c:pt>
                <c:pt idx="2">
                  <c:v>Формирование первичных запасов товара и расходных материалов</c:v>
                </c:pt>
                <c:pt idx="3">
                  <c:v>Обучение персонала</c:v>
                </c:pt>
                <c:pt idx="4">
                  <c:v>Заказ, доставка и монтаж оборудования и мебели</c:v>
                </c:pt>
                <c:pt idx="5">
                  <c:v>Ремонт и оформление помещения</c:v>
                </c:pt>
                <c:pt idx="6">
                  <c:v>Реклама</c:v>
                </c:pt>
                <c:pt idx="7">
                  <c:v>Поиск персонала</c:v>
                </c:pt>
                <c:pt idx="8">
                  <c:v>Поиск помещения, подписание договора аренды</c:v>
                </c:pt>
                <c:pt idx="9">
                  <c:v>Обучение Франчайзи</c:v>
                </c:pt>
                <c:pt idx="10">
                  <c:v>Заключение договора франчайзинга, подписание договора</c:v>
                </c:pt>
              </c:strCache>
            </c:strRef>
          </c:cat>
          <c:val>
            <c:numRef>
              <c:f>Гантта!$D$3:$D$13</c:f>
              <c:numCache>
                <c:formatCode>General</c:formatCode>
                <c:ptCount val="11"/>
                <c:pt idx="0">
                  <c:v>1</c:v>
                </c:pt>
                <c:pt idx="1">
                  <c:v>3</c:v>
                </c:pt>
                <c:pt idx="2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30</c:v>
                </c:pt>
                <c:pt idx="7">
                  <c:v>14</c:v>
                </c:pt>
                <c:pt idx="8">
                  <c:v>14</c:v>
                </c:pt>
                <c:pt idx="9">
                  <c:v>21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E6-43AB-8568-B4359D815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920064"/>
        <c:axId val="114930048"/>
      </c:barChart>
      <c:catAx>
        <c:axId val="114920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Lato Light" panose="020F0502020204030203" pitchFamily="34" charset="0"/>
                <a:cs typeface="Times New Roman" panose="02020603050405020304" pitchFamily="18" charset="0"/>
              </a:defRPr>
            </a:pPr>
            <a:endParaRPr lang="ru-RU"/>
          </a:p>
        </c:txPr>
        <c:crossAx val="114930048"/>
        <c:crosses val="autoZero"/>
        <c:auto val="1"/>
        <c:lblAlgn val="ctr"/>
        <c:lblOffset val="100"/>
        <c:noMultiLvlLbl val="0"/>
      </c:catAx>
      <c:valAx>
        <c:axId val="114930048"/>
        <c:scaling>
          <c:orientation val="minMax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Lato Light" panose="020F0502020204030203" pitchFamily="34" charset="0"/>
                <a:cs typeface="Times New Roman" panose="02020603050405020304" pitchFamily="18" charset="0"/>
              </a:defRPr>
            </a:pPr>
            <a:endParaRPr lang="ru-RU"/>
          </a:p>
        </c:txPr>
        <c:crossAx val="114920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Lato Light" panose="020F0502020204030203" pitchFamily="34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300">
          <a:solidFill>
            <a:sysClr val="windowText" lastClr="000000"/>
          </a:solidFill>
          <a:latin typeface="Times New Roman" panose="02020603050405020304" pitchFamily="18" charset="0"/>
          <a:ea typeface="Lato Light" panose="020F0502020204030203" pitchFamily="34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Динамика прибыли по проекту (нарастающий итог)</a:t>
            </a:r>
          </a:p>
        </c:rich>
      </c:tx>
      <c:overlay val="0"/>
    </c:title>
    <c:autoTitleDeleted val="0"/>
    <c:view3D>
      <c:rotX val="5"/>
      <c:rotY val="0"/>
      <c:rAngAx val="0"/>
      <c:perspective val="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3.7463809696873691E-2"/>
          <c:y val="0.12230882911890241"/>
          <c:w val="0.95431925470792289"/>
          <c:h val="0.7177306377510887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'Прибыль и окупаемость'!$C$38</c:f>
              <c:strCache>
                <c:ptCount val="1"/>
                <c:pt idx="0">
                  <c:v>Чистая прибыль нарастающим итогом</c:v>
                </c:pt>
              </c:strCache>
            </c:strRef>
          </c:tx>
          <c:spPr>
            <a:solidFill>
              <a:srgbClr val="E3D9DE"/>
            </a:solidFill>
            <a:ln>
              <a:solidFill>
                <a:schemeClr val="bg1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balanced" dir="t"/>
            </a:scene3d>
            <a:sp3d prstMaterial="softEdge">
              <a:bevelT w="114300" prst="artDeco"/>
              <a:bevelB/>
              <a:contourClr>
                <a:srgbClr val="000000"/>
              </a:contourClr>
            </a:sp3d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3-77F5-4724-9113-F23176E2CDFF}"/>
              </c:ext>
            </c:extLst>
          </c:dPt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1616-4FFE-81BB-751C36BAF96F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5-5ED7-4229-B23A-BDC9C937E51A}"/>
              </c:ext>
            </c:extLst>
          </c:dPt>
          <c:dLbls>
            <c:numFmt formatCode="#,##0\ &quot;₽&quot;" sourceLinked="0"/>
            <c:spPr>
              <a:noFill/>
              <a:ln>
                <a:noFill/>
              </a:ln>
              <a:effectLst/>
            </c:spPr>
            <c:txPr>
              <a:bodyPr rot="-2100000"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'Прибыль и окупаемость'!$D$8:$AA$8</c:f>
              <c:numCache>
                <c:formatCode>[$-419]mmmm;@</c:formatCode>
                <c:ptCount val="24"/>
                <c:pt idx="0">
                  <c:v>44562</c:v>
                </c:pt>
                <c:pt idx="1">
                  <c:v>44593</c:v>
                </c:pt>
                <c:pt idx="2">
                  <c:v>44624</c:v>
                </c:pt>
                <c:pt idx="3">
                  <c:v>44655</c:v>
                </c:pt>
                <c:pt idx="4">
                  <c:v>44686</c:v>
                </c:pt>
                <c:pt idx="5">
                  <c:v>44717</c:v>
                </c:pt>
                <c:pt idx="6">
                  <c:v>44748</c:v>
                </c:pt>
                <c:pt idx="7">
                  <c:v>44779</c:v>
                </c:pt>
                <c:pt idx="8">
                  <c:v>44810</c:v>
                </c:pt>
                <c:pt idx="9">
                  <c:v>44841</c:v>
                </c:pt>
                <c:pt idx="10">
                  <c:v>44872</c:v>
                </c:pt>
                <c:pt idx="11">
                  <c:v>44903</c:v>
                </c:pt>
                <c:pt idx="12">
                  <c:v>44934</c:v>
                </c:pt>
                <c:pt idx="13">
                  <c:v>44965</c:v>
                </c:pt>
                <c:pt idx="14">
                  <c:v>44996</c:v>
                </c:pt>
                <c:pt idx="15">
                  <c:v>45027</c:v>
                </c:pt>
                <c:pt idx="16">
                  <c:v>45058</c:v>
                </c:pt>
                <c:pt idx="17">
                  <c:v>45089</c:v>
                </c:pt>
                <c:pt idx="18">
                  <c:v>45120</c:v>
                </c:pt>
                <c:pt idx="19">
                  <c:v>45151</c:v>
                </c:pt>
                <c:pt idx="20">
                  <c:v>45182</c:v>
                </c:pt>
                <c:pt idx="21">
                  <c:v>45213</c:v>
                </c:pt>
                <c:pt idx="22">
                  <c:v>45244</c:v>
                </c:pt>
                <c:pt idx="23">
                  <c:v>45275</c:v>
                </c:pt>
              </c:numCache>
            </c:numRef>
          </c:cat>
          <c:val>
            <c:numRef>
              <c:f>'Прибыль и окупаемость'!$D$38:$AA$38</c:f>
              <c:numCache>
                <c:formatCode>#\ ##0\ "₽"</c:formatCode>
                <c:ptCount val="24"/>
                <c:pt idx="0">
                  <c:v>83719.467222222185</c:v>
                </c:pt>
                <c:pt idx="1">
                  <c:v>72694.351444444328</c:v>
                </c:pt>
                <c:pt idx="2">
                  <c:v>297762.43616666662</c:v>
                </c:pt>
                <c:pt idx="3">
                  <c:v>522830.52088888892</c:v>
                </c:pt>
                <c:pt idx="4">
                  <c:v>747898.60561111127</c:v>
                </c:pt>
                <c:pt idx="5">
                  <c:v>972966.69033333356</c:v>
                </c:pt>
                <c:pt idx="6">
                  <c:v>1318890.4875555558</c:v>
                </c:pt>
                <c:pt idx="7">
                  <c:v>1664814.284777778</c:v>
                </c:pt>
                <c:pt idx="8">
                  <c:v>2010738.0820000002</c:v>
                </c:pt>
                <c:pt idx="9">
                  <c:v>2456974.9117222223</c:v>
                </c:pt>
                <c:pt idx="10">
                  <c:v>2963729.5339444447</c:v>
                </c:pt>
                <c:pt idx="11">
                  <c:v>3752170.6936666667</c:v>
                </c:pt>
                <c:pt idx="12">
                  <c:v>4419756.1408888893</c:v>
                </c:pt>
                <c:pt idx="13">
                  <c:v>4728121.7331111114</c:v>
                </c:pt>
                <c:pt idx="14">
                  <c:v>5456045.100333333</c:v>
                </c:pt>
                <c:pt idx="15">
                  <c:v>5962799.7225555554</c:v>
                </c:pt>
                <c:pt idx="16">
                  <c:v>6469554.3447777778</c:v>
                </c:pt>
                <c:pt idx="17">
                  <c:v>6976308.9670000002</c:v>
                </c:pt>
                <c:pt idx="18">
                  <c:v>7483063.5892222226</c:v>
                </c:pt>
                <c:pt idx="19">
                  <c:v>7929300.4189444445</c:v>
                </c:pt>
                <c:pt idx="20">
                  <c:v>8275224.2161666667</c:v>
                </c:pt>
                <c:pt idx="21">
                  <c:v>8781978.83838889</c:v>
                </c:pt>
                <c:pt idx="22">
                  <c:v>9349251.2531111129</c:v>
                </c:pt>
                <c:pt idx="23">
                  <c:v>10137692.412833335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solidFill>
                      <a:schemeClr val="bg1"/>
                    </a:solidFill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/>
                    <a:lightRig rig="balanced" dir="t"/>
                  </a:scene3d>
                  <a:sp3d prstMaterial="softEdge">
                    <a:bevelT w="114300" prst="artDeco"/>
                    <a:bevelB/>
                    <a:contourClr>
                      <a:srgbClr val="000000"/>
                    </a:contourClr>
                  </a:sp3d>
                </c14:spPr>
              </c14:invertSolidFillFmt>
            </c:ext>
            <c:ext xmlns:c16="http://schemas.microsoft.com/office/drawing/2014/chart" uri="{C3380CC4-5D6E-409C-BE32-E72D297353CC}">
              <c16:uniqueId val="{0000001D-5D9E-4F91-88A4-8839C9CA68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6"/>
        <c:gapDepth val="36"/>
        <c:shape val="cylinder"/>
        <c:axId val="114457216"/>
        <c:axId val="114476544"/>
        <c:axId val="0"/>
      </c:bar3DChart>
      <c:catAx>
        <c:axId val="114457216"/>
        <c:scaling>
          <c:orientation val="minMax"/>
        </c:scaling>
        <c:delete val="1"/>
        <c:axPos val="b"/>
        <c:majorGridlines>
          <c:spPr>
            <a:ln>
              <a:noFill/>
            </a:ln>
          </c:spPr>
        </c:majorGridlines>
        <c:numFmt formatCode="[$-419]mmmm;@" sourceLinked="1"/>
        <c:majorTickMark val="out"/>
        <c:minorTickMark val="out"/>
        <c:tickLblPos val="none"/>
        <c:crossAx val="114476544"/>
        <c:crosses val="autoZero"/>
        <c:auto val="0"/>
        <c:lblAlgn val="ctr"/>
        <c:lblOffset val="10"/>
        <c:tickLblSkip val="1"/>
        <c:noMultiLvlLbl val="0"/>
      </c:catAx>
      <c:valAx>
        <c:axId val="11447654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\ &quot;₽&quot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14457216"/>
        <c:crosses val="autoZero"/>
        <c:crossBetween val="between"/>
      </c:valAx>
      <c:dTable>
        <c:showHorzBorder val="1"/>
        <c:showVertBorder val="1"/>
        <c:showOutline val="1"/>
        <c:showKeys val="0"/>
      </c:dTable>
    </c:plotArea>
    <c:plotVisOnly val="1"/>
    <c:dispBlanksAs val="gap"/>
    <c:showDLblsOverMax val="0"/>
  </c:chart>
  <c:spPr>
    <a:noFill/>
    <a:ln>
      <a:noFill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485775</xdr:colOff>
      <xdr:row>2</xdr:row>
      <xdr:rowOff>28576</xdr:rowOff>
    </xdr:from>
    <xdr:to>
      <xdr:col>7</xdr:col>
      <xdr:colOff>785800</xdr:colOff>
      <xdr:row>3</xdr:row>
      <xdr:rowOff>409575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5" y="504826"/>
          <a:ext cx="1938325" cy="8191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450319</xdr:colOff>
      <xdr:row>14</xdr:row>
      <xdr:rowOff>108858</xdr:rowOff>
    </xdr:from>
    <xdr:to>
      <xdr:col>4</xdr:col>
      <xdr:colOff>568933</xdr:colOff>
      <xdr:row>37</xdr:row>
      <xdr:rowOff>176893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299357</xdr:colOff>
      <xdr:row>4</xdr:row>
      <xdr:rowOff>108858</xdr:rowOff>
    </xdr:from>
    <xdr:to>
      <xdr:col>10</xdr:col>
      <xdr:colOff>653142</xdr:colOff>
      <xdr:row>7</xdr:row>
      <xdr:rowOff>0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707570</xdr:colOff>
      <xdr:row>2</xdr:row>
      <xdr:rowOff>27215</xdr:rowOff>
    </xdr:from>
    <xdr:to>
      <xdr:col>9</xdr:col>
      <xdr:colOff>1053004</xdr:colOff>
      <xdr:row>3</xdr:row>
      <xdr:rowOff>544775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3427" y="734786"/>
          <a:ext cx="2577006" cy="10890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369730</xdr:colOff>
      <xdr:row>2</xdr:row>
      <xdr:rowOff>13607</xdr:rowOff>
    </xdr:from>
    <xdr:to>
      <xdr:col>5</xdr:col>
      <xdr:colOff>742379</xdr:colOff>
      <xdr:row>3</xdr:row>
      <xdr:rowOff>531168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016" y="721178"/>
          <a:ext cx="2577006" cy="108906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748394</xdr:colOff>
      <xdr:row>2</xdr:row>
      <xdr:rowOff>13607</xdr:rowOff>
    </xdr:from>
    <xdr:to>
      <xdr:col>5</xdr:col>
      <xdr:colOff>631185</xdr:colOff>
      <xdr:row>3</xdr:row>
      <xdr:rowOff>531168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6465" y="721178"/>
          <a:ext cx="2577006" cy="108906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0</xdr:row>
      <xdr:rowOff>0</xdr:rowOff>
    </xdr:from>
    <xdr:to>
      <xdr:col>29</xdr:col>
      <xdr:colOff>0</xdr:colOff>
      <xdr:row>4</xdr:row>
      <xdr:rowOff>5648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13268" y="0"/>
          <a:ext cx="0" cy="1880420"/>
        </a:xfrm>
        <a:prstGeom prst="rect">
          <a:avLst/>
        </a:prstGeom>
      </xdr:spPr>
    </xdr:pic>
    <xdr:clientData/>
  </xdr:twoCellAnchor>
  <xdr:twoCellAnchor editAs="oneCell">
    <xdr:from>
      <xdr:col>3</xdr:col>
      <xdr:colOff>204110</xdr:colOff>
      <xdr:row>2</xdr:row>
      <xdr:rowOff>27214</xdr:rowOff>
    </xdr:from>
    <xdr:to>
      <xdr:col>5</xdr:col>
      <xdr:colOff>685616</xdr:colOff>
      <xdr:row>3</xdr:row>
      <xdr:rowOff>544775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3646" y="734785"/>
          <a:ext cx="2577006" cy="108906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190499</xdr:colOff>
      <xdr:row>45</xdr:row>
      <xdr:rowOff>40821</xdr:rowOff>
    </xdr:from>
    <xdr:to>
      <xdr:col>21</xdr:col>
      <xdr:colOff>843643</xdr:colOff>
      <xdr:row>55</xdr:row>
      <xdr:rowOff>204107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258535</xdr:colOff>
      <xdr:row>2</xdr:row>
      <xdr:rowOff>54429</xdr:rowOff>
    </xdr:from>
    <xdr:to>
      <xdr:col>5</xdr:col>
      <xdr:colOff>740041</xdr:colOff>
      <xdr:row>4</xdr:row>
      <xdr:rowOff>490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2678" y="762000"/>
          <a:ext cx="2577006" cy="10890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&#1076;&#1085;&#1089;/Desktop/&#1060;&#1052;%20&#1041;&#1102;&#1088;&#1086;&#1082;&#1088;&#1072;&#1090;%20(&#1084;&#1072;&#1088;&#1082;&#1077;&#1090;&#1087;&#1083;&#1077;&#1081;&#1089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итул"/>
      <sheetName val="Гантта"/>
      <sheetName val="Этапы запуска проекта"/>
      <sheetName val="Сезон"/>
      <sheetName val="Инвестиции"/>
      <sheetName val="Ежемес. расходы"/>
      <sheetName val="Продажи"/>
      <sheetName val="Прибыль и окупаемость"/>
      <sheetName val="Кредитование"/>
    </sheetNames>
    <sheetDataSet>
      <sheetData sheetId="0" refreshError="1"/>
      <sheetData sheetId="1" refreshError="1"/>
      <sheetData sheetId="2" refreshError="1"/>
      <sheetData sheetId="3">
        <row r="2">
          <cell r="B2">
            <v>44562</v>
          </cell>
        </row>
        <row r="3">
          <cell r="B3">
            <v>44593</v>
          </cell>
        </row>
        <row r="4">
          <cell r="B4">
            <v>44621</v>
          </cell>
        </row>
        <row r="5">
          <cell r="B5">
            <v>44652</v>
          </cell>
        </row>
        <row r="6">
          <cell r="B6">
            <v>44682</v>
          </cell>
        </row>
        <row r="7">
          <cell r="B7">
            <v>44713</v>
          </cell>
        </row>
        <row r="8">
          <cell r="B8">
            <v>44743</v>
          </cell>
        </row>
        <row r="9">
          <cell r="B9">
            <v>44774</v>
          </cell>
        </row>
        <row r="10">
          <cell r="B10">
            <v>44805</v>
          </cell>
        </row>
        <row r="11">
          <cell r="B11">
            <v>44835</v>
          </cell>
        </row>
        <row r="12">
          <cell r="B12">
            <v>44866</v>
          </cell>
        </row>
        <row r="13">
          <cell r="B13">
            <v>44896</v>
          </cell>
        </row>
        <row r="24">
          <cell r="A24" t="str">
            <v>ООО</v>
          </cell>
        </row>
        <row r="25">
          <cell r="A25" t="str">
            <v>ИП</v>
          </cell>
        </row>
        <row r="28">
          <cell r="A28" t="str">
            <v>собственник франшизы</v>
          </cell>
        </row>
        <row r="29">
          <cell r="A29" t="str">
            <v>наёмный сотрудник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12" displayName="Таблица12" ref="B2:D13" totalsRowShown="0" headerRowDxfId="14" dataDxfId="12" headerRowBorderDxfId="13" dataCellStyle="Обычный 2">
  <tableColumns count="3">
    <tableColumn id="1" xr3:uid="{00000000-0010-0000-0000-000001000000}" name="Этапы" dataDxfId="11" dataCellStyle="Обычный 2"/>
    <tableColumn id="2" xr3:uid="{00000000-0010-0000-0000-000002000000}" name=" Дней до задачи" dataDxfId="10" dataCellStyle="Обычный 2"/>
    <tableColumn id="3" xr3:uid="{00000000-0010-0000-0000-000003000000}" name=" Дней на задачу" dataDxfId="9" dataCellStyle="Обычный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3">
    <tabColor rgb="FF9D4555"/>
    <pageSetUpPr fitToPage="1"/>
  </sheetPr>
  <dimension ref="A1:K240"/>
  <sheetViews>
    <sheetView showGridLines="0" topLeftCell="A19" zoomScaleNormal="100" workbookViewId="0">
      <selection activeCell="E17" sqref="E17:F17"/>
    </sheetView>
  </sheetViews>
  <sheetFormatPr defaultColWidth="0" defaultRowHeight="17.25" customHeight="1" zeroHeight="1" x14ac:dyDescent="0.3"/>
  <cols>
    <col min="1" max="1" width="2.7265625" style="331" customWidth="1"/>
    <col min="2" max="2" width="7.7265625" style="72" customWidth="1"/>
    <col min="3" max="3" width="25.26953125" style="72" customWidth="1"/>
    <col min="4" max="4" width="14.1796875" style="72" customWidth="1"/>
    <col min="5" max="6" width="12.7265625" style="72" customWidth="1"/>
    <col min="7" max="8" width="11.81640625" style="72" customWidth="1"/>
    <col min="9" max="9" width="7.7265625" style="72" customWidth="1"/>
    <col min="10" max="10" width="2.7265625" style="331" customWidth="1"/>
    <col min="11" max="11" width="0" style="72" hidden="1" customWidth="1"/>
    <col min="12" max="16384" width="0" style="72" hidden="1"/>
  </cols>
  <sheetData>
    <row r="1" spans="2:11" s="331" customFormat="1" ht="15" customHeight="1" thickBot="1" x14ac:dyDescent="0.35"/>
    <row r="2" spans="2:11" ht="22.5" customHeight="1" thickBot="1" x14ac:dyDescent="0.35">
      <c r="B2" s="268"/>
      <c r="C2" s="269"/>
      <c r="D2" s="269"/>
      <c r="E2" s="269"/>
      <c r="F2" s="269"/>
      <c r="G2" s="269"/>
      <c r="H2" s="269"/>
      <c r="I2" s="270"/>
    </row>
    <row r="3" spans="2:11" ht="35.15" customHeight="1" x14ac:dyDescent="0.3">
      <c r="B3" s="375" t="s">
        <v>123</v>
      </c>
      <c r="C3" s="376"/>
      <c r="D3" s="376"/>
      <c r="E3" s="376"/>
      <c r="F3" s="258"/>
      <c r="G3" s="259"/>
      <c r="H3" s="259"/>
      <c r="I3" s="271"/>
    </row>
    <row r="4" spans="2:11" ht="35.15" customHeight="1" thickBot="1" x14ac:dyDescent="0.35">
      <c r="B4" s="377"/>
      <c r="C4" s="378"/>
      <c r="D4" s="378"/>
      <c r="E4" s="378"/>
      <c r="F4" s="258"/>
      <c r="G4" s="259"/>
      <c r="H4" s="259"/>
      <c r="I4" s="271"/>
    </row>
    <row r="5" spans="2:11" ht="22.5" customHeight="1" x14ac:dyDescent="0.3">
      <c r="B5" s="272"/>
      <c r="C5" s="226"/>
      <c r="D5" s="226"/>
      <c r="E5" s="226"/>
      <c r="F5" s="226"/>
      <c r="G5" s="226"/>
      <c r="H5" s="226"/>
      <c r="I5" s="273"/>
    </row>
    <row r="6" spans="2:11" ht="15" customHeight="1" x14ac:dyDescent="0.3">
      <c r="B6" s="272"/>
      <c r="C6" s="148" t="s">
        <v>36</v>
      </c>
      <c r="D6" s="227"/>
      <c r="I6" s="273"/>
    </row>
    <row r="7" spans="2:11" ht="15" customHeight="1" x14ac:dyDescent="0.3">
      <c r="B7" s="272"/>
      <c r="C7" s="334" t="s">
        <v>3</v>
      </c>
      <c r="I7" s="273"/>
    </row>
    <row r="8" spans="2:11" ht="15" customHeight="1" x14ac:dyDescent="0.3">
      <c r="B8" s="272"/>
      <c r="C8" s="149" t="s">
        <v>4</v>
      </c>
      <c r="D8" s="227"/>
      <c r="I8" s="273"/>
    </row>
    <row r="9" spans="2:11" ht="15" customHeight="1" thickBot="1" x14ac:dyDescent="0.35">
      <c r="B9" s="274"/>
      <c r="C9" s="275"/>
      <c r="D9" s="275"/>
      <c r="E9" s="275"/>
      <c r="F9" s="275"/>
      <c r="G9" s="275"/>
      <c r="H9" s="275"/>
      <c r="I9" s="276"/>
    </row>
    <row r="10" spans="2:11" ht="19.5" customHeight="1" thickBot="1" x14ac:dyDescent="0.35">
      <c r="B10" s="386" t="s">
        <v>93</v>
      </c>
      <c r="C10" s="387"/>
      <c r="D10" s="387"/>
      <c r="E10" s="387"/>
      <c r="F10" s="387"/>
      <c r="G10" s="387"/>
      <c r="H10" s="387"/>
      <c r="I10" s="388"/>
    </row>
    <row r="11" spans="2:11" ht="15" customHeight="1" x14ac:dyDescent="0.35">
      <c r="B11" s="268"/>
      <c r="C11" s="277"/>
      <c r="D11" s="277"/>
      <c r="E11" s="278"/>
      <c r="F11" s="278"/>
      <c r="G11" s="279"/>
      <c r="H11" s="280"/>
      <c r="I11" s="281"/>
    </row>
    <row r="12" spans="2:11" ht="15" customHeight="1" x14ac:dyDescent="0.3">
      <c r="B12" s="272"/>
      <c r="C12" s="332" t="s">
        <v>31</v>
      </c>
      <c r="D12" s="333"/>
      <c r="E12" s="383" t="s">
        <v>0</v>
      </c>
      <c r="F12" s="383"/>
      <c r="G12" s="228"/>
      <c r="I12" s="282"/>
    </row>
    <row r="13" spans="2:11" ht="15" customHeight="1" x14ac:dyDescent="0.3">
      <c r="B13" s="272"/>
      <c r="C13" s="150" t="s">
        <v>143</v>
      </c>
      <c r="D13" s="151"/>
      <c r="E13" s="389" t="s">
        <v>147</v>
      </c>
      <c r="F13" s="390"/>
      <c r="G13" s="153" t="s">
        <v>53</v>
      </c>
      <c r="H13" s="229"/>
      <c r="I13" s="283"/>
      <c r="K13" s="84"/>
    </row>
    <row r="14" spans="2:11" ht="15" customHeight="1" x14ac:dyDescent="0.3">
      <c r="B14" s="272"/>
      <c r="C14" s="150" t="s">
        <v>142</v>
      </c>
      <c r="D14" s="151"/>
      <c r="E14" s="389" t="s">
        <v>166</v>
      </c>
      <c r="F14" s="390"/>
      <c r="G14" s="153" t="s">
        <v>53</v>
      </c>
      <c r="H14" s="229"/>
      <c r="I14" s="283"/>
      <c r="K14" s="84"/>
    </row>
    <row r="15" spans="2:11" ht="15" customHeight="1" x14ac:dyDescent="0.3">
      <c r="B15" s="272"/>
      <c r="C15" s="150" t="s">
        <v>57</v>
      </c>
      <c r="D15" s="152"/>
      <c r="E15" s="389" t="s">
        <v>58</v>
      </c>
      <c r="F15" s="390"/>
      <c r="G15" s="153" t="s">
        <v>53</v>
      </c>
      <c r="H15" s="230"/>
      <c r="I15" s="284"/>
      <c r="K15" s="84"/>
    </row>
    <row r="16" spans="2:11" ht="15" customHeight="1" x14ac:dyDescent="0.3">
      <c r="B16" s="272"/>
      <c r="C16" s="150" t="s">
        <v>95</v>
      </c>
      <c r="D16" s="151"/>
      <c r="E16" s="389" t="s">
        <v>81</v>
      </c>
      <c r="F16" s="390"/>
      <c r="G16" s="153" t="s">
        <v>53</v>
      </c>
      <c r="H16" s="230"/>
      <c r="I16" s="284"/>
      <c r="K16" s="84"/>
    </row>
    <row r="17" spans="2:9" ht="15" customHeight="1" x14ac:dyDescent="0.3">
      <c r="B17" s="272"/>
      <c r="C17" s="150" t="s">
        <v>88</v>
      </c>
      <c r="D17" s="151"/>
      <c r="E17" s="384" t="s">
        <v>139</v>
      </c>
      <c r="F17" s="385"/>
      <c r="G17" s="153" t="s">
        <v>53</v>
      </c>
      <c r="H17" s="230"/>
      <c r="I17" s="284"/>
    </row>
    <row r="18" spans="2:9" ht="15" customHeight="1" x14ac:dyDescent="0.3">
      <c r="B18" s="272"/>
      <c r="C18" s="150" t="str">
        <f>IF(E17="Патент","Укажите сумму патента в год","Укажите % УСН")</f>
        <v>Укажите сумму патента в год</v>
      </c>
      <c r="D18" s="151"/>
      <c r="E18" s="379">
        <f>IF(E17="Патент",IF(Титул!$E$14=Сезон!$H$7,IF(Титул!$E$13=Сезон!$I$1,52000,IF(Титул!$E$13=Сезон!$J$1,77000,IF(Титул!$E$13=Сезон!$K$1,134000))),IF(Титул!$E$13=Сезон!$I$1,87000,IF(Титул!$E$13=Сезон!$J$1,102000,IF(Титул!$E$13=Сезон!$K$1,134000)))),IF(E17="УСН (Д)",6%,15%))</f>
        <v>134000</v>
      </c>
      <c r="F18" s="380"/>
      <c r="G18" s="153"/>
      <c r="H18" s="230"/>
      <c r="I18" s="284"/>
    </row>
    <row r="19" spans="2:9" ht="15" customHeight="1" x14ac:dyDescent="0.3">
      <c r="B19" s="272"/>
      <c r="C19" s="150" t="s">
        <v>35</v>
      </c>
      <c r="D19" s="151"/>
      <c r="E19" s="381">
        <v>44562</v>
      </c>
      <c r="F19" s="382"/>
      <c r="G19" s="153" t="s">
        <v>53</v>
      </c>
      <c r="H19" s="230"/>
      <c r="I19" s="284"/>
    </row>
    <row r="20" spans="2:9" ht="15" customHeight="1" thickBot="1" x14ac:dyDescent="0.35">
      <c r="B20" s="274"/>
      <c r="C20" s="275"/>
      <c r="D20" s="275"/>
      <c r="E20" s="275"/>
      <c r="F20" s="275"/>
      <c r="G20" s="275"/>
      <c r="H20" s="275"/>
      <c r="I20" s="285"/>
    </row>
    <row r="21" spans="2:9" s="331" customFormat="1" ht="15" customHeight="1" x14ac:dyDescent="0.3"/>
    <row r="22" spans="2:9" ht="15" hidden="1" customHeight="1" x14ac:dyDescent="0.3"/>
    <row r="23" spans="2:9" ht="15" hidden="1" customHeight="1" x14ac:dyDescent="0.3"/>
    <row r="24" spans="2:9" ht="15" hidden="1" customHeight="1" x14ac:dyDescent="0.3"/>
    <row r="25" spans="2:9" ht="15" hidden="1" customHeight="1" x14ac:dyDescent="0.3"/>
    <row r="26" spans="2:9" ht="15" hidden="1" customHeight="1" x14ac:dyDescent="0.3"/>
    <row r="27" spans="2:9" ht="15" hidden="1" customHeight="1" x14ac:dyDescent="0.3"/>
    <row r="28" spans="2:9" ht="15" hidden="1" customHeight="1" x14ac:dyDescent="0.3"/>
    <row r="29" spans="2:9" ht="15" hidden="1" customHeight="1" x14ac:dyDescent="0.3"/>
    <row r="30" spans="2:9" ht="15" hidden="1" customHeight="1" x14ac:dyDescent="0.3"/>
    <row r="31" spans="2:9" ht="15" hidden="1" customHeight="1" x14ac:dyDescent="0.3"/>
    <row r="32" spans="2:9" ht="15" hidden="1" customHeight="1" x14ac:dyDescent="0.3"/>
    <row r="33" ht="15" hidden="1" customHeight="1" x14ac:dyDescent="0.3"/>
    <row r="34" ht="15" hidden="1" customHeight="1" x14ac:dyDescent="0.3"/>
    <row r="35" ht="15" hidden="1" customHeight="1" x14ac:dyDescent="0.3"/>
    <row r="36" ht="15" hidden="1" customHeight="1" x14ac:dyDescent="0.3"/>
    <row r="37" ht="15" hidden="1" customHeight="1" x14ac:dyDescent="0.3"/>
    <row r="38" ht="15" hidden="1" customHeight="1" x14ac:dyDescent="0.3"/>
    <row r="39" ht="15" hidden="1" customHeight="1" x14ac:dyDescent="0.3"/>
    <row r="40" ht="15" hidden="1" customHeight="1" x14ac:dyDescent="0.3"/>
    <row r="41" ht="15" hidden="1" customHeight="1" x14ac:dyDescent="0.3"/>
    <row r="42" ht="15" hidden="1" customHeight="1" x14ac:dyDescent="0.3"/>
    <row r="43" ht="15" hidden="1" customHeight="1" x14ac:dyDescent="0.3"/>
    <row r="44" ht="15" hidden="1" customHeight="1" x14ac:dyDescent="0.3"/>
    <row r="45" ht="15" hidden="1" customHeight="1" x14ac:dyDescent="0.3"/>
    <row r="46" ht="15" hidden="1" customHeight="1" x14ac:dyDescent="0.3"/>
    <row r="47" ht="15" hidden="1" customHeight="1" x14ac:dyDescent="0.3"/>
    <row r="48" ht="15" hidden="1" customHeight="1" x14ac:dyDescent="0.3"/>
    <row r="49" ht="15" hidden="1" customHeight="1" x14ac:dyDescent="0.3"/>
    <row r="50" ht="15" hidden="1" customHeight="1" x14ac:dyDescent="0.3"/>
    <row r="51" ht="15" hidden="1" customHeight="1" x14ac:dyDescent="0.3"/>
    <row r="52" ht="15" hidden="1" customHeight="1" x14ac:dyDescent="0.3"/>
    <row r="53" ht="15" hidden="1" customHeight="1" x14ac:dyDescent="0.3"/>
    <row r="54" ht="15" hidden="1" customHeight="1" x14ac:dyDescent="0.3"/>
    <row r="55" ht="15" hidden="1" customHeight="1" x14ac:dyDescent="0.3"/>
    <row r="56" ht="15" hidden="1" customHeight="1" x14ac:dyDescent="0.3"/>
    <row r="57" ht="15" hidden="1" customHeight="1" x14ac:dyDescent="0.3"/>
    <row r="58" ht="15" hidden="1" customHeight="1" x14ac:dyDescent="0.3"/>
    <row r="59" ht="15" hidden="1" customHeight="1" x14ac:dyDescent="0.3"/>
    <row r="60" ht="15" hidden="1" customHeight="1" x14ac:dyDescent="0.3"/>
    <row r="61" ht="15" hidden="1" customHeight="1" x14ac:dyDescent="0.3"/>
    <row r="62" ht="15" hidden="1" customHeight="1" x14ac:dyDescent="0.3"/>
    <row r="63" ht="15" hidden="1" customHeight="1" x14ac:dyDescent="0.3"/>
    <row r="64" ht="15" hidden="1" customHeight="1" x14ac:dyDescent="0.3"/>
    <row r="65" ht="15" hidden="1" customHeight="1" x14ac:dyDescent="0.3"/>
    <row r="66" ht="15" hidden="1" customHeight="1" x14ac:dyDescent="0.3"/>
    <row r="67" ht="15" hidden="1" customHeight="1" x14ac:dyDescent="0.3"/>
    <row r="68" ht="15" hidden="1" customHeight="1" x14ac:dyDescent="0.3"/>
    <row r="69" ht="15" hidden="1" customHeight="1" x14ac:dyDescent="0.3"/>
    <row r="70" ht="15" hidden="1" customHeight="1" x14ac:dyDescent="0.3"/>
    <row r="71" ht="15" hidden="1" customHeight="1" x14ac:dyDescent="0.3"/>
    <row r="72" ht="15" hidden="1" customHeight="1" x14ac:dyDescent="0.3"/>
    <row r="73" ht="15" hidden="1" customHeight="1" x14ac:dyDescent="0.3"/>
    <row r="74" ht="15" hidden="1" customHeight="1" x14ac:dyDescent="0.3"/>
    <row r="75" ht="15" hidden="1" customHeight="1" x14ac:dyDescent="0.3"/>
    <row r="76" ht="15" hidden="1" customHeight="1" x14ac:dyDescent="0.3"/>
    <row r="77" ht="15" hidden="1" customHeight="1" x14ac:dyDescent="0.3"/>
    <row r="78" ht="15" hidden="1" customHeight="1" x14ac:dyDescent="0.3"/>
    <row r="79" ht="15" hidden="1" customHeight="1" x14ac:dyDescent="0.3"/>
    <row r="80" ht="15" hidden="1" customHeight="1" x14ac:dyDescent="0.3"/>
    <row r="81" ht="15" hidden="1" customHeight="1" x14ac:dyDescent="0.3"/>
    <row r="82" ht="15" hidden="1" customHeight="1" x14ac:dyDescent="0.3"/>
    <row r="83" ht="15" hidden="1" customHeight="1" x14ac:dyDescent="0.3"/>
    <row r="84" ht="15" hidden="1" customHeight="1" x14ac:dyDescent="0.3"/>
    <row r="85" ht="15" hidden="1" customHeight="1" x14ac:dyDescent="0.3"/>
    <row r="86" ht="15" hidden="1" customHeight="1" x14ac:dyDescent="0.3"/>
    <row r="87" ht="15" hidden="1" customHeight="1" x14ac:dyDescent="0.3"/>
    <row r="88" ht="15" hidden="1" customHeight="1" x14ac:dyDescent="0.3"/>
    <row r="89" ht="15" hidden="1" customHeight="1" x14ac:dyDescent="0.3"/>
    <row r="90" ht="15" hidden="1" customHeight="1" x14ac:dyDescent="0.3"/>
    <row r="91" ht="15" hidden="1" customHeight="1" x14ac:dyDescent="0.3"/>
    <row r="92" ht="15" hidden="1" customHeight="1" x14ac:dyDescent="0.3"/>
    <row r="93" ht="15" hidden="1" customHeight="1" x14ac:dyDescent="0.3"/>
    <row r="94" ht="15" hidden="1" customHeight="1" x14ac:dyDescent="0.3"/>
    <row r="95" ht="15" hidden="1" customHeight="1" x14ac:dyDescent="0.3"/>
    <row r="96" ht="15" hidden="1" customHeight="1" x14ac:dyDescent="0.3"/>
    <row r="97" ht="15" hidden="1" customHeight="1" x14ac:dyDescent="0.3"/>
    <row r="98" ht="15" hidden="1" customHeight="1" x14ac:dyDescent="0.3"/>
    <row r="99" ht="15" hidden="1" customHeight="1" x14ac:dyDescent="0.3"/>
    <row r="100" ht="15" hidden="1" customHeight="1" x14ac:dyDescent="0.3"/>
    <row r="101" ht="15" hidden="1" customHeight="1" x14ac:dyDescent="0.3"/>
    <row r="102" ht="15" hidden="1" customHeight="1" x14ac:dyDescent="0.3"/>
    <row r="103" ht="15" hidden="1" customHeight="1" x14ac:dyDescent="0.3"/>
    <row r="104" ht="15" hidden="1" customHeight="1" x14ac:dyDescent="0.3"/>
    <row r="105" ht="15" hidden="1" customHeight="1" x14ac:dyDescent="0.3"/>
    <row r="106" ht="15" hidden="1" customHeight="1" x14ac:dyDescent="0.3"/>
    <row r="107" ht="15" hidden="1" customHeight="1" x14ac:dyDescent="0.3"/>
    <row r="108" ht="15" hidden="1" customHeight="1" x14ac:dyDescent="0.3"/>
    <row r="109" ht="15" hidden="1" customHeight="1" x14ac:dyDescent="0.3"/>
    <row r="110" ht="15" hidden="1" customHeight="1" x14ac:dyDescent="0.3"/>
    <row r="111" ht="15" hidden="1" customHeight="1" x14ac:dyDescent="0.3"/>
    <row r="112" ht="15" hidden="1" customHeight="1" x14ac:dyDescent="0.3"/>
    <row r="113" ht="15" hidden="1" customHeight="1" x14ac:dyDescent="0.3"/>
    <row r="114" ht="15" hidden="1" customHeight="1" x14ac:dyDescent="0.3"/>
    <row r="115" ht="15" hidden="1" customHeight="1" x14ac:dyDescent="0.3"/>
    <row r="116" ht="15" hidden="1" customHeight="1" x14ac:dyDescent="0.3"/>
    <row r="117" ht="15" hidden="1" customHeight="1" x14ac:dyDescent="0.3"/>
    <row r="118" ht="15" hidden="1" customHeight="1" x14ac:dyDescent="0.3"/>
    <row r="119" ht="15" hidden="1" customHeight="1" x14ac:dyDescent="0.3"/>
    <row r="120" ht="15" hidden="1" customHeight="1" x14ac:dyDescent="0.3"/>
    <row r="121" ht="15" hidden="1" customHeight="1" x14ac:dyDescent="0.3"/>
    <row r="122" ht="15" hidden="1" customHeight="1" x14ac:dyDescent="0.3"/>
    <row r="123" ht="15" hidden="1" customHeight="1" x14ac:dyDescent="0.3"/>
    <row r="124" ht="15" hidden="1" customHeight="1" x14ac:dyDescent="0.3"/>
    <row r="125" ht="15" hidden="1" customHeight="1" x14ac:dyDescent="0.3"/>
    <row r="126" ht="15" hidden="1" customHeight="1" x14ac:dyDescent="0.3"/>
    <row r="127" ht="15" hidden="1" customHeight="1" x14ac:dyDescent="0.3"/>
    <row r="128" ht="15" hidden="1" customHeight="1" x14ac:dyDescent="0.3"/>
    <row r="129" ht="15" hidden="1" customHeight="1" x14ac:dyDescent="0.3"/>
    <row r="130" ht="15" hidden="1" customHeight="1" x14ac:dyDescent="0.3"/>
    <row r="131" ht="15" hidden="1" customHeight="1" x14ac:dyDescent="0.3"/>
    <row r="132" ht="15" hidden="1" customHeight="1" x14ac:dyDescent="0.3"/>
    <row r="133" ht="15" hidden="1" customHeight="1" x14ac:dyDescent="0.3"/>
    <row r="134" ht="15" hidden="1" customHeight="1" x14ac:dyDescent="0.3"/>
    <row r="135" ht="15" hidden="1" customHeight="1" x14ac:dyDescent="0.3"/>
    <row r="136" ht="15" hidden="1" customHeight="1" x14ac:dyDescent="0.3"/>
    <row r="137" ht="15" hidden="1" customHeight="1" x14ac:dyDescent="0.3"/>
    <row r="138" ht="15" hidden="1" customHeight="1" x14ac:dyDescent="0.3"/>
    <row r="139" ht="15" hidden="1" customHeight="1" x14ac:dyDescent="0.3"/>
    <row r="140" ht="15" hidden="1" customHeight="1" x14ac:dyDescent="0.3"/>
    <row r="141" ht="15" hidden="1" customHeight="1" x14ac:dyDescent="0.3"/>
    <row r="142" ht="15" hidden="1" customHeight="1" x14ac:dyDescent="0.3"/>
    <row r="143" ht="15" hidden="1" customHeight="1" x14ac:dyDescent="0.3"/>
    <row r="144" ht="15" hidden="1" customHeight="1" x14ac:dyDescent="0.3"/>
    <row r="145" ht="15" hidden="1" customHeight="1" x14ac:dyDescent="0.3"/>
    <row r="146" ht="15" hidden="1" customHeight="1" x14ac:dyDescent="0.3"/>
    <row r="147" ht="15" hidden="1" customHeight="1" x14ac:dyDescent="0.3"/>
    <row r="148" ht="15" hidden="1" customHeight="1" x14ac:dyDescent="0.3"/>
    <row r="149" ht="15" hidden="1" customHeight="1" x14ac:dyDescent="0.3"/>
    <row r="150" ht="15" hidden="1" customHeight="1" x14ac:dyDescent="0.3"/>
    <row r="151" ht="15" hidden="1" customHeight="1" x14ac:dyDescent="0.3"/>
    <row r="152" ht="15" hidden="1" customHeight="1" x14ac:dyDescent="0.3"/>
    <row r="153" ht="15" hidden="1" customHeight="1" x14ac:dyDescent="0.3"/>
    <row r="154" ht="15" hidden="1" customHeight="1" x14ac:dyDescent="0.3"/>
    <row r="155" ht="15" hidden="1" customHeight="1" x14ac:dyDescent="0.3"/>
    <row r="156" ht="15" hidden="1" customHeight="1" x14ac:dyDescent="0.3"/>
    <row r="157" ht="15" hidden="1" customHeight="1" x14ac:dyDescent="0.3"/>
    <row r="158" ht="15" hidden="1" customHeight="1" x14ac:dyDescent="0.3"/>
    <row r="159" ht="15" hidden="1" customHeight="1" x14ac:dyDescent="0.3"/>
    <row r="160" ht="15" hidden="1" customHeight="1" x14ac:dyDescent="0.3"/>
    <row r="161" ht="15" hidden="1" customHeight="1" x14ac:dyDescent="0.3"/>
    <row r="162" ht="15" hidden="1" customHeight="1" x14ac:dyDescent="0.3"/>
    <row r="163" ht="15" hidden="1" customHeight="1" x14ac:dyDescent="0.3"/>
    <row r="164" ht="15" hidden="1" customHeight="1" x14ac:dyDescent="0.3"/>
    <row r="165" ht="15" hidden="1" customHeight="1" x14ac:dyDescent="0.3"/>
    <row r="166" ht="15" hidden="1" customHeight="1" x14ac:dyDescent="0.3"/>
    <row r="167" ht="15" hidden="1" customHeight="1" x14ac:dyDescent="0.3"/>
    <row r="168" ht="15" hidden="1" customHeight="1" x14ac:dyDescent="0.3"/>
    <row r="169" ht="15" hidden="1" customHeight="1" x14ac:dyDescent="0.3"/>
    <row r="170" ht="15" hidden="1" customHeight="1" x14ac:dyDescent="0.3"/>
    <row r="171" ht="15" hidden="1" customHeight="1" x14ac:dyDescent="0.3"/>
    <row r="172" ht="15" hidden="1" customHeight="1" x14ac:dyDescent="0.3"/>
    <row r="173" ht="15" hidden="1" customHeight="1" x14ac:dyDescent="0.3"/>
    <row r="174" ht="15" hidden="1" customHeight="1" x14ac:dyDescent="0.3"/>
    <row r="175" ht="15" hidden="1" customHeight="1" x14ac:dyDescent="0.3"/>
    <row r="176" ht="15" hidden="1" customHeight="1" x14ac:dyDescent="0.3"/>
    <row r="177" ht="15" hidden="1" customHeight="1" x14ac:dyDescent="0.3"/>
    <row r="178" ht="15" hidden="1" customHeight="1" x14ac:dyDescent="0.3"/>
    <row r="179" ht="15" hidden="1" customHeight="1" x14ac:dyDescent="0.3"/>
    <row r="180" ht="15" hidden="1" customHeight="1" x14ac:dyDescent="0.3"/>
    <row r="181" ht="15" hidden="1" customHeight="1" x14ac:dyDescent="0.3"/>
    <row r="182" ht="15" hidden="1" customHeight="1" x14ac:dyDescent="0.3"/>
    <row r="183" ht="15" hidden="1" customHeight="1" x14ac:dyDescent="0.3"/>
    <row r="184" ht="15" hidden="1" customHeight="1" x14ac:dyDescent="0.3"/>
    <row r="185" ht="15" hidden="1" customHeight="1" x14ac:dyDescent="0.3"/>
    <row r="186" ht="15" hidden="1" customHeight="1" x14ac:dyDescent="0.3"/>
    <row r="187" ht="15" hidden="1" customHeight="1" x14ac:dyDescent="0.3"/>
    <row r="188" ht="15" hidden="1" customHeight="1" x14ac:dyDescent="0.3"/>
    <row r="189" ht="15" hidden="1" customHeight="1" x14ac:dyDescent="0.3"/>
    <row r="190" ht="15" hidden="1" customHeight="1" x14ac:dyDescent="0.3"/>
    <row r="191" ht="15" hidden="1" customHeight="1" x14ac:dyDescent="0.3"/>
    <row r="192" ht="15" hidden="1" customHeight="1" x14ac:dyDescent="0.3"/>
    <row r="193" ht="15" hidden="1" customHeight="1" x14ac:dyDescent="0.3"/>
    <row r="194" ht="15" hidden="1" customHeight="1" x14ac:dyDescent="0.3"/>
    <row r="195" ht="15" hidden="1" customHeight="1" x14ac:dyDescent="0.3"/>
    <row r="196" ht="15" hidden="1" customHeight="1" x14ac:dyDescent="0.3"/>
    <row r="197" ht="15" hidden="1" customHeight="1" x14ac:dyDescent="0.3"/>
    <row r="198" ht="15" hidden="1" customHeight="1" x14ac:dyDescent="0.3"/>
    <row r="199" ht="15" hidden="1" customHeight="1" x14ac:dyDescent="0.3"/>
    <row r="200" ht="15" hidden="1" customHeight="1" x14ac:dyDescent="0.3"/>
    <row r="201" ht="15" hidden="1" customHeight="1" x14ac:dyDescent="0.3"/>
    <row r="202" ht="15" hidden="1" customHeight="1" x14ac:dyDescent="0.3"/>
    <row r="203" ht="15" hidden="1" customHeight="1" x14ac:dyDescent="0.3"/>
    <row r="204" ht="15" hidden="1" customHeight="1" x14ac:dyDescent="0.3"/>
    <row r="205" ht="15" hidden="1" customHeight="1" x14ac:dyDescent="0.3"/>
    <row r="206" ht="15" hidden="1" customHeight="1" x14ac:dyDescent="0.3"/>
    <row r="207" ht="15" hidden="1" customHeight="1" x14ac:dyDescent="0.3"/>
    <row r="208" ht="15" hidden="1" customHeight="1" x14ac:dyDescent="0.3"/>
    <row r="209" ht="15" hidden="1" customHeight="1" x14ac:dyDescent="0.3"/>
    <row r="210" ht="15" hidden="1" customHeight="1" x14ac:dyDescent="0.3"/>
    <row r="211" ht="15" hidden="1" customHeight="1" x14ac:dyDescent="0.3"/>
    <row r="212" ht="15" hidden="1" customHeight="1" x14ac:dyDescent="0.3"/>
    <row r="213" ht="15" hidden="1" customHeight="1" x14ac:dyDescent="0.3"/>
    <row r="214" ht="15" hidden="1" customHeight="1" x14ac:dyDescent="0.3"/>
    <row r="215" ht="15" hidden="1" customHeight="1" x14ac:dyDescent="0.3"/>
    <row r="216" ht="15" hidden="1" customHeight="1" x14ac:dyDescent="0.3"/>
    <row r="217" ht="15" hidden="1" customHeight="1" x14ac:dyDescent="0.3"/>
    <row r="218" ht="15" hidden="1" customHeight="1" x14ac:dyDescent="0.3"/>
    <row r="219" ht="15" hidden="1" customHeight="1" x14ac:dyDescent="0.3"/>
    <row r="220" ht="15" hidden="1" customHeight="1" x14ac:dyDescent="0.3"/>
    <row r="221" ht="15" hidden="1" customHeight="1" x14ac:dyDescent="0.3"/>
    <row r="222" ht="15" hidden="1" customHeight="1" x14ac:dyDescent="0.3"/>
    <row r="223" ht="15" hidden="1" customHeight="1" x14ac:dyDescent="0.3"/>
    <row r="224" ht="15" hidden="1" customHeight="1" x14ac:dyDescent="0.3"/>
    <row r="225" ht="15" hidden="1" customHeight="1" x14ac:dyDescent="0.3"/>
    <row r="226" ht="15" hidden="1" customHeight="1" x14ac:dyDescent="0.3"/>
    <row r="227" ht="15" hidden="1" customHeight="1" x14ac:dyDescent="0.3"/>
    <row r="228" ht="15" hidden="1" customHeight="1" x14ac:dyDescent="0.3"/>
    <row r="229" ht="15" hidden="1" customHeight="1" x14ac:dyDescent="0.3"/>
    <row r="230" ht="15" hidden="1" customHeight="1" x14ac:dyDescent="0.3"/>
    <row r="231" ht="15" hidden="1" customHeight="1" x14ac:dyDescent="0.3"/>
    <row r="232" ht="15" hidden="1" customHeight="1" x14ac:dyDescent="0.3"/>
    <row r="233" ht="15" hidden="1" customHeight="1" x14ac:dyDescent="0.3"/>
    <row r="234" ht="15" hidden="1" customHeight="1" x14ac:dyDescent="0.3"/>
    <row r="235" ht="15" hidden="1" customHeight="1" x14ac:dyDescent="0.3"/>
    <row r="236" ht="15" hidden="1" customHeight="1" x14ac:dyDescent="0.3"/>
    <row r="237" ht="15" hidden="1" customHeight="1" x14ac:dyDescent="0.3"/>
    <row r="238" ht="15" hidden="1" customHeight="1" x14ac:dyDescent="0.3"/>
    <row r="239" ht="15" hidden="1" customHeight="1" x14ac:dyDescent="0.3"/>
    <row r="240" ht="15" hidden="1" customHeight="1" x14ac:dyDescent="0.3"/>
  </sheetData>
  <mergeCells count="10">
    <mergeCell ref="B3:E4"/>
    <mergeCell ref="E18:F18"/>
    <mergeCell ref="E19:F19"/>
    <mergeCell ref="E12:F12"/>
    <mergeCell ref="E17:F17"/>
    <mergeCell ref="B10:I10"/>
    <mergeCell ref="E15:F15"/>
    <mergeCell ref="E16:F16"/>
    <mergeCell ref="E13:F13"/>
    <mergeCell ref="E14:F14"/>
  </mergeCells>
  <conditionalFormatting sqref="E18:F18">
    <cfRule type="expression" dxfId="8" priority="1">
      <formula>$E$17="Патент"</formula>
    </cfRule>
  </conditionalFormatting>
  <dataValidations xWindow="731" yWindow="667" count="5">
    <dataValidation type="list" allowBlank="1" showInputMessage="1" showErrorMessage="1" promptTitle="Внимание" prompt="УСН (Д) - УСН (доходы)_x000a_УСН (Д-Р) - УСН (доходы-расходы)_x000a__x000a_" sqref="E17:F17" xr:uid="{00000000-0002-0000-0000-000000000000}">
      <formula1>"УСН (Д),УСН (Д-Р),Патент"</formula1>
    </dataValidation>
    <dataValidation type="list" allowBlank="1" showInputMessage="1" showErrorMessage="1" sqref="E15:F15" xr:uid="{00000000-0002-0000-0000-000001000000}">
      <formula1>Юр</formula1>
    </dataValidation>
    <dataValidation type="list" allowBlank="1" showInputMessage="1" showErrorMessage="1" sqref="E16:F16" xr:uid="{00000000-0002-0000-0000-000002000000}">
      <formula1>Собственник</formula1>
    </dataValidation>
    <dataValidation type="list" allowBlank="1" showInputMessage="1" showErrorMessage="1" sqref="E19:F19" xr:uid="{00000000-0002-0000-0000-000003000000}">
      <formula1>Месяц</formula1>
    </dataValidation>
    <dataValidation type="list" allowBlank="1" showInputMessage="1" showErrorMessage="1" sqref="E13:F13" xr:uid="{00000000-0002-0000-0000-000004000000}">
      <formula1>Пакеты</formula1>
    </dataValidation>
  </dataValidations>
  <pageMargins left="0.7" right="0.7" top="0.75" bottom="0.75" header="0.3" footer="0.3"/>
  <pageSetup paperSize="9" orientation="landscape" r:id="rId1"/>
  <ignoredErrors>
    <ignoredError sqref="E1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xWindow="731" yWindow="667" count="1">
        <x14:dataValidation type="list" allowBlank="1" showInputMessage="1" showErrorMessage="1" prompt="⚫️ Шоурум: закрытый формат работы (15 рабочих дней) в БЦ площадью 30-50 м²_x000a_⚫️ Салон:торговая точка площадью 40-80 м²" xr:uid="{00000000-0002-0000-0000-000005000000}">
          <x14:formula1>
            <xm:f>Сезон!$H$7:$H$8</xm:f>
          </x14:formula1>
          <xm:sqref>E14:F14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4"/>
  <dimension ref="A1:M42"/>
  <sheetViews>
    <sheetView zoomScale="90" zoomScaleNormal="90" workbookViewId="0"/>
  </sheetViews>
  <sheetFormatPr defaultColWidth="9.1796875" defaultRowHeight="14.5" x14ac:dyDescent="0.35"/>
  <cols>
    <col min="1" max="1" width="9.54296875" style="92" customWidth="1"/>
    <col min="2" max="2" width="13.1796875" style="92" customWidth="1"/>
    <col min="3" max="3" width="10.7265625" style="92" bestFit="1" customWidth="1"/>
    <col min="4" max="4" width="11.1796875" style="92" customWidth="1"/>
    <col min="5" max="5" width="24.453125" style="111" bestFit="1" customWidth="1"/>
    <col min="6" max="6" width="14.7265625" style="111" bestFit="1" customWidth="1"/>
    <col min="7" max="7" width="5.81640625" style="77" customWidth="1"/>
    <col min="8" max="8" width="13.1796875" style="77" bestFit="1" customWidth="1"/>
    <col min="9" max="12" width="12.54296875" style="77" customWidth="1"/>
    <col min="13" max="16384" width="9.1796875" style="71"/>
  </cols>
  <sheetData>
    <row r="1" spans="1:13" s="90" customFormat="1" ht="31.5" customHeight="1" x14ac:dyDescent="0.35">
      <c r="A1" s="122" t="s">
        <v>62</v>
      </c>
      <c r="B1" s="122" t="s">
        <v>32</v>
      </c>
      <c r="C1" s="122" t="s">
        <v>63</v>
      </c>
      <c r="D1" s="118"/>
      <c r="E1" s="395" t="s">
        <v>60</v>
      </c>
      <c r="F1" s="395"/>
      <c r="G1" s="110"/>
      <c r="H1" s="119" t="s">
        <v>144</v>
      </c>
      <c r="I1" s="119" t="s">
        <v>145</v>
      </c>
      <c r="J1" s="119" t="s">
        <v>146</v>
      </c>
      <c r="K1" s="119" t="s">
        <v>147</v>
      </c>
      <c r="L1" s="77"/>
    </row>
    <row r="2" spans="1:13" ht="15" customHeight="1" x14ac:dyDescent="0.35">
      <c r="A2" s="91">
        <v>1</v>
      </c>
      <c r="B2" s="102">
        <v>44562</v>
      </c>
      <c r="C2" s="355">
        <v>1.1499999999999999</v>
      </c>
      <c r="D2" s="118"/>
      <c r="E2" s="396" t="s">
        <v>67</v>
      </c>
      <c r="F2" s="396"/>
      <c r="H2" s="119" t="s">
        <v>98</v>
      </c>
      <c r="I2" s="352">
        <v>360000</v>
      </c>
      <c r="J2" s="352">
        <v>470000</v>
      </c>
      <c r="K2" s="352">
        <v>580000</v>
      </c>
    </row>
    <row r="3" spans="1:13" ht="15" customHeight="1" x14ac:dyDescent="0.35">
      <c r="A3" s="91">
        <v>2</v>
      </c>
      <c r="B3" s="102">
        <v>44593</v>
      </c>
      <c r="C3" s="355">
        <v>0.75</v>
      </c>
      <c r="D3" s="118"/>
      <c r="E3" s="112" t="s">
        <v>68</v>
      </c>
      <c r="F3" s="113">
        <f>SUM('Прибыль и окупаемость'!D9:O9)</f>
        <v>15191202</v>
      </c>
      <c r="G3" s="110"/>
      <c r="H3" s="119" t="s">
        <v>89</v>
      </c>
      <c r="I3" s="352">
        <v>22200</v>
      </c>
      <c r="J3" s="352">
        <v>22200</v>
      </c>
      <c r="K3" s="352">
        <v>22200</v>
      </c>
      <c r="M3" s="90"/>
    </row>
    <row r="4" spans="1:13" ht="15" customHeight="1" x14ac:dyDescent="0.35">
      <c r="A4" s="91">
        <v>3</v>
      </c>
      <c r="B4" s="102">
        <v>44621</v>
      </c>
      <c r="C4" s="355">
        <v>1.25</v>
      </c>
      <c r="D4" s="118"/>
      <c r="E4" s="112" t="s">
        <v>71</v>
      </c>
      <c r="F4" s="354">
        <v>40000</v>
      </c>
    </row>
    <row r="5" spans="1:13" ht="15" customHeight="1" x14ac:dyDescent="0.35">
      <c r="A5" s="91">
        <v>4</v>
      </c>
      <c r="B5" s="102">
        <v>44652</v>
      </c>
      <c r="C5" s="355">
        <v>1.05</v>
      </c>
      <c r="D5" s="118"/>
      <c r="E5" s="112" t="s">
        <v>72</v>
      </c>
      <c r="F5" s="113">
        <f>F4+1%*(F3-300000)</f>
        <v>188912.02</v>
      </c>
      <c r="G5" s="110"/>
      <c r="L5" s="110"/>
      <c r="M5" s="90"/>
    </row>
    <row r="6" spans="1:13" ht="15" customHeight="1" x14ac:dyDescent="0.35">
      <c r="A6" s="91">
        <v>5</v>
      </c>
      <c r="B6" s="102">
        <v>44682</v>
      </c>
      <c r="C6" s="355">
        <v>1.05</v>
      </c>
      <c r="D6" s="118"/>
      <c r="E6" s="114" t="s">
        <v>100</v>
      </c>
      <c r="F6" s="354">
        <v>13658</v>
      </c>
      <c r="H6" s="119" t="s">
        <v>115</v>
      </c>
      <c r="I6" s="119" t="s">
        <v>148</v>
      </c>
    </row>
    <row r="7" spans="1:13" ht="15" customHeight="1" x14ac:dyDescent="0.35">
      <c r="A7" s="91">
        <v>6</v>
      </c>
      <c r="B7" s="102">
        <v>44713</v>
      </c>
      <c r="C7" s="355">
        <v>0.95</v>
      </c>
      <c r="D7" s="118"/>
      <c r="E7" s="120" t="s">
        <v>73</v>
      </c>
      <c r="F7" s="115">
        <f>IF((IF(F3&lt;300000,F4,F5)+F6)&gt;8*$F$4,8*$F$4,(IF(F3&lt;300000,F4,F5)+F6))</f>
        <v>202570.02</v>
      </c>
      <c r="H7" s="119" t="s">
        <v>166</v>
      </c>
      <c r="I7" s="353">
        <v>40</v>
      </c>
    </row>
    <row r="8" spans="1:13" ht="15" customHeight="1" x14ac:dyDescent="0.35">
      <c r="A8" s="91">
        <v>7</v>
      </c>
      <c r="B8" s="102">
        <v>44743</v>
      </c>
      <c r="C8" s="355">
        <v>0.95</v>
      </c>
      <c r="D8" s="118"/>
      <c r="E8" s="120" t="s">
        <v>74</v>
      </c>
      <c r="F8" s="115">
        <f>F7/12</f>
        <v>16880.834999999999</v>
      </c>
      <c r="H8" s="119" t="s">
        <v>167</v>
      </c>
      <c r="I8" s="353">
        <v>60</v>
      </c>
    </row>
    <row r="9" spans="1:13" ht="15" customHeight="1" x14ac:dyDescent="0.35">
      <c r="A9" s="91">
        <v>8</v>
      </c>
      <c r="B9" s="102">
        <v>44774</v>
      </c>
      <c r="C9" s="355">
        <v>0.85</v>
      </c>
      <c r="D9" s="118"/>
      <c r="E9" s="396" t="s">
        <v>70</v>
      </c>
      <c r="F9" s="396"/>
      <c r="H9" s="130"/>
      <c r="I9" s="130"/>
    </row>
    <row r="10" spans="1:13" ht="15" customHeight="1" x14ac:dyDescent="0.35">
      <c r="A10" s="91">
        <v>9</v>
      </c>
      <c r="B10" s="102">
        <v>44805</v>
      </c>
      <c r="C10" s="355">
        <v>0.75</v>
      </c>
      <c r="D10" s="118"/>
      <c r="E10" s="121"/>
      <c r="F10" s="121"/>
      <c r="H10" s="130"/>
      <c r="I10" s="130"/>
    </row>
    <row r="11" spans="1:13" ht="15" customHeight="1" x14ac:dyDescent="0.35">
      <c r="A11" s="91">
        <v>10</v>
      </c>
      <c r="B11" s="102">
        <v>44835</v>
      </c>
      <c r="C11" s="355">
        <v>0.85</v>
      </c>
      <c r="D11" s="118"/>
      <c r="E11" s="112" t="s">
        <v>69</v>
      </c>
      <c r="F11" s="113">
        <f>SUM('Прибыль и окупаемость'!P9:AA9)</f>
        <v>21753115</v>
      </c>
      <c r="H11" s="130"/>
      <c r="I11" s="130"/>
    </row>
    <row r="12" spans="1:13" ht="15" customHeight="1" x14ac:dyDescent="0.35">
      <c r="A12" s="91">
        <v>11</v>
      </c>
      <c r="B12" s="102">
        <v>44866</v>
      </c>
      <c r="C12" s="355">
        <v>1.05</v>
      </c>
      <c r="D12" s="118"/>
      <c r="E12" s="112" t="s">
        <v>71</v>
      </c>
      <c r="F12" s="354">
        <v>40000</v>
      </c>
      <c r="H12" s="130"/>
      <c r="I12" s="130"/>
    </row>
    <row r="13" spans="1:13" ht="15" customHeight="1" x14ac:dyDescent="0.35">
      <c r="A13" s="91">
        <v>12</v>
      </c>
      <c r="B13" s="102">
        <v>44896</v>
      </c>
      <c r="C13" s="355">
        <v>1.35</v>
      </c>
      <c r="D13" s="118"/>
      <c r="E13" s="112" t="s">
        <v>72</v>
      </c>
      <c r="F13" s="113">
        <f>F12+1%*(F11-300000)</f>
        <v>254531.15</v>
      </c>
      <c r="H13" s="130"/>
      <c r="I13" s="130"/>
    </row>
    <row r="14" spans="1:13" x14ac:dyDescent="0.35">
      <c r="A14" s="71"/>
      <c r="B14" s="71"/>
      <c r="C14" s="103"/>
      <c r="D14" s="118"/>
      <c r="E14" s="114" t="s">
        <v>100</v>
      </c>
      <c r="F14" s="354">
        <v>13658</v>
      </c>
      <c r="H14" s="130"/>
      <c r="I14" s="130"/>
    </row>
    <row r="15" spans="1:13" x14ac:dyDescent="0.35">
      <c r="C15" s="223"/>
      <c r="D15" s="118"/>
      <c r="E15" s="120" t="s">
        <v>75</v>
      </c>
      <c r="F15" s="113">
        <f>IF((IF(F11&lt;300000,F12,F13)+F14)&gt;8*$F$12,8*$F$12,IF(F11&lt;300000,F12,F13)+F14)</f>
        <v>268189.15000000002</v>
      </c>
      <c r="H15" s="130"/>
      <c r="I15" s="130"/>
    </row>
    <row r="16" spans="1:13" x14ac:dyDescent="0.35">
      <c r="C16" s="132"/>
      <c r="D16" s="118"/>
      <c r="E16" s="120" t="s">
        <v>74</v>
      </c>
      <c r="F16" s="113">
        <f>F15/12</f>
        <v>22349.095833333336</v>
      </c>
      <c r="H16" s="130"/>
      <c r="I16" s="130"/>
    </row>
    <row r="17" spans="1:9" x14ac:dyDescent="0.35">
      <c r="B17" s="93"/>
      <c r="C17" s="132"/>
      <c r="D17" s="94"/>
      <c r="H17" s="130"/>
      <c r="I17" s="130"/>
    </row>
    <row r="18" spans="1:9" x14ac:dyDescent="0.35">
      <c r="B18" s="93"/>
      <c r="C18" s="132"/>
      <c r="D18" s="94"/>
      <c r="E18" s="131"/>
      <c r="F18" s="77"/>
      <c r="H18" s="130"/>
      <c r="I18" s="130"/>
    </row>
    <row r="19" spans="1:9" x14ac:dyDescent="0.35">
      <c r="B19" s="93"/>
      <c r="C19" s="132"/>
      <c r="D19" s="94"/>
      <c r="F19" s="77"/>
      <c r="H19" s="130"/>
      <c r="I19" s="130"/>
    </row>
    <row r="20" spans="1:9" x14ac:dyDescent="0.35">
      <c r="B20" s="93"/>
      <c r="C20" s="132"/>
      <c r="D20" s="94"/>
      <c r="F20" s="77"/>
      <c r="H20" s="130"/>
      <c r="I20" s="130"/>
    </row>
    <row r="21" spans="1:9" x14ac:dyDescent="0.35">
      <c r="B21" s="93"/>
      <c r="C21" s="132"/>
      <c r="D21" s="94"/>
      <c r="F21" s="77"/>
    </row>
    <row r="22" spans="1:9" x14ac:dyDescent="0.35">
      <c r="A22" s="393" t="s">
        <v>64</v>
      </c>
      <c r="B22" s="394" t="s">
        <v>65</v>
      </c>
      <c r="C22" s="132"/>
      <c r="D22" s="94"/>
      <c r="F22" s="77"/>
    </row>
    <row r="23" spans="1:9" x14ac:dyDescent="0.35">
      <c r="A23" s="393"/>
      <c r="B23" s="394"/>
      <c r="C23" s="132"/>
      <c r="D23" s="94"/>
      <c r="F23" s="77"/>
    </row>
    <row r="24" spans="1:9" x14ac:dyDescent="0.35">
      <c r="A24" s="91" t="s">
        <v>59</v>
      </c>
      <c r="B24" s="89">
        <v>16500</v>
      </c>
      <c r="C24" s="132"/>
      <c r="D24" s="94"/>
      <c r="F24" s="77"/>
    </row>
    <row r="25" spans="1:9" x14ac:dyDescent="0.35">
      <c r="A25" s="91" t="s">
        <v>58</v>
      </c>
      <c r="B25" s="89">
        <v>5000</v>
      </c>
      <c r="C25" s="132"/>
      <c r="D25" s="94"/>
      <c r="F25" s="77"/>
    </row>
    <row r="26" spans="1:9" x14ac:dyDescent="0.35">
      <c r="B26" s="93"/>
      <c r="C26" s="132"/>
      <c r="D26" s="94"/>
      <c r="F26" s="77"/>
    </row>
    <row r="27" spans="1:9" x14ac:dyDescent="0.35">
      <c r="A27" s="391" t="s">
        <v>66</v>
      </c>
      <c r="B27" s="392"/>
      <c r="C27" s="132"/>
      <c r="D27" s="94"/>
    </row>
    <row r="28" spans="1:9" x14ac:dyDescent="0.35">
      <c r="A28" s="91" t="s">
        <v>81</v>
      </c>
      <c r="B28" s="91"/>
      <c r="C28" s="132"/>
      <c r="D28" s="94"/>
    </row>
    <row r="29" spans="1:9" x14ac:dyDescent="0.35">
      <c r="A29" s="91" t="s">
        <v>82</v>
      </c>
      <c r="B29" s="91"/>
      <c r="C29" s="132"/>
      <c r="D29" s="94"/>
    </row>
    <row r="30" spans="1:9" x14ac:dyDescent="0.35">
      <c r="C30" s="132"/>
      <c r="D30" s="94"/>
    </row>
    <row r="31" spans="1:9" x14ac:dyDescent="0.35">
      <c r="B31" s="93"/>
      <c r="C31" s="132"/>
      <c r="D31" s="94"/>
    </row>
    <row r="32" spans="1:9" x14ac:dyDescent="0.35">
      <c r="B32" s="93"/>
      <c r="C32" s="94"/>
      <c r="D32" s="94"/>
    </row>
    <row r="33" spans="2:4" x14ac:dyDescent="0.35">
      <c r="B33" s="93"/>
      <c r="C33" s="94"/>
      <c r="D33" s="94"/>
    </row>
    <row r="34" spans="2:4" x14ac:dyDescent="0.35">
      <c r="B34" s="93"/>
      <c r="C34" s="94"/>
      <c r="D34" s="94"/>
    </row>
    <row r="35" spans="2:4" x14ac:dyDescent="0.35">
      <c r="B35" s="93"/>
      <c r="C35" s="94"/>
      <c r="D35" s="94"/>
    </row>
    <row r="36" spans="2:4" x14ac:dyDescent="0.35">
      <c r="B36" s="93"/>
      <c r="C36" s="94"/>
      <c r="D36" s="94"/>
    </row>
    <row r="37" spans="2:4" x14ac:dyDescent="0.35">
      <c r="B37" s="93"/>
      <c r="C37" s="94"/>
      <c r="D37" s="94"/>
    </row>
    <row r="38" spans="2:4" x14ac:dyDescent="0.35">
      <c r="B38" s="93"/>
      <c r="C38" s="94"/>
      <c r="D38" s="94"/>
    </row>
    <row r="39" spans="2:4" x14ac:dyDescent="0.35">
      <c r="B39" s="93"/>
      <c r="C39" s="94"/>
      <c r="D39" s="94"/>
    </row>
    <row r="40" spans="2:4" x14ac:dyDescent="0.35">
      <c r="B40" s="93"/>
      <c r="C40" s="94"/>
      <c r="D40" s="94"/>
    </row>
    <row r="41" spans="2:4" x14ac:dyDescent="0.35">
      <c r="B41" s="93"/>
      <c r="C41" s="94"/>
      <c r="D41" s="94"/>
    </row>
    <row r="42" spans="2:4" x14ac:dyDescent="0.35">
      <c r="C42" s="94"/>
      <c r="D42" s="94"/>
    </row>
  </sheetData>
  <sheetProtection selectLockedCells="1" selectUnlockedCells="1"/>
  <mergeCells count="6">
    <mergeCell ref="A27:B27"/>
    <mergeCell ref="A22:A23"/>
    <mergeCell ref="B22:B23"/>
    <mergeCell ref="E1:F1"/>
    <mergeCell ref="E2:F2"/>
    <mergeCell ref="E9:F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/>
  <dimension ref="A1:M13"/>
  <sheetViews>
    <sheetView zoomScale="70" zoomScaleNormal="70" workbookViewId="0"/>
  </sheetViews>
  <sheetFormatPr defaultColWidth="8.81640625" defaultRowHeight="15.5" x14ac:dyDescent="0.35"/>
  <cols>
    <col min="1" max="1" width="9.1796875" style="98"/>
    <col min="2" max="2" width="78" style="97" customWidth="1"/>
    <col min="3" max="4" width="13.81640625" style="97" customWidth="1"/>
    <col min="5" max="5" width="3.7265625" style="97" customWidth="1"/>
    <col min="6" max="13" width="9.1796875"/>
  </cols>
  <sheetData>
    <row r="1" spans="1:13" s="129" customFormat="1" ht="15.75" customHeight="1" x14ac:dyDescent="0.35">
      <c r="A1" s="126"/>
      <c r="B1" s="127" t="s">
        <v>41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ht="31" x14ac:dyDescent="0.5">
      <c r="A2" s="95"/>
      <c r="B2" s="101" t="s">
        <v>42</v>
      </c>
      <c r="C2" s="124" t="s">
        <v>43</v>
      </c>
      <c r="D2" s="124" t="s">
        <v>44</v>
      </c>
      <c r="E2" s="125"/>
      <c r="F2" s="87"/>
      <c r="G2" s="87"/>
      <c r="H2" s="87"/>
      <c r="I2" s="87"/>
      <c r="J2" s="87"/>
      <c r="K2" s="87"/>
      <c r="L2" s="87"/>
      <c r="M2" s="87"/>
    </row>
    <row r="3" spans="1:13" ht="15" customHeight="1" x14ac:dyDescent="0.5">
      <c r="A3" s="109">
        <v>1</v>
      </c>
      <c r="B3" s="116" t="s">
        <v>114</v>
      </c>
      <c r="C3" s="123">
        <v>53</v>
      </c>
      <c r="D3" s="123">
        <v>1</v>
      </c>
      <c r="E3" s="96"/>
      <c r="F3" s="87"/>
      <c r="G3" s="87"/>
      <c r="H3" s="87"/>
      <c r="I3" s="87"/>
      <c r="J3" s="87"/>
      <c r="K3" s="87"/>
      <c r="L3" s="87"/>
      <c r="M3" s="87"/>
    </row>
    <row r="4" spans="1:13" ht="15" customHeight="1" x14ac:dyDescent="0.5">
      <c r="A4" s="109">
        <v>2</v>
      </c>
      <c r="B4" s="117" t="s">
        <v>169</v>
      </c>
      <c r="C4" s="123">
        <v>50</v>
      </c>
      <c r="D4" s="123">
        <v>3</v>
      </c>
      <c r="E4" s="96"/>
      <c r="F4" s="87"/>
      <c r="G4" s="87"/>
      <c r="H4" s="87"/>
      <c r="I4" s="87"/>
      <c r="J4" s="87"/>
      <c r="K4" s="87"/>
      <c r="L4" s="87"/>
      <c r="M4" s="87"/>
    </row>
    <row r="5" spans="1:13" ht="15" customHeight="1" x14ac:dyDescent="0.5">
      <c r="A5" s="109">
        <v>3</v>
      </c>
      <c r="B5" s="117" t="s">
        <v>140</v>
      </c>
      <c r="C5" s="123">
        <v>36</v>
      </c>
      <c r="D5" s="123">
        <v>14</v>
      </c>
      <c r="E5" s="96"/>
      <c r="F5" s="87"/>
      <c r="G5" s="87"/>
      <c r="H5" s="87"/>
      <c r="I5" s="87"/>
      <c r="J5" s="87"/>
      <c r="K5" s="87"/>
      <c r="L5" s="87"/>
      <c r="M5" s="87"/>
    </row>
    <row r="6" spans="1:13" ht="15" customHeight="1" x14ac:dyDescent="0.5">
      <c r="A6" s="109">
        <v>4</v>
      </c>
      <c r="B6" s="117" t="s">
        <v>111</v>
      </c>
      <c r="C6" s="123">
        <v>36</v>
      </c>
      <c r="D6" s="123">
        <v>14</v>
      </c>
      <c r="E6" s="96"/>
      <c r="F6" s="87"/>
      <c r="G6" s="87"/>
      <c r="H6" s="87"/>
      <c r="I6" s="87"/>
      <c r="J6" s="87"/>
      <c r="K6" s="87"/>
      <c r="L6" s="87"/>
      <c r="M6" s="87"/>
    </row>
    <row r="7" spans="1:13" ht="15" customHeight="1" x14ac:dyDescent="0.5">
      <c r="A7" s="109">
        <v>5</v>
      </c>
      <c r="B7" s="117" t="s">
        <v>118</v>
      </c>
      <c r="C7" s="123">
        <v>36</v>
      </c>
      <c r="D7" s="123">
        <v>14</v>
      </c>
      <c r="E7" s="96"/>
      <c r="F7" s="87"/>
      <c r="G7" s="87"/>
      <c r="H7" s="87"/>
      <c r="I7" s="87"/>
      <c r="J7" s="87"/>
      <c r="K7" s="87"/>
      <c r="L7" s="87"/>
      <c r="M7" s="87"/>
    </row>
    <row r="8" spans="1:13" ht="15" customHeight="1" x14ac:dyDescent="0.5">
      <c r="A8" s="109">
        <v>6</v>
      </c>
      <c r="B8" s="117" t="s">
        <v>157</v>
      </c>
      <c r="C8" s="123">
        <v>36</v>
      </c>
      <c r="D8" s="123">
        <v>14</v>
      </c>
      <c r="E8" s="96"/>
      <c r="F8" s="87"/>
      <c r="G8" s="87"/>
      <c r="H8" s="87"/>
      <c r="I8" s="87"/>
      <c r="J8" s="87"/>
      <c r="K8" s="87"/>
      <c r="L8" s="87"/>
      <c r="M8" s="87"/>
    </row>
    <row r="9" spans="1:13" ht="15" customHeight="1" x14ac:dyDescent="0.5">
      <c r="A9" s="109">
        <v>7</v>
      </c>
      <c r="B9" s="117" t="s">
        <v>122</v>
      </c>
      <c r="C9" s="123">
        <v>24</v>
      </c>
      <c r="D9" s="123">
        <v>30</v>
      </c>
      <c r="E9" s="96"/>
      <c r="F9" s="87"/>
      <c r="G9" s="87"/>
      <c r="H9" s="87"/>
      <c r="I9" s="87"/>
      <c r="J9" s="87"/>
      <c r="K9" s="87"/>
      <c r="L9" s="87"/>
      <c r="M9" s="87"/>
    </row>
    <row r="10" spans="1:13" ht="15" customHeight="1" x14ac:dyDescent="0.5">
      <c r="A10" s="109">
        <v>8</v>
      </c>
      <c r="B10" s="117" t="s">
        <v>103</v>
      </c>
      <c r="C10" s="123">
        <v>22</v>
      </c>
      <c r="D10" s="123">
        <v>14</v>
      </c>
      <c r="E10" s="96"/>
      <c r="F10" s="87"/>
      <c r="G10" s="87"/>
      <c r="H10" s="87"/>
      <c r="I10" s="87"/>
      <c r="J10" s="87"/>
      <c r="K10" s="87"/>
      <c r="L10" s="87"/>
      <c r="M10" s="87"/>
    </row>
    <row r="11" spans="1:13" ht="15" customHeight="1" x14ac:dyDescent="0.5">
      <c r="A11" s="109">
        <v>9</v>
      </c>
      <c r="B11" s="116" t="s">
        <v>153</v>
      </c>
      <c r="C11" s="123">
        <v>22</v>
      </c>
      <c r="D11" s="123">
        <v>14</v>
      </c>
      <c r="E11" s="96"/>
      <c r="F11" s="87"/>
      <c r="G11" s="87"/>
      <c r="H11" s="87"/>
      <c r="I11" s="87"/>
      <c r="J11" s="87"/>
      <c r="K11" s="87"/>
      <c r="L11" s="87"/>
      <c r="M11" s="87"/>
    </row>
    <row r="12" spans="1:13" ht="15" customHeight="1" x14ac:dyDescent="0.5">
      <c r="A12" s="109">
        <v>10</v>
      </c>
      <c r="B12" s="117" t="s">
        <v>168</v>
      </c>
      <c r="C12" s="123">
        <v>1</v>
      </c>
      <c r="D12" s="123">
        <v>21</v>
      </c>
      <c r="E12" s="96"/>
      <c r="F12" s="87"/>
      <c r="G12" s="87"/>
      <c r="H12" s="87"/>
      <c r="I12" s="87"/>
      <c r="J12" s="87"/>
      <c r="K12" s="87"/>
      <c r="L12" s="87"/>
      <c r="M12" s="87"/>
    </row>
    <row r="13" spans="1:13" ht="15" customHeight="1" x14ac:dyDescent="0.35">
      <c r="A13" s="109">
        <v>11</v>
      </c>
      <c r="B13" s="116" t="s">
        <v>117</v>
      </c>
      <c r="C13" s="123"/>
      <c r="D13" s="123">
        <v>1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>
    <tabColor rgb="FF9D4555"/>
  </sheetPr>
  <dimension ref="A1:R1048572"/>
  <sheetViews>
    <sheetView showGridLines="0" topLeftCell="A4" zoomScale="44" zoomScaleNormal="44" workbookViewId="0"/>
  </sheetViews>
  <sheetFormatPr defaultColWidth="0" defaultRowHeight="15.75" customHeight="1" zeroHeight="1" x14ac:dyDescent="0.3"/>
  <cols>
    <col min="1" max="1" width="4.7265625" style="335" customWidth="1"/>
    <col min="2" max="2" width="10.453125" style="74" customWidth="1"/>
    <col min="3" max="10" width="16.7265625" style="74" customWidth="1"/>
    <col min="11" max="11" width="10.453125" style="74" customWidth="1"/>
    <col min="12" max="12" width="4.7265625" style="335" customWidth="1"/>
    <col min="13" max="18" width="15" style="75" hidden="1" customWidth="1"/>
    <col min="19" max="16384" width="15.1796875" style="75" hidden="1"/>
  </cols>
  <sheetData>
    <row r="1" spans="1:15" s="335" customFormat="1" ht="21.75" customHeight="1" thickBot="1" x14ac:dyDescent="0.35"/>
    <row r="2" spans="1:15" ht="35.15" customHeight="1" thickBot="1" x14ac:dyDescent="0.45">
      <c r="B2" s="286"/>
      <c r="C2" s="287"/>
      <c r="D2" s="287"/>
      <c r="E2" s="287"/>
      <c r="F2" s="287"/>
      <c r="G2" s="287"/>
      <c r="H2" s="287"/>
      <c r="I2" s="287"/>
      <c r="J2" s="287"/>
      <c r="K2" s="288"/>
      <c r="M2" s="74"/>
      <c r="N2" s="74"/>
      <c r="O2" s="74"/>
    </row>
    <row r="3" spans="1:15" s="74" customFormat="1" ht="45" customHeight="1" x14ac:dyDescent="0.3">
      <c r="A3" s="335"/>
      <c r="B3" s="401" t="s">
        <v>124</v>
      </c>
      <c r="C3" s="402"/>
      <c r="D3" s="402"/>
      <c r="E3" s="402"/>
      <c r="F3" s="402"/>
      <c r="G3" s="402"/>
      <c r="H3" s="260"/>
      <c r="I3" s="260"/>
      <c r="J3" s="398"/>
      <c r="K3" s="399"/>
      <c r="L3" s="335"/>
    </row>
    <row r="4" spans="1:15" ht="45" customHeight="1" thickBot="1" x14ac:dyDescent="0.35">
      <c r="B4" s="403"/>
      <c r="C4" s="404"/>
      <c r="D4" s="404"/>
      <c r="E4" s="404"/>
      <c r="F4" s="404"/>
      <c r="G4" s="404"/>
      <c r="H4" s="260"/>
      <c r="I4" s="260"/>
      <c r="J4" s="400"/>
      <c r="K4" s="399"/>
      <c r="M4" s="74"/>
      <c r="N4" s="74"/>
      <c r="O4" s="74"/>
    </row>
    <row r="5" spans="1:15" ht="35.15" customHeight="1" x14ac:dyDescent="0.3">
      <c r="B5" s="289"/>
      <c r="C5" s="261"/>
      <c r="D5" s="261"/>
      <c r="E5" s="261"/>
      <c r="F5" s="261"/>
      <c r="G5" s="261"/>
      <c r="H5" s="261"/>
      <c r="I5" s="261"/>
      <c r="J5" s="75"/>
      <c r="K5" s="290"/>
      <c r="M5" s="74"/>
      <c r="N5" s="74"/>
      <c r="O5" s="74"/>
    </row>
    <row r="6" spans="1:15" ht="390" customHeight="1" x14ac:dyDescent="0.3">
      <c r="B6" s="289"/>
      <c r="C6" s="231"/>
      <c r="D6" s="75"/>
      <c r="E6" s="231"/>
      <c r="F6" s="397"/>
      <c r="G6" s="397"/>
      <c r="H6" s="397"/>
      <c r="I6" s="397"/>
      <c r="J6" s="75"/>
      <c r="K6" s="290"/>
      <c r="M6" s="74"/>
      <c r="N6" s="74"/>
      <c r="O6" s="74"/>
    </row>
    <row r="7" spans="1:15" ht="30" customHeight="1" thickBot="1" x14ac:dyDescent="0.35">
      <c r="B7" s="291"/>
      <c r="C7" s="292"/>
      <c r="D7" s="292"/>
      <c r="E7" s="292"/>
      <c r="F7" s="292"/>
      <c r="G7" s="292"/>
      <c r="H7" s="292"/>
      <c r="I7" s="292"/>
      <c r="J7" s="292"/>
      <c r="K7" s="293"/>
      <c r="M7" s="74"/>
      <c r="N7" s="74"/>
      <c r="O7" s="74"/>
    </row>
    <row r="8" spans="1:15" s="335" customFormat="1" ht="22" customHeight="1" x14ac:dyDescent="0.3"/>
    <row r="9" spans="1:15" ht="15.75" hidden="1" customHeight="1" x14ac:dyDescent="0.3">
      <c r="M9" s="74"/>
      <c r="N9" s="74"/>
      <c r="O9" s="74"/>
    </row>
    <row r="10" spans="1:15" ht="15.75" hidden="1" customHeight="1" x14ac:dyDescent="0.3">
      <c r="M10" s="74"/>
      <c r="N10" s="74"/>
      <c r="O10" s="74"/>
    </row>
    <row r="11" spans="1:15" ht="15.75" hidden="1" customHeight="1" x14ac:dyDescent="0.3">
      <c r="M11" s="74"/>
      <c r="N11" s="74"/>
      <c r="O11" s="74"/>
    </row>
    <row r="1048572" ht="14" hidden="1" x14ac:dyDescent="0.3"/>
  </sheetData>
  <mergeCells count="3">
    <mergeCell ref="F6:I6"/>
    <mergeCell ref="J3:K4"/>
    <mergeCell ref="B3:G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>
    <tabColor rgb="FF9D4555"/>
    <outlinePr summaryBelow="0"/>
    <pageSetUpPr fitToPage="1"/>
  </sheetPr>
  <dimension ref="A1:AA187"/>
  <sheetViews>
    <sheetView showGridLines="0" topLeftCell="A47" zoomScale="70" zoomScaleNormal="70" workbookViewId="0">
      <selection activeCell="F13" sqref="F13"/>
    </sheetView>
  </sheetViews>
  <sheetFormatPr defaultColWidth="0" defaultRowHeight="14" zeroHeight="1" outlineLevelRow="1" x14ac:dyDescent="0.3"/>
  <cols>
    <col min="1" max="1" width="4.7265625" style="331" customWidth="1"/>
    <col min="2" max="2" width="10.7265625" style="72" customWidth="1"/>
    <col min="3" max="3" width="66.81640625" style="77" customWidth="1"/>
    <col min="4" max="6" width="16.54296875" style="77" customWidth="1"/>
    <col min="7" max="7" width="10.7265625" style="72" customWidth="1"/>
    <col min="8" max="8" width="4.7265625" style="331" customWidth="1"/>
    <col min="9" max="9" width="20.26953125" style="77" hidden="1" customWidth="1"/>
    <col min="10" max="10" width="20.81640625" style="77" hidden="1" customWidth="1"/>
    <col min="11" max="11" width="11.26953125" style="77" hidden="1" customWidth="1"/>
    <col min="12" max="12" width="13.453125" style="77" hidden="1" customWidth="1"/>
    <col min="13" max="13" width="16.453125" style="77" hidden="1" customWidth="1"/>
    <col min="14" max="14" width="17.26953125" style="77" hidden="1" customWidth="1"/>
    <col min="15" max="15" width="14.7265625" style="77" hidden="1" customWidth="1"/>
    <col min="16" max="27" width="0" style="77" hidden="1" customWidth="1"/>
    <col min="28" max="16384" width="15.1796875" style="77" hidden="1"/>
  </cols>
  <sheetData>
    <row r="1" spans="2:8" s="331" customFormat="1" ht="22" customHeight="1" thickBot="1" x14ac:dyDescent="0.35"/>
    <row r="2" spans="2:8" ht="35.15" customHeight="1" thickBot="1" x14ac:dyDescent="0.35">
      <c r="B2" s="268"/>
      <c r="C2" s="269"/>
      <c r="D2" s="269"/>
      <c r="E2" s="269"/>
      <c r="F2" s="269"/>
      <c r="G2" s="270"/>
    </row>
    <row r="3" spans="2:8" ht="45" customHeight="1" x14ac:dyDescent="0.3">
      <c r="B3" s="401" t="s">
        <v>125</v>
      </c>
      <c r="C3" s="402"/>
      <c r="D3" s="260"/>
      <c r="E3" s="260"/>
      <c r="F3" s="262"/>
      <c r="G3" s="294"/>
    </row>
    <row r="4" spans="2:8" ht="45" customHeight="1" thickBot="1" x14ac:dyDescent="0.35">
      <c r="B4" s="403"/>
      <c r="C4" s="404"/>
      <c r="D4" s="260"/>
      <c r="E4" s="260"/>
      <c r="F4" s="262"/>
      <c r="G4" s="294"/>
    </row>
    <row r="5" spans="2:8" ht="35.15" customHeight="1" x14ac:dyDescent="0.3">
      <c r="B5" s="272"/>
      <c r="C5" s="263"/>
      <c r="D5" s="264"/>
      <c r="E5" s="264"/>
      <c r="F5" s="72"/>
      <c r="G5" s="295"/>
      <c r="H5" s="336"/>
    </row>
    <row r="6" spans="2:8" ht="22" customHeight="1" x14ac:dyDescent="0.3">
      <c r="B6" s="272"/>
      <c r="C6" s="410" t="s">
        <v>78</v>
      </c>
      <c r="D6" s="410"/>
      <c r="E6" s="410"/>
      <c r="F6" s="410"/>
      <c r="G6" s="296"/>
    </row>
    <row r="7" spans="2:8" ht="20.149999999999999" customHeight="1" x14ac:dyDescent="0.35">
      <c r="B7" s="272"/>
      <c r="C7" s="159" t="s">
        <v>45</v>
      </c>
      <c r="D7" s="166"/>
      <c r="E7" s="167"/>
      <c r="F7" s="163">
        <f>IF(Титул!$E$13=Сезон!$I$1,Сезон!$I$2,IF(Титул!$E$13=Сезон!$J$1,Сезон!$J$2,IF(Титул!$E$13=Сезон!$K$1,Сезон!$K$2)))</f>
        <v>580000</v>
      </c>
      <c r="G7" s="296"/>
    </row>
    <row r="8" spans="2:8" ht="20.149999999999999" customHeight="1" x14ac:dyDescent="0.35">
      <c r="B8" s="272"/>
      <c r="C8" s="168" t="s">
        <v>38</v>
      </c>
      <c r="D8" s="166"/>
      <c r="E8" s="167"/>
      <c r="F8" s="161">
        <f>SUM(F9,F12,F14:F14)</f>
        <v>340000</v>
      </c>
      <c r="G8" s="296"/>
      <c r="H8" s="337"/>
    </row>
    <row r="9" spans="2:8" ht="20.149999999999999" customHeight="1" outlineLevel="1" x14ac:dyDescent="0.3">
      <c r="B9" s="272"/>
      <c r="C9" s="158" t="s">
        <v>152</v>
      </c>
      <c r="D9" s="169"/>
      <c r="E9" s="167"/>
      <c r="F9" s="174">
        <f>Инвестиции!F10*Инвестиции!F11*2</f>
        <v>160000</v>
      </c>
      <c r="G9" s="296"/>
      <c r="H9" s="337"/>
    </row>
    <row r="10" spans="2:8" ht="20.149999999999999" customHeight="1" outlineLevel="1" x14ac:dyDescent="0.35">
      <c r="B10" s="272"/>
      <c r="C10" s="170" t="s">
        <v>151</v>
      </c>
      <c r="D10" s="171"/>
      <c r="E10" s="166"/>
      <c r="F10" s="356">
        <f>VLOOKUP(Титул!$E$14,Сезон!$H$6:$I$9,2,FALSE)</f>
        <v>40</v>
      </c>
      <c r="G10" s="296"/>
      <c r="H10" s="337"/>
    </row>
    <row r="11" spans="2:8" ht="20.149999999999999" customHeight="1" outlineLevel="1" x14ac:dyDescent="0.35">
      <c r="B11" s="272"/>
      <c r="C11" s="170" t="s">
        <v>91</v>
      </c>
      <c r="D11" s="171"/>
      <c r="E11" s="166"/>
      <c r="F11" s="357">
        <f>IF(Титул!$E$14=Сезон!$H$7,IF(Титул!$E$13=Сезон!$I$1,1000,IF(Титул!$E$13=Сезон!$J$1,1500,IF(Титул!$E$13=Сезон!$K$1,2000))),IF(Титул!$E$13=Сезон!$I$1,2500,IF(Титул!$E$13=Сезон!$J$1,3750,IF(Титул!$E$13=Сезон!$K$1,5000))))</f>
        <v>2000</v>
      </c>
      <c r="G11" s="296"/>
      <c r="H11" s="337"/>
    </row>
    <row r="12" spans="2:8" ht="20.149999999999999" customHeight="1" outlineLevel="1" x14ac:dyDescent="0.3">
      <c r="B12" s="272"/>
      <c r="C12" s="172" t="s">
        <v>150</v>
      </c>
      <c r="D12" s="169"/>
      <c r="E12" s="167"/>
      <c r="F12" s="174">
        <f>F10*F13</f>
        <v>180000</v>
      </c>
      <c r="G12" s="296"/>
      <c r="H12" s="337"/>
    </row>
    <row r="13" spans="2:8" ht="20.149999999999999" customHeight="1" outlineLevel="1" x14ac:dyDescent="0.3">
      <c r="B13" s="272"/>
      <c r="C13" s="158"/>
      <c r="D13" s="169"/>
      <c r="E13" s="173" t="s">
        <v>99</v>
      </c>
      <c r="F13" s="357">
        <f>IF(Титул!$E$14=Сезон!$H$7,4500,9000)</f>
        <v>4500</v>
      </c>
      <c r="G13" s="296"/>
      <c r="H13" s="337"/>
    </row>
    <row r="14" spans="2:8" ht="20.149999999999999" customHeight="1" outlineLevel="1" x14ac:dyDescent="0.3">
      <c r="B14" s="272"/>
      <c r="C14" s="158" t="s">
        <v>119</v>
      </c>
      <c r="D14" s="169"/>
      <c r="E14" s="167"/>
      <c r="F14" s="357">
        <v>0</v>
      </c>
      <c r="G14" s="296"/>
      <c r="H14" s="337"/>
    </row>
    <row r="15" spans="2:8" ht="20.149999999999999" customHeight="1" x14ac:dyDescent="0.3">
      <c r="B15" s="272"/>
      <c r="C15" s="222" t="s">
        <v>154</v>
      </c>
      <c r="D15" s="165" t="s">
        <v>49</v>
      </c>
      <c r="E15" s="165" t="s">
        <v>112</v>
      </c>
      <c r="F15" s="163">
        <f>SUM(F16:F26)</f>
        <v>125000</v>
      </c>
      <c r="G15" s="296"/>
      <c r="H15" s="337"/>
    </row>
    <row r="16" spans="2:8" ht="20.149999999999999" customHeight="1" outlineLevel="1" x14ac:dyDescent="0.3">
      <c r="B16" s="272"/>
      <c r="C16" s="158" t="str">
        <f>IF(Титул!$E$14=Сезон!$H$7,"Комод","Модульная система")</f>
        <v>Комод</v>
      </c>
      <c r="D16" s="358">
        <f>IF(Титул!$E$14=Сезон!$H$7,4,1)</f>
        <v>4</v>
      </c>
      <c r="E16" s="357">
        <f>IF(Титул!$E$14=Сезон!$H$7,12500,250000)</f>
        <v>12500</v>
      </c>
      <c r="F16" s="164">
        <f t="shared" ref="F16:F26" si="0">D16*E16</f>
        <v>50000</v>
      </c>
      <c r="G16" s="296"/>
      <c r="H16" s="337"/>
    </row>
    <row r="17" spans="2:8" ht="20.149999999999999" customHeight="1" outlineLevel="1" x14ac:dyDescent="0.3">
      <c r="B17" s="272"/>
      <c r="C17" s="158" t="str">
        <f>IF(Титул!$E$14=Сезон!$H$7,"Кронштейны с направляющими","Стол демонстрационный")</f>
        <v>Кронштейны с направляющими</v>
      </c>
      <c r="D17" s="358">
        <f>IF(Титул!$E$14=Сезон!$H$7,4,2)</f>
        <v>4</v>
      </c>
      <c r="E17" s="357">
        <f>IF(Титул!$E$14=Сезон!$H$7,3250,25000)</f>
        <v>3250</v>
      </c>
      <c r="F17" s="164">
        <f t="shared" si="0"/>
        <v>13000</v>
      </c>
      <c r="G17" s="296"/>
      <c r="H17" s="337"/>
    </row>
    <row r="18" spans="2:8" ht="20.149999999999999" customHeight="1" outlineLevel="1" x14ac:dyDescent="0.3">
      <c r="B18" s="272"/>
      <c r="C18" s="158" t="s">
        <v>170</v>
      </c>
      <c r="D18" s="358">
        <f>IF(Титул!$E$14=Сезон!$H$7,200,500)</f>
        <v>200</v>
      </c>
      <c r="E18" s="357">
        <v>50</v>
      </c>
      <c r="F18" s="164">
        <f t="shared" si="0"/>
        <v>10000</v>
      </c>
      <c r="G18" s="296"/>
      <c r="H18" s="337"/>
    </row>
    <row r="19" spans="2:8" ht="20.149999999999999" customHeight="1" outlineLevel="1" x14ac:dyDescent="0.3">
      <c r="B19" s="272"/>
      <c r="C19" s="158" t="s">
        <v>171</v>
      </c>
      <c r="D19" s="358">
        <v>1</v>
      </c>
      <c r="E19" s="357">
        <v>3000</v>
      </c>
      <c r="F19" s="164">
        <f t="shared" si="0"/>
        <v>3000</v>
      </c>
      <c r="G19" s="296"/>
      <c r="H19" s="337"/>
    </row>
    <row r="20" spans="2:8" ht="20.149999999999999" customHeight="1" outlineLevel="1" x14ac:dyDescent="0.3">
      <c r="B20" s="272"/>
      <c r="C20" s="158" t="s">
        <v>172</v>
      </c>
      <c r="D20" s="358">
        <v>1</v>
      </c>
      <c r="E20" s="357">
        <v>15000</v>
      </c>
      <c r="F20" s="164">
        <f t="shared" si="0"/>
        <v>15000</v>
      </c>
      <c r="G20" s="296"/>
      <c r="H20" s="337"/>
    </row>
    <row r="21" spans="2:8" ht="20.149999999999999" customHeight="1" outlineLevel="1" x14ac:dyDescent="0.3">
      <c r="B21" s="272"/>
      <c r="C21" s="158" t="s">
        <v>173</v>
      </c>
      <c r="D21" s="358">
        <f>IF(Титул!$E$14=Сезон!$H$7,2,3)</f>
        <v>2</v>
      </c>
      <c r="E21" s="357">
        <v>6000</v>
      </c>
      <c r="F21" s="164">
        <f t="shared" si="0"/>
        <v>12000</v>
      </c>
      <c r="G21" s="296"/>
      <c r="H21" s="337"/>
    </row>
    <row r="22" spans="2:8" ht="20.149999999999999" customHeight="1" outlineLevel="1" x14ac:dyDescent="0.3">
      <c r="B22" s="272"/>
      <c r="C22" s="158" t="s">
        <v>174</v>
      </c>
      <c r="D22" s="358">
        <v>1</v>
      </c>
      <c r="E22" s="357">
        <v>5000</v>
      </c>
      <c r="F22" s="164">
        <f t="shared" si="0"/>
        <v>5000</v>
      </c>
      <c r="G22" s="296"/>
      <c r="H22" s="337"/>
    </row>
    <row r="23" spans="2:8" ht="20.149999999999999" customHeight="1" outlineLevel="1" x14ac:dyDescent="0.3">
      <c r="B23" s="272"/>
      <c r="C23" s="158" t="s">
        <v>175</v>
      </c>
      <c r="D23" s="358">
        <f>IF(Титул!$E$14=Сезон!$H$7,1,2)</f>
        <v>1</v>
      </c>
      <c r="E23" s="357">
        <v>10000</v>
      </c>
      <c r="F23" s="164">
        <f t="shared" si="0"/>
        <v>10000</v>
      </c>
      <c r="G23" s="296"/>
      <c r="H23" s="337"/>
    </row>
    <row r="24" spans="2:8" ht="20.149999999999999" customHeight="1" outlineLevel="1" x14ac:dyDescent="0.3">
      <c r="B24" s="272"/>
      <c r="C24" s="158" t="s">
        <v>176</v>
      </c>
      <c r="D24" s="358">
        <f>IF(Титул!$E$14=Сезон!$H$7,0,1)</f>
        <v>0</v>
      </c>
      <c r="E24" s="357">
        <v>20000</v>
      </c>
      <c r="F24" s="164">
        <f t="shared" si="0"/>
        <v>0</v>
      </c>
      <c r="G24" s="296"/>
      <c r="H24" s="337"/>
    </row>
    <row r="25" spans="2:8" ht="20.149999999999999" customHeight="1" outlineLevel="1" x14ac:dyDescent="0.3">
      <c r="B25" s="272"/>
      <c r="C25" s="158" t="s">
        <v>182</v>
      </c>
      <c r="D25" s="358">
        <f>IF(Титул!$E$14=Сезон!$H$7,0,1)</f>
        <v>0</v>
      </c>
      <c r="E25" s="357">
        <v>30000</v>
      </c>
      <c r="F25" s="164">
        <f t="shared" si="0"/>
        <v>0</v>
      </c>
      <c r="G25" s="296"/>
      <c r="H25" s="337"/>
    </row>
    <row r="26" spans="2:8" ht="20.149999999999999" customHeight="1" outlineLevel="1" x14ac:dyDescent="0.3">
      <c r="B26" s="272"/>
      <c r="C26" s="158" t="str">
        <f>IF(Титул!$E$14=Сезон!$H$7,"Стол рабочий","Ресепшен")</f>
        <v>Стол рабочий</v>
      </c>
      <c r="D26" s="358">
        <v>1</v>
      </c>
      <c r="E26" s="357">
        <f>IF(Титул!$E$14=Сезон!$H$7,7000,35000)</f>
        <v>7000</v>
      </c>
      <c r="F26" s="164">
        <f t="shared" si="0"/>
        <v>7000</v>
      </c>
      <c r="G26" s="296"/>
      <c r="H26" s="337"/>
    </row>
    <row r="27" spans="2:8" ht="20.149999999999999" customHeight="1" x14ac:dyDescent="0.3">
      <c r="B27" s="272"/>
      <c r="C27" s="222" t="s">
        <v>177</v>
      </c>
      <c r="D27" s="165" t="s">
        <v>49</v>
      </c>
      <c r="E27" s="165" t="s">
        <v>112</v>
      </c>
      <c r="F27" s="163">
        <f>SUM(F28:F31)</f>
        <v>20500</v>
      </c>
      <c r="G27" s="296"/>
      <c r="H27" s="337"/>
    </row>
    <row r="28" spans="2:8" ht="20.149999999999999" customHeight="1" outlineLevel="1" x14ac:dyDescent="0.3">
      <c r="B28" s="272"/>
      <c r="C28" s="158" t="s">
        <v>178</v>
      </c>
      <c r="D28" s="358">
        <f>IF(Титул!$E$14=Сезон!$H$7,1,2)</f>
        <v>1</v>
      </c>
      <c r="E28" s="357">
        <v>7000</v>
      </c>
      <c r="F28" s="164">
        <f t="shared" ref="F28:F31" si="1">D28*E28</f>
        <v>7000</v>
      </c>
      <c r="G28" s="296"/>
      <c r="H28" s="337"/>
    </row>
    <row r="29" spans="2:8" ht="20.149999999999999" customHeight="1" outlineLevel="1" x14ac:dyDescent="0.3">
      <c r="B29" s="272"/>
      <c r="C29" s="158" t="s">
        <v>179</v>
      </c>
      <c r="D29" s="358">
        <f>IF(Титул!$E$14=Сезон!$H$7,1,2)</f>
        <v>1</v>
      </c>
      <c r="E29" s="357">
        <v>10000</v>
      </c>
      <c r="F29" s="164">
        <f t="shared" si="1"/>
        <v>10000</v>
      </c>
      <c r="G29" s="296"/>
      <c r="H29" s="337"/>
    </row>
    <row r="30" spans="2:8" ht="20.149999999999999" customHeight="1" outlineLevel="1" x14ac:dyDescent="0.3">
      <c r="B30" s="272"/>
      <c r="C30" s="158" t="s">
        <v>180</v>
      </c>
      <c r="D30" s="358">
        <f>IF(Титул!$E$14=Сезон!$H$7,1,2)</f>
        <v>1</v>
      </c>
      <c r="E30" s="357">
        <v>3000</v>
      </c>
      <c r="F30" s="164">
        <f t="shared" si="1"/>
        <v>3000</v>
      </c>
      <c r="G30" s="296"/>
      <c r="H30" s="337"/>
    </row>
    <row r="31" spans="2:8" ht="20.149999999999999" customHeight="1" outlineLevel="1" x14ac:dyDescent="0.3">
      <c r="B31" s="272"/>
      <c r="C31" s="158" t="s">
        <v>181</v>
      </c>
      <c r="D31" s="358">
        <f>IF(Титул!$E$14=Сезон!$H$7,1,2)</f>
        <v>1</v>
      </c>
      <c r="E31" s="357">
        <v>500</v>
      </c>
      <c r="F31" s="164">
        <f t="shared" si="1"/>
        <v>500</v>
      </c>
      <c r="G31" s="296"/>
      <c r="H31" s="337"/>
    </row>
    <row r="32" spans="2:8" ht="20.149999999999999" customHeight="1" x14ac:dyDescent="0.3">
      <c r="B32" s="272"/>
      <c r="C32" s="222" t="s">
        <v>183</v>
      </c>
      <c r="D32" s="165" t="s">
        <v>49</v>
      </c>
      <c r="E32" s="165" t="s">
        <v>112</v>
      </c>
      <c r="F32" s="163">
        <f>SUM(F33:F36)</f>
        <v>0</v>
      </c>
      <c r="G32" s="296"/>
      <c r="H32" s="337"/>
    </row>
    <row r="33" spans="2:8" ht="20.149999999999999" customHeight="1" outlineLevel="1" x14ac:dyDescent="0.3">
      <c r="B33" s="272"/>
      <c r="C33" s="158" t="s">
        <v>184</v>
      </c>
      <c r="D33" s="358">
        <f>IF(Титул!$E$14=Сезон!$H$7,0,1)</f>
        <v>0</v>
      </c>
      <c r="E33" s="357">
        <v>20000</v>
      </c>
      <c r="F33" s="164">
        <f t="shared" ref="F33:F36" si="2">D33*E33</f>
        <v>0</v>
      </c>
      <c r="G33" s="296"/>
      <c r="H33" s="337"/>
    </row>
    <row r="34" spans="2:8" ht="20.149999999999999" customHeight="1" outlineLevel="1" x14ac:dyDescent="0.3">
      <c r="B34" s="272"/>
      <c r="C34" s="158" t="s">
        <v>185</v>
      </c>
      <c r="D34" s="358">
        <f>IF(Титул!$E$14=Сезон!$H$7,0,1)</f>
        <v>0</v>
      </c>
      <c r="E34" s="357">
        <v>5000</v>
      </c>
      <c r="F34" s="164">
        <f t="shared" si="2"/>
        <v>0</v>
      </c>
      <c r="G34" s="296"/>
      <c r="H34" s="337"/>
    </row>
    <row r="35" spans="2:8" ht="20.149999999999999" customHeight="1" outlineLevel="1" x14ac:dyDescent="0.3">
      <c r="B35" s="272"/>
      <c r="C35" s="158" t="s">
        <v>186</v>
      </c>
      <c r="D35" s="358">
        <f>IF(Титул!$E$14=Сезон!$H$7,0,1)</f>
        <v>0</v>
      </c>
      <c r="E35" s="357">
        <v>10000</v>
      </c>
      <c r="F35" s="164">
        <f t="shared" si="2"/>
        <v>0</v>
      </c>
      <c r="G35" s="296"/>
      <c r="H35" s="337"/>
    </row>
    <row r="36" spans="2:8" ht="20.149999999999999" customHeight="1" outlineLevel="1" x14ac:dyDescent="0.3">
      <c r="B36" s="272"/>
      <c r="C36" s="158" t="s">
        <v>187</v>
      </c>
      <c r="D36" s="358">
        <f>IF(Титул!$E$14=Сезон!$H$7,0,1)</f>
        <v>0</v>
      </c>
      <c r="E36" s="357">
        <v>5000</v>
      </c>
      <c r="F36" s="164">
        <f t="shared" si="2"/>
        <v>0</v>
      </c>
      <c r="G36" s="296"/>
      <c r="H36" s="337"/>
    </row>
    <row r="37" spans="2:8" ht="20.149999999999999" customHeight="1" x14ac:dyDescent="0.3">
      <c r="B37" s="272"/>
      <c r="C37" s="222" t="s">
        <v>188</v>
      </c>
      <c r="D37" s="165" t="s">
        <v>49</v>
      </c>
      <c r="E37" s="165" t="s">
        <v>112</v>
      </c>
      <c r="F37" s="163">
        <f>SUM(F38:F46)</f>
        <v>161000</v>
      </c>
      <c r="G37" s="296"/>
      <c r="H37" s="337"/>
    </row>
    <row r="38" spans="2:8" ht="20.149999999999999" customHeight="1" outlineLevel="1" x14ac:dyDescent="0.3">
      <c r="B38" s="272"/>
      <c r="C38" s="158" t="s">
        <v>190</v>
      </c>
      <c r="D38" s="358">
        <v>1</v>
      </c>
      <c r="E38" s="357">
        <v>20000</v>
      </c>
      <c r="F38" s="164">
        <f t="shared" ref="F38:F46" si="3">D38*E38</f>
        <v>20000</v>
      </c>
      <c r="G38" s="296"/>
      <c r="H38" s="337"/>
    </row>
    <row r="39" spans="2:8" ht="20.149999999999999" customHeight="1" outlineLevel="1" x14ac:dyDescent="0.3">
      <c r="B39" s="272"/>
      <c r="C39" s="158" t="s">
        <v>191</v>
      </c>
      <c r="D39" s="358">
        <v>1</v>
      </c>
      <c r="E39" s="357">
        <v>5000</v>
      </c>
      <c r="F39" s="164">
        <f t="shared" si="3"/>
        <v>5000</v>
      </c>
      <c r="G39" s="296"/>
      <c r="H39" s="337"/>
    </row>
    <row r="40" spans="2:8" ht="20.149999999999999" customHeight="1" outlineLevel="1" x14ac:dyDescent="0.3">
      <c r="B40" s="272"/>
      <c r="C40" s="158" t="s">
        <v>192</v>
      </c>
      <c r="D40" s="358">
        <v>1</v>
      </c>
      <c r="E40" s="357">
        <v>10000</v>
      </c>
      <c r="F40" s="164">
        <f t="shared" si="3"/>
        <v>10000</v>
      </c>
      <c r="G40" s="296"/>
      <c r="H40" s="337"/>
    </row>
    <row r="41" spans="2:8" ht="20.149999999999999" customHeight="1" outlineLevel="1" x14ac:dyDescent="0.3">
      <c r="B41" s="272"/>
      <c r="C41" s="158" t="s">
        <v>189</v>
      </c>
      <c r="D41" s="358">
        <v>1</v>
      </c>
      <c r="E41" s="357">
        <v>0</v>
      </c>
      <c r="F41" s="164">
        <f t="shared" si="3"/>
        <v>0</v>
      </c>
      <c r="G41" s="296"/>
      <c r="H41" s="337"/>
    </row>
    <row r="42" spans="2:8" ht="20.149999999999999" customHeight="1" outlineLevel="1" x14ac:dyDescent="0.3">
      <c r="B42" s="272"/>
      <c r="C42" s="158" t="s">
        <v>193</v>
      </c>
      <c r="D42" s="358">
        <v>1</v>
      </c>
      <c r="E42" s="357">
        <v>80000</v>
      </c>
      <c r="F42" s="164">
        <f t="shared" si="3"/>
        <v>80000</v>
      </c>
      <c r="G42" s="296"/>
      <c r="H42" s="337"/>
    </row>
    <row r="43" spans="2:8" ht="20.149999999999999" customHeight="1" outlineLevel="1" x14ac:dyDescent="0.3">
      <c r="B43" s="272"/>
      <c r="C43" s="158" t="s">
        <v>194</v>
      </c>
      <c r="D43" s="358">
        <v>1</v>
      </c>
      <c r="E43" s="357">
        <v>20000</v>
      </c>
      <c r="F43" s="164">
        <f t="shared" si="3"/>
        <v>20000</v>
      </c>
      <c r="G43" s="296"/>
      <c r="H43" s="337"/>
    </row>
    <row r="44" spans="2:8" ht="20.149999999999999" customHeight="1" outlineLevel="1" x14ac:dyDescent="0.3">
      <c r="B44" s="272"/>
      <c r="C44" s="158" t="s">
        <v>195</v>
      </c>
      <c r="D44" s="358">
        <f>IF(Титул!$E$14=Сезон!$H$7,1,2)</f>
        <v>1</v>
      </c>
      <c r="E44" s="357">
        <v>15000</v>
      </c>
      <c r="F44" s="164">
        <f t="shared" si="3"/>
        <v>15000</v>
      </c>
      <c r="G44" s="296"/>
      <c r="H44" s="337"/>
    </row>
    <row r="45" spans="2:8" ht="20.149999999999999" customHeight="1" outlineLevel="1" x14ac:dyDescent="0.3">
      <c r="B45" s="272"/>
      <c r="C45" s="158" t="s">
        <v>196</v>
      </c>
      <c r="D45" s="358">
        <v>1</v>
      </c>
      <c r="E45" s="357">
        <v>5000</v>
      </c>
      <c r="F45" s="164">
        <f t="shared" ref="F45" si="4">D45*E45</f>
        <v>5000</v>
      </c>
      <c r="G45" s="296"/>
      <c r="H45" s="337"/>
    </row>
    <row r="46" spans="2:8" ht="20.149999999999999" customHeight="1" outlineLevel="1" x14ac:dyDescent="0.3">
      <c r="B46" s="272"/>
      <c r="C46" s="158" t="s">
        <v>197</v>
      </c>
      <c r="D46" s="358">
        <f>IF(Титул!$E$14=Сезон!$H$7,2,4)</f>
        <v>2</v>
      </c>
      <c r="E46" s="357">
        <v>3000</v>
      </c>
      <c r="F46" s="164">
        <f t="shared" si="3"/>
        <v>6000</v>
      </c>
      <c r="G46" s="296"/>
      <c r="H46" s="337"/>
    </row>
    <row r="47" spans="2:8" ht="20.149999999999999" customHeight="1" x14ac:dyDescent="0.3">
      <c r="B47" s="272"/>
      <c r="C47" s="411" t="s">
        <v>158</v>
      </c>
      <c r="D47" s="412"/>
      <c r="E47" s="413"/>
      <c r="F47" s="359">
        <f>IF(Титул!$E$14=Сезон!$H$7,1000000,2000000)</f>
        <v>1000000</v>
      </c>
      <c r="G47" s="296"/>
      <c r="H47" s="337"/>
    </row>
    <row r="48" spans="2:8" ht="20.149999999999999" customHeight="1" x14ac:dyDescent="0.3">
      <c r="B48" s="272"/>
      <c r="C48" s="159" t="s">
        <v>130</v>
      </c>
      <c r="D48" s="266"/>
      <c r="E48" s="267"/>
      <c r="F48" s="359">
        <v>5000</v>
      </c>
      <c r="G48" s="296"/>
      <c r="H48" s="337"/>
    </row>
    <row r="49" spans="1:16" ht="20.149999999999999" customHeight="1" x14ac:dyDescent="0.3">
      <c r="B49" s="272"/>
      <c r="C49" s="411" t="s">
        <v>113</v>
      </c>
      <c r="D49" s="412"/>
      <c r="E49" s="413"/>
      <c r="F49" s="161">
        <f>SUM(F50:F52)</f>
        <v>152500</v>
      </c>
      <c r="G49" s="296"/>
      <c r="H49" s="337"/>
    </row>
    <row r="50" spans="1:16" ht="20.149999999999999" customHeight="1" outlineLevel="1" x14ac:dyDescent="0.3">
      <c r="B50" s="272"/>
      <c r="C50" s="158" t="s">
        <v>155</v>
      </c>
      <c r="D50" s="266"/>
      <c r="E50" s="267"/>
      <c r="F50" s="360">
        <f>IF(Титул!$E$14=Сезон!$H$7,0,20000)</f>
        <v>0</v>
      </c>
      <c r="G50" s="296"/>
      <c r="H50" s="337"/>
    </row>
    <row r="51" spans="1:16" ht="20.149999999999999" customHeight="1" outlineLevel="1" x14ac:dyDescent="0.3">
      <c r="B51" s="272"/>
      <c r="C51" s="158" t="s">
        <v>198</v>
      </c>
      <c r="D51" s="266"/>
      <c r="E51" s="267"/>
      <c r="F51" s="360">
        <v>12500</v>
      </c>
      <c r="G51" s="296"/>
      <c r="H51" s="337"/>
    </row>
    <row r="52" spans="1:16" ht="20.149999999999999" customHeight="1" outlineLevel="1" x14ac:dyDescent="0.3">
      <c r="B52" s="272"/>
      <c r="C52" s="158" t="s">
        <v>122</v>
      </c>
      <c r="D52" s="266"/>
      <c r="E52" s="267"/>
      <c r="F52" s="360">
        <v>140000</v>
      </c>
      <c r="G52" s="296"/>
      <c r="H52" s="337"/>
    </row>
    <row r="53" spans="1:16" ht="20.149999999999999" customHeight="1" x14ac:dyDescent="0.3">
      <c r="B53" s="272"/>
      <c r="C53" s="411" t="s">
        <v>165</v>
      </c>
      <c r="D53" s="412"/>
      <c r="E53" s="413"/>
      <c r="F53" s="359">
        <v>40000</v>
      </c>
      <c r="G53" s="296"/>
      <c r="H53" s="337"/>
    </row>
    <row r="54" spans="1:16" ht="20.149999999999999" customHeight="1" x14ac:dyDescent="0.3">
      <c r="B54" s="272"/>
      <c r="C54" s="408" t="s">
        <v>2</v>
      </c>
      <c r="D54" s="409"/>
      <c r="E54" s="160"/>
      <c r="F54" s="162">
        <f>SUM(F7:F8,F15,F27,F32,F37,F47:F49,F53)</f>
        <v>2424000</v>
      </c>
      <c r="G54" s="296"/>
    </row>
    <row r="55" spans="1:16" ht="22" customHeight="1" x14ac:dyDescent="0.3">
      <c r="B55" s="272"/>
      <c r="C55" s="232"/>
      <c r="D55" s="232"/>
      <c r="E55" s="233"/>
      <c r="F55" s="234"/>
      <c r="G55" s="296"/>
    </row>
    <row r="56" spans="1:16" ht="22" customHeight="1" x14ac:dyDescent="0.3">
      <c r="B56" s="272"/>
      <c r="C56" s="405" t="s">
        <v>80</v>
      </c>
      <c r="D56" s="406"/>
      <c r="E56" s="407"/>
      <c r="F56" s="72"/>
      <c r="G56" s="296"/>
    </row>
    <row r="57" spans="1:16" ht="20.149999999999999" customHeight="1" x14ac:dyDescent="0.3">
      <c r="B57" s="272"/>
      <c r="C57" s="155" t="s">
        <v>10</v>
      </c>
      <c r="D57" s="156"/>
      <c r="E57" s="361">
        <v>0</v>
      </c>
      <c r="F57" s="235" t="s">
        <v>54</v>
      </c>
      <c r="G57" s="296"/>
    </row>
    <row r="58" spans="1:16" ht="20.149999999999999" customHeight="1" x14ac:dyDescent="0.3">
      <c r="B58" s="272"/>
      <c r="C58" s="155" t="s">
        <v>28</v>
      </c>
      <c r="D58" s="156"/>
      <c r="E58" s="362">
        <v>0.35</v>
      </c>
      <c r="F58" s="72"/>
      <c r="G58" s="296"/>
    </row>
    <row r="59" spans="1:16" ht="20.149999999999999" customHeight="1" x14ac:dyDescent="0.3">
      <c r="B59" s="272"/>
      <c r="C59" s="155" t="s">
        <v>37</v>
      </c>
      <c r="D59" s="157" t="s">
        <v>34</v>
      </c>
      <c r="E59" s="363">
        <v>24</v>
      </c>
      <c r="F59" s="72"/>
      <c r="G59" s="296"/>
    </row>
    <row r="60" spans="1:16" s="72" customFormat="1" ht="22" customHeight="1" thickBot="1" x14ac:dyDescent="0.4">
      <c r="A60" s="331"/>
      <c r="B60" s="274"/>
      <c r="C60" s="297"/>
      <c r="D60" s="297"/>
      <c r="E60" s="297"/>
      <c r="F60" s="275"/>
      <c r="G60" s="285"/>
      <c r="H60" s="331"/>
      <c r="P60" s="154"/>
    </row>
    <row r="61" spans="1:16" s="331" customFormat="1" ht="21" customHeight="1" x14ac:dyDescent="0.35">
      <c r="C61" s="338"/>
      <c r="D61" s="339"/>
      <c r="E61" s="339"/>
      <c r="P61" s="340"/>
    </row>
    <row r="62" spans="1:16" ht="15.5" hidden="1" x14ac:dyDescent="0.35">
      <c r="C62" s="80"/>
      <c r="D62" s="104"/>
      <c r="E62" s="104"/>
      <c r="F62" s="105"/>
      <c r="P62" s="85"/>
    </row>
    <row r="84" spans="2:7" hidden="1" x14ac:dyDescent="0.3">
      <c r="B84" s="77"/>
      <c r="G84" s="77"/>
    </row>
    <row r="85" spans="2:7" hidden="1" x14ac:dyDescent="0.3">
      <c r="B85" s="77"/>
      <c r="G85" s="77"/>
    </row>
    <row r="86" spans="2:7" hidden="1" x14ac:dyDescent="0.3">
      <c r="B86" s="77"/>
      <c r="G86" s="77"/>
    </row>
    <row r="87" spans="2:7" hidden="1" x14ac:dyDescent="0.3">
      <c r="B87" s="77"/>
      <c r="G87" s="77"/>
    </row>
    <row r="88" spans="2:7" hidden="1" x14ac:dyDescent="0.3">
      <c r="B88" s="77"/>
      <c r="G88" s="77"/>
    </row>
    <row r="89" spans="2:7" hidden="1" x14ac:dyDescent="0.3">
      <c r="B89" s="77"/>
      <c r="G89" s="77"/>
    </row>
    <row r="90" spans="2:7" hidden="1" x14ac:dyDescent="0.3">
      <c r="B90" s="77"/>
      <c r="G90" s="77"/>
    </row>
    <row r="91" spans="2:7" hidden="1" x14ac:dyDescent="0.3">
      <c r="B91" s="77"/>
      <c r="G91" s="77"/>
    </row>
    <row r="92" spans="2:7" hidden="1" x14ac:dyDescent="0.3">
      <c r="B92" s="77"/>
      <c r="G92" s="77"/>
    </row>
    <row r="93" spans="2:7" hidden="1" x14ac:dyDescent="0.3">
      <c r="B93" s="77"/>
      <c r="G93" s="77"/>
    </row>
    <row r="94" spans="2:7" hidden="1" x14ac:dyDescent="0.3">
      <c r="B94" s="77"/>
      <c r="G94" s="77"/>
    </row>
    <row r="95" spans="2:7" hidden="1" x14ac:dyDescent="0.3">
      <c r="B95" s="77"/>
      <c r="G95" s="77"/>
    </row>
    <row r="96" spans="2:7" hidden="1" x14ac:dyDescent="0.3">
      <c r="B96" s="77"/>
      <c r="G96" s="77"/>
    </row>
    <row r="97" spans="2:7" hidden="1" x14ac:dyDescent="0.3">
      <c r="B97" s="77"/>
      <c r="G97" s="77"/>
    </row>
    <row r="98" spans="2:7" hidden="1" x14ac:dyDescent="0.3">
      <c r="B98" s="77"/>
      <c r="G98" s="77"/>
    </row>
    <row r="99" spans="2:7" hidden="1" x14ac:dyDescent="0.3">
      <c r="B99" s="77"/>
      <c r="G99" s="77"/>
    </row>
    <row r="100" spans="2:7" hidden="1" x14ac:dyDescent="0.3">
      <c r="B100" s="77"/>
      <c r="G100" s="77"/>
    </row>
    <row r="101" spans="2:7" hidden="1" x14ac:dyDescent="0.3">
      <c r="B101" s="77"/>
      <c r="G101" s="77"/>
    </row>
    <row r="102" spans="2:7" hidden="1" x14ac:dyDescent="0.3">
      <c r="B102" s="77"/>
      <c r="G102" s="77"/>
    </row>
    <row r="103" spans="2:7" hidden="1" x14ac:dyDescent="0.3">
      <c r="B103" s="77"/>
      <c r="G103" s="77"/>
    </row>
    <row r="104" spans="2:7" hidden="1" x14ac:dyDescent="0.3">
      <c r="B104" s="77"/>
      <c r="G104" s="77"/>
    </row>
    <row r="105" spans="2:7" hidden="1" x14ac:dyDescent="0.3">
      <c r="B105" s="77"/>
      <c r="G105" s="77"/>
    </row>
    <row r="106" spans="2:7" hidden="1" x14ac:dyDescent="0.3">
      <c r="B106" s="77"/>
      <c r="G106" s="77"/>
    </row>
    <row r="107" spans="2:7" hidden="1" x14ac:dyDescent="0.3">
      <c r="B107" s="77"/>
      <c r="G107" s="77"/>
    </row>
    <row r="108" spans="2:7" hidden="1" x14ac:dyDescent="0.3">
      <c r="B108" s="77"/>
      <c r="G108" s="77"/>
    </row>
    <row r="109" spans="2:7" hidden="1" x14ac:dyDescent="0.3">
      <c r="B109" s="77"/>
      <c r="G109" s="77"/>
    </row>
    <row r="110" spans="2:7" hidden="1" x14ac:dyDescent="0.3">
      <c r="B110" s="77"/>
      <c r="G110" s="77"/>
    </row>
    <row r="111" spans="2:7" hidden="1" x14ac:dyDescent="0.3">
      <c r="B111" s="77"/>
      <c r="G111" s="77"/>
    </row>
    <row r="112" spans="2:7" hidden="1" x14ac:dyDescent="0.3">
      <c r="B112" s="77"/>
      <c r="G112" s="77"/>
    </row>
    <row r="113" spans="2:7" hidden="1" x14ac:dyDescent="0.3">
      <c r="B113" s="77"/>
      <c r="G113" s="77"/>
    </row>
    <row r="114" spans="2:7" hidden="1" x14ac:dyDescent="0.3">
      <c r="B114" s="77"/>
      <c r="G114" s="77"/>
    </row>
    <row r="115" spans="2:7" hidden="1" x14ac:dyDescent="0.3">
      <c r="B115" s="77"/>
      <c r="G115" s="77"/>
    </row>
    <row r="116" spans="2:7" hidden="1" x14ac:dyDescent="0.3">
      <c r="B116" s="77"/>
      <c r="G116" s="77"/>
    </row>
    <row r="117" spans="2:7" hidden="1" x14ac:dyDescent="0.3">
      <c r="B117" s="77"/>
      <c r="G117" s="77"/>
    </row>
    <row r="118" spans="2:7" hidden="1" x14ac:dyDescent="0.3">
      <c r="B118" s="77"/>
      <c r="G118" s="77"/>
    </row>
    <row r="119" spans="2:7" ht="15" hidden="1" customHeight="1" x14ac:dyDescent="0.3">
      <c r="B119" s="77"/>
      <c r="G119" s="77"/>
    </row>
    <row r="120" spans="2:7" ht="15" hidden="1" customHeight="1" x14ac:dyDescent="0.3">
      <c r="B120" s="77"/>
      <c r="G120" s="77"/>
    </row>
    <row r="121" spans="2:7" ht="15" hidden="1" customHeight="1" x14ac:dyDescent="0.3">
      <c r="B121" s="77"/>
      <c r="G121" s="77"/>
    </row>
    <row r="122" spans="2:7" ht="15" hidden="1" customHeight="1" x14ac:dyDescent="0.3">
      <c r="B122" s="77"/>
      <c r="G122" s="77"/>
    </row>
    <row r="123" spans="2:7" ht="15" hidden="1" customHeight="1" x14ac:dyDescent="0.3">
      <c r="B123" s="77"/>
      <c r="G123" s="77"/>
    </row>
    <row r="124" spans="2:7" ht="15" hidden="1" customHeight="1" x14ac:dyDescent="0.3">
      <c r="B124" s="77"/>
      <c r="G124" s="77"/>
    </row>
    <row r="125" spans="2:7" ht="15" hidden="1" customHeight="1" x14ac:dyDescent="0.3">
      <c r="B125" s="77"/>
      <c r="G125" s="77"/>
    </row>
    <row r="126" spans="2:7" ht="15" hidden="1" customHeight="1" x14ac:dyDescent="0.3">
      <c r="B126" s="77"/>
      <c r="G126" s="77"/>
    </row>
    <row r="127" spans="2:7" ht="15" hidden="1" customHeight="1" x14ac:dyDescent="0.3">
      <c r="B127" s="77"/>
      <c r="G127" s="77"/>
    </row>
    <row r="128" spans="2:7" ht="15" hidden="1" customHeight="1" x14ac:dyDescent="0.3">
      <c r="B128" s="77"/>
      <c r="G128" s="77"/>
    </row>
    <row r="129" spans="2:7" ht="15" hidden="1" customHeight="1" x14ac:dyDescent="0.3">
      <c r="B129" s="77"/>
      <c r="G129" s="77"/>
    </row>
    <row r="130" spans="2:7" ht="15" hidden="1" customHeight="1" x14ac:dyDescent="0.3">
      <c r="B130" s="77"/>
      <c r="G130" s="77"/>
    </row>
    <row r="131" spans="2:7" ht="15" hidden="1" customHeight="1" x14ac:dyDescent="0.3">
      <c r="B131" s="77"/>
      <c r="G131" s="77"/>
    </row>
    <row r="132" spans="2:7" ht="15" hidden="1" customHeight="1" x14ac:dyDescent="0.3">
      <c r="B132" s="77"/>
      <c r="G132" s="77"/>
    </row>
    <row r="133" spans="2:7" ht="15" hidden="1" customHeight="1" x14ac:dyDescent="0.3">
      <c r="B133" s="77"/>
      <c r="G133" s="77"/>
    </row>
    <row r="134" spans="2:7" ht="15" hidden="1" customHeight="1" x14ac:dyDescent="0.3">
      <c r="B134" s="77"/>
      <c r="G134" s="77"/>
    </row>
    <row r="135" spans="2:7" ht="15" hidden="1" customHeight="1" x14ac:dyDescent="0.3">
      <c r="B135" s="77"/>
      <c r="G135" s="77"/>
    </row>
    <row r="136" spans="2:7" ht="15" hidden="1" customHeight="1" x14ac:dyDescent="0.3">
      <c r="B136" s="77"/>
      <c r="G136" s="77"/>
    </row>
    <row r="137" spans="2:7" ht="15" hidden="1" customHeight="1" x14ac:dyDescent="0.3">
      <c r="B137" s="77"/>
      <c r="G137" s="77"/>
    </row>
    <row r="138" spans="2:7" ht="15" hidden="1" customHeight="1" x14ac:dyDescent="0.3">
      <c r="B138" s="77"/>
      <c r="G138" s="77"/>
    </row>
    <row r="139" spans="2:7" ht="15" hidden="1" customHeight="1" x14ac:dyDescent="0.3">
      <c r="B139" s="77"/>
      <c r="G139" s="77"/>
    </row>
    <row r="140" spans="2:7" ht="15" hidden="1" customHeight="1" x14ac:dyDescent="0.3">
      <c r="B140" s="77"/>
      <c r="G140" s="77"/>
    </row>
    <row r="141" spans="2:7" ht="15" hidden="1" customHeight="1" x14ac:dyDescent="0.3">
      <c r="B141" s="77"/>
      <c r="G141" s="77"/>
    </row>
    <row r="142" spans="2:7" ht="15" hidden="1" customHeight="1" x14ac:dyDescent="0.3">
      <c r="B142" s="77"/>
      <c r="G142" s="77"/>
    </row>
    <row r="143" spans="2:7" ht="15" hidden="1" customHeight="1" x14ac:dyDescent="0.3">
      <c r="B143" s="77"/>
      <c r="G143" s="77"/>
    </row>
    <row r="144" spans="2:7" ht="15" hidden="1" customHeight="1" x14ac:dyDescent="0.3">
      <c r="B144" s="77"/>
      <c r="G144" s="77"/>
    </row>
    <row r="145" spans="2:7" ht="15" hidden="1" customHeight="1" x14ac:dyDescent="0.3">
      <c r="B145" s="77"/>
      <c r="G145" s="77"/>
    </row>
    <row r="146" spans="2:7" ht="15" hidden="1" customHeight="1" x14ac:dyDescent="0.3">
      <c r="B146" s="77"/>
      <c r="G146" s="77"/>
    </row>
    <row r="147" spans="2:7" ht="15" hidden="1" customHeight="1" x14ac:dyDescent="0.3">
      <c r="B147" s="77"/>
      <c r="G147" s="77"/>
    </row>
    <row r="148" spans="2:7" ht="15" hidden="1" customHeight="1" x14ac:dyDescent="0.3">
      <c r="B148" s="77"/>
      <c r="G148" s="77"/>
    </row>
    <row r="149" spans="2:7" ht="15" hidden="1" customHeight="1" x14ac:dyDescent="0.3">
      <c r="B149" s="77"/>
      <c r="G149" s="77"/>
    </row>
    <row r="150" spans="2:7" ht="15" hidden="1" customHeight="1" x14ac:dyDescent="0.3">
      <c r="B150" s="77"/>
      <c r="G150" s="77"/>
    </row>
    <row r="151" spans="2:7" ht="15" hidden="1" customHeight="1" x14ac:dyDescent="0.3">
      <c r="B151" s="77"/>
      <c r="G151" s="77"/>
    </row>
    <row r="152" spans="2:7" ht="15" hidden="1" customHeight="1" x14ac:dyDescent="0.3">
      <c r="B152" s="77"/>
      <c r="G152" s="77"/>
    </row>
    <row r="153" spans="2:7" ht="15" hidden="1" customHeight="1" x14ac:dyDescent="0.3">
      <c r="B153" s="77"/>
      <c r="G153" s="77"/>
    </row>
    <row r="154" spans="2:7" ht="15" hidden="1" customHeight="1" x14ac:dyDescent="0.3">
      <c r="B154" s="77"/>
      <c r="G154" s="77"/>
    </row>
    <row r="155" spans="2:7" ht="15" hidden="1" customHeight="1" x14ac:dyDescent="0.3">
      <c r="B155" s="77"/>
      <c r="G155" s="77"/>
    </row>
    <row r="156" spans="2:7" ht="15" hidden="1" customHeight="1" x14ac:dyDescent="0.3">
      <c r="B156" s="77"/>
      <c r="G156" s="77"/>
    </row>
    <row r="157" spans="2:7" hidden="1" x14ac:dyDescent="0.3">
      <c r="B157" s="77"/>
      <c r="G157" s="77"/>
    </row>
    <row r="158" spans="2:7" hidden="1" x14ac:dyDescent="0.3">
      <c r="B158" s="77"/>
      <c r="G158" s="77"/>
    </row>
    <row r="159" spans="2:7" hidden="1" x14ac:dyDescent="0.3">
      <c r="B159" s="77"/>
      <c r="G159" s="77"/>
    </row>
    <row r="160" spans="2:7" hidden="1" x14ac:dyDescent="0.3">
      <c r="B160" s="77"/>
      <c r="G160" s="77"/>
    </row>
    <row r="161" spans="2:7" hidden="1" x14ac:dyDescent="0.3">
      <c r="B161" s="77"/>
      <c r="G161" s="77"/>
    </row>
    <row r="162" spans="2:7" hidden="1" x14ac:dyDescent="0.3">
      <c r="B162" s="77"/>
      <c r="G162" s="77"/>
    </row>
    <row r="163" spans="2:7" hidden="1" x14ac:dyDescent="0.3">
      <c r="B163" s="77"/>
      <c r="G163" s="77"/>
    </row>
    <row r="164" spans="2:7" hidden="1" x14ac:dyDescent="0.3">
      <c r="B164" s="77"/>
      <c r="G164" s="77"/>
    </row>
    <row r="165" spans="2:7" hidden="1" x14ac:dyDescent="0.3">
      <c r="B165" s="77"/>
      <c r="G165" s="77"/>
    </row>
    <row r="166" spans="2:7" hidden="1" x14ac:dyDescent="0.3">
      <c r="B166" s="77"/>
      <c r="G166" s="77"/>
    </row>
    <row r="167" spans="2:7" hidden="1" x14ac:dyDescent="0.3">
      <c r="B167" s="77"/>
      <c r="G167" s="77"/>
    </row>
    <row r="168" spans="2:7" hidden="1" x14ac:dyDescent="0.3">
      <c r="B168" s="77"/>
      <c r="G168" s="77"/>
    </row>
    <row r="169" spans="2:7" hidden="1" x14ac:dyDescent="0.3">
      <c r="B169" s="77"/>
      <c r="G169" s="77"/>
    </row>
    <row r="170" spans="2:7" hidden="1" x14ac:dyDescent="0.3">
      <c r="B170" s="77"/>
      <c r="G170" s="77"/>
    </row>
    <row r="171" spans="2:7" hidden="1" x14ac:dyDescent="0.3">
      <c r="B171" s="77"/>
      <c r="G171" s="77"/>
    </row>
    <row r="172" spans="2:7" hidden="1" x14ac:dyDescent="0.3">
      <c r="B172" s="77"/>
      <c r="G172" s="77"/>
    </row>
    <row r="173" spans="2:7" hidden="1" x14ac:dyDescent="0.3">
      <c r="B173" s="77"/>
      <c r="G173" s="77"/>
    </row>
    <row r="174" spans="2:7" hidden="1" x14ac:dyDescent="0.3">
      <c r="B174" s="77"/>
      <c r="G174" s="77"/>
    </row>
    <row r="175" spans="2:7" hidden="1" x14ac:dyDescent="0.3">
      <c r="B175" s="77"/>
      <c r="G175" s="77"/>
    </row>
    <row r="176" spans="2:7" hidden="1" x14ac:dyDescent="0.3">
      <c r="B176" s="77"/>
      <c r="G176" s="77"/>
    </row>
    <row r="177" spans="2:7" hidden="1" x14ac:dyDescent="0.3">
      <c r="B177" s="77"/>
      <c r="G177" s="77"/>
    </row>
    <row r="178" spans="2:7" hidden="1" x14ac:dyDescent="0.3">
      <c r="B178" s="77"/>
      <c r="G178" s="77"/>
    </row>
    <row r="179" spans="2:7" hidden="1" x14ac:dyDescent="0.3">
      <c r="B179" s="77"/>
      <c r="G179" s="77"/>
    </row>
    <row r="180" spans="2:7" hidden="1" x14ac:dyDescent="0.3">
      <c r="B180" s="77"/>
      <c r="G180" s="77"/>
    </row>
    <row r="181" spans="2:7" hidden="1" x14ac:dyDescent="0.3">
      <c r="B181" s="77"/>
      <c r="G181" s="77"/>
    </row>
    <row r="182" spans="2:7" hidden="1" x14ac:dyDescent="0.3">
      <c r="B182" s="77"/>
      <c r="G182" s="77"/>
    </row>
    <row r="183" spans="2:7" hidden="1" x14ac:dyDescent="0.3">
      <c r="B183" s="77"/>
      <c r="G183" s="77"/>
    </row>
    <row r="184" spans="2:7" hidden="1" x14ac:dyDescent="0.3">
      <c r="B184" s="77"/>
      <c r="G184" s="77"/>
    </row>
    <row r="185" spans="2:7" hidden="1" x14ac:dyDescent="0.3">
      <c r="B185" s="77"/>
      <c r="G185" s="77"/>
    </row>
    <row r="186" spans="2:7" hidden="1" x14ac:dyDescent="0.3">
      <c r="B186" s="77"/>
      <c r="G186" s="77"/>
    </row>
    <row r="187" spans="2:7" hidden="1" x14ac:dyDescent="0.3">
      <c r="B187" s="77"/>
      <c r="G187" s="77"/>
    </row>
  </sheetData>
  <mergeCells count="7">
    <mergeCell ref="B3:C4"/>
    <mergeCell ref="C56:E56"/>
    <mergeCell ref="C54:D54"/>
    <mergeCell ref="C6:F6"/>
    <mergeCell ref="C53:E53"/>
    <mergeCell ref="C49:E49"/>
    <mergeCell ref="C47:E47"/>
  </mergeCells>
  <dataValidations count="2">
    <dataValidation allowBlank="1" showErrorMessage="1" sqref="F11" xr:uid="{00000000-0002-0000-0400-000000000000}"/>
    <dataValidation allowBlank="1" showInputMessage="1" showErrorMessage="1" promptTitle="Рекомендуемая площадь" prompt="⚫️ Шоурум:3 30-50 м²_x000a_⚫️ Салон: 40-80 м²" sqref="F10" xr:uid="{00000000-0002-0000-0400-000001000000}"/>
  </dataValidations>
  <pageMargins left="0.7" right="0.7" top="0.75" bottom="0.75" header="0.3" footer="0.3"/>
  <pageSetup paperSize="9" scale="40" orientation="landscape" r:id="rId1"/>
  <ignoredErrors>
    <ignoredError sqref="F10:F11 F16:F26 F47 F13 E16:E17 F28:F31 E26 F33:F36 F45:F46 F38:F40 F41:F44" unlockedFormula="1"/>
    <ignoredError sqref="F49" formulaRange="1"/>
    <ignoredError sqref="F27 F32 F37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1">
    <tabColor rgb="FF9D4555"/>
    <outlinePr summaryBelow="0"/>
    <pageSetUpPr fitToPage="1"/>
  </sheetPr>
  <dimension ref="A1:W672"/>
  <sheetViews>
    <sheetView showGridLines="0" topLeftCell="A16" zoomScale="70" zoomScaleNormal="70" workbookViewId="0"/>
  </sheetViews>
  <sheetFormatPr defaultColWidth="0" defaultRowHeight="0" customHeight="1" zeroHeight="1" x14ac:dyDescent="0.3"/>
  <cols>
    <col min="1" max="1" width="4.7265625" style="331" customWidth="1"/>
    <col min="2" max="2" width="10.7265625" style="77" customWidth="1"/>
    <col min="3" max="3" width="55" style="72" customWidth="1"/>
    <col min="4" max="6" width="20.26953125" style="72" customWidth="1"/>
    <col min="7" max="7" width="10.7265625" style="77" customWidth="1"/>
    <col min="8" max="8" width="4.7265625" style="331" customWidth="1"/>
    <col min="9" max="9" width="20.26953125" style="72" hidden="1" customWidth="1"/>
    <col min="10" max="10" width="20.81640625" style="72" hidden="1" customWidth="1"/>
    <col min="11" max="11" width="11.26953125" style="72" hidden="1" customWidth="1"/>
    <col min="12" max="12" width="13.453125" style="72" hidden="1" customWidth="1"/>
    <col min="13" max="13" width="16.453125" style="72" hidden="1" customWidth="1"/>
    <col min="14" max="14" width="17.26953125" style="72" hidden="1" customWidth="1"/>
    <col min="15" max="15" width="14.7265625" style="72" hidden="1" customWidth="1"/>
    <col min="16" max="23" width="0" style="72" hidden="1" customWidth="1"/>
    <col min="24" max="16384" width="15.1796875" style="72" hidden="1"/>
  </cols>
  <sheetData>
    <row r="1" spans="1:8" s="331" customFormat="1" ht="21.75" customHeight="1" thickBot="1" x14ac:dyDescent="0.35"/>
    <row r="2" spans="1:8" s="77" customFormat="1" ht="35.15" customHeight="1" thickBot="1" x14ac:dyDescent="0.35">
      <c r="A2" s="331"/>
      <c r="B2" s="268"/>
      <c r="C2" s="269"/>
      <c r="D2" s="269"/>
      <c r="E2" s="269"/>
      <c r="F2" s="269"/>
      <c r="G2" s="270"/>
      <c r="H2" s="331"/>
    </row>
    <row r="3" spans="1:8" s="77" customFormat="1" ht="45" customHeight="1" x14ac:dyDescent="0.3">
      <c r="A3" s="331"/>
      <c r="B3" s="415" t="s">
        <v>126</v>
      </c>
      <c r="C3" s="416"/>
      <c r="D3" s="265"/>
      <c r="E3" s="265"/>
      <c r="F3" s="262"/>
      <c r="G3" s="294"/>
      <c r="H3" s="331"/>
    </row>
    <row r="4" spans="1:8" s="77" customFormat="1" ht="45" customHeight="1" thickBot="1" x14ac:dyDescent="0.35">
      <c r="A4" s="331"/>
      <c r="B4" s="417"/>
      <c r="C4" s="418"/>
      <c r="D4" s="265"/>
      <c r="E4" s="265"/>
      <c r="F4" s="262"/>
      <c r="G4" s="294"/>
      <c r="H4" s="331"/>
    </row>
    <row r="5" spans="1:8" s="77" customFormat="1" ht="35.15" customHeight="1" x14ac:dyDescent="0.3">
      <c r="A5" s="331"/>
      <c r="B5" s="272"/>
      <c r="C5" s="72"/>
      <c r="D5" s="264"/>
      <c r="E5" s="264"/>
      <c r="F5" s="264"/>
      <c r="G5" s="295"/>
      <c r="H5" s="336"/>
    </row>
    <row r="6" spans="1:8" ht="22" customHeight="1" x14ac:dyDescent="0.3">
      <c r="B6" s="272"/>
      <c r="C6" s="410" t="s">
        <v>92</v>
      </c>
      <c r="D6" s="410"/>
      <c r="E6" s="414"/>
      <c r="F6" s="414"/>
      <c r="G6" s="296"/>
    </row>
    <row r="7" spans="1:8" ht="20.149999999999999" customHeight="1" x14ac:dyDescent="0.3">
      <c r="B7" s="272"/>
      <c r="C7" s="159" t="s">
        <v>56</v>
      </c>
      <c r="D7" s="106" t="s">
        <v>49</v>
      </c>
      <c r="E7" s="107" t="s">
        <v>33</v>
      </c>
      <c r="F7" s="108" t="s">
        <v>116</v>
      </c>
      <c r="G7" s="296"/>
    </row>
    <row r="8" spans="1:8" ht="20.149999999999999" customHeight="1" x14ac:dyDescent="0.3">
      <c r="B8" s="272"/>
      <c r="C8" s="175" t="s">
        <v>95</v>
      </c>
      <c r="D8" s="178">
        <v>1</v>
      </c>
      <c r="E8" s="357">
        <f>IF(Титул!E16=Сезон!A29,50000,0)</f>
        <v>0</v>
      </c>
      <c r="F8" s="364">
        <f>IF(Титул!E16=Сезон!A29,0.01,0)</f>
        <v>0</v>
      </c>
      <c r="G8" s="296"/>
    </row>
    <row r="9" spans="1:8" ht="20.149999999999999" customHeight="1" x14ac:dyDescent="0.3">
      <c r="B9" s="272"/>
      <c r="C9" s="175" t="str">
        <f>IF(Титул!E15=Сезон!A25,"Страховые взносы за персонал","Страховые взносы")</f>
        <v>Страховые взносы за персонал</v>
      </c>
      <c r="D9" s="365">
        <f>IF(AND(Титул!E16=Сезон!A28,Титул!E15=Сезон!A25),0%,30.2%)</f>
        <v>0</v>
      </c>
      <c r="E9" s="179" t="s">
        <v>47</v>
      </c>
      <c r="F9" s="357">
        <f>E8</f>
        <v>0</v>
      </c>
      <c r="G9" s="296"/>
    </row>
    <row r="10" spans="1:8" ht="20.149999999999999" customHeight="1" x14ac:dyDescent="0.35">
      <c r="B10" s="272"/>
      <c r="C10" s="175" t="str">
        <f>IF(Титул!E15=Сезон!A25,Сезон!E1,"Страховые взносы для ИП")</f>
        <v>Страховые взносы за ИП</v>
      </c>
      <c r="D10" s="180"/>
      <c r="E10" s="180"/>
      <c r="F10" s="184">
        <f>IF(C10=Сезон!E1,IF(Титул!E17="Патент",((Сезон!F4+Сезон!F6)+IF((Титул!E18/0.06-300000)*1%&lt;0,0,IF((Титул!E18/0.06-300000)*1%&gt;257061,257061/12,(Титул!E18/0.06-300000)*1%)))/12,(Сезон!F8+Сезон!F16)/2),0)</f>
        <v>6082.6111111111122</v>
      </c>
      <c r="G10" s="296"/>
    </row>
    <row r="11" spans="1:8" ht="20.149999999999999" customHeight="1" x14ac:dyDescent="0.3">
      <c r="B11" s="272"/>
      <c r="C11" s="222" t="s">
        <v>89</v>
      </c>
      <c r="D11" s="224"/>
      <c r="E11" s="181"/>
      <c r="F11" s="185">
        <f>IF(Титул!$E$13=Сезон!$I$1,Сезон!$I$3,IF(Титул!$E$13=Сезон!$J$1,Сезон!$J$3,IF(Титул!$E$13=Сезон!$K$1,Сезон!$K$3)))</f>
        <v>22200</v>
      </c>
      <c r="G11" s="296"/>
      <c r="H11" s="337"/>
    </row>
    <row r="12" spans="1:8" ht="20.149999999999999" customHeight="1" x14ac:dyDescent="0.3">
      <c r="B12" s="272"/>
      <c r="C12" s="222" t="s">
        <v>138</v>
      </c>
      <c r="D12" s="183"/>
      <c r="E12" s="182"/>
      <c r="F12" s="185">
        <f>Инвестиции!F10*Инвестиции!F11</f>
        <v>80000</v>
      </c>
      <c r="G12" s="298"/>
      <c r="H12" s="337"/>
    </row>
    <row r="13" spans="1:8" ht="20.149999999999999" customHeight="1" x14ac:dyDescent="0.3">
      <c r="B13" s="272"/>
      <c r="C13" s="222" t="s">
        <v>199</v>
      </c>
      <c r="D13" s="183"/>
      <c r="E13" s="181" t="s">
        <v>136</v>
      </c>
      <c r="F13" s="366">
        <v>0.29399999999999998</v>
      </c>
      <c r="G13" s="299"/>
      <c r="H13" s="337"/>
    </row>
    <row r="14" spans="1:8" ht="20.149999999999999" customHeight="1" x14ac:dyDescent="0.3">
      <c r="B14" s="272"/>
      <c r="C14" s="222" t="s">
        <v>200</v>
      </c>
      <c r="D14" s="183"/>
      <c r="E14" s="181" t="s">
        <v>159</v>
      </c>
      <c r="F14" s="366">
        <v>0.1</v>
      </c>
      <c r="G14" s="299"/>
      <c r="H14" s="337"/>
    </row>
    <row r="15" spans="1:8" ht="20.149999999999999" customHeight="1" x14ac:dyDescent="0.3">
      <c r="B15" s="272"/>
      <c r="C15" s="222" t="s">
        <v>90</v>
      </c>
      <c r="D15" s="254" t="s">
        <v>49</v>
      </c>
      <c r="E15" s="255" t="s">
        <v>156</v>
      </c>
      <c r="F15" s="256" t="s">
        <v>160</v>
      </c>
      <c r="G15" s="296"/>
      <c r="H15" s="337"/>
    </row>
    <row r="16" spans="1:8" ht="20.149999999999999" customHeight="1" x14ac:dyDescent="0.3">
      <c r="B16" s="272"/>
      <c r="C16" s="158" t="s">
        <v>201</v>
      </c>
      <c r="D16" s="367">
        <f>IF(Титул!$E$14=Сезон!$H$7,2,3)</f>
        <v>2</v>
      </c>
      <c r="E16" s="357">
        <f>IF(Титул!$E$13=Сезон!$I$1,30000,IF(Титул!$E$13=Сезон!$J$1,35000,IF(Титул!$E$13=Сезон!$K$1,40000)))</f>
        <v>40000</v>
      </c>
      <c r="F16" s="368">
        <f>IF(Титул!$E$14=Сезон!$H$7,7%,5%)</f>
        <v>7.0000000000000007E-2</v>
      </c>
      <c r="G16" s="300"/>
      <c r="H16" s="337"/>
    </row>
    <row r="17" spans="1:16" ht="20.149999999999999" customHeight="1" x14ac:dyDescent="0.3">
      <c r="B17" s="272"/>
      <c r="C17" s="158" t="s">
        <v>202</v>
      </c>
      <c r="D17" s="367">
        <f>IF(Титул!$E$14=Сезон!$H$7,0,1)</f>
        <v>0</v>
      </c>
      <c r="E17" s="357">
        <f>IF(Титул!$E$13=Сезон!$I$1,22500,IF(Титул!$E$13=Сезон!$J$1,26250,IF(Титул!$E$13=Сезон!$K$1,30000)))</f>
        <v>30000</v>
      </c>
      <c r="F17" s="368">
        <v>0.02</v>
      </c>
      <c r="G17" s="300"/>
      <c r="H17" s="337"/>
    </row>
    <row r="18" spans="1:16" ht="18" x14ac:dyDescent="0.3">
      <c r="B18" s="272"/>
      <c r="C18" s="177" t="s">
        <v>46</v>
      </c>
      <c r="D18" s="364">
        <v>0.30199999999999999</v>
      </c>
      <c r="E18" s="186" t="s">
        <v>101</v>
      </c>
      <c r="F18" s="357">
        <v>0</v>
      </c>
      <c r="G18" s="301"/>
      <c r="H18" s="337"/>
    </row>
    <row r="19" spans="1:16" ht="17.5" x14ac:dyDescent="0.3">
      <c r="B19" s="272"/>
      <c r="C19" s="159" t="s">
        <v>122</v>
      </c>
      <c r="D19" s="187"/>
      <c r="E19" s="181" t="s">
        <v>159</v>
      </c>
      <c r="F19" s="366">
        <v>0.1</v>
      </c>
      <c r="G19" s="302"/>
      <c r="H19" s="337"/>
    </row>
    <row r="20" spans="1:16" ht="20.149999999999999" customHeight="1" x14ac:dyDescent="0.3">
      <c r="B20" s="272"/>
      <c r="C20" s="159" t="s">
        <v>55</v>
      </c>
      <c r="D20" s="187"/>
      <c r="E20" s="187"/>
      <c r="F20" s="190"/>
      <c r="G20" s="296"/>
      <c r="H20" s="337"/>
    </row>
    <row r="21" spans="1:16" ht="20.149999999999999" customHeight="1" x14ac:dyDescent="0.3">
      <c r="B21" s="272"/>
      <c r="C21" s="176" t="s">
        <v>131</v>
      </c>
      <c r="D21" s="189"/>
      <c r="E21" s="188"/>
      <c r="F21" s="357">
        <v>5000</v>
      </c>
      <c r="G21" s="296"/>
      <c r="H21" s="337"/>
    </row>
    <row r="22" spans="1:16" ht="20.149999999999999" customHeight="1" x14ac:dyDescent="0.3">
      <c r="B22" s="272"/>
      <c r="C22" s="176" t="s">
        <v>130</v>
      </c>
      <c r="D22" s="189"/>
      <c r="E22" s="188"/>
      <c r="F22" s="357">
        <v>3000</v>
      </c>
      <c r="G22" s="296"/>
      <c r="H22" s="337"/>
    </row>
    <row r="23" spans="1:16" ht="20.149999999999999" customHeight="1" x14ac:dyDescent="0.3">
      <c r="B23" s="272"/>
      <c r="C23" s="176" t="s">
        <v>141</v>
      </c>
      <c r="D23" s="189"/>
      <c r="E23" s="188"/>
      <c r="F23" s="357">
        <v>1000</v>
      </c>
      <c r="G23" s="296"/>
      <c r="H23" s="337"/>
    </row>
    <row r="24" spans="1:16" ht="20.149999999999999" customHeight="1" x14ac:dyDescent="0.3">
      <c r="B24" s="272"/>
      <c r="C24" s="176" t="s">
        <v>203</v>
      </c>
      <c r="D24" s="189"/>
      <c r="E24" s="329"/>
      <c r="F24" s="357">
        <v>0</v>
      </c>
      <c r="G24" s="296"/>
      <c r="H24" s="337"/>
    </row>
    <row r="25" spans="1:16" ht="20.149999999999999" customHeight="1" x14ac:dyDescent="0.3">
      <c r="B25" s="272"/>
      <c r="C25" s="176" t="s">
        <v>162</v>
      </c>
      <c r="D25" s="189"/>
      <c r="E25" s="329"/>
      <c r="F25" s="357">
        <v>3000</v>
      </c>
      <c r="G25" s="296"/>
      <c r="H25" s="337"/>
    </row>
    <row r="26" spans="1:16" ht="20.149999999999999" customHeight="1" x14ac:dyDescent="0.3">
      <c r="B26" s="272"/>
      <c r="C26" s="176" t="s">
        <v>163</v>
      </c>
      <c r="D26" s="189"/>
      <c r="E26" s="329"/>
      <c r="F26" s="357">
        <v>1000</v>
      </c>
      <c r="G26" s="296"/>
      <c r="H26" s="337"/>
    </row>
    <row r="27" spans="1:16" ht="20.149999999999999" customHeight="1" x14ac:dyDescent="0.3">
      <c r="B27" s="272"/>
      <c r="C27" s="176" t="s">
        <v>204</v>
      </c>
      <c r="D27" s="189"/>
      <c r="E27" s="329"/>
      <c r="F27" s="357">
        <f>IF(Титул!$E$14=Сезон!$H$7,0,5000)</f>
        <v>0</v>
      </c>
      <c r="G27" s="296"/>
      <c r="H27" s="337"/>
    </row>
    <row r="28" spans="1:16" ht="18" x14ac:dyDescent="0.3">
      <c r="B28" s="272"/>
      <c r="C28" s="176" t="s">
        <v>137</v>
      </c>
      <c r="D28" s="189"/>
      <c r="E28" s="188"/>
      <c r="F28" s="357">
        <f>IF(Титул!$E$14=Сезон!$H$7,5000,10000)</f>
        <v>5000</v>
      </c>
      <c r="G28" s="296"/>
      <c r="H28" s="337"/>
    </row>
    <row r="29" spans="1:16" ht="18" x14ac:dyDescent="0.3">
      <c r="B29" s="272"/>
      <c r="C29" s="176" t="s">
        <v>149</v>
      </c>
      <c r="D29" s="364">
        <v>0.9</v>
      </c>
      <c r="E29" s="225" t="s">
        <v>133</v>
      </c>
      <c r="F29" s="364">
        <v>2.5000000000000001E-2</v>
      </c>
      <c r="G29" s="296"/>
      <c r="H29" s="337"/>
    </row>
    <row r="30" spans="1:16" s="77" customFormat="1" ht="16" thickBot="1" x14ac:dyDescent="0.4">
      <c r="A30" s="331"/>
      <c r="B30" s="274"/>
      <c r="C30" s="297"/>
      <c r="D30" s="297"/>
      <c r="E30" s="297"/>
      <c r="F30" s="275"/>
      <c r="G30" s="285"/>
      <c r="H30" s="331"/>
      <c r="P30" s="85"/>
    </row>
    <row r="31" spans="1:16" s="331" customFormat="1" ht="22" customHeight="1" x14ac:dyDescent="0.35">
      <c r="C31" s="338"/>
      <c r="D31" s="339"/>
      <c r="E31" s="339"/>
      <c r="P31" s="340"/>
    </row>
    <row r="32" spans="1:16" ht="22" hidden="1" customHeight="1" x14ac:dyDescent="0.35">
      <c r="C32" s="80"/>
      <c r="D32" s="79"/>
      <c r="E32" s="79"/>
      <c r="F32" s="88"/>
      <c r="P32" s="85"/>
    </row>
    <row r="33" spans="3:16" ht="22" hidden="1" customHeight="1" x14ac:dyDescent="0.35">
      <c r="C33" s="78"/>
      <c r="D33" s="79"/>
      <c r="E33" s="79"/>
      <c r="P33" s="85"/>
    </row>
    <row r="34" spans="3:16" ht="22" hidden="1" customHeight="1" x14ac:dyDescent="0.35">
      <c r="C34" s="81"/>
      <c r="D34" s="79"/>
      <c r="E34" s="79"/>
      <c r="P34" s="85"/>
    </row>
    <row r="35" spans="3:16" ht="22" hidden="1" customHeight="1" x14ac:dyDescent="0.35">
      <c r="C35" s="79"/>
      <c r="D35" s="79"/>
      <c r="E35" s="79"/>
      <c r="F35" s="79"/>
      <c r="P35" s="85"/>
    </row>
    <row r="36" spans="3:16" ht="22" hidden="1" customHeight="1" x14ac:dyDescent="0.35">
      <c r="F36" s="79"/>
      <c r="P36" s="86"/>
    </row>
    <row r="37" spans="3:16" ht="22" hidden="1" customHeight="1" x14ac:dyDescent="0.3"/>
    <row r="38" spans="3:16" ht="22" hidden="1" customHeight="1" x14ac:dyDescent="0.3"/>
    <row r="39" spans="3:16" ht="22" hidden="1" customHeight="1" x14ac:dyDescent="0.3"/>
    <row r="40" spans="3:16" ht="22" hidden="1" customHeight="1" x14ac:dyDescent="0.3"/>
    <row r="41" spans="3:16" ht="22" hidden="1" customHeight="1" x14ac:dyDescent="0.3"/>
    <row r="42" spans="3:16" ht="22" hidden="1" customHeight="1" x14ac:dyDescent="0.3"/>
    <row r="43" spans="3:16" ht="22" hidden="1" customHeight="1" x14ac:dyDescent="0.3"/>
    <row r="44" spans="3:16" ht="22" hidden="1" customHeight="1" x14ac:dyDescent="0.3"/>
    <row r="45" spans="3:16" ht="22" hidden="1" customHeight="1" x14ac:dyDescent="0.3"/>
    <row r="46" spans="3:16" ht="22" hidden="1" customHeight="1" x14ac:dyDescent="0.3"/>
    <row r="47" spans="3:16" ht="22" hidden="1" customHeight="1" x14ac:dyDescent="0.3"/>
    <row r="48" spans="3:16" ht="22" hidden="1" customHeight="1" x14ac:dyDescent="0.3"/>
    <row r="49" ht="22" hidden="1" customHeight="1" x14ac:dyDescent="0.3"/>
    <row r="50" ht="22" hidden="1" customHeight="1" x14ac:dyDescent="0.3"/>
    <row r="51" ht="22" hidden="1" customHeight="1" x14ac:dyDescent="0.3"/>
    <row r="52" ht="22" hidden="1" customHeight="1" x14ac:dyDescent="0.3"/>
    <row r="53" ht="22" hidden="1" customHeight="1" x14ac:dyDescent="0.3"/>
    <row r="54" ht="22" hidden="1" customHeight="1" x14ac:dyDescent="0.3"/>
    <row r="55" ht="22" hidden="1" customHeight="1" x14ac:dyDescent="0.3"/>
    <row r="56" ht="22" hidden="1" customHeight="1" x14ac:dyDescent="0.3"/>
    <row r="57" ht="22" hidden="1" customHeight="1" x14ac:dyDescent="0.3"/>
    <row r="58" ht="22" hidden="1" customHeight="1" x14ac:dyDescent="0.3"/>
    <row r="59" ht="22" hidden="1" customHeight="1" x14ac:dyDescent="0.3"/>
    <row r="60" ht="22" hidden="1" customHeight="1" x14ac:dyDescent="0.3"/>
    <row r="61" ht="22" hidden="1" customHeight="1" x14ac:dyDescent="0.3"/>
    <row r="62" ht="22" hidden="1" customHeight="1" x14ac:dyDescent="0.3"/>
    <row r="63" ht="22" hidden="1" customHeight="1" x14ac:dyDescent="0.3"/>
    <row r="64" ht="22" hidden="1" customHeight="1" x14ac:dyDescent="0.3"/>
    <row r="65" ht="22" hidden="1" customHeight="1" x14ac:dyDescent="0.3"/>
    <row r="66" ht="22" hidden="1" customHeight="1" x14ac:dyDescent="0.3"/>
    <row r="67" ht="22" hidden="1" customHeight="1" x14ac:dyDescent="0.3"/>
    <row r="68" ht="22" hidden="1" customHeight="1" x14ac:dyDescent="0.3"/>
    <row r="69" ht="22" hidden="1" customHeight="1" x14ac:dyDescent="0.3"/>
    <row r="70" ht="22" hidden="1" customHeight="1" x14ac:dyDescent="0.3"/>
    <row r="71" ht="22" hidden="1" customHeight="1" x14ac:dyDescent="0.3"/>
    <row r="72" ht="22" hidden="1" customHeight="1" x14ac:dyDescent="0.3"/>
    <row r="73" ht="22" hidden="1" customHeight="1" x14ac:dyDescent="0.3"/>
    <row r="74" ht="22" hidden="1" customHeight="1" x14ac:dyDescent="0.3"/>
    <row r="75" ht="22" hidden="1" customHeight="1" x14ac:dyDescent="0.3"/>
    <row r="76" ht="22" hidden="1" customHeight="1" x14ac:dyDescent="0.3"/>
    <row r="77" ht="22" hidden="1" customHeight="1" x14ac:dyDescent="0.3"/>
    <row r="78" ht="22" hidden="1" customHeight="1" x14ac:dyDescent="0.3"/>
    <row r="79" ht="22" hidden="1" customHeight="1" x14ac:dyDescent="0.3"/>
    <row r="80" ht="22" hidden="1" customHeight="1" x14ac:dyDescent="0.3"/>
    <row r="81" ht="22" hidden="1" customHeight="1" x14ac:dyDescent="0.3"/>
    <row r="82" ht="22" hidden="1" customHeight="1" x14ac:dyDescent="0.3"/>
    <row r="83" ht="22" hidden="1" customHeight="1" x14ac:dyDescent="0.3"/>
    <row r="84" ht="22" hidden="1" customHeight="1" x14ac:dyDescent="0.3"/>
    <row r="85" ht="22" hidden="1" customHeight="1" x14ac:dyDescent="0.3"/>
    <row r="86" ht="22" hidden="1" customHeight="1" x14ac:dyDescent="0.3"/>
    <row r="87" ht="22" hidden="1" customHeight="1" x14ac:dyDescent="0.3"/>
    <row r="88" ht="22" hidden="1" customHeight="1" x14ac:dyDescent="0.3"/>
    <row r="89" ht="22" hidden="1" customHeight="1" x14ac:dyDescent="0.3"/>
    <row r="90" ht="22" hidden="1" customHeight="1" x14ac:dyDescent="0.3"/>
    <row r="91" ht="22" hidden="1" customHeight="1" x14ac:dyDescent="0.3"/>
    <row r="92" ht="22" hidden="1" customHeight="1" x14ac:dyDescent="0.3"/>
    <row r="93" ht="22" hidden="1" customHeight="1" x14ac:dyDescent="0.3"/>
    <row r="94" ht="22" hidden="1" customHeight="1" x14ac:dyDescent="0.3"/>
    <row r="95" ht="22" hidden="1" customHeight="1" x14ac:dyDescent="0.3"/>
    <row r="96" ht="22" hidden="1" customHeight="1" x14ac:dyDescent="0.3"/>
    <row r="97" ht="22" hidden="1" customHeight="1" x14ac:dyDescent="0.3"/>
    <row r="98" ht="22" hidden="1" customHeight="1" x14ac:dyDescent="0.3"/>
    <row r="99" ht="22" hidden="1" customHeight="1" x14ac:dyDescent="0.3"/>
    <row r="100" ht="22" hidden="1" customHeight="1" x14ac:dyDescent="0.3"/>
    <row r="101" ht="22" hidden="1" customHeight="1" x14ac:dyDescent="0.3"/>
    <row r="102" ht="22" hidden="1" customHeight="1" x14ac:dyDescent="0.3"/>
    <row r="103" ht="22" hidden="1" customHeight="1" x14ac:dyDescent="0.3"/>
    <row r="104" ht="22" hidden="1" customHeight="1" x14ac:dyDescent="0.3"/>
    <row r="105" ht="22" hidden="1" customHeight="1" x14ac:dyDescent="0.3"/>
    <row r="106" ht="22" hidden="1" customHeight="1" x14ac:dyDescent="0.3"/>
    <row r="107" ht="22" hidden="1" customHeight="1" x14ac:dyDescent="0.3"/>
    <row r="108" ht="22" hidden="1" customHeight="1" x14ac:dyDescent="0.3"/>
    <row r="109" ht="22" hidden="1" customHeight="1" x14ac:dyDescent="0.3"/>
    <row r="110" ht="22" hidden="1" customHeight="1" x14ac:dyDescent="0.3"/>
    <row r="111" ht="22" hidden="1" customHeight="1" x14ac:dyDescent="0.3"/>
    <row r="112" ht="22" hidden="1" customHeight="1" x14ac:dyDescent="0.3"/>
    <row r="113" ht="22" hidden="1" customHeight="1" x14ac:dyDescent="0.3"/>
    <row r="114" ht="22" hidden="1" customHeight="1" x14ac:dyDescent="0.3"/>
    <row r="115" ht="22" hidden="1" customHeight="1" x14ac:dyDescent="0.3"/>
    <row r="116" ht="22" hidden="1" customHeight="1" x14ac:dyDescent="0.3"/>
    <row r="117" ht="22" hidden="1" customHeight="1" x14ac:dyDescent="0.3"/>
    <row r="118" ht="22" hidden="1" customHeight="1" x14ac:dyDescent="0.3"/>
    <row r="119" ht="22" hidden="1" customHeight="1" x14ac:dyDescent="0.3"/>
    <row r="120" ht="22" hidden="1" customHeight="1" x14ac:dyDescent="0.3"/>
    <row r="121" ht="22" hidden="1" customHeight="1" x14ac:dyDescent="0.3"/>
    <row r="122" ht="22" hidden="1" customHeight="1" x14ac:dyDescent="0.3"/>
    <row r="123" ht="22" hidden="1" customHeight="1" x14ac:dyDescent="0.3"/>
    <row r="124" ht="22" hidden="1" customHeight="1" x14ac:dyDescent="0.3"/>
    <row r="125" ht="22" hidden="1" customHeight="1" x14ac:dyDescent="0.3"/>
    <row r="126" ht="22" hidden="1" customHeight="1" x14ac:dyDescent="0.3"/>
    <row r="127" ht="22" hidden="1" customHeight="1" x14ac:dyDescent="0.3"/>
    <row r="128" ht="22" hidden="1" customHeight="1" x14ac:dyDescent="0.3"/>
    <row r="129" ht="22" hidden="1" customHeight="1" x14ac:dyDescent="0.3"/>
    <row r="130" ht="22" hidden="1" customHeight="1" x14ac:dyDescent="0.3"/>
    <row r="131" ht="22" hidden="1" customHeight="1" x14ac:dyDescent="0.3"/>
    <row r="132" ht="22" hidden="1" customHeight="1" x14ac:dyDescent="0.3"/>
    <row r="133" ht="22" hidden="1" customHeight="1" x14ac:dyDescent="0.3"/>
    <row r="134" ht="22" hidden="1" customHeight="1" x14ac:dyDescent="0.3"/>
    <row r="135" ht="22" hidden="1" customHeight="1" x14ac:dyDescent="0.3"/>
    <row r="136" ht="22" hidden="1" customHeight="1" x14ac:dyDescent="0.3"/>
    <row r="137" ht="22" hidden="1" customHeight="1" x14ac:dyDescent="0.3"/>
    <row r="138" ht="22" hidden="1" customHeight="1" x14ac:dyDescent="0.3"/>
    <row r="139" ht="22" hidden="1" customHeight="1" x14ac:dyDescent="0.3"/>
    <row r="140" ht="22" hidden="1" customHeight="1" x14ac:dyDescent="0.3"/>
    <row r="141" ht="22" hidden="1" customHeight="1" x14ac:dyDescent="0.3"/>
    <row r="142" ht="22" hidden="1" customHeight="1" x14ac:dyDescent="0.3"/>
    <row r="143" ht="22" hidden="1" customHeight="1" x14ac:dyDescent="0.3"/>
    <row r="144" ht="22" hidden="1" customHeight="1" x14ac:dyDescent="0.3"/>
    <row r="145" ht="22" hidden="1" customHeight="1" x14ac:dyDescent="0.3"/>
    <row r="146" ht="22" hidden="1" customHeight="1" x14ac:dyDescent="0.3"/>
    <row r="147" ht="22" hidden="1" customHeight="1" x14ac:dyDescent="0.3"/>
    <row r="148" ht="22" hidden="1" customHeight="1" x14ac:dyDescent="0.3"/>
    <row r="149" ht="22" hidden="1" customHeight="1" x14ac:dyDescent="0.3"/>
    <row r="150" ht="22" hidden="1" customHeight="1" x14ac:dyDescent="0.3"/>
    <row r="151" ht="22" hidden="1" customHeight="1" x14ac:dyDescent="0.3"/>
    <row r="152" ht="22" hidden="1" customHeight="1" x14ac:dyDescent="0.3"/>
    <row r="153" ht="22" hidden="1" customHeight="1" x14ac:dyDescent="0.3"/>
    <row r="154" ht="22" hidden="1" customHeight="1" x14ac:dyDescent="0.3"/>
    <row r="155" ht="22" hidden="1" customHeight="1" x14ac:dyDescent="0.3"/>
    <row r="156" ht="22" hidden="1" customHeight="1" x14ac:dyDescent="0.3"/>
    <row r="157" ht="22" hidden="1" customHeight="1" x14ac:dyDescent="0.3"/>
    <row r="158" ht="22" hidden="1" customHeight="1" x14ac:dyDescent="0.3"/>
    <row r="159" ht="22" hidden="1" customHeight="1" x14ac:dyDescent="0.3"/>
    <row r="160" ht="22" hidden="1" customHeight="1" x14ac:dyDescent="0.3"/>
    <row r="161" ht="22" hidden="1" customHeight="1" x14ac:dyDescent="0.3"/>
    <row r="162" ht="22" hidden="1" customHeight="1" x14ac:dyDescent="0.3"/>
    <row r="163" ht="22" hidden="1" customHeight="1" x14ac:dyDescent="0.3"/>
    <row r="164" ht="22" hidden="1" customHeight="1" x14ac:dyDescent="0.3"/>
    <row r="165" ht="22" hidden="1" customHeight="1" x14ac:dyDescent="0.3"/>
    <row r="166" ht="22" hidden="1" customHeight="1" x14ac:dyDescent="0.3"/>
    <row r="167" ht="22" hidden="1" customHeight="1" x14ac:dyDescent="0.3"/>
    <row r="168" ht="22" hidden="1" customHeight="1" x14ac:dyDescent="0.3"/>
    <row r="169" ht="22" hidden="1" customHeight="1" x14ac:dyDescent="0.3"/>
    <row r="170" ht="22" hidden="1" customHeight="1" x14ac:dyDescent="0.3"/>
    <row r="171" ht="22" hidden="1" customHeight="1" x14ac:dyDescent="0.3"/>
    <row r="172" ht="22" hidden="1" customHeight="1" x14ac:dyDescent="0.3"/>
    <row r="173" ht="22" hidden="1" customHeight="1" x14ac:dyDescent="0.3"/>
    <row r="174" ht="22" hidden="1" customHeight="1" x14ac:dyDescent="0.3"/>
    <row r="175" ht="22" hidden="1" customHeight="1" x14ac:dyDescent="0.3"/>
    <row r="176" ht="22" hidden="1" customHeight="1" x14ac:dyDescent="0.3"/>
    <row r="177" ht="22" hidden="1" customHeight="1" x14ac:dyDescent="0.3"/>
    <row r="178" ht="22" hidden="1" customHeight="1" x14ac:dyDescent="0.3"/>
    <row r="179" ht="22" hidden="1" customHeight="1" x14ac:dyDescent="0.3"/>
    <row r="180" ht="22" hidden="1" customHeight="1" x14ac:dyDescent="0.3"/>
    <row r="181" ht="22" hidden="1" customHeight="1" x14ac:dyDescent="0.3"/>
    <row r="182" ht="22" hidden="1" customHeight="1" x14ac:dyDescent="0.3"/>
    <row r="183" ht="22" hidden="1" customHeight="1" x14ac:dyDescent="0.3"/>
    <row r="184" ht="22" hidden="1" customHeight="1" x14ac:dyDescent="0.3"/>
    <row r="185" ht="22" hidden="1" customHeight="1" x14ac:dyDescent="0.3"/>
    <row r="186" ht="22" hidden="1" customHeight="1" x14ac:dyDescent="0.3"/>
    <row r="187" ht="22" hidden="1" customHeight="1" x14ac:dyDescent="0.3"/>
    <row r="188" ht="22" hidden="1" customHeight="1" x14ac:dyDescent="0.3"/>
    <row r="189" ht="22" hidden="1" customHeight="1" x14ac:dyDescent="0.3"/>
    <row r="190" ht="22" hidden="1" customHeight="1" x14ac:dyDescent="0.3"/>
    <row r="191" ht="22" hidden="1" customHeight="1" x14ac:dyDescent="0.3"/>
    <row r="192" ht="22" hidden="1" customHeight="1" x14ac:dyDescent="0.3"/>
    <row r="193" ht="22" hidden="1" customHeight="1" x14ac:dyDescent="0.3"/>
    <row r="194" ht="22" hidden="1" customHeight="1" x14ac:dyDescent="0.3"/>
    <row r="195" ht="22" hidden="1" customHeight="1" x14ac:dyDescent="0.3"/>
    <row r="196" ht="22" hidden="1" customHeight="1" x14ac:dyDescent="0.3"/>
    <row r="197" ht="22" hidden="1" customHeight="1" x14ac:dyDescent="0.3"/>
    <row r="198" ht="22" hidden="1" customHeight="1" x14ac:dyDescent="0.3"/>
    <row r="199" ht="22" hidden="1" customHeight="1" x14ac:dyDescent="0.3"/>
    <row r="200" ht="22" hidden="1" customHeight="1" x14ac:dyDescent="0.3"/>
    <row r="201" ht="22" hidden="1" customHeight="1" x14ac:dyDescent="0.3"/>
    <row r="202" ht="22" hidden="1" customHeight="1" x14ac:dyDescent="0.3"/>
    <row r="203" ht="22" hidden="1" customHeight="1" x14ac:dyDescent="0.3"/>
    <row r="204" ht="22" hidden="1" customHeight="1" x14ac:dyDescent="0.3"/>
    <row r="205" ht="22" hidden="1" customHeight="1" x14ac:dyDescent="0.3"/>
    <row r="206" ht="22" hidden="1" customHeight="1" x14ac:dyDescent="0.3"/>
    <row r="207" ht="22" hidden="1" customHeight="1" x14ac:dyDescent="0.3"/>
    <row r="208" ht="22" hidden="1" customHeight="1" x14ac:dyDescent="0.3"/>
    <row r="209" ht="22" hidden="1" customHeight="1" x14ac:dyDescent="0.3"/>
    <row r="210" ht="22" hidden="1" customHeight="1" x14ac:dyDescent="0.3"/>
    <row r="211" ht="22" hidden="1" customHeight="1" x14ac:dyDescent="0.3"/>
    <row r="212" ht="22" hidden="1" customHeight="1" x14ac:dyDescent="0.3"/>
    <row r="213" ht="22" hidden="1" customHeight="1" x14ac:dyDescent="0.3"/>
    <row r="214" ht="22" hidden="1" customHeight="1" x14ac:dyDescent="0.3"/>
    <row r="215" ht="22" hidden="1" customHeight="1" x14ac:dyDescent="0.3"/>
    <row r="216" ht="22" hidden="1" customHeight="1" x14ac:dyDescent="0.3"/>
    <row r="217" ht="22" hidden="1" customHeight="1" x14ac:dyDescent="0.3"/>
    <row r="218" ht="22" hidden="1" customHeight="1" x14ac:dyDescent="0.3"/>
    <row r="219" ht="22" hidden="1" customHeight="1" x14ac:dyDescent="0.3"/>
    <row r="220" ht="22" hidden="1" customHeight="1" x14ac:dyDescent="0.3"/>
    <row r="221" ht="22" hidden="1" customHeight="1" x14ac:dyDescent="0.3"/>
    <row r="222" ht="22" hidden="1" customHeight="1" x14ac:dyDescent="0.3"/>
    <row r="223" ht="22" hidden="1" customHeight="1" x14ac:dyDescent="0.3"/>
    <row r="224" ht="22" hidden="1" customHeight="1" x14ac:dyDescent="0.3"/>
    <row r="225" ht="22" hidden="1" customHeight="1" x14ac:dyDescent="0.3"/>
    <row r="226" ht="22" hidden="1" customHeight="1" x14ac:dyDescent="0.3"/>
    <row r="227" ht="22" hidden="1" customHeight="1" x14ac:dyDescent="0.3"/>
    <row r="228" ht="22" hidden="1" customHeight="1" x14ac:dyDescent="0.3"/>
    <row r="229" ht="22" hidden="1" customHeight="1" x14ac:dyDescent="0.3"/>
    <row r="230" ht="22" hidden="1" customHeight="1" x14ac:dyDescent="0.3"/>
    <row r="231" ht="22" hidden="1" customHeight="1" x14ac:dyDescent="0.3"/>
    <row r="232" ht="22" hidden="1" customHeight="1" x14ac:dyDescent="0.3"/>
    <row r="233" ht="22" hidden="1" customHeight="1" x14ac:dyDescent="0.3"/>
    <row r="234" ht="22" hidden="1" customHeight="1" x14ac:dyDescent="0.3"/>
    <row r="235" ht="22" hidden="1" customHeight="1" x14ac:dyDescent="0.3"/>
    <row r="236" ht="22" hidden="1" customHeight="1" x14ac:dyDescent="0.3"/>
    <row r="237" ht="22" hidden="1" customHeight="1" x14ac:dyDescent="0.3"/>
    <row r="238" ht="22" hidden="1" customHeight="1" x14ac:dyDescent="0.3"/>
    <row r="239" ht="22" hidden="1" customHeight="1" x14ac:dyDescent="0.3"/>
    <row r="240" ht="22" hidden="1" customHeight="1" x14ac:dyDescent="0.3"/>
    <row r="241" ht="22" hidden="1" customHeight="1" x14ac:dyDescent="0.3"/>
    <row r="242" ht="22" hidden="1" customHeight="1" x14ac:dyDescent="0.3"/>
    <row r="243" ht="22" hidden="1" customHeight="1" x14ac:dyDescent="0.3"/>
    <row r="244" ht="22" hidden="1" customHeight="1" x14ac:dyDescent="0.3"/>
    <row r="245" ht="22" hidden="1" customHeight="1" x14ac:dyDescent="0.3"/>
    <row r="246" ht="22" hidden="1" customHeight="1" x14ac:dyDescent="0.3"/>
    <row r="247" ht="22" hidden="1" customHeight="1" x14ac:dyDescent="0.3"/>
    <row r="248" ht="22" hidden="1" customHeight="1" x14ac:dyDescent="0.3"/>
    <row r="249" ht="22" hidden="1" customHeight="1" x14ac:dyDescent="0.3"/>
    <row r="250" ht="22" hidden="1" customHeight="1" x14ac:dyDescent="0.3"/>
    <row r="251" ht="22" hidden="1" customHeight="1" x14ac:dyDescent="0.3"/>
    <row r="252" ht="22" hidden="1" customHeight="1" x14ac:dyDescent="0.3"/>
    <row r="253" ht="22" hidden="1" customHeight="1" x14ac:dyDescent="0.3"/>
    <row r="254" ht="22" hidden="1" customHeight="1" x14ac:dyDescent="0.3"/>
    <row r="255" ht="22" hidden="1" customHeight="1" x14ac:dyDescent="0.3"/>
    <row r="256" ht="22" hidden="1" customHeight="1" x14ac:dyDescent="0.3"/>
    <row r="257" ht="22" hidden="1" customHeight="1" x14ac:dyDescent="0.3"/>
    <row r="258" ht="22" hidden="1" customHeight="1" x14ac:dyDescent="0.3"/>
    <row r="259" ht="22" hidden="1" customHeight="1" x14ac:dyDescent="0.3"/>
    <row r="260" ht="22" hidden="1" customHeight="1" x14ac:dyDescent="0.3"/>
    <row r="261" ht="22" hidden="1" customHeight="1" x14ac:dyDescent="0.3"/>
    <row r="262" ht="22" hidden="1" customHeight="1" x14ac:dyDescent="0.3"/>
    <row r="263" ht="22" hidden="1" customHeight="1" x14ac:dyDescent="0.3"/>
    <row r="264" ht="22" hidden="1" customHeight="1" x14ac:dyDescent="0.3"/>
    <row r="265" ht="22" hidden="1" customHeight="1" x14ac:dyDescent="0.3"/>
    <row r="266" ht="22" hidden="1" customHeight="1" x14ac:dyDescent="0.3"/>
    <row r="267" ht="22" hidden="1" customHeight="1" x14ac:dyDescent="0.3"/>
    <row r="268" ht="22" hidden="1" customHeight="1" x14ac:dyDescent="0.3"/>
    <row r="269" ht="22" hidden="1" customHeight="1" x14ac:dyDescent="0.3"/>
    <row r="270" ht="22" hidden="1" customHeight="1" x14ac:dyDescent="0.3"/>
    <row r="271" ht="22" hidden="1" customHeight="1" x14ac:dyDescent="0.3"/>
    <row r="272" ht="22" hidden="1" customHeight="1" x14ac:dyDescent="0.3"/>
    <row r="273" ht="22" hidden="1" customHeight="1" x14ac:dyDescent="0.3"/>
    <row r="274" ht="22" hidden="1" customHeight="1" x14ac:dyDescent="0.3"/>
    <row r="275" ht="22" hidden="1" customHeight="1" x14ac:dyDescent="0.3"/>
    <row r="276" ht="22" hidden="1" customHeight="1" x14ac:dyDescent="0.3"/>
    <row r="277" ht="22" hidden="1" customHeight="1" x14ac:dyDescent="0.3"/>
    <row r="278" ht="22" hidden="1" customHeight="1" x14ac:dyDescent="0.3"/>
    <row r="279" ht="22" hidden="1" customHeight="1" x14ac:dyDescent="0.3"/>
    <row r="280" ht="22" hidden="1" customHeight="1" x14ac:dyDescent="0.3"/>
    <row r="281" ht="22" hidden="1" customHeight="1" x14ac:dyDescent="0.3"/>
    <row r="282" ht="22" hidden="1" customHeight="1" x14ac:dyDescent="0.3"/>
    <row r="283" ht="22" hidden="1" customHeight="1" x14ac:dyDescent="0.3"/>
    <row r="284" ht="22" hidden="1" customHeight="1" x14ac:dyDescent="0.3"/>
    <row r="285" ht="22" hidden="1" customHeight="1" x14ac:dyDescent="0.3"/>
    <row r="286" ht="22" hidden="1" customHeight="1" x14ac:dyDescent="0.3"/>
    <row r="287" ht="22" hidden="1" customHeight="1" x14ac:dyDescent="0.3"/>
    <row r="288" ht="22" hidden="1" customHeight="1" x14ac:dyDescent="0.3"/>
    <row r="289" ht="22" hidden="1" customHeight="1" x14ac:dyDescent="0.3"/>
    <row r="290" ht="22" hidden="1" customHeight="1" x14ac:dyDescent="0.3"/>
    <row r="291" ht="22" hidden="1" customHeight="1" x14ac:dyDescent="0.3"/>
    <row r="292" ht="22" hidden="1" customHeight="1" x14ac:dyDescent="0.3"/>
    <row r="293" ht="22" hidden="1" customHeight="1" x14ac:dyDescent="0.3"/>
    <row r="294" ht="22" hidden="1" customHeight="1" x14ac:dyDescent="0.3"/>
    <row r="295" ht="22" hidden="1" customHeight="1" x14ac:dyDescent="0.3"/>
    <row r="296" ht="22" hidden="1" customHeight="1" x14ac:dyDescent="0.3"/>
    <row r="297" ht="22" hidden="1" customHeight="1" x14ac:dyDescent="0.3"/>
    <row r="298" ht="22" hidden="1" customHeight="1" x14ac:dyDescent="0.3"/>
    <row r="299" ht="22" hidden="1" customHeight="1" x14ac:dyDescent="0.3"/>
    <row r="300" ht="22" hidden="1" customHeight="1" x14ac:dyDescent="0.3"/>
    <row r="301" ht="22" hidden="1" customHeight="1" x14ac:dyDescent="0.3"/>
    <row r="302" ht="22" hidden="1" customHeight="1" x14ac:dyDescent="0.3"/>
    <row r="303" ht="22" hidden="1" customHeight="1" x14ac:dyDescent="0.3"/>
    <row r="304" ht="22" hidden="1" customHeight="1" x14ac:dyDescent="0.3"/>
    <row r="305" ht="22" hidden="1" customHeight="1" x14ac:dyDescent="0.3"/>
    <row r="306" ht="22" hidden="1" customHeight="1" x14ac:dyDescent="0.3"/>
    <row r="307" ht="22" hidden="1" customHeight="1" x14ac:dyDescent="0.3"/>
    <row r="308" ht="22" hidden="1" customHeight="1" x14ac:dyDescent="0.3"/>
    <row r="309" ht="22" hidden="1" customHeight="1" x14ac:dyDescent="0.3"/>
    <row r="310" ht="22" hidden="1" customHeight="1" x14ac:dyDescent="0.3"/>
    <row r="311" ht="22" hidden="1" customHeight="1" x14ac:dyDescent="0.3"/>
    <row r="312" ht="22" hidden="1" customHeight="1" x14ac:dyDescent="0.3"/>
    <row r="313" ht="22" hidden="1" customHeight="1" x14ac:dyDescent="0.3"/>
    <row r="314" ht="22" hidden="1" customHeight="1" x14ac:dyDescent="0.3"/>
    <row r="315" ht="22" hidden="1" customHeight="1" x14ac:dyDescent="0.3"/>
    <row r="316" ht="22" hidden="1" customHeight="1" x14ac:dyDescent="0.3"/>
    <row r="317" ht="22" hidden="1" customHeight="1" x14ac:dyDescent="0.3"/>
    <row r="318" ht="22" hidden="1" customHeight="1" x14ac:dyDescent="0.3"/>
    <row r="319" ht="22" hidden="1" customHeight="1" x14ac:dyDescent="0.3"/>
    <row r="320" ht="22" hidden="1" customHeight="1" x14ac:dyDescent="0.3"/>
    <row r="321" ht="22" hidden="1" customHeight="1" x14ac:dyDescent="0.3"/>
    <row r="322" ht="22" hidden="1" customHeight="1" x14ac:dyDescent="0.3"/>
    <row r="323" ht="22" hidden="1" customHeight="1" x14ac:dyDescent="0.3"/>
    <row r="324" ht="22" hidden="1" customHeight="1" x14ac:dyDescent="0.3"/>
    <row r="325" ht="22" hidden="1" customHeight="1" x14ac:dyDescent="0.3"/>
    <row r="326" ht="22" hidden="1" customHeight="1" x14ac:dyDescent="0.3"/>
    <row r="327" ht="22" hidden="1" customHeight="1" x14ac:dyDescent="0.3"/>
    <row r="328" ht="22" hidden="1" customHeight="1" x14ac:dyDescent="0.3"/>
    <row r="329" ht="22" hidden="1" customHeight="1" x14ac:dyDescent="0.3"/>
    <row r="330" ht="22" hidden="1" customHeight="1" x14ac:dyDescent="0.3"/>
    <row r="331" ht="22" hidden="1" customHeight="1" x14ac:dyDescent="0.3"/>
    <row r="332" ht="22" hidden="1" customHeight="1" x14ac:dyDescent="0.3"/>
    <row r="333" ht="22" hidden="1" customHeight="1" x14ac:dyDescent="0.3"/>
    <row r="334" ht="22" hidden="1" customHeight="1" x14ac:dyDescent="0.3"/>
    <row r="335" ht="22" hidden="1" customHeight="1" x14ac:dyDescent="0.3"/>
    <row r="336" ht="22" hidden="1" customHeight="1" x14ac:dyDescent="0.3"/>
    <row r="337" ht="22" hidden="1" customHeight="1" x14ac:dyDescent="0.3"/>
    <row r="338" ht="22" hidden="1" customHeight="1" x14ac:dyDescent="0.3"/>
    <row r="339" ht="22" hidden="1" customHeight="1" x14ac:dyDescent="0.3"/>
    <row r="340" ht="22" hidden="1" customHeight="1" x14ac:dyDescent="0.3"/>
    <row r="341" ht="22" hidden="1" customHeight="1" x14ac:dyDescent="0.3"/>
    <row r="342" ht="22" hidden="1" customHeight="1" x14ac:dyDescent="0.3"/>
    <row r="343" ht="22" hidden="1" customHeight="1" x14ac:dyDescent="0.3"/>
    <row r="344" ht="22" hidden="1" customHeight="1" x14ac:dyDescent="0.3"/>
    <row r="345" ht="22" hidden="1" customHeight="1" x14ac:dyDescent="0.3"/>
    <row r="346" ht="22" hidden="1" customHeight="1" x14ac:dyDescent="0.3"/>
    <row r="347" ht="22" hidden="1" customHeight="1" x14ac:dyDescent="0.3"/>
    <row r="348" ht="22" hidden="1" customHeight="1" x14ac:dyDescent="0.3"/>
    <row r="349" ht="22" hidden="1" customHeight="1" x14ac:dyDescent="0.3"/>
    <row r="350" ht="22" hidden="1" customHeight="1" x14ac:dyDescent="0.3"/>
    <row r="351" ht="22" hidden="1" customHeight="1" x14ac:dyDescent="0.3"/>
    <row r="352" ht="22" hidden="1" customHeight="1" x14ac:dyDescent="0.3"/>
    <row r="353" ht="22" hidden="1" customHeight="1" x14ac:dyDescent="0.3"/>
    <row r="354" ht="22" hidden="1" customHeight="1" x14ac:dyDescent="0.3"/>
    <row r="355" ht="22" hidden="1" customHeight="1" x14ac:dyDescent="0.3"/>
    <row r="356" ht="22" hidden="1" customHeight="1" x14ac:dyDescent="0.3"/>
    <row r="357" ht="22" hidden="1" customHeight="1" x14ac:dyDescent="0.3"/>
    <row r="358" ht="22" hidden="1" customHeight="1" x14ac:dyDescent="0.3"/>
    <row r="359" ht="22" hidden="1" customHeight="1" x14ac:dyDescent="0.3"/>
    <row r="360" ht="22" hidden="1" customHeight="1" x14ac:dyDescent="0.3"/>
    <row r="361" ht="22" hidden="1" customHeight="1" x14ac:dyDescent="0.3"/>
    <row r="362" ht="22" hidden="1" customHeight="1" x14ac:dyDescent="0.3"/>
    <row r="363" ht="22" hidden="1" customHeight="1" x14ac:dyDescent="0.3"/>
    <row r="364" ht="22" hidden="1" customHeight="1" x14ac:dyDescent="0.3"/>
    <row r="365" ht="22" hidden="1" customHeight="1" x14ac:dyDescent="0.3"/>
    <row r="366" ht="22" hidden="1" customHeight="1" x14ac:dyDescent="0.3"/>
    <row r="367" ht="22" hidden="1" customHeight="1" x14ac:dyDescent="0.3"/>
    <row r="368" ht="22" hidden="1" customHeight="1" x14ac:dyDescent="0.3"/>
    <row r="369" ht="22" hidden="1" customHeight="1" x14ac:dyDescent="0.3"/>
    <row r="370" ht="22" hidden="1" customHeight="1" x14ac:dyDescent="0.3"/>
    <row r="371" ht="22" hidden="1" customHeight="1" x14ac:dyDescent="0.3"/>
    <row r="372" ht="22" hidden="1" customHeight="1" x14ac:dyDescent="0.3"/>
    <row r="373" ht="22" hidden="1" customHeight="1" x14ac:dyDescent="0.3"/>
    <row r="374" ht="22" hidden="1" customHeight="1" x14ac:dyDescent="0.3"/>
    <row r="375" ht="22" hidden="1" customHeight="1" x14ac:dyDescent="0.3"/>
    <row r="376" ht="22" hidden="1" customHeight="1" x14ac:dyDescent="0.3"/>
    <row r="377" ht="22" hidden="1" customHeight="1" x14ac:dyDescent="0.3"/>
    <row r="378" ht="22" hidden="1" customHeight="1" x14ac:dyDescent="0.3"/>
    <row r="379" ht="22" hidden="1" customHeight="1" x14ac:dyDescent="0.3"/>
    <row r="380" ht="22" hidden="1" customHeight="1" x14ac:dyDescent="0.3"/>
    <row r="381" ht="22" hidden="1" customHeight="1" x14ac:dyDescent="0.3"/>
    <row r="382" ht="22" hidden="1" customHeight="1" x14ac:dyDescent="0.3"/>
    <row r="383" ht="22" hidden="1" customHeight="1" x14ac:dyDescent="0.3"/>
    <row r="384" ht="22" hidden="1" customHeight="1" x14ac:dyDescent="0.3"/>
    <row r="385" ht="22" hidden="1" customHeight="1" x14ac:dyDescent="0.3"/>
    <row r="386" ht="22" hidden="1" customHeight="1" x14ac:dyDescent="0.3"/>
    <row r="387" ht="22" hidden="1" customHeight="1" x14ac:dyDescent="0.3"/>
    <row r="388" ht="22" hidden="1" customHeight="1" x14ac:dyDescent="0.3"/>
    <row r="389" ht="22" hidden="1" customHeight="1" x14ac:dyDescent="0.3"/>
    <row r="390" ht="22" hidden="1" customHeight="1" x14ac:dyDescent="0.3"/>
    <row r="391" ht="22" hidden="1" customHeight="1" x14ac:dyDescent="0.3"/>
    <row r="392" ht="22" hidden="1" customHeight="1" x14ac:dyDescent="0.3"/>
    <row r="393" ht="22" hidden="1" customHeight="1" x14ac:dyDescent="0.3"/>
    <row r="394" ht="22" hidden="1" customHeight="1" x14ac:dyDescent="0.3"/>
    <row r="395" ht="22" hidden="1" customHeight="1" x14ac:dyDescent="0.3"/>
    <row r="396" ht="22" hidden="1" customHeight="1" x14ac:dyDescent="0.3"/>
    <row r="397" ht="22" hidden="1" customHeight="1" x14ac:dyDescent="0.3"/>
    <row r="398" ht="22" hidden="1" customHeight="1" x14ac:dyDescent="0.3"/>
    <row r="399" ht="22" hidden="1" customHeight="1" x14ac:dyDescent="0.3"/>
    <row r="400" ht="22" hidden="1" customHeight="1" x14ac:dyDescent="0.3"/>
    <row r="401" ht="22" hidden="1" customHeight="1" x14ac:dyDescent="0.3"/>
    <row r="402" ht="22" hidden="1" customHeight="1" x14ac:dyDescent="0.3"/>
    <row r="403" ht="22" hidden="1" customHeight="1" x14ac:dyDescent="0.3"/>
    <row r="404" ht="22" hidden="1" customHeight="1" x14ac:dyDescent="0.3"/>
    <row r="405" ht="22" hidden="1" customHeight="1" x14ac:dyDescent="0.3"/>
    <row r="406" ht="22" hidden="1" customHeight="1" x14ac:dyDescent="0.3"/>
    <row r="407" ht="22" hidden="1" customHeight="1" x14ac:dyDescent="0.3"/>
    <row r="408" ht="22" hidden="1" customHeight="1" x14ac:dyDescent="0.3"/>
    <row r="409" ht="22" hidden="1" customHeight="1" x14ac:dyDescent="0.3"/>
    <row r="410" ht="22" hidden="1" customHeight="1" x14ac:dyDescent="0.3"/>
    <row r="411" ht="22" hidden="1" customHeight="1" x14ac:dyDescent="0.3"/>
    <row r="412" ht="22" hidden="1" customHeight="1" x14ac:dyDescent="0.3"/>
    <row r="413" ht="22" hidden="1" customHeight="1" x14ac:dyDescent="0.3"/>
    <row r="414" ht="22" hidden="1" customHeight="1" x14ac:dyDescent="0.3"/>
    <row r="415" ht="22" hidden="1" customHeight="1" x14ac:dyDescent="0.3"/>
    <row r="416" ht="22" hidden="1" customHeight="1" x14ac:dyDescent="0.3"/>
    <row r="417" ht="22" hidden="1" customHeight="1" x14ac:dyDescent="0.3"/>
    <row r="418" ht="22" hidden="1" customHeight="1" x14ac:dyDescent="0.3"/>
    <row r="419" ht="22" hidden="1" customHeight="1" x14ac:dyDescent="0.3"/>
    <row r="420" ht="22" hidden="1" customHeight="1" x14ac:dyDescent="0.3"/>
    <row r="421" ht="22" hidden="1" customHeight="1" x14ac:dyDescent="0.3"/>
    <row r="422" ht="22" hidden="1" customHeight="1" x14ac:dyDescent="0.3"/>
    <row r="423" ht="22" hidden="1" customHeight="1" x14ac:dyDescent="0.3"/>
    <row r="424" ht="22" hidden="1" customHeight="1" x14ac:dyDescent="0.3"/>
    <row r="425" ht="22" hidden="1" customHeight="1" x14ac:dyDescent="0.3"/>
    <row r="426" ht="22" hidden="1" customHeight="1" x14ac:dyDescent="0.3"/>
    <row r="427" ht="22" hidden="1" customHeight="1" x14ac:dyDescent="0.3"/>
    <row r="428" ht="22" hidden="1" customHeight="1" x14ac:dyDescent="0.3"/>
    <row r="429" ht="22" hidden="1" customHeight="1" x14ac:dyDescent="0.3"/>
    <row r="430" ht="22" hidden="1" customHeight="1" x14ac:dyDescent="0.3"/>
    <row r="431" ht="22" hidden="1" customHeight="1" x14ac:dyDescent="0.3"/>
    <row r="432" ht="22" hidden="1" customHeight="1" x14ac:dyDescent="0.3"/>
    <row r="433" ht="22" hidden="1" customHeight="1" x14ac:dyDescent="0.3"/>
    <row r="434" ht="22" hidden="1" customHeight="1" x14ac:dyDescent="0.3"/>
    <row r="435" ht="22" hidden="1" customHeight="1" x14ac:dyDescent="0.3"/>
    <row r="436" ht="22" hidden="1" customHeight="1" x14ac:dyDescent="0.3"/>
    <row r="437" ht="22" hidden="1" customHeight="1" x14ac:dyDescent="0.3"/>
    <row r="438" ht="22" hidden="1" customHeight="1" x14ac:dyDescent="0.3"/>
    <row r="439" ht="22" hidden="1" customHeight="1" x14ac:dyDescent="0.3"/>
    <row r="440" ht="22" hidden="1" customHeight="1" x14ac:dyDescent="0.3"/>
    <row r="441" ht="22" hidden="1" customHeight="1" x14ac:dyDescent="0.3"/>
    <row r="442" ht="22" hidden="1" customHeight="1" x14ac:dyDescent="0.3"/>
    <row r="443" ht="22" hidden="1" customHeight="1" x14ac:dyDescent="0.3"/>
    <row r="444" ht="22" hidden="1" customHeight="1" x14ac:dyDescent="0.3"/>
    <row r="445" ht="22" hidden="1" customHeight="1" x14ac:dyDescent="0.3"/>
    <row r="446" ht="22" hidden="1" customHeight="1" x14ac:dyDescent="0.3"/>
    <row r="447" ht="22" hidden="1" customHeight="1" x14ac:dyDescent="0.3"/>
    <row r="448" ht="22" hidden="1" customHeight="1" x14ac:dyDescent="0.3"/>
    <row r="449" ht="22" hidden="1" customHeight="1" x14ac:dyDescent="0.3"/>
    <row r="450" ht="22" hidden="1" customHeight="1" x14ac:dyDescent="0.3"/>
    <row r="451" ht="22" hidden="1" customHeight="1" x14ac:dyDescent="0.3"/>
    <row r="452" ht="22" hidden="1" customHeight="1" x14ac:dyDescent="0.3"/>
    <row r="453" ht="22" hidden="1" customHeight="1" x14ac:dyDescent="0.3"/>
    <row r="454" ht="22" hidden="1" customHeight="1" x14ac:dyDescent="0.3"/>
    <row r="455" ht="22" hidden="1" customHeight="1" x14ac:dyDescent="0.3"/>
    <row r="456" ht="22" hidden="1" customHeight="1" x14ac:dyDescent="0.3"/>
    <row r="457" ht="22" hidden="1" customHeight="1" x14ac:dyDescent="0.3"/>
    <row r="458" ht="22" hidden="1" customHeight="1" x14ac:dyDescent="0.3"/>
    <row r="459" ht="22" hidden="1" customHeight="1" x14ac:dyDescent="0.3"/>
    <row r="460" ht="22" hidden="1" customHeight="1" x14ac:dyDescent="0.3"/>
    <row r="461" ht="22" hidden="1" customHeight="1" x14ac:dyDescent="0.3"/>
    <row r="462" ht="22" hidden="1" customHeight="1" x14ac:dyDescent="0.3"/>
    <row r="463" ht="22" hidden="1" customHeight="1" x14ac:dyDescent="0.3"/>
    <row r="464" ht="22" hidden="1" customHeight="1" x14ac:dyDescent="0.3"/>
    <row r="465" ht="22" hidden="1" customHeight="1" x14ac:dyDescent="0.3"/>
    <row r="466" ht="22" hidden="1" customHeight="1" x14ac:dyDescent="0.3"/>
    <row r="467" ht="22" hidden="1" customHeight="1" x14ac:dyDescent="0.3"/>
    <row r="468" ht="22" hidden="1" customHeight="1" x14ac:dyDescent="0.3"/>
    <row r="469" ht="22" hidden="1" customHeight="1" x14ac:dyDescent="0.3"/>
    <row r="470" ht="22" hidden="1" customHeight="1" x14ac:dyDescent="0.3"/>
    <row r="471" ht="22" hidden="1" customHeight="1" x14ac:dyDescent="0.3"/>
    <row r="472" ht="22" hidden="1" customHeight="1" x14ac:dyDescent="0.3"/>
    <row r="473" ht="22" hidden="1" customHeight="1" x14ac:dyDescent="0.3"/>
    <row r="474" ht="22" hidden="1" customHeight="1" x14ac:dyDescent="0.3"/>
    <row r="475" ht="22" hidden="1" customHeight="1" x14ac:dyDescent="0.3"/>
    <row r="476" ht="22" hidden="1" customHeight="1" x14ac:dyDescent="0.3"/>
    <row r="477" ht="22" hidden="1" customHeight="1" x14ac:dyDescent="0.3"/>
    <row r="478" ht="22" hidden="1" customHeight="1" x14ac:dyDescent="0.3"/>
    <row r="479" ht="22" hidden="1" customHeight="1" x14ac:dyDescent="0.3"/>
    <row r="480" ht="22" hidden="1" customHeight="1" x14ac:dyDescent="0.3"/>
    <row r="481" ht="22" hidden="1" customHeight="1" x14ac:dyDescent="0.3"/>
    <row r="482" ht="22" hidden="1" customHeight="1" x14ac:dyDescent="0.3"/>
    <row r="483" ht="22" hidden="1" customHeight="1" x14ac:dyDescent="0.3"/>
    <row r="484" ht="22" hidden="1" customHeight="1" x14ac:dyDescent="0.3"/>
    <row r="485" ht="22" hidden="1" customHeight="1" x14ac:dyDescent="0.3"/>
    <row r="486" ht="22" hidden="1" customHeight="1" x14ac:dyDescent="0.3"/>
    <row r="487" ht="22" hidden="1" customHeight="1" x14ac:dyDescent="0.3"/>
    <row r="488" ht="22" hidden="1" customHeight="1" x14ac:dyDescent="0.3"/>
    <row r="489" ht="22" hidden="1" customHeight="1" x14ac:dyDescent="0.3"/>
    <row r="490" ht="22" hidden="1" customHeight="1" x14ac:dyDescent="0.3"/>
    <row r="491" ht="22" hidden="1" customHeight="1" x14ac:dyDescent="0.3"/>
    <row r="492" ht="22" hidden="1" customHeight="1" x14ac:dyDescent="0.3"/>
    <row r="493" ht="22" hidden="1" customHeight="1" x14ac:dyDescent="0.3"/>
    <row r="494" ht="22" hidden="1" customHeight="1" x14ac:dyDescent="0.3"/>
    <row r="495" ht="22" hidden="1" customHeight="1" x14ac:dyDescent="0.3"/>
    <row r="496" ht="22" hidden="1" customHeight="1" x14ac:dyDescent="0.3"/>
    <row r="497" ht="22" hidden="1" customHeight="1" x14ac:dyDescent="0.3"/>
    <row r="498" ht="22" hidden="1" customHeight="1" x14ac:dyDescent="0.3"/>
    <row r="499" ht="22" hidden="1" customHeight="1" x14ac:dyDescent="0.3"/>
    <row r="500" ht="22" hidden="1" customHeight="1" x14ac:dyDescent="0.3"/>
    <row r="501" ht="22" hidden="1" customHeight="1" x14ac:dyDescent="0.3"/>
    <row r="502" ht="22" hidden="1" customHeight="1" x14ac:dyDescent="0.3"/>
    <row r="503" ht="22" hidden="1" customHeight="1" x14ac:dyDescent="0.3"/>
    <row r="504" ht="22" hidden="1" customHeight="1" x14ac:dyDescent="0.3"/>
    <row r="505" ht="22" hidden="1" customHeight="1" x14ac:dyDescent="0.3"/>
    <row r="506" ht="22" hidden="1" customHeight="1" x14ac:dyDescent="0.3"/>
    <row r="507" ht="22" hidden="1" customHeight="1" x14ac:dyDescent="0.3"/>
    <row r="508" ht="22" hidden="1" customHeight="1" x14ac:dyDescent="0.3"/>
    <row r="509" ht="22" hidden="1" customHeight="1" x14ac:dyDescent="0.3"/>
    <row r="510" ht="22" hidden="1" customHeight="1" x14ac:dyDescent="0.3"/>
    <row r="511" ht="22" hidden="1" customHeight="1" x14ac:dyDescent="0.3"/>
    <row r="512" ht="22" hidden="1" customHeight="1" x14ac:dyDescent="0.3"/>
    <row r="513" ht="22" hidden="1" customHeight="1" x14ac:dyDescent="0.3"/>
    <row r="514" ht="22" hidden="1" customHeight="1" x14ac:dyDescent="0.3"/>
    <row r="515" ht="22" hidden="1" customHeight="1" x14ac:dyDescent="0.3"/>
    <row r="516" ht="22" hidden="1" customHeight="1" x14ac:dyDescent="0.3"/>
    <row r="517" ht="22" hidden="1" customHeight="1" x14ac:dyDescent="0.3"/>
    <row r="518" ht="22" hidden="1" customHeight="1" x14ac:dyDescent="0.3"/>
    <row r="519" ht="22" hidden="1" customHeight="1" x14ac:dyDescent="0.3"/>
    <row r="520" ht="22" hidden="1" customHeight="1" x14ac:dyDescent="0.3"/>
    <row r="521" ht="22" hidden="1" customHeight="1" x14ac:dyDescent="0.3"/>
    <row r="522" ht="22" hidden="1" customHeight="1" x14ac:dyDescent="0.3"/>
    <row r="523" ht="22" hidden="1" customHeight="1" x14ac:dyDescent="0.3"/>
    <row r="524" ht="22" hidden="1" customHeight="1" x14ac:dyDescent="0.3"/>
    <row r="525" ht="22" hidden="1" customHeight="1" x14ac:dyDescent="0.3"/>
    <row r="526" ht="22" hidden="1" customHeight="1" x14ac:dyDescent="0.3"/>
    <row r="527" ht="22" hidden="1" customHeight="1" x14ac:dyDescent="0.3"/>
    <row r="528" ht="22" hidden="1" customHeight="1" x14ac:dyDescent="0.3"/>
    <row r="529" ht="22" hidden="1" customHeight="1" x14ac:dyDescent="0.3"/>
    <row r="530" ht="22" hidden="1" customHeight="1" x14ac:dyDescent="0.3"/>
    <row r="531" ht="22" hidden="1" customHeight="1" x14ac:dyDescent="0.3"/>
    <row r="532" ht="22" hidden="1" customHeight="1" x14ac:dyDescent="0.3"/>
    <row r="533" ht="22" hidden="1" customHeight="1" x14ac:dyDescent="0.3"/>
    <row r="534" ht="22" hidden="1" customHeight="1" x14ac:dyDescent="0.3"/>
    <row r="535" ht="22" hidden="1" customHeight="1" x14ac:dyDescent="0.3"/>
    <row r="536" ht="22" hidden="1" customHeight="1" x14ac:dyDescent="0.3"/>
    <row r="537" ht="22" hidden="1" customHeight="1" x14ac:dyDescent="0.3"/>
    <row r="538" ht="22" hidden="1" customHeight="1" x14ac:dyDescent="0.3"/>
    <row r="539" ht="22" hidden="1" customHeight="1" x14ac:dyDescent="0.3"/>
    <row r="540" ht="22" hidden="1" customHeight="1" x14ac:dyDescent="0.3"/>
    <row r="541" ht="22" hidden="1" customHeight="1" x14ac:dyDescent="0.3"/>
    <row r="542" ht="22" hidden="1" customHeight="1" x14ac:dyDescent="0.3"/>
    <row r="543" ht="22" hidden="1" customHeight="1" x14ac:dyDescent="0.3"/>
    <row r="544" ht="22" hidden="1" customHeight="1" x14ac:dyDescent="0.3"/>
    <row r="545" ht="22" hidden="1" customHeight="1" x14ac:dyDescent="0.3"/>
    <row r="546" ht="22" hidden="1" customHeight="1" x14ac:dyDescent="0.3"/>
    <row r="547" ht="22" hidden="1" customHeight="1" x14ac:dyDescent="0.3"/>
    <row r="548" ht="22" hidden="1" customHeight="1" x14ac:dyDescent="0.3"/>
    <row r="549" ht="22" hidden="1" customHeight="1" x14ac:dyDescent="0.3"/>
    <row r="550" ht="22" hidden="1" customHeight="1" x14ac:dyDescent="0.3"/>
    <row r="551" ht="22" hidden="1" customHeight="1" x14ac:dyDescent="0.3"/>
    <row r="552" ht="22" hidden="1" customHeight="1" x14ac:dyDescent="0.3"/>
    <row r="553" ht="22" hidden="1" customHeight="1" x14ac:dyDescent="0.3"/>
    <row r="554" ht="22" hidden="1" customHeight="1" x14ac:dyDescent="0.3"/>
    <row r="555" ht="22" hidden="1" customHeight="1" x14ac:dyDescent="0.3"/>
    <row r="556" ht="22" hidden="1" customHeight="1" x14ac:dyDescent="0.3"/>
    <row r="557" ht="22" hidden="1" customHeight="1" x14ac:dyDescent="0.3"/>
    <row r="558" ht="22" hidden="1" customHeight="1" x14ac:dyDescent="0.3"/>
    <row r="559" ht="22" hidden="1" customHeight="1" x14ac:dyDescent="0.3"/>
    <row r="560" ht="22" hidden="1" customHeight="1" x14ac:dyDescent="0.3"/>
    <row r="561" ht="22" hidden="1" customHeight="1" x14ac:dyDescent="0.3"/>
    <row r="562" ht="22" hidden="1" customHeight="1" x14ac:dyDescent="0.3"/>
    <row r="563" ht="22" hidden="1" customHeight="1" x14ac:dyDescent="0.3"/>
    <row r="564" ht="22" hidden="1" customHeight="1" x14ac:dyDescent="0.3"/>
    <row r="565" ht="22" hidden="1" customHeight="1" x14ac:dyDescent="0.3"/>
    <row r="566" ht="22" hidden="1" customHeight="1" x14ac:dyDescent="0.3"/>
    <row r="567" ht="22" hidden="1" customHeight="1" x14ac:dyDescent="0.3"/>
    <row r="568" ht="22" hidden="1" customHeight="1" x14ac:dyDescent="0.3"/>
    <row r="569" ht="22" hidden="1" customHeight="1" x14ac:dyDescent="0.3"/>
    <row r="570" ht="22" hidden="1" customHeight="1" x14ac:dyDescent="0.3"/>
    <row r="571" ht="22" hidden="1" customHeight="1" x14ac:dyDescent="0.3"/>
    <row r="572" ht="22" hidden="1" customHeight="1" x14ac:dyDescent="0.3"/>
    <row r="573" ht="22" hidden="1" customHeight="1" x14ac:dyDescent="0.3"/>
    <row r="574" ht="22" hidden="1" customHeight="1" x14ac:dyDescent="0.3"/>
    <row r="575" ht="22" hidden="1" customHeight="1" x14ac:dyDescent="0.3"/>
    <row r="576" ht="22" hidden="1" customHeight="1" x14ac:dyDescent="0.3"/>
    <row r="577" ht="22" hidden="1" customHeight="1" x14ac:dyDescent="0.3"/>
    <row r="578" ht="22" hidden="1" customHeight="1" x14ac:dyDescent="0.3"/>
    <row r="579" ht="22" hidden="1" customHeight="1" x14ac:dyDescent="0.3"/>
    <row r="580" ht="22" hidden="1" customHeight="1" x14ac:dyDescent="0.3"/>
    <row r="581" ht="22" hidden="1" customHeight="1" x14ac:dyDescent="0.3"/>
    <row r="582" ht="22" hidden="1" customHeight="1" x14ac:dyDescent="0.3"/>
    <row r="583" ht="22" hidden="1" customHeight="1" x14ac:dyDescent="0.3"/>
    <row r="584" ht="22" hidden="1" customHeight="1" x14ac:dyDescent="0.3"/>
    <row r="585" ht="22" hidden="1" customHeight="1" x14ac:dyDescent="0.3"/>
    <row r="586" ht="22" hidden="1" customHeight="1" x14ac:dyDescent="0.3"/>
    <row r="587" ht="22" hidden="1" customHeight="1" x14ac:dyDescent="0.3"/>
    <row r="588" ht="22" hidden="1" customHeight="1" x14ac:dyDescent="0.3"/>
    <row r="589" ht="22" hidden="1" customHeight="1" x14ac:dyDescent="0.3"/>
    <row r="590" ht="22" hidden="1" customHeight="1" x14ac:dyDescent="0.3"/>
    <row r="591" ht="22" hidden="1" customHeight="1" x14ac:dyDescent="0.3"/>
    <row r="592" ht="22" hidden="1" customHeight="1" x14ac:dyDescent="0.3"/>
    <row r="593" ht="22" hidden="1" customHeight="1" x14ac:dyDescent="0.3"/>
    <row r="594" ht="22" hidden="1" customHeight="1" x14ac:dyDescent="0.3"/>
    <row r="595" ht="22" hidden="1" customHeight="1" x14ac:dyDescent="0.3"/>
    <row r="596" ht="22" hidden="1" customHeight="1" x14ac:dyDescent="0.3"/>
    <row r="597" ht="22" hidden="1" customHeight="1" x14ac:dyDescent="0.3"/>
    <row r="598" ht="22" hidden="1" customHeight="1" x14ac:dyDescent="0.3"/>
    <row r="599" ht="22" hidden="1" customHeight="1" x14ac:dyDescent="0.3"/>
    <row r="600" ht="22" hidden="1" customHeight="1" x14ac:dyDescent="0.3"/>
    <row r="601" ht="22" hidden="1" customHeight="1" x14ac:dyDescent="0.3"/>
    <row r="602" ht="22" hidden="1" customHeight="1" x14ac:dyDescent="0.3"/>
    <row r="603" ht="22" hidden="1" customHeight="1" x14ac:dyDescent="0.3"/>
    <row r="604" ht="22" hidden="1" customHeight="1" x14ac:dyDescent="0.3"/>
    <row r="605" ht="22" hidden="1" customHeight="1" x14ac:dyDescent="0.3"/>
    <row r="606" ht="22" hidden="1" customHeight="1" x14ac:dyDescent="0.3"/>
    <row r="607" ht="22" hidden="1" customHeight="1" x14ac:dyDescent="0.3"/>
    <row r="608" ht="22" hidden="1" customHeight="1" x14ac:dyDescent="0.3"/>
    <row r="609" ht="22" hidden="1" customHeight="1" x14ac:dyDescent="0.3"/>
    <row r="610" ht="22" hidden="1" customHeight="1" x14ac:dyDescent="0.3"/>
    <row r="611" ht="22" hidden="1" customHeight="1" x14ac:dyDescent="0.3"/>
    <row r="612" ht="22" hidden="1" customHeight="1" x14ac:dyDescent="0.3"/>
    <row r="613" ht="22" hidden="1" customHeight="1" x14ac:dyDescent="0.3"/>
    <row r="614" ht="22" hidden="1" customHeight="1" x14ac:dyDescent="0.3"/>
    <row r="615" ht="22" hidden="1" customHeight="1" x14ac:dyDescent="0.3"/>
    <row r="616" ht="22" hidden="1" customHeight="1" x14ac:dyDescent="0.3"/>
    <row r="617" ht="22" hidden="1" customHeight="1" x14ac:dyDescent="0.3"/>
    <row r="618" ht="22" hidden="1" customHeight="1" x14ac:dyDescent="0.3"/>
    <row r="619" ht="22" hidden="1" customHeight="1" x14ac:dyDescent="0.3"/>
    <row r="620" ht="22" hidden="1" customHeight="1" x14ac:dyDescent="0.3"/>
    <row r="621" ht="22" hidden="1" customHeight="1" x14ac:dyDescent="0.3"/>
    <row r="622" ht="22" hidden="1" customHeight="1" x14ac:dyDescent="0.3"/>
    <row r="623" ht="22" hidden="1" customHeight="1" x14ac:dyDescent="0.3"/>
    <row r="624" ht="22" hidden="1" customHeight="1" x14ac:dyDescent="0.3"/>
    <row r="625" ht="22" hidden="1" customHeight="1" x14ac:dyDescent="0.3"/>
    <row r="626" ht="22" hidden="1" customHeight="1" x14ac:dyDescent="0.3"/>
    <row r="627" ht="22" hidden="1" customHeight="1" x14ac:dyDescent="0.3"/>
    <row r="628" ht="22" hidden="1" customHeight="1" x14ac:dyDescent="0.3"/>
    <row r="629" ht="22" hidden="1" customHeight="1" x14ac:dyDescent="0.3"/>
    <row r="630" ht="22" hidden="1" customHeight="1" x14ac:dyDescent="0.3"/>
    <row r="631" ht="22" hidden="1" customHeight="1" x14ac:dyDescent="0.3"/>
    <row r="632" ht="22" hidden="1" customHeight="1" x14ac:dyDescent="0.3"/>
    <row r="633" ht="22" hidden="1" customHeight="1" x14ac:dyDescent="0.3"/>
    <row r="634" ht="22" hidden="1" customHeight="1" x14ac:dyDescent="0.3"/>
    <row r="635" ht="22" hidden="1" customHeight="1" x14ac:dyDescent="0.3"/>
    <row r="636" ht="22" hidden="1" customHeight="1" x14ac:dyDescent="0.3"/>
    <row r="637" ht="22" hidden="1" customHeight="1" x14ac:dyDescent="0.3"/>
    <row r="638" ht="22" hidden="1" customHeight="1" x14ac:dyDescent="0.3"/>
    <row r="639" ht="22" hidden="1" customHeight="1" x14ac:dyDescent="0.3"/>
    <row r="640" ht="22" hidden="1" customHeight="1" x14ac:dyDescent="0.3"/>
    <row r="641" ht="22" hidden="1" customHeight="1" x14ac:dyDescent="0.3"/>
    <row r="642" ht="22" hidden="1" customHeight="1" x14ac:dyDescent="0.3"/>
    <row r="643" ht="22" hidden="1" customHeight="1" x14ac:dyDescent="0.3"/>
    <row r="644" ht="22" hidden="1" customHeight="1" x14ac:dyDescent="0.3"/>
    <row r="645" ht="22" hidden="1" customHeight="1" x14ac:dyDescent="0.3"/>
    <row r="646" ht="22" hidden="1" customHeight="1" x14ac:dyDescent="0.3"/>
    <row r="647" ht="22" hidden="1" customHeight="1" x14ac:dyDescent="0.3"/>
    <row r="648" ht="22" hidden="1" customHeight="1" x14ac:dyDescent="0.3"/>
    <row r="649" ht="22" hidden="1" customHeight="1" x14ac:dyDescent="0.3"/>
    <row r="650" ht="22" hidden="1" customHeight="1" x14ac:dyDescent="0.3"/>
    <row r="651" ht="22" hidden="1" customHeight="1" x14ac:dyDescent="0.3"/>
    <row r="652" ht="22" hidden="1" customHeight="1" x14ac:dyDescent="0.3"/>
    <row r="653" ht="22" hidden="1" customHeight="1" x14ac:dyDescent="0.3"/>
    <row r="654" ht="22" hidden="1" customHeight="1" x14ac:dyDescent="0.3"/>
    <row r="655" ht="22" hidden="1" customHeight="1" x14ac:dyDescent="0.3"/>
    <row r="656" ht="22" hidden="1" customHeight="1" x14ac:dyDescent="0.3"/>
    <row r="657" ht="22" hidden="1" customHeight="1" x14ac:dyDescent="0.3"/>
    <row r="658" ht="22" hidden="1" customHeight="1" x14ac:dyDescent="0.3"/>
    <row r="659" ht="22" hidden="1" customHeight="1" x14ac:dyDescent="0.3"/>
    <row r="660" ht="22" hidden="1" customHeight="1" x14ac:dyDescent="0.3"/>
    <row r="661" ht="22" hidden="1" customHeight="1" x14ac:dyDescent="0.3"/>
    <row r="662" ht="22" hidden="1" customHeight="1" x14ac:dyDescent="0.3"/>
    <row r="663" ht="22" hidden="1" customHeight="1" x14ac:dyDescent="0.3"/>
    <row r="664" ht="22" hidden="1" customHeight="1" x14ac:dyDescent="0.3"/>
    <row r="665" ht="22" hidden="1" customHeight="1" x14ac:dyDescent="0.3"/>
    <row r="666" ht="22" hidden="1" customHeight="1" x14ac:dyDescent="0.3"/>
    <row r="667" ht="22" hidden="1" customHeight="1" x14ac:dyDescent="0.3"/>
    <row r="668" ht="22" hidden="1" customHeight="1" x14ac:dyDescent="0.3"/>
    <row r="669" ht="22" hidden="1" customHeight="1" x14ac:dyDescent="0.3"/>
    <row r="670" ht="22" hidden="1" customHeight="1" x14ac:dyDescent="0.3"/>
    <row r="671" ht="22" hidden="1" customHeight="1" x14ac:dyDescent="0.3"/>
    <row r="672" ht="22" hidden="1" customHeight="1" x14ac:dyDescent="0.3"/>
  </sheetData>
  <mergeCells count="2">
    <mergeCell ref="C6:F6"/>
    <mergeCell ref="B3:C4"/>
  </mergeCells>
  <conditionalFormatting sqref="C10 F10">
    <cfRule type="expression" dxfId="7" priority="641">
      <formula>#REF!="ООО"</formula>
    </cfRule>
  </conditionalFormatting>
  <conditionalFormatting sqref="E9">
    <cfRule type="expression" dxfId="2" priority="640">
      <formula>#REF!=" "</formula>
    </cfRule>
  </conditionalFormatting>
  <dataValidations count="4">
    <dataValidation allowBlank="1" showInputMessage="1" showErrorMessage="1" prompt="⚫️ИП с выручкой менее 300 тыс. руб. в год - платят страховые взносы в фиксированном размере_x000a_⚫️ИП с выручкой более 300 тыс. руб. в год платят в ПФР сверх фиксированного размера 1% от суммы превышения выручки в 300 тыс.  руб., но не более 8 фикс. платежей" sqref="F10" xr:uid="{00000000-0002-0000-0500-000000000000}"/>
    <dataValidation allowBlank="1" showErrorMessage="1" prompt="_x000a_" sqref="F11 F13:F14" xr:uid="{00000000-0002-0000-0500-000001000000}"/>
    <dataValidation allowBlank="1" showErrorMessage="1" sqref="D16:D17" xr:uid="{00000000-0002-0000-0500-000002000000}"/>
    <dataValidation allowBlank="1" showErrorMessage="1" prompt="_x000a__x000a_" sqref="F16:F17" xr:uid="{00000000-0002-0000-0500-000003000000}"/>
  </dataValidations>
  <pageMargins left="0.7" right="0.7" top="0.75" bottom="0.75" header="0.3" footer="0.3"/>
  <pageSetup paperSize="9" scale="40" orientation="landscape" r:id="rId1"/>
  <ignoredErrors>
    <ignoredError sqref="F30 E12:F12 D9:F9 E10 E8:F8 F11 E16:E17 F16 F27:F28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14" id="{ECE40819-81AA-4AEC-92B2-02DE159AE2DF}">
            <xm:f>AND(E9=Сезон!A1048551,E10=Сезон!A1048554)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D9</xm:sqref>
        </x14:conditionalFormatting>
        <x14:conditionalFormatting xmlns:xm="http://schemas.microsoft.com/office/excel/2006/main">
          <x14:cfRule type="expression" priority="513" id="{84953CAD-F3B7-493D-ADA1-0698169D9A71}">
            <xm:f>AND(E9=Сезон!A1048551,E10=Сезон!A1048554)</xm:f>
            <x14:dxf>
              <font>
                <color theme="0"/>
              </font>
            </x14:dxf>
          </x14:cfRule>
          <x14:cfRule type="expression" priority="519" id="{6F6966F5-5E59-415C-8B26-A93898DFF82E}">
            <xm:f>AND(E1048566=Сезон!A22,E1048565=Сезон!A19)</xm:f>
            <x14:dxf>
              <font>
                <color theme="0"/>
              </font>
              <border>
                <left/>
                <right/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expression" priority="542" id="{D898E846-E519-4B11-8F9D-A4162FC22785}">
            <xm:f>AND(#REF!=Сезон!B1048551,F10=Сезон!B1048554)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expression" priority="678" id="{4D1A854C-B349-4D99-A812-2C21AA5E9FBC}">
            <xm:f>AND(#REF!=Сезон!$A$25,#REF!=Сезон!$A$28)</xm:f>
            <x14:dxf>
              <font>
                <color theme="0"/>
              </font>
              <border>
                <left/>
                <right/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E9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>
    <tabColor rgb="FF9D4555"/>
    <pageSetUpPr fitToPage="1"/>
  </sheetPr>
  <dimension ref="A1:BO109"/>
  <sheetViews>
    <sheetView showGridLines="0" topLeftCell="A19" zoomScale="70" zoomScaleNormal="70" workbookViewId="0"/>
  </sheetViews>
  <sheetFormatPr defaultColWidth="0" defaultRowHeight="0" customHeight="1" zeroHeight="1" x14ac:dyDescent="0.3"/>
  <cols>
    <col min="1" max="1" width="4.7265625" style="331" customWidth="1"/>
    <col min="2" max="2" width="10.7265625" style="72" customWidth="1"/>
    <col min="3" max="3" width="51.1796875" style="72" customWidth="1"/>
    <col min="4" max="27" width="15.7265625" style="72" customWidth="1"/>
    <col min="28" max="28" width="10.7265625" style="77" customWidth="1"/>
    <col min="29" max="29" width="4.7265625" style="331" customWidth="1"/>
    <col min="30" max="67" width="0" style="72" hidden="1" customWidth="1"/>
    <col min="68" max="16384" width="15.1796875" style="72" hidden="1"/>
  </cols>
  <sheetData>
    <row r="1" spans="1:29" s="331" customFormat="1" ht="22" customHeight="1" thickBot="1" x14ac:dyDescent="0.35"/>
    <row r="2" spans="1:29" s="77" customFormat="1" ht="35.15" customHeight="1" thickBot="1" x14ac:dyDescent="0.35">
      <c r="A2" s="331"/>
      <c r="B2" s="268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303"/>
      <c r="AC2" s="331"/>
    </row>
    <row r="3" spans="1:29" s="77" customFormat="1" ht="45" customHeight="1" x14ac:dyDescent="0.3">
      <c r="A3" s="331"/>
      <c r="B3" s="401" t="s">
        <v>127</v>
      </c>
      <c r="C3" s="402"/>
      <c r="D3" s="260"/>
      <c r="E3" s="426"/>
      <c r="F3" s="428"/>
      <c r="G3" s="419"/>
      <c r="H3" s="419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304"/>
      <c r="AC3" s="331"/>
    </row>
    <row r="4" spans="1:29" s="77" customFormat="1" ht="45" customHeight="1" thickBot="1" x14ac:dyDescent="0.35">
      <c r="A4" s="331"/>
      <c r="B4" s="403"/>
      <c r="C4" s="404"/>
      <c r="D4" s="260"/>
      <c r="E4" s="427"/>
      <c r="F4" s="429"/>
      <c r="G4" s="420"/>
      <c r="H4" s="420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304"/>
      <c r="AC4" s="331"/>
    </row>
    <row r="5" spans="1:29" s="77" customFormat="1" ht="35.15" customHeight="1" x14ac:dyDescent="0.3">
      <c r="A5" s="331"/>
      <c r="B5" s="272"/>
      <c r="C5" s="236"/>
      <c r="D5" s="214"/>
      <c r="E5" s="214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304"/>
      <c r="AC5" s="331"/>
    </row>
    <row r="6" spans="1:29" s="77" customFormat="1" ht="29.5" customHeight="1" x14ac:dyDescent="0.3">
      <c r="A6" s="331"/>
      <c r="B6" s="272"/>
      <c r="C6" s="342" t="s">
        <v>129</v>
      </c>
      <c r="D6" s="343" t="s">
        <v>120</v>
      </c>
      <c r="E6" s="343" t="s">
        <v>205</v>
      </c>
      <c r="F6" s="343" t="s">
        <v>132</v>
      </c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  <c r="X6" s="236"/>
      <c r="Y6" s="236"/>
      <c r="Z6" s="236"/>
      <c r="AA6" s="236"/>
      <c r="AB6" s="304"/>
      <c r="AC6" s="331"/>
    </row>
    <row r="7" spans="1:29" s="77" customFormat="1" ht="20.149999999999999" customHeight="1" x14ac:dyDescent="0.3">
      <c r="A7" s="331"/>
      <c r="B7" s="272"/>
      <c r="C7" s="191" t="s">
        <v>206</v>
      </c>
      <c r="D7" s="369">
        <f>IF(Титул!$E$13=Сезон!$I$1,8600,IF(Титул!$E$13=Сезон!$J$1,9200,IF(Титул!$E$13=Сезон!$K$1,9757)))</f>
        <v>9757</v>
      </c>
      <c r="E7" s="370">
        <f>IF(Титул!$E$14=Сезон!$H$7,IF(Титул!$E$13=Сезон!$I$1,4,IF(Титул!$E$13=Сезон!$J$1,4.5,IF(Титул!$E$13=Сезон!$K$1,5))),IF(Титул!$E$13=Сезон!$I$1,7,IF(Титул!$E$13=Сезон!$J$1,8,IF(Титул!$E$13=Сезон!$K$1,9))))</f>
        <v>5</v>
      </c>
      <c r="F7" s="193">
        <f>D7*E7/SUMPRODUCT($D$7:$D$11,$E$7:$E$11)</f>
        <v>0.41782288454950328</v>
      </c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304"/>
      <c r="AC7" s="331"/>
    </row>
    <row r="8" spans="1:29" s="77" customFormat="1" ht="20.149999999999999" customHeight="1" x14ac:dyDescent="0.3">
      <c r="A8" s="331"/>
      <c r="B8" s="272"/>
      <c r="C8" s="191" t="s">
        <v>207</v>
      </c>
      <c r="D8" s="369">
        <f>IF(Титул!$E$13=Сезон!$I$1,5900,IF(Титул!$E$13=Сезон!$J$1,6300,IF(Титул!$E$13=Сезон!$K$1,6723)))</f>
        <v>6723</v>
      </c>
      <c r="E8" s="370">
        <f>IF(Титул!$E$14=Сезон!$H$7,IF(Титул!$E$13=Сезон!$I$1,2.2,IF(Титул!$E$13=Сезон!$J$1,2.6,IF(Титул!$E$13=Сезон!$K$1,3))),IF(Титул!$E$13=Сезон!$I$1,4,IF(Титул!$E$13=Сезон!$J$1,4.5,IF(Титул!$E$13=Сезон!$K$1,5))))</f>
        <v>3</v>
      </c>
      <c r="F8" s="193">
        <f t="shared" ref="F8:F11" si="0">D8*E8/SUMPRODUCT($D$7:$D$11,$E$7:$E$11)</f>
        <v>0.17273895169578624</v>
      </c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6"/>
      <c r="AA8" s="236"/>
      <c r="AB8" s="304"/>
      <c r="AC8" s="331"/>
    </row>
    <row r="9" spans="1:29" s="77" customFormat="1" ht="20.149999999999999" customHeight="1" x14ac:dyDescent="0.3">
      <c r="A9" s="331"/>
      <c r="B9" s="272"/>
      <c r="C9" s="191" t="s">
        <v>208</v>
      </c>
      <c r="D9" s="369">
        <f>IF(Титул!$E$13=Сезон!$I$1,8600,IF(Титул!$E$13=Сезон!$J$1,9200,IF(Титул!$E$13=Сезон!$K$1,9728)))</f>
        <v>9728</v>
      </c>
      <c r="E9" s="370">
        <f>IF(Титул!$E$14=Сезон!$H$7,IF(Титул!$E$13=Сезон!$I$1,1.4,IF(Титул!$E$13=Сезон!$J$1,1.7,IF(Титул!$E$13=Сезон!$K$1,2))),IF(Титул!$E$13=Сезон!$I$1,3,IF(Титул!$E$13=Сезон!$J$1,3.3,IF(Титул!$E$13=Сезон!$K$1,4))))</f>
        <v>2</v>
      </c>
      <c r="F9" s="193">
        <f t="shared" si="0"/>
        <v>0.16663240835902707</v>
      </c>
      <c r="G9" s="236"/>
      <c r="H9" s="236"/>
      <c r="I9" s="236"/>
      <c r="J9" s="236"/>
      <c r="K9" s="236"/>
      <c r="L9" s="236"/>
      <c r="M9" s="236"/>
      <c r="N9" s="236"/>
      <c r="O9" s="236"/>
      <c r="P9" s="236"/>
      <c r="Q9" s="236"/>
      <c r="R9" s="236"/>
      <c r="S9" s="236"/>
      <c r="T9" s="236"/>
      <c r="U9" s="236"/>
      <c r="V9" s="236"/>
      <c r="W9" s="236"/>
      <c r="X9" s="236"/>
      <c r="Y9" s="236"/>
      <c r="Z9" s="236"/>
      <c r="AA9" s="236"/>
      <c r="AB9" s="304"/>
      <c r="AC9" s="331"/>
    </row>
    <row r="10" spans="1:29" s="77" customFormat="1" ht="20.149999999999999" customHeight="1" x14ac:dyDescent="0.3">
      <c r="A10" s="331"/>
      <c r="B10" s="272"/>
      <c r="C10" s="191" t="s">
        <v>209</v>
      </c>
      <c r="D10" s="369">
        <f>IF(Титул!$E$13=Сезон!$I$1,7700,IF(Титул!$E$13=Сезон!$J$1,8100,IF(Титул!$E$13=Сезон!$K$1,8525)))</f>
        <v>8525</v>
      </c>
      <c r="E10" s="370">
        <f>IF(Титул!$E$14=Сезон!$H$7,IF(Титул!$E$13=Сезон!$I$1,2.2,IF(Титул!$E$13=Сезон!$J$1,2.6,IF(Титул!$E$13=Сезон!$K$1,3))),IF(Титул!$E$13=Сезон!$I$1,2.2,IF(Титул!$E$13=Сезон!$J$1,2.6,IF(Титул!$E$13=Сезон!$K$1,3))))</f>
        <v>3</v>
      </c>
      <c r="F10" s="193">
        <f t="shared" si="0"/>
        <v>0.21903905447070915</v>
      </c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6"/>
      <c r="Y10" s="236"/>
      <c r="Z10" s="236"/>
      <c r="AA10" s="236"/>
      <c r="AB10" s="304"/>
      <c r="AC10" s="331"/>
    </row>
    <row r="11" spans="1:29" s="77" customFormat="1" ht="20.149999999999999" customHeight="1" x14ac:dyDescent="0.3">
      <c r="A11" s="331"/>
      <c r="B11" s="272"/>
      <c r="C11" s="191" t="s">
        <v>165</v>
      </c>
      <c r="D11" s="369">
        <f>IF(Титул!$E$13=Сезон!$I$1,775,IF(Титул!$E$13=Сезон!$J$1,850,IF(Титул!$E$13=Сезон!$K$1,925)))</f>
        <v>925</v>
      </c>
      <c r="E11" s="370">
        <f>IF(Титул!$E$14=Сезон!$H$7,IF(Титул!$E$13=Сезон!$I$1,2.2,IF(Титул!$E$13=Сезон!$J$1,2.6,IF(Титул!$E$13=Сезон!$K$1,3))),IF(Титул!$E$13=Сезон!$I$1,2.2,IF(Титул!$E$13=Сезон!$J$1,2.6,IF(Титул!$E$13=Сезон!$K$1,3))))</f>
        <v>3</v>
      </c>
      <c r="F11" s="193">
        <f t="shared" si="0"/>
        <v>2.3766700924974307E-2</v>
      </c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6"/>
      <c r="X11" s="236"/>
      <c r="Y11" s="236"/>
      <c r="Z11" s="236"/>
      <c r="AA11" s="236"/>
      <c r="AB11" s="304"/>
      <c r="AC11" s="331"/>
    </row>
    <row r="12" spans="1:29" s="77" customFormat="1" ht="22" customHeight="1" x14ac:dyDescent="0.35">
      <c r="A12" s="331"/>
      <c r="B12" s="272"/>
      <c r="C12" s="72"/>
      <c r="D12" s="72"/>
      <c r="E12" s="72"/>
      <c r="F12" s="72"/>
      <c r="G12" s="72"/>
      <c r="H12" s="72"/>
      <c r="I12" s="238"/>
      <c r="J12" s="237"/>
      <c r="K12" s="237"/>
      <c r="L12" s="236"/>
      <c r="M12" s="237"/>
      <c r="N12" s="237"/>
      <c r="O12" s="237"/>
      <c r="P12" s="237"/>
      <c r="Q12" s="237"/>
      <c r="R12" s="237"/>
      <c r="S12" s="237"/>
      <c r="T12" s="237"/>
      <c r="U12" s="237"/>
      <c r="V12" s="237"/>
      <c r="W12" s="237"/>
      <c r="X12" s="237"/>
      <c r="Y12" s="237"/>
      <c r="Z12" s="237"/>
      <c r="AA12" s="237"/>
      <c r="AB12" s="282"/>
      <c r="AC12" s="339"/>
    </row>
    <row r="13" spans="1:29" s="77" customFormat="1" ht="22" customHeight="1" x14ac:dyDescent="0.35">
      <c r="A13" s="331"/>
      <c r="B13" s="272"/>
      <c r="C13" s="423" t="s">
        <v>84</v>
      </c>
      <c r="D13" s="424"/>
      <c r="E13" s="424"/>
      <c r="F13" s="425"/>
      <c r="G13" s="72"/>
      <c r="H13" s="72"/>
      <c r="I13" s="238"/>
      <c r="J13" s="72"/>
      <c r="K13" s="72"/>
      <c r="L13" s="236"/>
      <c r="M13" s="72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237"/>
      <c r="Z13" s="237"/>
      <c r="AA13" s="237"/>
      <c r="AB13" s="282"/>
      <c r="AC13" s="339"/>
    </row>
    <row r="14" spans="1:29" s="77" customFormat="1" ht="20.149999999999999" customHeight="1" x14ac:dyDescent="0.35">
      <c r="A14" s="331"/>
      <c r="B14" s="272"/>
      <c r="C14" s="421" t="s">
        <v>104</v>
      </c>
      <c r="D14" s="422"/>
      <c r="E14" s="371">
        <v>8</v>
      </c>
      <c r="F14" s="192" t="s">
        <v>34</v>
      </c>
      <c r="G14" s="72"/>
      <c r="H14" s="72"/>
      <c r="I14" s="238"/>
      <c r="J14" s="237"/>
      <c r="K14" s="237"/>
      <c r="L14" s="236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82"/>
      <c r="AC14" s="339"/>
    </row>
    <row r="15" spans="1:29" s="77" customFormat="1" ht="20.149999999999999" customHeight="1" x14ac:dyDescent="0.35">
      <c r="A15" s="331"/>
      <c r="B15" s="272"/>
      <c r="C15" s="421" t="s">
        <v>105</v>
      </c>
      <c r="D15" s="422"/>
      <c r="E15" s="372">
        <v>0.25</v>
      </c>
      <c r="F15" s="192" t="s">
        <v>107</v>
      </c>
      <c r="G15" s="72"/>
      <c r="H15" s="72"/>
      <c r="I15" s="238"/>
      <c r="J15" s="237"/>
      <c r="K15" s="237"/>
      <c r="L15" s="236"/>
      <c r="M15" s="237"/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82"/>
      <c r="AC15" s="339"/>
    </row>
    <row r="16" spans="1:29" s="77" customFormat="1" ht="20.149999999999999" customHeight="1" x14ac:dyDescent="0.35">
      <c r="A16" s="331"/>
      <c r="B16" s="272"/>
      <c r="C16" s="421" t="s">
        <v>106</v>
      </c>
      <c r="D16" s="422"/>
      <c r="E16" s="372">
        <v>5.0000000000000001E-3</v>
      </c>
      <c r="F16" s="192" t="s">
        <v>86</v>
      </c>
      <c r="G16" s="72"/>
      <c r="H16" s="72"/>
      <c r="I16" s="238"/>
      <c r="J16" s="237"/>
      <c r="K16" s="237"/>
      <c r="L16" s="236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82"/>
      <c r="AC16" s="339"/>
    </row>
    <row r="17" spans="1:29" s="77" customFormat="1" ht="20.149999999999999" customHeight="1" x14ac:dyDescent="0.35">
      <c r="A17" s="331"/>
      <c r="B17" s="272"/>
      <c r="C17" s="239"/>
      <c r="D17" s="239"/>
      <c r="E17" s="240"/>
      <c r="F17" s="240"/>
      <c r="G17" s="72"/>
      <c r="H17" s="72"/>
      <c r="I17" s="238"/>
      <c r="J17" s="237"/>
      <c r="K17" s="237"/>
      <c r="L17" s="236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7"/>
      <c r="AA17" s="237"/>
      <c r="AB17" s="282"/>
      <c r="AC17" s="339"/>
    </row>
    <row r="18" spans="1:29" ht="22" customHeight="1" x14ac:dyDescent="0.3">
      <c r="B18" s="272"/>
      <c r="C18" s="344" t="s">
        <v>79</v>
      </c>
      <c r="D18" s="346">
        <f t="shared" ref="D18:AA18" si="1">MONTH(D20)</f>
        <v>1</v>
      </c>
      <c r="E18" s="346">
        <f t="shared" si="1"/>
        <v>2</v>
      </c>
      <c r="F18" s="346">
        <f t="shared" si="1"/>
        <v>3</v>
      </c>
      <c r="G18" s="346">
        <f t="shared" si="1"/>
        <v>4</v>
      </c>
      <c r="H18" s="346">
        <f t="shared" si="1"/>
        <v>5</v>
      </c>
      <c r="I18" s="346">
        <f t="shared" si="1"/>
        <v>6</v>
      </c>
      <c r="J18" s="346">
        <f t="shared" si="1"/>
        <v>7</v>
      </c>
      <c r="K18" s="346">
        <f t="shared" si="1"/>
        <v>8</v>
      </c>
      <c r="L18" s="346">
        <f t="shared" si="1"/>
        <v>9</v>
      </c>
      <c r="M18" s="346">
        <f t="shared" si="1"/>
        <v>10</v>
      </c>
      <c r="N18" s="346">
        <f t="shared" si="1"/>
        <v>11</v>
      </c>
      <c r="O18" s="346">
        <f t="shared" si="1"/>
        <v>12</v>
      </c>
      <c r="P18" s="346">
        <f t="shared" si="1"/>
        <v>1</v>
      </c>
      <c r="Q18" s="346">
        <f t="shared" si="1"/>
        <v>2</v>
      </c>
      <c r="R18" s="346">
        <f t="shared" si="1"/>
        <v>3</v>
      </c>
      <c r="S18" s="346">
        <f t="shared" si="1"/>
        <v>4</v>
      </c>
      <c r="T18" s="346">
        <f t="shared" si="1"/>
        <v>5</v>
      </c>
      <c r="U18" s="346">
        <f t="shared" si="1"/>
        <v>6</v>
      </c>
      <c r="V18" s="346">
        <f t="shared" si="1"/>
        <v>7</v>
      </c>
      <c r="W18" s="346">
        <f t="shared" si="1"/>
        <v>8</v>
      </c>
      <c r="X18" s="346">
        <f t="shared" si="1"/>
        <v>9</v>
      </c>
      <c r="Y18" s="346">
        <f t="shared" si="1"/>
        <v>10</v>
      </c>
      <c r="Z18" s="346">
        <f t="shared" si="1"/>
        <v>11</v>
      </c>
      <c r="AA18" s="346">
        <f t="shared" si="1"/>
        <v>12</v>
      </c>
      <c r="AB18" s="330"/>
      <c r="AC18" s="339"/>
    </row>
    <row r="19" spans="1:29" s="77" customFormat="1" ht="20.149999999999999" customHeight="1" x14ac:dyDescent="0.3">
      <c r="A19" s="331"/>
      <c r="B19" s="272"/>
      <c r="C19" s="99" t="s">
        <v>94</v>
      </c>
      <c r="D19" s="140">
        <v>1</v>
      </c>
      <c r="E19" s="140">
        <v>2</v>
      </c>
      <c r="F19" s="140">
        <v>3</v>
      </c>
      <c r="G19" s="140">
        <v>4</v>
      </c>
      <c r="H19" s="140">
        <v>5</v>
      </c>
      <c r="I19" s="140">
        <v>6</v>
      </c>
      <c r="J19" s="140">
        <v>7</v>
      </c>
      <c r="K19" s="140">
        <v>8</v>
      </c>
      <c r="L19" s="140">
        <v>9</v>
      </c>
      <c r="M19" s="140">
        <v>10</v>
      </c>
      <c r="N19" s="140">
        <v>11</v>
      </c>
      <c r="O19" s="140">
        <v>12</v>
      </c>
      <c r="P19" s="140">
        <v>13</v>
      </c>
      <c r="Q19" s="140">
        <v>14</v>
      </c>
      <c r="R19" s="140">
        <v>15</v>
      </c>
      <c r="S19" s="140">
        <v>16</v>
      </c>
      <c r="T19" s="140">
        <v>17</v>
      </c>
      <c r="U19" s="140">
        <v>18</v>
      </c>
      <c r="V19" s="140">
        <v>19</v>
      </c>
      <c r="W19" s="140">
        <v>20</v>
      </c>
      <c r="X19" s="140">
        <v>21</v>
      </c>
      <c r="Y19" s="140">
        <v>22</v>
      </c>
      <c r="Z19" s="140">
        <v>23</v>
      </c>
      <c r="AA19" s="140">
        <v>24</v>
      </c>
      <c r="AB19" s="282"/>
      <c r="AC19" s="339"/>
    </row>
    <row r="20" spans="1:29" s="133" customFormat="1" ht="20.149999999999999" customHeight="1" x14ac:dyDescent="0.35">
      <c r="A20" s="331"/>
      <c r="B20" s="305"/>
      <c r="C20" s="99" t="s">
        <v>32</v>
      </c>
      <c r="D20" s="141">
        <f>Титул!E19</f>
        <v>44562</v>
      </c>
      <c r="E20" s="141">
        <f t="shared" ref="E20:Z20" si="2">D20+31</f>
        <v>44593</v>
      </c>
      <c r="F20" s="141">
        <f t="shared" si="2"/>
        <v>44624</v>
      </c>
      <c r="G20" s="141">
        <f t="shared" si="2"/>
        <v>44655</v>
      </c>
      <c r="H20" s="141">
        <f t="shared" si="2"/>
        <v>44686</v>
      </c>
      <c r="I20" s="141">
        <f t="shared" si="2"/>
        <v>44717</v>
      </c>
      <c r="J20" s="141">
        <f t="shared" si="2"/>
        <v>44748</v>
      </c>
      <c r="K20" s="141">
        <f t="shared" si="2"/>
        <v>44779</v>
      </c>
      <c r="L20" s="141">
        <f t="shared" si="2"/>
        <v>44810</v>
      </c>
      <c r="M20" s="141">
        <f t="shared" si="2"/>
        <v>44841</v>
      </c>
      <c r="N20" s="141">
        <f t="shared" si="2"/>
        <v>44872</v>
      </c>
      <c r="O20" s="141">
        <f t="shared" si="2"/>
        <v>44903</v>
      </c>
      <c r="P20" s="141">
        <f t="shared" si="2"/>
        <v>44934</v>
      </c>
      <c r="Q20" s="141">
        <f t="shared" si="2"/>
        <v>44965</v>
      </c>
      <c r="R20" s="141">
        <f t="shared" si="2"/>
        <v>44996</v>
      </c>
      <c r="S20" s="141">
        <f t="shared" si="2"/>
        <v>45027</v>
      </c>
      <c r="T20" s="141">
        <f t="shared" si="2"/>
        <v>45058</v>
      </c>
      <c r="U20" s="141">
        <f t="shared" si="2"/>
        <v>45089</v>
      </c>
      <c r="V20" s="141">
        <f t="shared" si="2"/>
        <v>45120</v>
      </c>
      <c r="W20" s="141">
        <f t="shared" si="2"/>
        <v>45151</v>
      </c>
      <c r="X20" s="141">
        <f t="shared" si="2"/>
        <v>45182</v>
      </c>
      <c r="Y20" s="141">
        <f t="shared" si="2"/>
        <v>45213</v>
      </c>
      <c r="Z20" s="141">
        <f t="shared" si="2"/>
        <v>45244</v>
      </c>
      <c r="AA20" s="141">
        <f>Z20+31</f>
        <v>45275</v>
      </c>
      <c r="AB20" s="306"/>
      <c r="AC20" s="339"/>
    </row>
    <row r="21" spans="1:29" s="133" customFormat="1" ht="20.149999999999999" customHeight="1" x14ac:dyDescent="0.4">
      <c r="A21" s="331"/>
      <c r="B21" s="305"/>
      <c r="C21" s="142" t="s">
        <v>121</v>
      </c>
      <c r="D21" s="143">
        <f>DAY(EOMONTH(D20,0))</f>
        <v>31</v>
      </c>
      <c r="E21" s="143">
        <f t="shared" ref="E21:Z21" si="3">DAY(EOMONTH(E20,0))</f>
        <v>28</v>
      </c>
      <c r="F21" s="143">
        <f t="shared" si="3"/>
        <v>31</v>
      </c>
      <c r="G21" s="143">
        <f t="shared" si="3"/>
        <v>30</v>
      </c>
      <c r="H21" s="143">
        <f t="shared" si="3"/>
        <v>31</v>
      </c>
      <c r="I21" s="143">
        <f t="shared" si="3"/>
        <v>30</v>
      </c>
      <c r="J21" s="143">
        <f t="shared" si="3"/>
        <v>31</v>
      </c>
      <c r="K21" s="143">
        <f t="shared" si="3"/>
        <v>31</v>
      </c>
      <c r="L21" s="143">
        <f t="shared" si="3"/>
        <v>30</v>
      </c>
      <c r="M21" s="143">
        <f t="shared" si="3"/>
        <v>31</v>
      </c>
      <c r="N21" s="143">
        <f t="shared" si="3"/>
        <v>30</v>
      </c>
      <c r="O21" s="143">
        <f t="shared" si="3"/>
        <v>31</v>
      </c>
      <c r="P21" s="143">
        <f t="shared" si="3"/>
        <v>31</v>
      </c>
      <c r="Q21" s="143">
        <f t="shared" si="3"/>
        <v>28</v>
      </c>
      <c r="R21" s="143">
        <f t="shared" si="3"/>
        <v>31</v>
      </c>
      <c r="S21" s="143">
        <f t="shared" si="3"/>
        <v>30</v>
      </c>
      <c r="T21" s="143">
        <f t="shared" si="3"/>
        <v>31</v>
      </c>
      <c r="U21" s="143">
        <f t="shared" si="3"/>
        <v>30</v>
      </c>
      <c r="V21" s="143">
        <f t="shared" si="3"/>
        <v>31</v>
      </c>
      <c r="W21" s="143">
        <f t="shared" si="3"/>
        <v>31</v>
      </c>
      <c r="X21" s="143">
        <f t="shared" si="3"/>
        <v>30</v>
      </c>
      <c r="Y21" s="143">
        <f t="shared" si="3"/>
        <v>31</v>
      </c>
      <c r="Z21" s="143">
        <f t="shared" si="3"/>
        <v>30</v>
      </c>
      <c r="AA21" s="143">
        <f>DAY(EOMONTH(AA20,0))</f>
        <v>31</v>
      </c>
      <c r="AB21" s="306"/>
      <c r="AC21" s="339"/>
    </row>
    <row r="22" spans="1:29" s="133" customFormat="1" ht="20.149999999999999" customHeight="1" x14ac:dyDescent="0.4">
      <c r="A22" s="331"/>
      <c r="B22" s="305"/>
      <c r="C22" s="142" t="s">
        <v>210</v>
      </c>
      <c r="D22" s="143">
        <f>ROUNDDOWN(D21/2,0)</f>
        <v>15</v>
      </c>
      <c r="E22" s="143">
        <f t="shared" ref="E22:AA22" si="4">ROUNDDOWN(E21/2,0)</f>
        <v>14</v>
      </c>
      <c r="F22" s="143">
        <f t="shared" si="4"/>
        <v>15</v>
      </c>
      <c r="G22" s="143">
        <f t="shared" si="4"/>
        <v>15</v>
      </c>
      <c r="H22" s="143">
        <f t="shared" si="4"/>
        <v>15</v>
      </c>
      <c r="I22" s="143">
        <f t="shared" si="4"/>
        <v>15</v>
      </c>
      <c r="J22" s="143">
        <f t="shared" si="4"/>
        <v>15</v>
      </c>
      <c r="K22" s="143">
        <f t="shared" si="4"/>
        <v>15</v>
      </c>
      <c r="L22" s="143">
        <f t="shared" si="4"/>
        <v>15</v>
      </c>
      <c r="M22" s="143">
        <f t="shared" si="4"/>
        <v>15</v>
      </c>
      <c r="N22" s="143">
        <f t="shared" si="4"/>
        <v>15</v>
      </c>
      <c r="O22" s="143">
        <f t="shared" si="4"/>
        <v>15</v>
      </c>
      <c r="P22" s="143">
        <f t="shared" si="4"/>
        <v>15</v>
      </c>
      <c r="Q22" s="143">
        <f t="shared" si="4"/>
        <v>14</v>
      </c>
      <c r="R22" s="143">
        <f t="shared" si="4"/>
        <v>15</v>
      </c>
      <c r="S22" s="143">
        <f t="shared" si="4"/>
        <v>15</v>
      </c>
      <c r="T22" s="143">
        <f t="shared" si="4"/>
        <v>15</v>
      </c>
      <c r="U22" s="143">
        <f t="shared" si="4"/>
        <v>15</v>
      </c>
      <c r="V22" s="143">
        <f t="shared" si="4"/>
        <v>15</v>
      </c>
      <c r="W22" s="143">
        <f t="shared" si="4"/>
        <v>15</v>
      </c>
      <c r="X22" s="143">
        <f t="shared" si="4"/>
        <v>15</v>
      </c>
      <c r="Y22" s="143">
        <f t="shared" si="4"/>
        <v>15</v>
      </c>
      <c r="Z22" s="143">
        <f t="shared" si="4"/>
        <v>15</v>
      </c>
      <c r="AA22" s="143">
        <f t="shared" si="4"/>
        <v>15</v>
      </c>
      <c r="AB22" s="306"/>
      <c r="AC22" s="339"/>
    </row>
    <row r="23" spans="1:29" s="134" customFormat="1" ht="20.149999999999999" customHeight="1" x14ac:dyDescent="0.3">
      <c r="A23" s="341"/>
      <c r="B23" s="307"/>
      <c r="C23" s="144" t="s">
        <v>63</v>
      </c>
      <c r="D23" s="145">
        <f>VLOOKUP(D18,Сезон!$A$2:$C$13,3,FALSE)</f>
        <v>1.1499999999999999</v>
      </c>
      <c r="E23" s="145">
        <f>VLOOKUP(E18,Сезон!$A$2:$C$13,3,FALSE)</f>
        <v>0.75</v>
      </c>
      <c r="F23" s="145">
        <f>VLOOKUP(F18,Сезон!$A$2:$C$13,3,FALSE)</f>
        <v>1.25</v>
      </c>
      <c r="G23" s="145">
        <f>VLOOKUP(G18,Сезон!$A$2:$C$13,3,FALSE)</f>
        <v>1.05</v>
      </c>
      <c r="H23" s="145">
        <f>VLOOKUP(H18,Сезон!$A$2:$C$13,3,FALSE)</f>
        <v>1.05</v>
      </c>
      <c r="I23" s="145">
        <f>VLOOKUP(I18,Сезон!$A$2:$C$13,3,FALSE)</f>
        <v>0.95</v>
      </c>
      <c r="J23" s="145">
        <f>VLOOKUP(J18,Сезон!$A$2:$C$13,3,FALSE)</f>
        <v>0.95</v>
      </c>
      <c r="K23" s="145">
        <f>VLOOKUP(K18,Сезон!$A$2:$C$13,3,FALSE)</f>
        <v>0.85</v>
      </c>
      <c r="L23" s="145">
        <f>VLOOKUP(L18,Сезон!$A$2:$C$13,3,FALSE)</f>
        <v>0.75</v>
      </c>
      <c r="M23" s="145">
        <f>VLOOKUP(M18,Сезон!$A$2:$C$13,3,FALSE)</f>
        <v>0.85</v>
      </c>
      <c r="N23" s="145">
        <f>VLOOKUP(N18,Сезон!$A$2:$C$13,3,FALSE)</f>
        <v>1.05</v>
      </c>
      <c r="O23" s="145">
        <f>VLOOKUP(O18,Сезон!$A$2:$C$13,3,FALSE)</f>
        <v>1.35</v>
      </c>
      <c r="P23" s="145">
        <f>VLOOKUP(P18,Сезон!$A$2:$C$13,3,FALSE)</f>
        <v>1.1499999999999999</v>
      </c>
      <c r="Q23" s="145">
        <f>VLOOKUP(Q18,Сезон!$A$2:$C$13,3,FALSE)</f>
        <v>0.75</v>
      </c>
      <c r="R23" s="145">
        <f>VLOOKUP(R18,Сезон!$A$2:$C$13,3,FALSE)</f>
        <v>1.25</v>
      </c>
      <c r="S23" s="145">
        <f>VLOOKUP(S18,Сезон!$A$2:$C$13,3,FALSE)</f>
        <v>1.05</v>
      </c>
      <c r="T23" s="145">
        <f>VLOOKUP(T18,Сезон!$A$2:$C$13,3,FALSE)</f>
        <v>1.05</v>
      </c>
      <c r="U23" s="145">
        <f>VLOOKUP(U18,Сезон!$A$2:$C$13,3,FALSE)</f>
        <v>0.95</v>
      </c>
      <c r="V23" s="145">
        <f>VLOOKUP(V18,Сезон!$A$2:$C$13,3,FALSE)</f>
        <v>0.95</v>
      </c>
      <c r="W23" s="145">
        <f>VLOOKUP(W18,Сезон!$A$2:$C$13,3,FALSE)</f>
        <v>0.85</v>
      </c>
      <c r="X23" s="145">
        <f>VLOOKUP(X18,Сезон!$A$2:$C$13,3,FALSE)</f>
        <v>0.75</v>
      </c>
      <c r="Y23" s="145">
        <f>VLOOKUP(Y18,Сезон!$A$2:$C$13,3,FALSE)</f>
        <v>0.85</v>
      </c>
      <c r="Z23" s="145">
        <f>VLOOKUP(Z18,Сезон!$A$2:$C$13,3,FALSE)</f>
        <v>1.05</v>
      </c>
      <c r="AA23" s="145">
        <f>VLOOKUP(AA18,Сезон!$A$2:$C$13,3,FALSE)</f>
        <v>1.35</v>
      </c>
      <c r="AB23" s="308"/>
      <c r="AC23" s="341"/>
    </row>
    <row r="24" spans="1:29" s="134" customFormat="1" ht="18" x14ac:dyDescent="0.3">
      <c r="A24" s="341"/>
      <c r="B24" s="307"/>
      <c r="C24" s="144" t="s">
        <v>108</v>
      </c>
      <c r="D24" s="145">
        <f>E15</f>
        <v>0.25</v>
      </c>
      <c r="E24" s="145">
        <f t="shared" ref="E24:AA24" si="5">IF(E19&lt;=($E$14+1),(D24+(100%-$E$15)/$E$14),D24+$E$16)</f>
        <v>0.34375</v>
      </c>
      <c r="F24" s="145">
        <f t="shared" si="5"/>
        <v>0.4375</v>
      </c>
      <c r="G24" s="145">
        <f t="shared" si="5"/>
        <v>0.53125</v>
      </c>
      <c r="H24" s="145">
        <f t="shared" si="5"/>
        <v>0.625</v>
      </c>
      <c r="I24" s="145">
        <f t="shared" si="5"/>
        <v>0.71875</v>
      </c>
      <c r="J24" s="145">
        <f t="shared" si="5"/>
        <v>0.8125</v>
      </c>
      <c r="K24" s="145">
        <f t="shared" si="5"/>
        <v>0.90625</v>
      </c>
      <c r="L24" s="145">
        <f t="shared" si="5"/>
        <v>1</v>
      </c>
      <c r="M24" s="145">
        <f t="shared" si="5"/>
        <v>1.0049999999999999</v>
      </c>
      <c r="N24" s="145">
        <f t="shared" si="5"/>
        <v>1.0099999999999998</v>
      </c>
      <c r="O24" s="145">
        <f t="shared" si="5"/>
        <v>1.0149999999999997</v>
      </c>
      <c r="P24" s="145">
        <f t="shared" si="5"/>
        <v>1.0199999999999996</v>
      </c>
      <c r="Q24" s="145">
        <f t="shared" si="5"/>
        <v>1.0249999999999995</v>
      </c>
      <c r="R24" s="145">
        <f t="shared" si="5"/>
        <v>1.0299999999999994</v>
      </c>
      <c r="S24" s="145">
        <f t="shared" si="5"/>
        <v>1.0349999999999993</v>
      </c>
      <c r="T24" s="145">
        <f t="shared" si="5"/>
        <v>1.0399999999999991</v>
      </c>
      <c r="U24" s="145">
        <f t="shared" si="5"/>
        <v>1.044999999999999</v>
      </c>
      <c r="V24" s="145">
        <f t="shared" si="5"/>
        <v>1.0499999999999989</v>
      </c>
      <c r="W24" s="145">
        <f t="shared" si="5"/>
        <v>1.0549999999999988</v>
      </c>
      <c r="X24" s="145">
        <f t="shared" si="5"/>
        <v>1.0599999999999987</v>
      </c>
      <c r="Y24" s="145">
        <f t="shared" si="5"/>
        <v>1.0649999999999986</v>
      </c>
      <c r="Z24" s="145">
        <f t="shared" si="5"/>
        <v>1.0699999999999985</v>
      </c>
      <c r="AA24" s="145">
        <f t="shared" si="5"/>
        <v>1.0749999999999984</v>
      </c>
      <c r="AB24" s="308"/>
      <c r="AC24" s="341"/>
    </row>
    <row r="25" spans="1:29" s="134" customFormat="1" ht="20.149999999999999" customHeight="1" x14ac:dyDescent="0.3">
      <c r="A25" s="341"/>
      <c r="B25" s="307"/>
      <c r="C25" s="222" t="s">
        <v>109</v>
      </c>
      <c r="D25" s="146">
        <f>D26/D21</f>
        <v>17253.870967741936</v>
      </c>
      <c r="E25" s="146">
        <f t="shared" ref="E25:AA25" si="6">E26/E21</f>
        <v>17829</v>
      </c>
      <c r="F25" s="146">
        <f t="shared" si="6"/>
        <v>34521.774193548386</v>
      </c>
      <c r="G25" s="146">
        <f t="shared" si="6"/>
        <v>35672.5</v>
      </c>
      <c r="H25" s="146">
        <f t="shared" si="6"/>
        <v>34521.774193548386</v>
      </c>
      <c r="I25" s="146">
        <f t="shared" si="6"/>
        <v>35672.5</v>
      </c>
      <c r="J25" s="146">
        <f t="shared" si="6"/>
        <v>43950</v>
      </c>
      <c r="K25" s="146">
        <f t="shared" si="6"/>
        <v>43950</v>
      </c>
      <c r="L25" s="146">
        <f t="shared" si="6"/>
        <v>45415</v>
      </c>
      <c r="M25" s="146">
        <f t="shared" si="6"/>
        <v>51775.645161290326</v>
      </c>
      <c r="N25" s="146">
        <f t="shared" si="6"/>
        <v>58380</v>
      </c>
      <c r="O25" s="146">
        <f t="shared" si="6"/>
        <v>78471.774193548394</v>
      </c>
      <c r="P25" s="146">
        <f t="shared" si="6"/>
        <v>69043.548387096773</v>
      </c>
      <c r="Q25" s="146">
        <f t="shared" si="6"/>
        <v>45415</v>
      </c>
      <c r="R25" s="146">
        <f t="shared" si="6"/>
        <v>73750.645161290318</v>
      </c>
      <c r="S25" s="146">
        <f t="shared" si="6"/>
        <v>58380</v>
      </c>
      <c r="T25" s="146">
        <f t="shared" si="6"/>
        <v>56496.774193548386</v>
      </c>
      <c r="U25" s="146">
        <f t="shared" si="6"/>
        <v>58380</v>
      </c>
      <c r="V25" s="146">
        <f t="shared" si="6"/>
        <v>56496.774193548386</v>
      </c>
      <c r="W25" s="146">
        <f t="shared" si="6"/>
        <v>51775.645161290326</v>
      </c>
      <c r="X25" s="146">
        <f t="shared" si="6"/>
        <v>45415</v>
      </c>
      <c r="Y25" s="146">
        <f t="shared" si="6"/>
        <v>56496.774193548386</v>
      </c>
      <c r="Z25" s="146">
        <f t="shared" si="6"/>
        <v>63258.5</v>
      </c>
      <c r="AA25" s="146">
        <f t="shared" si="6"/>
        <v>78471.774193548394</v>
      </c>
      <c r="AB25" s="308"/>
      <c r="AC25" s="341"/>
    </row>
    <row r="26" spans="1:29" s="77" customFormat="1" ht="20.149999999999999" customHeight="1" x14ac:dyDescent="0.3">
      <c r="A26" s="331"/>
      <c r="B26" s="272"/>
      <c r="C26" s="222" t="s">
        <v>102</v>
      </c>
      <c r="D26" s="146">
        <f>D27+D30+D33+D36+D39</f>
        <v>534870</v>
      </c>
      <c r="E26" s="146">
        <f t="shared" ref="E26:AA26" si="7">E27+E30+E33+E36+E39</f>
        <v>499212</v>
      </c>
      <c r="F26" s="146">
        <f t="shared" si="7"/>
        <v>1070175</v>
      </c>
      <c r="G26" s="146">
        <f t="shared" si="7"/>
        <v>1070175</v>
      </c>
      <c r="H26" s="146">
        <f t="shared" si="7"/>
        <v>1070175</v>
      </c>
      <c r="I26" s="146">
        <f t="shared" si="7"/>
        <v>1070175</v>
      </c>
      <c r="J26" s="146">
        <f t="shared" si="7"/>
        <v>1362450</v>
      </c>
      <c r="K26" s="146">
        <f t="shared" si="7"/>
        <v>1362450</v>
      </c>
      <c r="L26" s="146">
        <f t="shared" si="7"/>
        <v>1362450</v>
      </c>
      <c r="M26" s="146">
        <f t="shared" si="7"/>
        <v>1605045</v>
      </c>
      <c r="N26" s="146">
        <f t="shared" si="7"/>
        <v>1751400</v>
      </c>
      <c r="O26" s="146">
        <f t="shared" si="7"/>
        <v>2432625</v>
      </c>
      <c r="P26" s="146">
        <f t="shared" si="7"/>
        <v>2140350</v>
      </c>
      <c r="Q26" s="146">
        <f t="shared" si="7"/>
        <v>1271620</v>
      </c>
      <c r="R26" s="146">
        <f t="shared" si="7"/>
        <v>2286270</v>
      </c>
      <c r="S26" s="146">
        <f t="shared" si="7"/>
        <v>1751400</v>
      </c>
      <c r="T26" s="146">
        <f t="shared" si="7"/>
        <v>1751400</v>
      </c>
      <c r="U26" s="146">
        <f t="shared" si="7"/>
        <v>1751400</v>
      </c>
      <c r="V26" s="146">
        <f t="shared" si="7"/>
        <v>1751400</v>
      </c>
      <c r="W26" s="146">
        <f t="shared" si="7"/>
        <v>1605045</v>
      </c>
      <c r="X26" s="146">
        <f t="shared" si="7"/>
        <v>1362450</v>
      </c>
      <c r="Y26" s="146">
        <f t="shared" si="7"/>
        <v>1751400</v>
      </c>
      <c r="Z26" s="146">
        <f t="shared" si="7"/>
        <v>1897755</v>
      </c>
      <c r="AA26" s="146">
        <f t="shared" si="7"/>
        <v>2432625</v>
      </c>
      <c r="AB26" s="282"/>
      <c r="AC26" s="331"/>
    </row>
    <row r="27" spans="1:29" s="77" customFormat="1" ht="20.149999999999999" customHeight="1" x14ac:dyDescent="0.3">
      <c r="A27" s="331"/>
      <c r="B27" s="272"/>
      <c r="C27" s="327" t="str">
        <f>C7</f>
        <v>Нижнее белье</v>
      </c>
      <c r="D27" s="147">
        <f>D29*$D$7</f>
        <v>146355</v>
      </c>
      <c r="E27" s="147">
        <f t="shared" ref="E27:AA27" si="8">E29*$D$7</f>
        <v>136598</v>
      </c>
      <c r="F27" s="147">
        <f t="shared" si="8"/>
        <v>439065</v>
      </c>
      <c r="G27" s="147">
        <f t="shared" si="8"/>
        <v>439065</v>
      </c>
      <c r="H27" s="147">
        <f t="shared" si="8"/>
        <v>439065</v>
      </c>
      <c r="I27" s="147">
        <f t="shared" si="8"/>
        <v>439065</v>
      </c>
      <c r="J27" s="147">
        <f t="shared" si="8"/>
        <v>585420</v>
      </c>
      <c r="K27" s="147">
        <f t="shared" si="8"/>
        <v>585420</v>
      </c>
      <c r="L27" s="147">
        <f t="shared" si="8"/>
        <v>585420</v>
      </c>
      <c r="M27" s="147">
        <f t="shared" si="8"/>
        <v>585420</v>
      </c>
      <c r="N27" s="147">
        <f t="shared" si="8"/>
        <v>731775</v>
      </c>
      <c r="O27" s="147">
        <f t="shared" si="8"/>
        <v>1024485</v>
      </c>
      <c r="P27" s="147">
        <f t="shared" si="8"/>
        <v>878130</v>
      </c>
      <c r="Q27" s="147">
        <f t="shared" si="8"/>
        <v>546392</v>
      </c>
      <c r="R27" s="147">
        <f t="shared" si="8"/>
        <v>878130</v>
      </c>
      <c r="S27" s="147">
        <f t="shared" si="8"/>
        <v>731775</v>
      </c>
      <c r="T27" s="147">
        <f t="shared" si="8"/>
        <v>731775</v>
      </c>
      <c r="U27" s="147">
        <f t="shared" si="8"/>
        <v>731775</v>
      </c>
      <c r="V27" s="147">
        <f t="shared" si="8"/>
        <v>731775</v>
      </c>
      <c r="W27" s="147">
        <f t="shared" si="8"/>
        <v>585420</v>
      </c>
      <c r="X27" s="147">
        <f t="shared" si="8"/>
        <v>585420</v>
      </c>
      <c r="Y27" s="147">
        <f t="shared" si="8"/>
        <v>731775</v>
      </c>
      <c r="Z27" s="147">
        <f t="shared" si="8"/>
        <v>878130</v>
      </c>
      <c r="AA27" s="147">
        <f t="shared" si="8"/>
        <v>1024485</v>
      </c>
      <c r="AB27" s="282"/>
      <c r="AC27" s="331"/>
    </row>
    <row r="28" spans="1:29" s="77" customFormat="1" ht="20.149999999999999" customHeight="1" x14ac:dyDescent="0.3">
      <c r="A28" s="331"/>
      <c r="B28" s="272"/>
      <c r="C28" s="373" t="s">
        <v>164</v>
      </c>
      <c r="D28" s="374">
        <f>ROUND($E$7*D23*D24,0)</f>
        <v>1</v>
      </c>
      <c r="E28" s="374">
        <f t="shared" ref="E28:AA28" si="9">ROUND($E$7*E23*E24,0)</f>
        <v>1</v>
      </c>
      <c r="F28" s="374">
        <f t="shared" si="9"/>
        <v>3</v>
      </c>
      <c r="G28" s="374">
        <f t="shared" si="9"/>
        <v>3</v>
      </c>
      <c r="H28" s="374">
        <f t="shared" si="9"/>
        <v>3</v>
      </c>
      <c r="I28" s="374">
        <f t="shared" si="9"/>
        <v>3</v>
      </c>
      <c r="J28" s="374">
        <f t="shared" si="9"/>
        <v>4</v>
      </c>
      <c r="K28" s="374">
        <f t="shared" si="9"/>
        <v>4</v>
      </c>
      <c r="L28" s="374">
        <f t="shared" si="9"/>
        <v>4</v>
      </c>
      <c r="M28" s="374">
        <f t="shared" si="9"/>
        <v>4</v>
      </c>
      <c r="N28" s="374">
        <f t="shared" si="9"/>
        <v>5</v>
      </c>
      <c r="O28" s="374">
        <f t="shared" si="9"/>
        <v>7</v>
      </c>
      <c r="P28" s="374">
        <f t="shared" si="9"/>
        <v>6</v>
      </c>
      <c r="Q28" s="374">
        <f t="shared" si="9"/>
        <v>4</v>
      </c>
      <c r="R28" s="374">
        <f t="shared" si="9"/>
        <v>6</v>
      </c>
      <c r="S28" s="374">
        <f t="shared" si="9"/>
        <v>5</v>
      </c>
      <c r="T28" s="374">
        <f t="shared" si="9"/>
        <v>5</v>
      </c>
      <c r="U28" s="374">
        <f t="shared" si="9"/>
        <v>5</v>
      </c>
      <c r="V28" s="374">
        <f t="shared" si="9"/>
        <v>5</v>
      </c>
      <c r="W28" s="374">
        <f t="shared" si="9"/>
        <v>4</v>
      </c>
      <c r="X28" s="374">
        <f t="shared" si="9"/>
        <v>4</v>
      </c>
      <c r="Y28" s="374">
        <f t="shared" si="9"/>
        <v>5</v>
      </c>
      <c r="Z28" s="374">
        <f t="shared" si="9"/>
        <v>6</v>
      </c>
      <c r="AA28" s="374">
        <f t="shared" si="9"/>
        <v>7</v>
      </c>
      <c r="AB28" s="282"/>
      <c r="AC28" s="331"/>
    </row>
    <row r="29" spans="1:29" s="77" customFormat="1" ht="20.149999999999999" customHeight="1" x14ac:dyDescent="0.3">
      <c r="A29" s="331"/>
      <c r="B29" s="272"/>
      <c r="C29" s="373" t="s">
        <v>134</v>
      </c>
      <c r="D29" s="374">
        <f>D28*IF(Титул!$E$14=Сезон!$H$7,D22,D21)</f>
        <v>15</v>
      </c>
      <c r="E29" s="374">
        <f>E28*IF(Титул!$E$14=Сезон!$H$7,E22,E21)</f>
        <v>14</v>
      </c>
      <c r="F29" s="374">
        <f>F28*IF(Титул!$E$14=Сезон!$H$7,F22,F21)</f>
        <v>45</v>
      </c>
      <c r="G29" s="374">
        <f>G28*IF(Титул!$E$14=Сезон!$H$7,G22,G21)</f>
        <v>45</v>
      </c>
      <c r="H29" s="374">
        <f>H28*IF(Титул!$E$14=Сезон!$H$7,H22,H21)</f>
        <v>45</v>
      </c>
      <c r="I29" s="374">
        <f>I28*IF(Титул!$E$14=Сезон!$H$7,I22,I21)</f>
        <v>45</v>
      </c>
      <c r="J29" s="374">
        <f>J28*IF(Титул!$E$14=Сезон!$H$7,J22,J21)</f>
        <v>60</v>
      </c>
      <c r="K29" s="374">
        <f>K28*IF(Титул!$E$14=Сезон!$H$7,K22,K21)</f>
        <v>60</v>
      </c>
      <c r="L29" s="374">
        <f>L28*IF(Титул!$E$14=Сезон!$H$7,L22,L21)</f>
        <v>60</v>
      </c>
      <c r="M29" s="374">
        <f>M28*IF(Титул!$E$14=Сезон!$H$7,M22,M21)</f>
        <v>60</v>
      </c>
      <c r="N29" s="374">
        <f>N28*IF(Титул!$E$14=Сезон!$H$7,N22,N21)</f>
        <v>75</v>
      </c>
      <c r="O29" s="374">
        <f>O28*IF(Титул!$E$14=Сезон!$H$7,O22,O21)</f>
        <v>105</v>
      </c>
      <c r="P29" s="374">
        <f>P28*IF(Титул!$E$14=Сезон!$H$7,P22,P21)</f>
        <v>90</v>
      </c>
      <c r="Q29" s="374">
        <f>Q28*IF(Титул!$E$14=Сезон!$H$7,Q22,Q21)</f>
        <v>56</v>
      </c>
      <c r="R29" s="374">
        <f>R28*IF(Титул!$E$14=Сезон!$H$7,R22,R21)</f>
        <v>90</v>
      </c>
      <c r="S29" s="374">
        <f>S28*IF(Титул!$E$14=Сезон!$H$7,S22,S21)</f>
        <v>75</v>
      </c>
      <c r="T29" s="374">
        <f>T28*IF(Титул!$E$14=Сезон!$H$7,T22,T21)</f>
        <v>75</v>
      </c>
      <c r="U29" s="374">
        <f>U28*IF(Титул!$E$14=Сезон!$H$7,U22,U21)</f>
        <v>75</v>
      </c>
      <c r="V29" s="374">
        <f>V28*IF(Титул!$E$14=Сезон!$H$7,V22,V21)</f>
        <v>75</v>
      </c>
      <c r="W29" s="374">
        <f>W28*IF(Титул!$E$14=Сезон!$H$7,W22,W21)</f>
        <v>60</v>
      </c>
      <c r="X29" s="374">
        <f>X28*IF(Титул!$E$14=Сезон!$H$7,X22,X21)</f>
        <v>60</v>
      </c>
      <c r="Y29" s="374">
        <f>Y28*IF(Титул!$E$14=Сезон!$H$7,Y22,Y21)</f>
        <v>75</v>
      </c>
      <c r="Z29" s="374">
        <f>Z28*IF(Титул!$E$14=Сезон!$H$7,Z22,Z21)</f>
        <v>90</v>
      </c>
      <c r="AA29" s="374">
        <f>AA28*IF(Титул!$E$14=Сезон!$H$7,AA22,AA21)</f>
        <v>105</v>
      </c>
      <c r="AB29" s="282"/>
      <c r="AC29" s="331"/>
    </row>
    <row r="30" spans="1:29" s="77" customFormat="1" ht="20.149999999999999" customHeight="1" x14ac:dyDescent="0.3">
      <c r="A30" s="331"/>
      <c r="B30" s="272"/>
      <c r="C30" s="327" t="str">
        <f t="shared" ref="C30" si="10">C8</f>
        <v>Корректирующее белье</v>
      </c>
      <c r="D30" s="147">
        <f>D32*$D$8</f>
        <v>100845</v>
      </c>
      <c r="E30" s="147">
        <f t="shared" ref="E30:AA30" si="11">E32*$D$8</f>
        <v>94122</v>
      </c>
      <c r="F30" s="147">
        <f t="shared" si="11"/>
        <v>201690</v>
      </c>
      <c r="G30" s="147">
        <f t="shared" si="11"/>
        <v>201690</v>
      </c>
      <c r="H30" s="147">
        <f t="shared" si="11"/>
        <v>201690</v>
      </c>
      <c r="I30" s="147">
        <f t="shared" si="11"/>
        <v>201690</v>
      </c>
      <c r="J30" s="147">
        <f t="shared" si="11"/>
        <v>201690</v>
      </c>
      <c r="K30" s="147">
        <f t="shared" si="11"/>
        <v>201690</v>
      </c>
      <c r="L30" s="147">
        <f t="shared" si="11"/>
        <v>201690</v>
      </c>
      <c r="M30" s="147">
        <f t="shared" si="11"/>
        <v>302535</v>
      </c>
      <c r="N30" s="147">
        <f t="shared" si="11"/>
        <v>302535</v>
      </c>
      <c r="O30" s="147">
        <f t="shared" si="11"/>
        <v>403380</v>
      </c>
      <c r="P30" s="147">
        <f t="shared" si="11"/>
        <v>403380</v>
      </c>
      <c r="Q30" s="147">
        <f t="shared" si="11"/>
        <v>188244</v>
      </c>
      <c r="R30" s="147">
        <f t="shared" si="11"/>
        <v>403380</v>
      </c>
      <c r="S30" s="147">
        <f t="shared" si="11"/>
        <v>302535</v>
      </c>
      <c r="T30" s="147">
        <f t="shared" si="11"/>
        <v>302535</v>
      </c>
      <c r="U30" s="147">
        <f t="shared" si="11"/>
        <v>302535</v>
      </c>
      <c r="V30" s="147">
        <f t="shared" si="11"/>
        <v>302535</v>
      </c>
      <c r="W30" s="147">
        <f t="shared" si="11"/>
        <v>302535</v>
      </c>
      <c r="X30" s="147">
        <f t="shared" si="11"/>
        <v>201690</v>
      </c>
      <c r="Y30" s="147">
        <f t="shared" si="11"/>
        <v>302535</v>
      </c>
      <c r="Z30" s="147">
        <f t="shared" si="11"/>
        <v>302535</v>
      </c>
      <c r="AA30" s="147">
        <f t="shared" si="11"/>
        <v>403380</v>
      </c>
      <c r="AB30" s="282"/>
      <c r="AC30" s="331"/>
    </row>
    <row r="31" spans="1:29" s="77" customFormat="1" ht="20.149999999999999" customHeight="1" x14ac:dyDescent="0.3">
      <c r="A31" s="331"/>
      <c r="B31" s="272"/>
      <c r="C31" s="373" t="s">
        <v>164</v>
      </c>
      <c r="D31" s="374">
        <f>ROUND($E$8*D23*D24,0)</f>
        <v>1</v>
      </c>
      <c r="E31" s="374">
        <f t="shared" ref="E31:AA31" si="12">ROUND($E$8*E23*E24,0)</f>
        <v>1</v>
      </c>
      <c r="F31" s="374">
        <f t="shared" si="12"/>
        <v>2</v>
      </c>
      <c r="G31" s="374">
        <f t="shared" si="12"/>
        <v>2</v>
      </c>
      <c r="H31" s="374">
        <f t="shared" si="12"/>
        <v>2</v>
      </c>
      <c r="I31" s="374">
        <f t="shared" si="12"/>
        <v>2</v>
      </c>
      <c r="J31" s="374">
        <f t="shared" si="12"/>
        <v>2</v>
      </c>
      <c r="K31" s="374">
        <f t="shared" si="12"/>
        <v>2</v>
      </c>
      <c r="L31" s="374">
        <f t="shared" si="12"/>
        <v>2</v>
      </c>
      <c r="M31" s="374">
        <f t="shared" si="12"/>
        <v>3</v>
      </c>
      <c r="N31" s="374">
        <f t="shared" si="12"/>
        <v>3</v>
      </c>
      <c r="O31" s="374">
        <f t="shared" si="12"/>
        <v>4</v>
      </c>
      <c r="P31" s="374">
        <f t="shared" si="12"/>
        <v>4</v>
      </c>
      <c r="Q31" s="374">
        <f t="shared" si="12"/>
        <v>2</v>
      </c>
      <c r="R31" s="374">
        <f t="shared" si="12"/>
        <v>4</v>
      </c>
      <c r="S31" s="374">
        <f t="shared" si="12"/>
        <v>3</v>
      </c>
      <c r="T31" s="374">
        <f t="shared" si="12"/>
        <v>3</v>
      </c>
      <c r="U31" s="374">
        <f t="shared" si="12"/>
        <v>3</v>
      </c>
      <c r="V31" s="374">
        <f t="shared" si="12"/>
        <v>3</v>
      </c>
      <c r="W31" s="374">
        <f t="shared" si="12"/>
        <v>3</v>
      </c>
      <c r="X31" s="374">
        <f t="shared" si="12"/>
        <v>2</v>
      </c>
      <c r="Y31" s="374">
        <f t="shared" si="12"/>
        <v>3</v>
      </c>
      <c r="Z31" s="374">
        <f t="shared" si="12"/>
        <v>3</v>
      </c>
      <c r="AA31" s="374">
        <f t="shared" si="12"/>
        <v>4</v>
      </c>
      <c r="AB31" s="282"/>
      <c r="AC31" s="331"/>
    </row>
    <row r="32" spans="1:29" s="77" customFormat="1" ht="20.149999999999999" customHeight="1" x14ac:dyDescent="0.3">
      <c r="A32" s="331"/>
      <c r="B32" s="272"/>
      <c r="C32" s="373" t="s">
        <v>134</v>
      </c>
      <c r="D32" s="374">
        <f>D31*IF(Титул!$E$14=Сезон!$H$7,D22,D21)</f>
        <v>15</v>
      </c>
      <c r="E32" s="374">
        <f>E31*IF(Титул!$E$14=Сезон!$H$7,E22,E21)</f>
        <v>14</v>
      </c>
      <c r="F32" s="374">
        <f>F31*IF(Титул!$E$14=Сезон!$H$7,F22,F21)</f>
        <v>30</v>
      </c>
      <c r="G32" s="374">
        <f>G31*IF(Титул!$E$14=Сезон!$H$7,G22,G21)</f>
        <v>30</v>
      </c>
      <c r="H32" s="374">
        <f>H31*IF(Титул!$E$14=Сезон!$H$7,H22,H21)</f>
        <v>30</v>
      </c>
      <c r="I32" s="374">
        <f>I31*IF(Титул!$E$14=Сезон!$H$7,I22,I21)</f>
        <v>30</v>
      </c>
      <c r="J32" s="374">
        <f>J31*IF(Титул!$E$14=Сезон!$H$7,J22,J21)</f>
        <v>30</v>
      </c>
      <c r="K32" s="374">
        <f>K31*IF(Титул!$E$14=Сезон!$H$7,K22,K21)</f>
        <v>30</v>
      </c>
      <c r="L32" s="374">
        <f>L31*IF(Титул!$E$14=Сезон!$H$7,L22,L21)</f>
        <v>30</v>
      </c>
      <c r="M32" s="374">
        <f>M31*IF(Титул!$E$14=Сезон!$H$7,M22,M21)</f>
        <v>45</v>
      </c>
      <c r="N32" s="374">
        <f>N31*IF(Титул!$E$14=Сезон!$H$7,N22,N21)</f>
        <v>45</v>
      </c>
      <c r="O32" s="374">
        <f>O31*IF(Титул!$E$14=Сезон!$H$7,O22,O21)</f>
        <v>60</v>
      </c>
      <c r="P32" s="374">
        <f>P31*IF(Титул!$E$14=Сезон!$H$7,P22,P21)</f>
        <v>60</v>
      </c>
      <c r="Q32" s="374">
        <f>Q31*IF(Титул!$E$14=Сезон!$H$7,Q22,Q21)</f>
        <v>28</v>
      </c>
      <c r="R32" s="374">
        <f>R31*IF(Титул!$E$14=Сезон!$H$7,R22,R21)</f>
        <v>60</v>
      </c>
      <c r="S32" s="374">
        <f>S31*IF(Титул!$E$14=Сезон!$H$7,S22,S21)</f>
        <v>45</v>
      </c>
      <c r="T32" s="374">
        <f>T31*IF(Титул!$E$14=Сезон!$H$7,T22,T21)</f>
        <v>45</v>
      </c>
      <c r="U32" s="374">
        <f>U31*IF(Титул!$E$14=Сезон!$H$7,U22,U21)</f>
        <v>45</v>
      </c>
      <c r="V32" s="374">
        <f>V31*IF(Титул!$E$14=Сезон!$H$7,V22,V21)</f>
        <v>45</v>
      </c>
      <c r="W32" s="374">
        <f>W31*IF(Титул!$E$14=Сезон!$H$7,W22,W21)</f>
        <v>45</v>
      </c>
      <c r="X32" s="374">
        <f>X31*IF(Титул!$E$14=Сезон!$H$7,X22,X21)</f>
        <v>30</v>
      </c>
      <c r="Y32" s="374">
        <f>Y31*IF(Титул!$E$14=Сезон!$H$7,Y22,Y21)</f>
        <v>45</v>
      </c>
      <c r="Z32" s="374">
        <f>Z31*IF(Титул!$E$14=Сезон!$H$7,Z22,Z21)</f>
        <v>45</v>
      </c>
      <c r="AA32" s="374">
        <f>AA31*IF(Титул!$E$14=Сезон!$H$7,AA22,AA21)</f>
        <v>60</v>
      </c>
      <c r="AB32" s="282"/>
      <c r="AC32" s="331"/>
    </row>
    <row r="33" spans="1:29" s="77" customFormat="1" ht="20.149999999999999" customHeight="1" x14ac:dyDescent="0.3">
      <c r="A33" s="331"/>
      <c r="B33" s="272"/>
      <c r="C33" s="327" t="str">
        <f>C9</f>
        <v>Домашняя одежда</v>
      </c>
      <c r="D33" s="147">
        <f>D35*$D$9</f>
        <v>145920</v>
      </c>
      <c r="E33" s="147">
        <f t="shared" ref="E33:AA33" si="13">E35*$D$9</f>
        <v>136192</v>
      </c>
      <c r="F33" s="147">
        <f t="shared" si="13"/>
        <v>145920</v>
      </c>
      <c r="G33" s="147">
        <f t="shared" si="13"/>
        <v>145920</v>
      </c>
      <c r="H33" s="147">
        <f t="shared" si="13"/>
        <v>145920</v>
      </c>
      <c r="I33" s="147">
        <f t="shared" si="13"/>
        <v>145920</v>
      </c>
      <c r="J33" s="147">
        <f t="shared" si="13"/>
        <v>291840</v>
      </c>
      <c r="K33" s="147">
        <f t="shared" si="13"/>
        <v>291840</v>
      </c>
      <c r="L33" s="147">
        <f t="shared" si="13"/>
        <v>291840</v>
      </c>
      <c r="M33" s="147">
        <f t="shared" si="13"/>
        <v>291840</v>
      </c>
      <c r="N33" s="147">
        <f t="shared" si="13"/>
        <v>291840</v>
      </c>
      <c r="O33" s="147">
        <f t="shared" si="13"/>
        <v>437760</v>
      </c>
      <c r="P33" s="147">
        <f t="shared" si="13"/>
        <v>291840</v>
      </c>
      <c r="Q33" s="147">
        <f t="shared" si="13"/>
        <v>272384</v>
      </c>
      <c r="R33" s="147">
        <f t="shared" si="13"/>
        <v>437760</v>
      </c>
      <c r="S33" s="147">
        <f t="shared" si="13"/>
        <v>291840</v>
      </c>
      <c r="T33" s="147">
        <f t="shared" si="13"/>
        <v>291840</v>
      </c>
      <c r="U33" s="147">
        <f t="shared" si="13"/>
        <v>291840</v>
      </c>
      <c r="V33" s="147">
        <f t="shared" si="13"/>
        <v>291840</v>
      </c>
      <c r="W33" s="147">
        <f t="shared" si="13"/>
        <v>291840</v>
      </c>
      <c r="X33" s="147">
        <f t="shared" si="13"/>
        <v>291840</v>
      </c>
      <c r="Y33" s="147">
        <f t="shared" si="13"/>
        <v>291840</v>
      </c>
      <c r="Z33" s="147">
        <f t="shared" si="13"/>
        <v>291840</v>
      </c>
      <c r="AA33" s="147">
        <f t="shared" si="13"/>
        <v>437760</v>
      </c>
      <c r="AB33" s="282"/>
      <c r="AC33" s="331"/>
    </row>
    <row r="34" spans="1:29" s="77" customFormat="1" ht="20.149999999999999" customHeight="1" x14ac:dyDescent="0.3">
      <c r="A34" s="331"/>
      <c r="B34" s="272"/>
      <c r="C34" s="373" t="s">
        <v>164</v>
      </c>
      <c r="D34" s="374">
        <f>ROUND($E$9*D23*D24,0)</f>
        <v>1</v>
      </c>
      <c r="E34" s="374">
        <f t="shared" ref="E34:AA34" si="14">ROUND($E$9*E23*E24,0)</f>
        <v>1</v>
      </c>
      <c r="F34" s="374">
        <f t="shared" si="14"/>
        <v>1</v>
      </c>
      <c r="G34" s="374">
        <f t="shared" si="14"/>
        <v>1</v>
      </c>
      <c r="H34" s="374">
        <f t="shared" si="14"/>
        <v>1</v>
      </c>
      <c r="I34" s="374">
        <f t="shared" si="14"/>
        <v>1</v>
      </c>
      <c r="J34" s="374">
        <f t="shared" si="14"/>
        <v>2</v>
      </c>
      <c r="K34" s="374">
        <f t="shared" si="14"/>
        <v>2</v>
      </c>
      <c r="L34" s="374">
        <f t="shared" si="14"/>
        <v>2</v>
      </c>
      <c r="M34" s="374">
        <f t="shared" si="14"/>
        <v>2</v>
      </c>
      <c r="N34" s="374">
        <f t="shared" si="14"/>
        <v>2</v>
      </c>
      <c r="O34" s="374">
        <f t="shared" si="14"/>
        <v>3</v>
      </c>
      <c r="P34" s="374">
        <f t="shared" si="14"/>
        <v>2</v>
      </c>
      <c r="Q34" s="374">
        <f t="shared" si="14"/>
        <v>2</v>
      </c>
      <c r="R34" s="374">
        <f t="shared" si="14"/>
        <v>3</v>
      </c>
      <c r="S34" s="374">
        <f t="shared" si="14"/>
        <v>2</v>
      </c>
      <c r="T34" s="374">
        <f t="shared" si="14"/>
        <v>2</v>
      </c>
      <c r="U34" s="374">
        <f t="shared" si="14"/>
        <v>2</v>
      </c>
      <c r="V34" s="374">
        <f t="shared" si="14"/>
        <v>2</v>
      </c>
      <c r="W34" s="374">
        <f t="shared" si="14"/>
        <v>2</v>
      </c>
      <c r="X34" s="374">
        <f t="shared" si="14"/>
        <v>2</v>
      </c>
      <c r="Y34" s="374">
        <f t="shared" si="14"/>
        <v>2</v>
      </c>
      <c r="Z34" s="374">
        <f t="shared" si="14"/>
        <v>2</v>
      </c>
      <c r="AA34" s="374">
        <f t="shared" si="14"/>
        <v>3</v>
      </c>
      <c r="AB34" s="282"/>
      <c r="AC34" s="331"/>
    </row>
    <row r="35" spans="1:29" s="77" customFormat="1" ht="20.149999999999999" customHeight="1" x14ac:dyDescent="0.3">
      <c r="A35" s="331"/>
      <c r="B35" s="272"/>
      <c r="C35" s="373" t="s">
        <v>134</v>
      </c>
      <c r="D35" s="374">
        <f>D34*IF(Титул!$E$14=Сезон!$H$7,D22,D21)</f>
        <v>15</v>
      </c>
      <c r="E35" s="374">
        <f>E34*IF(Титул!$E$14=Сезон!$H$7,E22,E21)</f>
        <v>14</v>
      </c>
      <c r="F35" s="374">
        <f>F34*IF(Титул!$E$14=Сезон!$H$7,F22,F21)</f>
        <v>15</v>
      </c>
      <c r="G35" s="374">
        <f>G34*IF(Титул!$E$14=Сезон!$H$7,G22,G21)</f>
        <v>15</v>
      </c>
      <c r="H35" s="374">
        <f>H34*IF(Титул!$E$14=Сезон!$H$7,H22,H21)</f>
        <v>15</v>
      </c>
      <c r="I35" s="374">
        <f>I34*IF(Титул!$E$14=Сезон!$H$7,I22,I21)</f>
        <v>15</v>
      </c>
      <c r="J35" s="374">
        <f>J34*IF(Титул!$E$14=Сезон!$H$7,J22,J21)</f>
        <v>30</v>
      </c>
      <c r="K35" s="374">
        <f>K34*IF(Титул!$E$14=Сезон!$H$7,K22,K21)</f>
        <v>30</v>
      </c>
      <c r="L35" s="374">
        <f>L34*IF(Титул!$E$14=Сезон!$H$7,L22,L21)</f>
        <v>30</v>
      </c>
      <c r="M35" s="374">
        <f>M34*IF(Титул!$E$14=Сезон!$H$7,M22,M21)</f>
        <v>30</v>
      </c>
      <c r="N35" s="374">
        <f>N34*IF(Титул!$E$14=Сезон!$H$7,N22,N21)</f>
        <v>30</v>
      </c>
      <c r="O35" s="374">
        <f>O34*IF(Титул!$E$14=Сезон!$H$7,O22,O21)</f>
        <v>45</v>
      </c>
      <c r="P35" s="374">
        <f>P34*IF(Титул!$E$14=Сезон!$H$7,P22,P21)</f>
        <v>30</v>
      </c>
      <c r="Q35" s="374">
        <f>Q34*IF(Титул!$E$14=Сезон!$H$7,Q22,Q21)</f>
        <v>28</v>
      </c>
      <c r="R35" s="374">
        <f>R34*IF(Титул!$E$14=Сезон!$H$7,R22,R21)</f>
        <v>45</v>
      </c>
      <c r="S35" s="374">
        <f>S34*IF(Титул!$E$14=Сезон!$H$7,S22,S21)</f>
        <v>30</v>
      </c>
      <c r="T35" s="374">
        <f>T34*IF(Титул!$E$14=Сезон!$H$7,T22,T21)</f>
        <v>30</v>
      </c>
      <c r="U35" s="374">
        <f>U34*IF(Титул!$E$14=Сезон!$H$7,U22,U21)</f>
        <v>30</v>
      </c>
      <c r="V35" s="374">
        <f>V34*IF(Титул!$E$14=Сезон!$H$7,V22,V21)</f>
        <v>30</v>
      </c>
      <c r="W35" s="374">
        <f>W34*IF(Титул!$E$14=Сезон!$H$7,W22,W21)</f>
        <v>30</v>
      </c>
      <c r="X35" s="374">
        <f>X34*IF(Титул!$E$14=Сезон!$H$7,X22,X21)</f>
        <v>30</v>
      </c>
      <c r="Y35" s="374">
        <f>Y34*IF(Титул!$E$14=Сезон!$H$7,Y22,Y21)</f>
        <v>30</v>
      </c>
      <c r="Z35" s="374">
        <f>Z34*IF(Титул!$E$14=Сезон!$H$7,Z22,Z21)</f>
        <v>30</v>
      </c>
      <c r="AA35" s="374">
        <f>AA34*IF(Титул!$E$14=Сезон!$H$7,AA22,AA21)</f>
        <v>45</v>
      </c>
      <c r="AB35" s="282"/>
      <c r="AC35" s="331"/>
    </row>
    <row r="36" spans="1:29" s="77" customFormat="1" ht="20.149999999999999" customHeight="1" x14ac:dyDescent="0.3">
      <c r="A36" s="331"/>
      <c r="B36" s="272"/>
      <c r="C36" s="327" t="str">
        <f>C10</f>
        <v>Спортивное белье</v>
      </c>
      <c r="D36" s="147">
        <f>D38*$D$10</f>
        <v>127875</v>
      </c>
      <c r="E36" s="147">
        <f t="shared" ref="E36:AA36" si="15">E38*$D$10</f>
        <v>119350</v>
      </c>
      <c r="F36" s="147">
        <f t="shared" si="15"/>
        <v>255750</v>
      </c>
      <c r="G36" s="147">
        <f t="shared" si="15"/>
        <v>255750</v>
      </c>
      <c r="H36" s="147">
        <f t="shared" si="15"/>
        <v>255750</v>
      </c>
      <c r="I36" s="147">
        <f t="shared" si="15"/>
        <v>255750</v>
      </c>
      <c r="J36" s="147">
        <f t="shared" si="15"/>
        <v>255750</v>
      </c>
      <c r="K36" s="147">
        <f t="shared" si="15"/>
        <v>255750</v>
      </c>
      <c r="L36" s="147">
        <f t="shared" si="15"/>
        <v>255750</v>
      </c>
      <c r="M36" s="147">
        <f t="shared" si="15"/>
        <v>383625</v>
      </c>
      <c r="N36" s="147">
        <f t="shared" si="15"/>
        <v>383625</v>
      </c>
      <c r="O36" s="147">
        <f t="shared" si="15"/>
        <v>511500</v>
      </c>
      <c r="P36" s="147">
        <f t="shared" si="15"/>
        <v>511500</v>
      </c>
      <c r="Q36" s="147">
        <f t="shared" si="15"/>
        <v>238700</v>
      </c>
      <c r="R36" s="147">
        <f t="shared" si="15"/>
        <v>511500</v>
      </c>
      <c r="S36" s="147">
        <f t="shared" si="15"/>
        <v>383625</v>
      </c>
      <c r="T36" s="147">
        <f t="shared" si="15"/>
        <v>383625</v>
      </c>
      <c r="U36" s="147">
        <f t="shared" si="15"/>
        <v>383625</v>
      </c>
      <c r="V36" s="147">
        <f t="shared" si="15"/>
        <v>383625</v>
      </c>
      <c r="W36" s="147">
        <f t="shared" si="15"/>
        <v>383625</v>
      </c>
      <c r="X36" s="147">
        <f t="shared" si="15"/>
        <v>255750</v>
      </c>
      <c r="Y36" s="147">
        <f t="shared" si="15"/>
        <v>383625</v>
      </c>
      <c r="Z36" s="147">
        <f t="shared" si="15"/>
        <v>383625</v>
      </c>
      <c r="AA36" s="147">
        <f t="shared" si="15"/>
        <v>511500</v>
      </c>
      <c r="AB36" s="282"/>
      <c r="AC36" s="331"/>
    </row>
    <row r="37" spans="1:29" s="77" customFormat="1" ht="20.149999999999999" customHeight="1" x14ac:dyDescent="0.3">
      <c r="A37" s="331"/>
      <c r="B37" s="272"/>
      <c r="C37" s="373" t="s">
        <v>164</v>
      </c>
      <c r="D37" s="374">
        <f>ROUND($E$10*D23*D24,0)</f>
        <v>1</v>
      </c>
      <c r="E37" s="374">
        <f t="shared" ref="E37:AA37" si="16">ROUND($E$10*E23*E24,0)</f>
        <v>1</v>
      </c>
      <c r="F37" s="374">
        <f t="shared" si="16"/>
        <v>2</v>
      </c>
      <c r="G37" s="374">
        <f t="shared" si="16"/>
        <v>2</v>
      </c>
      <c r="H37" s="374">
        <f t="shared" si="16"/>
        <v>2</v>
      </c>
      <c r="I37" s="374">
        <f t="shared" si="16"/>
        <v>2</v>
      </c>
      <c r="J37" s="374">
        <f t="shared" si="16"/>
        <v>2</v>
      </c>
      <c r="K37" s="374">
        <f t="shared" si="16"/>
        <v>2</v>
      </c>
      <c r="L37" s="374">
        <f t="shared" si="16"/>
        <v>2</v>
      </c>
      <c r="M37" s="374">
        <f t="shared" si="16"/>
        <v>3</v>
      </c>
      <c r="N37" s="374">
        <f t="shared" si="16"/>
        <v>3</v>
      </c>
      <c r="O37" s="374">
        <f t="shared" si="16"/>
        <v>4</v>
      </c>
      <c r="P37" s="374">
        <f t="shared" si="16"/>
        <v>4</v>
      </c>
      <c r="Q37" s="374">
        <f t="shared" si="16"/>
        <v>2</v>
      </c>
      <c r="R37" s="374">
        <f t="shared" si="16"/>
        <v>4</v>
      </c>
      <c r="S37" s="374">
        <f t="shared" si="16"/>
        <v>3</v>
      </c>
      <c r="T37" s="374">
        <f t="shared" si="16"/>
        <v>3</v>
      </c>
      <c r="U37" s="374">
        <f t="shared" si="16"/>
        <v>3</v>
      </c>
      <c r="V37" s="374">
        <f t="shared" si="16"/>
        <v>3</v>
      </c>
      <c r="W37" s="374">
        <f t="shared" si="16"/>
        <v>3</v>
      </c>
      <c r="X37" s="374">
        <f t="shared" si="16"/>
        <v>2</v>
      </c>
      <c r="Y37" s="374">
        <f t="shared" si="16"/>
        <v>3</v>
      </c>
      <c r="Z37" s="374">
        <f t="shared" si="16"/>
        <v>3</v>
      </c>
      <c r="AA37" s="374">
        <f t="shared" si="16"/>
        <v>4</v>
      </c>
      <c r="AB37" s="282"/>
      <c r="AC37" s="331"/>
    </row>
    <row r="38" spans="1:29" s="77" customFormat="1" ht="20.149999999999999" customHeight="1" x14ac:dyDescent="0.3">
      <c r="A38" s="331"/>
      <c r="B38" s="272"/>
      <c r="C38" s="373" t="s">
        <v>134</v>
      </c>
      <c r="D38" s="374">
        <f>D37*IF(Титул!$E$14=Сезон!$H$7,D22,D21)</f>
        <v>15</v>
      </c>
      <c r="E38" s="374">
        <f>E37*IF(Титул!$E$14=Сезон!$H$7,E22,E21)</f>
        <v>14</v>
      </c>
      <c r="F38" s="374">
        <f>F37*IF(Титул!$E$14=Сезон!$H$7,F22,F21)</f>
        <v>30</v>
      </c>
      <c r="G38" s="374">
        <f>G37*IF(Титул!$E$14=Сезон!$H$7,G22,G21)</f>
        <v>30</v>
      </c>
      <c r="H38" s="374">
        <f>H37*IF(Титул!$E$14=Сезон!$H$7,H22,H21)</f>
        <v>30</v>
      </c>
      <c r="I38" s="374">
        <f>I37*IF(Титул!$E$14=Сезон!$H$7,I22,I21)</f>
        <v>30</v>
      </c>
      <c r="J38" s="374">
        <f>J37*IF(Титул!$E$14=Сезон!$H$7,J22,J21)</f>
        <v>30</v>
      </c>
      <c r="K38" s="374">
        <f>K37*IF(Титул!$E$14=Сезон!$H$7,K22,K21)</f>
        <v>30</v>
      </c>
      <c r="L38" s="374">
        <f>L37*IF(Титул!$E$14=Сезон!$H$7,L22,L21)</f>
        <v>30</v>
      </c>
      <c r="M38" s="374">
        <f>M37*IF(Титул!$E$14=Сезон!$H$7,M22,M21)</f>
        <v>45</v>
      </c>
      <c r="N38" s="374">
        <f>N37*IF(Титул!$E$14=Сезон!$H$7,N22,N21)</f>
        <v>45</v>
      </c>
      <c r="O38" s="374">
        <f>O37*IF(Титул!$E$14=Сезон!$H$7,O22,O21)</f>
        <v>60</v>
      </c>
      <c r="P38" s="374">
        <f>P37*IF(Титул!$E$14=Сезон!$H$7,P22,P21)</f>
        <v>60</v>
      </c>
      <c r="Q38" s="374">
        <f>Q37*IF(Титул!$E$14=Сезон!$H$7,Q22,Q21)</f>
        <v>28</v>
      </c>
      <c r="R38" s="374">
        <f>R37*IF(Титул!$E$14=Сезон!$H$7,R22,R21)</f>
        <v>60</v>
      </c>
      <c r="S38" s="374">
        <f>S37*IF(Титул!$E$14=Сезон!$H$7,S22,S21)</f>
        <v>45</v>
      </c>
      <c r="T38" s="374">
        <f>T37*IF(Титул!$E$14=Сезон!$H$7,T22,T21)</f>
        <v>45</v>
      </c>
      <c r="U38" s="374">
        <f>U37*IF(Титул!$E$14=Сезон!$H$7,U22,U21)</f>
        <v>45</v>
      </c>
      <c r="V38" s="374">
        <f>V37*IF(Титул!$E$14=Сезон!$H$7,V22,V21)</f>
        <v>45</v>
      </c>
      <c r="W38" s="374">
        <f>W37*IF(Титул!$E$14=Сезон!$H$7,W22,W21)</f>
        <v>45</v>
      </c>
      <c r="X38" s="374">
        <f>X37*IF(Титул!$E$14=Сезон!$H$7,X22,X21)</f>
        <v>30</v>
      </c>
      <c r="Y38" s="374">
        <f>Y37*IF(Титул!$E$14=Сезон!$H$7,Y22,Y21)</f>
        <v>45</v>
      </c>
      <c r="Z38" s="374">
        <f>Z37*IF(Титул!$E$14=Сезон!$H$7,Z22,Z21)</f>
        <v>45</v>
      </c>
      <c r="AA38" s="374">
        <f>AA37*IF(Титул!$E$14=Сезон!$H$7,AA22,AA21)</f>
        <v>60</v>
      </c>
      <c r="AB38" s="282"/>
      <c r="AC38" s="331"/>
    </row>
    <row r="39" spans="1:29" s="77" customFormat="1" ht="20.149999999999999" customHeight="1" x14ac:dyDescent="0.3">
      <c r="A39" s="331"/>
      <c r="B39" s="272"/>
      <c r="C39" s="327" t="str">
        <f>C11</f>
        <v>Прочее</v>
      </c>
      <c r="D39" s="147">
        <f>D41*$D$11</f>
        <v>13875</v>
      </c>
      <c r="E39" s="147">
        <f t="shared" ref="E39:AA39" si="17">E41*$D$11</f>
        <v>12950</v>
      </c>
      <c r="F39" s="147">
        <f t="shared" si="17"/>
        <v>27750</v>
      </c>
      <c r="G39" s="147">
        <f t="shared" si="17"/>
        <v>27750</v>
      </c>
      <c r="H39" s="147">
        <f t="shared" si="17"/>
        <v>27750</v>
      </c>
      <c r="I39" s="147">
        <f t="shared" si="17"/>
        <v>27750</v>
      </c>
      <c r="J39" s="147">
        <f t="shared" si="17"/>
        <v>27750</v>
      </c>
      <c r="K39" s="147">
        <f t="shared" si="17"/>
        <v>27750</v>
      </c>
      <c r="L39" s="147">
        <f t="shared" si="17"/>
        <v>27750</v>
      </c>
      <c r="M39" s="147">
        <f t="shared" si="17"/>
        <v>41625</v>
      </c>
      <c r="N39" s="147">
        <f t="shared" si="17"/>
        <v>41625</v>
      </c>
      <c r="O39" s="147">
        <f t="shared" si="17"/>
        <v>55500</v>
      </c>
      <c r="P39" s="147">
        <f t="shared" si="17"/>
        <v>55500</v>
      </c>
      <c r="Q39" s="147">
        <f t="shared" si="17"/>
        <v>25900</v>
      </c>
      <c r="R39" s="147">
        <f t="shared" si="17"/>
        <v>55500</v>
      </c>
      <c r="S39" s="147">
        <f t="shared" si="17"/>
        <v>41625</v>
      </c>
      <c r="T39" s="147">
        <f t="shared" si="17"/>
        <v>41625</v>
      </c>
      <c r="U39" s="147">
        <f t="shared" si="17"/>
        <v>41625</v>
      </c>
      <c r="V39" s="147">
        <f t="shared" si="17"/>
        <v>41625</v>
      </c>
      <c r="W39" s="147">
        <f t="shared" si="17"/>
        <v>41625</v>
      </c>
      <c r="X39" s="147">
        <f t="shared" si="17"/>
        <v>27750</v>
      </c>
      <c r="Y39" s="147">
        <f t="shared" si="17"/>
        <v>41625</v>
      </c>
      <c r="Z39" s="147">
        <f t="shared" si="17"/>
        <v>41625</v>
      </c>
      <c r="AA39" s="147">
        <f t="shared" si="17"/>
        <v>55500</v>
      </c>
      <c r="AB39" s="282"/>
      <c r="AC39" s="331"/>
    </row>
    <row r="40" spans="1:29" s="77" customFormat="1" ht="20.149999999999999" customHeight="1" x14ac:dyDescent="0.3">
      <c r="A40" s="331"/>
      <c r="B40" s="272"/>
      <c r="C40" s="373" t="s">
        <v>164</v>
      </c>
      <c r="D40" s="374">
        <f>ROUND($E$11*D23*D24,0)</f>
        <v>1</v>
      </c>
      <c r="E40" s="374">
        <f t="shared" ref="E40:AA40" si="18">ROUND($E$11*E23*E24,0)</f>
        <v>1</v>
      </c>
      <c r="F40" s="374">
        <f t="shared" si="18"/>
        <v>2</v>
      </c>
      <c r="G40" s="374">
        <f t="shared" si="18"/>
        <v>2</v>
      </c>
      <c r="H40" s="374">
        <f t="shared" si="18"/>
        <v>2</v>
      </c>
      <c r="I40" s="374">
        <f t="shared" si="18"/>
        <v>2</v>
      </c>
      <c r="J40" s="374">
        <f t="shared" si="18"/>
        <v>2</v>
      </c>
      <c r="K40" s="374">
        <f t="shared" si="18"/>
        <v>2</v>
      </c>
      <c r="L40" s="374">
        <f t="shared" si="18"/>
        <v>2</v>
      </c>
      <c r="M40" s="374">
        <f t="shared" si="18"/>
        <v>3</v>
      </c>
      <c r="N40" s="374">
        <f t="shared" si="18"/>
        <v>3</v>
      </c>
      <c r="O40" s="374">
        <f t="shared" si="18"/>
        <v>4</v>
      </c>
      <c r="P40" s="374">
        <f t="shared" si="18"/>
        <v>4</v>
      </c>
      <c r="Q40" s="374">
        <f t="shared" si="18"/>
        <v>2</v>
      </c>
      <c r="R40" s="374">
        <f t="shared" si="18"/>
        <v>4</v>
      </c>
      <c r="S40" s="374">
        <f t="shared" si="18"/>
        <v>3</v>
      </c>
      <c r="T40" s="374">
        <f t="shared" si="18"/>
        <v>3</v>
      </c>
      <c r="U40" s="374">
        <f t="shared" si="18"/>
        <v>3</v>
      </c>
      <c r="V40" s="374">
        <f t="shared" si="18"/>
        <v>3</v>
      </c>
      <c r="W40" s="374">
        <f t="shared" si="18"/>
        <v>3</v>
      </c>
      <c r="X40" s="374">
        <f t="shared" si="18"/>
        <v>2</v>
      </c>
      <c r="Y40" s="374">
        <f t="shared" si="18"/>
        <v>3</v>
      </c>
      <c r="Z40" s="374">
        <f t="shared" si="18"/>
        <v>3</v>
      </c>
      <c r="AA40" s="374">
        <f t="shared" si="18"/>
        <v>4</v>
      </c>
      <c r="AB40" s="282"/>
      <c r="AC40" s="331"/>
    </row>
    <row r="41" spans="1:29" s="77" customFormat="1" ht="20.149999999999999" customHeight="1" x14ac:dyDescent="0.3">
      <c r="A41" s="331"/>
      <c r="B41" s="272"/>
      <c r="C41" s="373" t="s">
        <v>134</v>
      </c>
      <c r="D41" s="374">
        <f>D40*IF(Титул!$E$14=Сезон!$H$7,D22,D21)</f>
        <v>15</v>
      </c>
      <c r="E41" s="374">
        <f>E40*IF(Титул!$E$14=Сезон!$H$7,E22,E21)</f>
        <v>14</v>
      </c>
      <c r="F41" s="374">
        <f>F40*IF(Титул!$E$14=Сезон!$H$7,F22,F21)</f>
        <v>30</v>
      </c>
      <c r="G41" s="374">
        <f>G40*IF(Титул!$E$14=Сезон!$H$7,G22,G21)</f>
        <v>30</v>
      </c>
      <c r="H41" s="374">
        <f>H40*IF(Титул!$E$14=Сезон!$H$7,H22,H21)</f>
        <v>30</v>
      </c>
      <c r="I41" s="374">
        <f>I40*IF(Титул!$E$14=Сезон!$H$7,I22,I21)</f>
        <v>30</v>
      </c>
      <c r="J41" s="374">
        <f>J40*IF(Титул!$E$14=Сезон!$H$7,J22,J21)</f>
        <v>30</v>
      </c>
      <c r="K41" s="374">
        <f>K40*IF(Титул!$E$14=Сезон!$H$7,K22,K21)</f>
        <v>30</v>
      </c>
      <c r="L41" s="374">
        <f>L40*IF(Титул!$E$14=Сезон!$H$7,L22,L21)</f>
        <v>30</v>
      </c>
      <c r="M41" s="374">
        <f>M40*IF(Титул!$E$14=Сезон!$H$7,M22,M21)</f>
        <v>45</v>
      </c>
      <c r="N41" s="374">
        <f>N40*IF(Титул!$E$14=Сезон!$H$7,N22,N21)</f>
        <v>45</v>
      </c>
      <c r="O41" s="374">
        <f>O40*IF(Титул!$E$14=Сезон!$H$7,O22,O21)</f>
        <v>60</v>
      </c>
      <c r="P41" s="374">
        <f>P40*IF(Титул!$E$14=Сезон!$H$7,P22,P21)</f>
        <v>60</v>
      </c>
      <c r="Q41" s="374">
        <f>Q40*IF(Титул!$E$14=Сезон!$H$7,Q22,Q21)</f>
        <v>28</v>
      </c>
      <c r="R41" s="374">
        <f>R40*IF(Титул!$E$14=Сезон!$H$7,R22,R21)</f>
        <v>60</v>
      </c>
      <c r="S41" s="374">
        <f>S40*IF(Титул!$E$14=Сезон!$H$7,S22,S21)</f>
        <v>45</v>
      </c>
      <c r="T41" s="374">
        <f>T40*IF(Титул!$E$14=Сезон!$H$7,T22,T21)</f>
        <v>45</v>
      </c>
      <c r="U41" s="374">
        <f>U40*IF(Титул!$E$14=Сезон!$H$7,U22,U21)</f>
        <v>45</v>
      </c>
      <c r="V41" s="374">
        <f>V40*IF(Титул!$E$14=Сезон!$H$7,V22,V21)</f>
        <v>45</v>
      </c>
      <c r="W41" s="374">
        <f>W40*IF(Титул!$E$14=Сезон!$H$7,W22,W21)</f>
        <v>45</v>
      </c>
      <c r="X41" s="374">
        <f>X40*IF(Титул!$E$14=Сезон!$H$7,X22,X21)</f>
        <v>30</v>
      </c>
      <c r="Y41" s="374">
        <f>Y40*IF(Титул!$E$14=Сезон!$H$7,Y22,Y21)</f>
        <v>45</v>
      </c>
      <c r="Z41" s="374">
        <f>Z40*IF(Титул!$E$14=Сезон!$H$7,Z22,Z21)</f>
        <v>45</v>
      </c>
      <c r="AA41" s="374">
        <f>AA40*IF(Титул!$E$14=Сезон!$H$7,AA22,AA21)</f>
        <v>60</v>
      </c>
      <c r="AB41" s="282"/>
      <c r="AC41" s="331"/>
    </row>
    <row r="42" spans="1:29" s="77" customFormat="1" ht="18.5" thickBot="1" x14ac:dyDescent="0.45">
      <c r="A42" s="331"/>
      <c r="B42" s="274"/>
      <c r="C42" s="309"/>
      <c r="D42" s="310"/>
      <c r="E42" s="310"/>
      <c r="F42" s="310"/>
      <c r="G42" s="310"/>
      <c r="H42" s="310"/>
      <c r="I42" s="310"/>
      <c r="J42" s="310"/>
      <c r="K42" s="310"/>
      <c r="L42" s="310"/>
      <c r="M42" s="310"/>
      <c r="N42" s="310"/>
      <c r="O42" s="310"/>
      <c r="P42" s="310"/>
      <c r="Q42" s="310"/>
      <c r="R42" s="310"/>
      <c r="S42" s="310"/>
      <c r="T42" s="310"/>
      <c r="U42" s="310"/>
      <c r="V42" s="310"/>
      <c r="W42" s="310"/>
      <c r="X42" s="310"/>
      <c r="Y42" s="309"/>
      <c r="Z42" s="309"/>
      <c r="AA42" s="309"/>
      <c r="AB42" s="285"/>
      <c r="AC42" s="331"/>
    </row>
    <row r="43" spans="1:29" s="331" customFormat="1" ht="18" x14ac:dyDescent="0.4">
      <c r="C43" s="345"/>
      <c r="D43" s="345"/>
      <c r="E43" s="345"/>
      <c r="F43" s="345"/>
      <c r="G43" s="345"/>
      <c r="H43" s="345"/>
      <c r="I43" s="345"/>
      <c r="J43" s="345"/>
      <c r="K43" s="345"/>
      <c r="L43" s="345"/>
      <c r="M43" s="345"/>
      <c r="N43" s="345"/>
      <c r="O43" s="345"/>
      <c r="P43" s="345"/>
      <c r="Q43" s="345"/>
      <c r="R43" s="345"/>
      <c r="S43" s="345"/>
      <c r="T43" s="345"/>
      <c r="U43" s="345"/>
      <c r="V43" s="345"/>
      <c r="W43" s="345"/>
      <c r="X43" s="345"/>
      <c r="Y43" s="345"/>
      <c r="Z43" s="345"/>
      <c r="AA43" s="345"/>
    </row>
    <row r="44" spans="1:29" ht="15" hidden="1" customHeight="1" x14ac:dyDescent="0.4"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</row>
    <row r="45" spans="1:29" ht="15" hidden="1" customHeight="1" x14ac:dyDescent="0.4"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</row>
    <row r="46" spans="1:29" ht="15" hidden="1" customHeight="1" x14ac:dyDescent="0.4"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</row>
    <row r="47" spans="1:29" ht="15" hidden="1" customHeight="1" x14ac:dyDescent="0.3">
      <c r="G47" s="82"/>
    </row>
    <row r="48" spans="1:29" s="77" customFormat="1" ht="16.5" hidden="1" x14ac:dyDescent="0.3">
      <c r="A48" s="331"/>
      <c r="B48" s="72"/>
      <c r="C48" s="72"/>
      <c r="D48" s="72"/>
      <c r="E48" s="72"/>
      <c r="F48" s="72"/>
      <c r="G48" s="8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C48" s="331"/>
    </row>
    <row r="49" spans="7:28" ht="15" hidden="1" customHeight="1" x14ac:dyDescent="0.3">
      <c r="G49" s="82"/>
    </row>
    <row r="50" spans="7:28" ht="15" hidden="1" customHeight="1" x14ac:dyDescent="0.3">
      <c r="G50" s="82"/>
    </row>
    <row r="51" spans="7:28" ht="15" hidden="1" customHeight="1" x14ac:dyDescent="0.35">
      <c r="G51" s="83"/>
    </row>
    <row r="52" spans="7:28" ht="15" hidden="1" customHeight="1" x14ac:dyDescent="0.3"/>
    <row r="53" spans="7:28" ht="15" hidden="1" customHeight="1" x14ac:dyDescent="0.3"/>
    <row r="54" spans="7:28" ht="15" hidden="1" customHeight="1" x14ac:dyDescent="0.3"/>
    <row r="55" spans="7:28" ht="15" hidden="1" customHeight="1" x14ac:dyDescent="0.3"/>
    <row r="56" spans="7:28" ht="15" hidden="1" customHeight="1" x14ac:dyDescent="0.3"/>
    <row r="57" spans="7:28" ht="15" hidden="1" customHeight="1" x14ac:dyDescent="0.3"/>
    <row r="58" spans="7:28" ht="15" hidden="1" customHeight="1" x14ac:dyDescent="0.3">
      <c r="AB58" s="72"/>
    </row>
    <row r="59" spans="7:28" ht="15" hidden="1" customHeight="1" x14ac:dyDescent="0.3">
      <c r="AB59" s="72"/>
    </row>
    <row r="60" spans="7:28" ht="15" hidden="1" customHeight="1" x14ac:dyDescent="0.3">
      <c r="AB60" s="72"/>
    </row>
    <row r="61" spans="7:28" ht="15" hidden="1" customHeight="1" x14ac:dyDescent="0.3">
      <c r="AB61" s="72"/>
    </row>
    <row r="62" spans="7:28" ht="15" hidden="1" customHeight="1" x14ac:dyDescent="0.3">
      <c r="AB62" s="72"/>
    </row>
    <row r="63" spans="7:28" ht="15" hidden="1" customHeight="1" x14ac:dyDescent="0.3">
      <c r="AB63" s="72"/>
    </row>
    <row r="64" spans="7:28" ht="15" hidden="1" customHeight="1" x14ac:dyDescent="0.3">
      <c r="AB64" s="72"/>
    </row>
    <row r="65" spans="28:28" ht="15" hidden="1" customHeight="1" x14ac:dyDescent="0.3">
      <c r="AB65" s="72"/>
    </row>
    <row r="66" spans="28:28" ht="15" hidden="1" customHeight="1" x14ac:dyDescent="0.3">
      <c r="AB66" s="72"/>
    </row>
    <row r="67" spans="28:28" ht="15" hidden="1" customHeight="1" x14ac:dyDescent="0.3">
      <c r="AB67" s="72"/>
    </row>
    <row r="68" spans="28:28" ht="15" hidden="1" customHeight="1" x14ac:dyDescent="0.3">
      <c r="AB68" s="72"/>
    </row>
    <row r="69" spans="28:28" ht="15" hidden="1" customHeight="1" x14ac:dyDescent="0.3">
      <c r="AB69" s="72"/>
    </row>
    <row r="70" spans="28:28" ht="15" hidden="1" customHeight="1" x14ac:dyDescent="0.3">
      <c r="AB70" s="72"/>
    </row>
    <row r="71" spans="28:28" ht="15" hidden="1" customHeight="1" x14ac:dyDescent="0.3">
      <c r="AB71" s="72"/>
    </row>
    <row r="72" spans="28:28" ht="15" hidden="1" customHeight="1" x14ac:dyDescent="0.3">
      <c r="AB72" s="72"/>
    </row>
    <row r="73" spans="28:28" ht="15" hidden="1" customHeight="1" x14ac:dyDescent="0.3">
      <c r="AB73" s="72"/>
    </row>
    <row r="74" spans="28:28" ht="15" hidden="1" customHeight="1" x14ac:dyDescent="0.3">
      <c r="AB74" s="72"/>
    </row>
    <row r="75" spans="28:28" ht="15" hidden="1" customHeight="1" x14ac:dyDescent="0.3">
      <c r="AB75" s="72"/>
    </row>
    <row r="76" spans="28:28" ht="15" hidden="1" customHeight="1" x14ac:dyDescent="0.3">
      <c r="AB76" s="72"/>
    </row>
    <row r="77" spans="28:28" ht="15" hidden="1" customHeight="1" x14ac:dyDescent="0.3">
      <c r="AB77" s="72"/>
    </row>
    <row r="78" spans="28:28" ht="15" hidden="1" customHeight="1" x14ac:dyDescent="0.3">
      <c r="AB78" s="72"/>
    </row>
    <row r="79" spans="28:28" ht="15" hidden="1" customHeight="1" x14ac:dyDescent="0.3">
      <c r="AB79" s="72"/>
    </row>
    <row r="80" spans="28:28" ht="15" hidden="1" customHeight="1" x14ac:dyDescent="0.3">
      <c r="AB80" s="72"/>
    </row>
    <row r="81" spans="28:28" ht="15" hidden="1" customHeight="1" x14ac:dyDescent="0.3">
      <c r="AB81" s="72"/>
    </row>
    <row r="82" spans="28:28" ht="15" hidden="1" customHeight="1" x14ac:dyDescent="0.3">
      <c r="AB82" s="72"/>
    </row>
    <row r="83" spans="28:28" ht="15" hidden="1" customHeight="1" x14ac:dyDescent="0.3">
      <c r="AB83" s="72"/>
    </row>
    <row r="84" spans="28:28" ht="15" hidden="1" customHeight="1" x14ac:dyDescent="0.3">
      <c r="AB84" s="72"/>
    </row>
    <row r="85" spans="28:28" ht="15" hidden="1" customHeight="1" x14ac:dyDescent="0.3">
      <c r="AB85" s="72"/>
    </row>
    <row r="86" spans="28:28" ht="15" hidden="1" customHeight="1" x14ac:dyDescent="0.3">
      <c r="AB86" s="72"/>
    </row>
    <row r="87" spans="28:28" ht="15" hidden="1" customHeight="1" x14ac:dyDescent="0.3">
      <c r="AB87" s="72"/>
    </row>
    <row r="88" spans="28:28" ht="15" hidden="1" customHeight="1" x14ac:dyDescent="0.3">
      <c r="AB88" s="72"/>
    </row>
    <row r="89" spans="28:28" ht="15" hidden="1" customHeight="1" x14ac:dyDescent="0.3">
      <c r="AB89" s="72"/>
    </row>
    <row r="90" spans="28:28" ht="15" hidden="1" customHeight="1" x14ac:dyDescent="0.3">
      <c r="AB90" s="72"/>
    </row>
    <row r="91" spans="28:28" ht="15" hidden="1" customHeight="1" x14ac:dyDescent="0.3">
      <c r="AB91" s="72"/>
    </row>
    <row r="92" spans="28:28" ht="15" hidden="1" customHeight="1" x14ac:dyDescent="0.3">
      <c r="AB92" s="72"/>
    </row>
    <row r="93" spans="28:28" ht="15" hidden="1" customHeight="1" x14ac:dyDescent="0.3">
      <c r="AB93" s="72"/>
    </row>
    <row r="94" spans="28:28" ht="15" hidden="1" customHeight="1" x14ac:dyDescent="0.3">
      <c r="AB94" s="72"/>
    </row>
    <row r="95" spans="28:28" ht="15" hidden="1" customHeight="1" x14ac:dyDescent="0.3">
      <c r="AB95" s="72"/>
    </row>
    <row r="96" spans="28:28" ht="15" hidden="1" customHeight="1" x14ac:dyDescent="0.3">
      <c r="AB96" s="72"/>
    </row>
    <row r="97" spans="28:28" ht="15" hidden="1" customHeight="1" x14ac:dyDescent="0.3">
      <c r="AB97" s="72"/>
    </row>
    <row r="98" spans="28:28" ht="15" hidden="1" customHeight="1" x14ac:dyDescent="0.3">
      <c r="AB98" s="72"/>
    </row>
    <row r="99" spans="28:28" ht="15" hidden="1" customHeight="1" x14ac:dyDescent="0.3">
      <c r="AB99" s="72"/>
    </row>
    <row r="100" spans="28:28" ht="15" hidden="1" customHeight="1" x14ac:dyDescent="0.3">
      <c r="AB100" s="72"/>
    </row>
    <row r="101" spans="28:28" ht="15" hidden="1" customHeight="1" x14ac:dyDescent="0.3">
      <c r="AB101" s="72"/>
    </row>
    <row r="102" spans="28:28" ht="15" hidden="1" customHeight="1" x14ac:dyDescent="0.3">
      <c r="AB102" s="72"/>
    </row>
    <row r="103" spans="28:28" ht="15" hidden="1" customHeight="1" x14ac:dyDescent="0.3">
      <c r="AB103" s="72"/>
    </row>
    <row r="104" spans="28:28" ht="15" hidden="1" customHeight="1" x14ac:dyDescent="0.3">
      <c r="AB104" s="72"/>
    </row>
    <row r="105" spans="28:28" ht="15" hidden="1" customHeight="1" x14ac:dyDescent="0.3">
      <c r="AB105" s="72"/>
    </row>
    <row r="106" spans="28:28" ht="15" hidden="1" customHeight="1" x14ac:dyDescent="0.3">
      <c r="AB106" s="72"/>
    </row>
    <row r="107" spans="28:28" ht="15" hidden="1" customHeight="1" x14ac:dyDescent="0.3">
      <c r="AB107" s="72"/>
    </row>
    <row r="108" spans="28:28" ht="15" hidden="1" customHeight="1" x14ac:dyDescent="0.3">
      <c r="AB108" s="72"/>
    </row>
    <row r="109" spans="28:28" ht="15" hidden="1" customHeight="1" x14ac:dyDescent="0.3">
      <c r="AB109" s="72"/>
    </row>
  </sheetData>
  <dataConsolidate/>
  <mergeCells count="9">
    <mergeCell ref="H3:H4"/>
    <mergeCell ref="C16:D16"/>
    <mergeCell ref="C13:F13"/>
    <mergeCell ref="C14:D14"/>
    <mergeCell ref="C15:D15"/>
    <mergeCell ref="E3:E4"/>
    <mergeCell ref="F3:F4"/>
    <mergeCell ref="G3:G4"/>
    <mergeCell ref="B3:C4"/>
  </mergeCells>
  <conditionalFormatting sqref="D26:AA26">
    <cfRule type="colorScale" priority="698">
      <colorScale>
        <cfvo type="min"/>
        <cfvo type="max"/>
        <color rgb="FFF3FCEA"/>
        <color rgb="FF9FE856"/>
      </colorScale>
    </cfRule>
  </conditionalFormatting>
  <dataValidations count="1">
    <dataValidation allowBlank="1" showErrorMessage="1" sqref="D24:AA25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34" orientation="landscape" r:id="rId1"/>
  <ignoredErrors>
    <ignoredError sqref="F7:F11 D7:D11 E7 E8:E11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>
    <tabColor rgb="FF9D4555"/>
    <pageSetUpPr fitToPage="1"/>
  </sheetPr>
  <dimension ref="A1:BJ171"/>
  <sheetViews>
    <sheetView showGridLines="0" tabSelected="1" topLeftCell="A39" zoomScale="70" zoomScaleNormal="70" workbookViewId="0">
      <selection activeCell="E15" sqref="E15"/>
    </sheetView>
  </sheetViews>
  <sheetFormatPr defaultColWidth="0" defaultRowHeight="14" zeroHeight="1" outlineLevelRow="1" x14ac:dyDescent="0.3"/>
  <cols>
    <col min="1" max="1" width="4.7265625" style="331" customWidth="1"/>
    <col min="2" max="2" width="10.7265625" style="77" customWidth="1"/>
    <col min="3" max="3" width="54.453125" style="77" customWidth="1"/>
    <col min="4" max="4" width="15.7265625" style="136" customWidth="1"/>
    <col min="5" max="27" width="15.7265625" style="77" customWidth="1"/>
    <col min="28" max="28" width="17.26953125" style="77" customWidth="1"/>
    <col min="29" max="29" width="15.26953125" style="77" customWidth="1"/>
    <col min="30" max="30" width="4.7265625" style="331" customWidth="1"/>
    <col min="31" max="31" width="4.7265625" style="77" hidden="1" customWidth="1"/>
    <col min="32" max="38" width="2.26953125" style="77" hidden="1" customWidth="1"/>
    <col min="39" max="43" width="0" style="77" hidden="1" customWidth="1"/>
    <col min="44" max="50" width="2.26953125" style="77" hidden="1" customWidth="1"/>
    <col min="51" max="55" width="0" style="77" hidden="1" customWidth="1"/>
    <col min="56" max="62" width="2.26953125" style="77" hidden="1" customWidth="1"/>
    <col min="63" max="16384" width="15.1796875" style="77" hidden="1"/>
  </cols>
  <sheetData>
    <row r="1" spans="1:30" s="331" customFormat="1" ht="21.75" customHeight="1" thickBot="1" x14ac:dyDescent="0.35">
      <c r="D1" s="347"/>
    </row>
    <row r="2" spans="1:30" ht="35.15" customHeight="1" thickBot="1" x14ac:dyDescent="0.35">
      <c r="B2" s="268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70"/>
    </row>
    <row r="3" spans="1:30" ht="45" customHeight="1" x14ac:dyDescent="0.45">
      <c r="B3" s="401" t="s">
        <v>128</v>
      </c>
      <c r="C3" s="402"/>
      <c r="D3" s="260"/>
      <c r="E3" s="257"/>
      <c r="F3" s="257"/>
      <c r="G3" s="72"/>
      <c r="H3" s="72"/>
      <c r="I3" s="241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311"/>
    </row>
    <row r="4" spans="1:30" ht="45" customHeight="1" thickBot="1" x14ac:dyDescent="0.5">
      <c r="B4" s="403"/>
      <c r="C4" s="404"/>
      <c r="D4" s="260"/>
      <c r="E4" s="257"/>
      <c r="F4" s="257"/>
      <c r="G4" s="72"/>
      <c r="H4" s="72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312"/>
    </row>
    <row r="5" spans="1:30" ht="35.15" customHeight="1" x14ac:dyDescent="0.3">
      <c r="B5" s="272"/>
      <c r="C5" s="243"/>
      <c r="D5" s="328"/>
      <c r="E5" s="328"/>
      <c r="F5" s="328"/>
      <c r="G5" s="328"/>
      <c r="H5" s="328"/>
      <c r="I5" s="328"/>
      <c r="J5" s="328"/>
      <c r="K5" s="328"/>
      <c r="L5" s="328"/>
      <c r="M5" s="328"/>
      <c r="N5" s="328"/>
      <c r="O5" s="328"/>
      <c r="P5" s="328"/>
      <c r="Q5" s="328"/>
      <c r="R5" s="328"/>
      <c r="S5" s="328"/>
      <c r="T5" s="328"/>
      <c r="U5" s="328"/>
      <c r="V5" s="328"/>
      <c r="W5" s="328"/>
      <c r="X5" s="328"/>
      <c r="Y5" s="328"/>
      <c r="Z5" s="328"/>
      <c r="AA5" s="328"/>
      <c r="AB5" s="72"/>
      <c r="AC5" s="282"/>
    </row>
    <row r="6" spans="1:30" s="73" customFormat="1" ht="22" customHeight="1" x14ac:dyDescent="0.35">
      <c r="A6" s="339"/>
      <c r="B6" s="313"/>
      <c r="C6" s="350" t="s">
        <v>97</v>
      </c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  <c r="O6" s="351"/>
      <c r="P6" s="351"/>
      <c r="Q6" s="351"/>
      <c r="R6" s="351"/>
      <c r="S6" s="351"/>
      <c r="T6" s="351"/>
      <c r="U6" s="351"/>
      <c r="V6" s="351"/>
      <c r="W6" s="351"/>
      <c r="X6" s="351"/>
      <c r="Y6" s="351"/>
      <c r="Z6" s="351"/>
      <c r="AA6" s="351"/>
      <c r="AB6" s="432" t="s">
        <v>29</v>
      </c>
      <c r="AC6" s="314"/>
      <c r="AD6" s="339"/>
    </row>
    <row r="7" spans="1:30" s="73" customFormat="1" ht="19" customHeight="1" x14ac:dyDescent="0.35">
      <c r="A7" s="339"/>
      <c r="B7" s="313"/>
      <c r="C7" s="99" t="s">
        <v>94</v>
      </c>
      <c r="D7" s="100">
        <v>1</v>
      </c>
      <c r="E7" s="212">
        <v>2</v>
      </c>
      <c r="F7" s="212">
        <v>3</v>
      </c>
      <c r="G7" s="212">
        <v>4</v>
      </c>
      <c r="H7" s="212">
        <v>5</v>
      </c>
      <c r="I7" s="212">
        <v>6</v>
      </c>
      <c r="J7" s="212">
        <v>7</v>
      </c>
      <c r="K7" s="212">
        <v>8</v>
      </c>
      <c r="L7" s="212">
        <v>9</v>
      </c>
      <c r="M7" s="212">
        <v>10</v>
      </c>
      <c r="N7" s="212">
        <v>11</v>
      </c>
      <c r="O7" s="212">
        <v>12</v>
      </c>
      <c r="P7" s="212">
        <v>13</v>
      </c>
      <c r="Q7" s="212">
        <v>14</v>
      </c>
      <c r="R7" s="212">
        <v>15</v>
      </c>
      <c r="S7" s="212">
        <v>16</v>
      </c>
      <c r="T7" s="212">
        <v>17</v>
      </c>
      <c r="U7" s="212">
        <v>18</v>
      </c>
      <c r="V7" s="212">
        <v>19</v>
      </c>
      <c r="W7" s="212">
        <v>20</v>
      </c>
      <c r="X7" s="212">
        <v>21</v>
      </c>
      <c r="Y7" s="212">
        <v>22</v>
      </c>
      <c r="Z7" s="212">
        <v>23</v>
      </c>
      <c r="AA7" s="212">
        <v>24</v>
      </c>
      <c r="AB7" s="432"/>
      <c r="AC7" s="314"/>
      <c r="AD7" s="339"/>
    </row>
    <row r="8" spans="1:30" s="135" customFormat="1" ht="19" customHeight="1" x14ac:dyDescent="0.4">
      <c r="A8" s="345"/>
      <c r="B8" s="315"/>
      <c r="C8" s="99" t="s">
        <v>32</v>
      </c>
      <c r="D8" s="213">
        <f>Продажи!D20</f>
        <v>44562</v>
      </c>
      <c r="E8" s="213">
        <f>Продажи!E20</f>
        <v>44593</v>
      </c>
      <c r="F8" s="213">
        <f>Продажи!F20</f>
        <v>44624</v>
      </c>
      <c r="G8" s="213">
        <f>Продажи!G20</f>
        <v>44655</v>
      </c>
      <c r="H8" s="213">
        <f>Продажи!H20</f>
        <v>44686</v>
      </c>
      <c r="I8" s="213">
        <f>Продажи!I20</f>
        <v>44717</v>
      </c>
      <c r="J8" s="213">
        <f>Продажи!J20</f>
        <v>44748</v>
      </c>
      <c r="K8" s="213">
        <f>Продажи!K20</f>
        <v>44779</v>
      </c>
      <c r="L8" s="213">
        <f>Продажи!L20</f>
        <v>44810</v>
      </c>
      <c r="M8" s="213">
        <f>Продажи!M20</f>
        <v>44841</v>
      </c>
      <c r="N8" s="213">
        <f>Продажи!N20</f>
        <v>44872</v>
      </c>
      <c r="O8" s="213">
        <f>Продажи!O20</f>
        <v>44903</v>
      </c>
      <c r="P8" s="213">
        <f>Продажи!P20</f>
        <v>44934</v>
      </c>
      <c r="Q8" s="213">
        <f>Продажи!Q20</f>
        <v>44965</v>
      </c>
      <c r="R8" s="213">
        <f>Продажи!R20</f>
        <v>44996</v>
      </c>
      <c r="S8" s="213">
        <f>Продажи!S20</f>
        <v>45027</v>
      </c>
      <c r="T8" s="213">
        <f>Продажи!T20</f>
        <v>45058</v>
      </c>
      <c r="U8" s="213">
        <f>Продажи!U20</f>
        <v>45089</v>
      </c>
      <c r="V8" s="213">
        <f>Продажи!V20</f>
        <v>45120</v>
      </c>
      <c r="W8" s="213">
        <f>Продажи!W20</f>
        <v>45151</v>
      </c>
      <c r="X8" s="213">
        <f>Продажи!X20</f>
        <v>45182</v>
      </c>
      <c r="Y8" s="213">
        <f>Продажи!Y20</f>
        <v>45213</v>
      </c>
      <c r="Z8" s="213">
        <f>Продажи!Z20</f>
        <v>45244</v>
      </c>
      <c r="AA8" s="213">
        <f>Продажи!AA20</f>
        <v>45275</v>
      </c>
      <c r="AB8" s="432"/>
      <c r="AC8" s="316"/>
      <c r="AD8" s="345"/>
    </row>
    <row r="9" spans="1:30" s="135" customFormat="1" ht="19" customHeight="1" x14ac:dyDescent="0.4">
      <c r="A9" s="345"/>
      <c r="B9" s="315"/>
      <c r="C9" s="197" t="s">
        <v>9</v>
      </c>
      <c r="D9" s="161">
        <f>Продажи!D26</f>
        <v>534870</v>
      </c>
      <c r="E9" s="161">
        <f>Продажи!E26</f>
        <v>499212</v>
      </c>
      <c r="F9" s="161">
        <f>Продажи!F26</f>
        <v>1070175</v>
      </c>
      <c r="G9" s="161">
        <f>Продажи!G26</f>
        <v>1070175</v>
      </c>
      <c r="H9" s="161">
        <f>Продажи!H26</f>
        <v>1070175</v>
      </c>
      <c r="I9" s="161">
        <f>Продажи!I26</f>
        <v>1070175</v>
      </c>
      <c r="J9" s="161">
        <f>Продажи!J26</f>
        <v>1362450</v>
      </c>
      <c r="K9" s="161">
        <f>Продажи!K26</f>
        <v>1362450</v>
      </c>
      <c r="L9" s="161">
        <f>Продажи!L26</f>
        <v>1362450</v>
      </c>
      <c r="M9" s="161">
        <f>Продажи!M26</f>
        <v>1605045</v>
      </c>
      <c r="N9" s="161">
        <f>Продажи!N26</f>
        <v>1751400</v>
      </c>
      <c r="O9" s="161">
        <f>Продажи!O26</f>
        <v>2432625</v>
      </c>
      <c r="P9" s="161">
        <f>Продажи!P26</f>
        <v>2140350</v>
      </c>
      <c r="Q9" s="161">
        <f>Продажи!Q26</f>
        <v>1271620</v>
      </c>
      <c r="R9" s="161">
        <f>Продажи!R26</f>
        <v>2286270</v>
      </c>
      <c r="S9" s="161">
        <f>Продажи!S26</f>
        <v>1751400</v>
      </c>
      <c r="T9" s="161">
        <f>Продажи!T26</f>
        <v>1751400</v>
      </c>
      <c r="U9" s="161">
        <f>Продажи!U26</f>
        <v>1751400</v>
      </c>
      <c r="V9" s="161">
        <f>Продажи!V26</f>
        <v>1751400</v>
      </c>
      <c r="W9" s="161">
        <f>Продажи!W26</f>
        <v>1605045</v>
      </c>
      <c r="X9" s="161">
        <f>Продажи!X26</f>
        <v>1362450</v>
      </c>
      <c r="Y9" s="161">
        <f>Продажи!Y26</f>
        <v>1751400</v>
      </c>
      <c r="Z9" s="161">
        <f>Продажи!Z26</f>
        <v>1897755</v>
      </c>
      <c r="AA9" s="161">
        <f>Продажи!AA26</f>
        <v>2432625</v>
      </c>
      <c r="AB9" s="215">
        <f t="shared" ref="AB9:AB37" si="0">SUM(D9:AA9)</f>
        <v>36944317</v>
      </c>
      <c r="AC9" s="317"/>
      <c r="AD9" s="345"/>
    </row>
    <row r="10" spans="1:30" s="135" customFormat="1" ht="19" customHeight="1" x14ac:dyDescent="0.4">
      <c r="A10" s="345"/>
      <c r="B10" s="315"/>
      <c r="C10" s="197" t="s">
        <v>52</v>
      </c>
      <c r="D10" s="161">
        <f>SUM(D11:D15,D19,D23:D26)</f>
        <v>451150.53277777781</v>
      </c>
      <c r="E10" s="161">
        <f t="shared" ref="E10:AA10" si="1">SUM(E11:E15,E19,E23:E26)</f>
        <v>510237.11577777786</v>
      </c>
      <c r="F10" s="161">
        <f t="shared" si="1"/>
        <v>845106.91527777771</v>
      </c>
      <c r="G10" s="161">
        <f t="shared" si="1"/>
        <v>845106.91527777771</v>
      </c>
      <c r="H10" s="161">
        <f t="shared" si="1"/>
        <v>845106.91527777771</v>
      </c>
      <c r="I10" s="161">
        <f t="shared" si="1"/>
        <v>845106.91527777771</v>
      </c>
      <c r="J10" s="161">
        <f t="shared" si="1"/>
        <v>1016526.2027777778</v>
      </c>
      <c r="K10" s="161">
        <f t="shared" si="1"/>
        <v>1016526.2027777778</v>
      </c>
      <c r="L10" s="161">
        <f t="shared" si="1"/>
        <v>1016526.2027777778</v>
      </c>
      <c r="M10" s="161">
        <f t="shared" si="1"/>
        <v>1158808.1702777778</v>
      </c>
      <c r="N10" s="161">
        <f t="shared" si="1"/>
        <v>1244645.3777777776</v>
      </c>
      <c r="O10" s="161">
        <f t="shared" si="1"/>
        <v>1644183.8402777778</v>
      </c>
      <c r="P10" s="161">
        <f t="shared" si="1"/>
        <v>1472764.5527777777</v>
      </c>
      <c r="Q10" s="161">
        <f t="shared" si="1"/>
        <v>963254.40777777776</v>
      </c>
      <c r="R10" s="161">
        <f t="shared" si="1"/>
        <v>1558346.632777778</v>
      </c>
      <c r="S10" s="161">
        <f t="shared" si="1"/>
        <v>1244645.3777777776</v>
      </c>
      <c r="T10" s="161">
        <f t="shared" si="1"/>
        <v>1244645.3777777776</v>
      </c>
      <c r="U10" s="161">
        <f t="shared" si="1"/>
        <v>1244645.3777777776</v>
      </c>
      <c r="V10" s="161">
        <f t="shared" si="1"/>
        <v>1244645.3777777776</v>
      </c>
      <c r="W10" s="161">
        <f t="shared" si="1"/>
        <v>1158808.1702777778</v>
      </c>
      <c r="X10" s="161">
        <f t="shared" si="1"/>
        <v>1016526.2027777778</v>
      </c>
      <c r="Y10" s="161">
        <f t="shared" si="1"/>
        <v>1244645.3777777776</v>
      </c>
      <c r="Z10" s="161">
        <f t="shared" si="1"/>
        <v>1330482.5852777779</v>
      </c>
      <c r="AA10" s="161">
        <f t="shared" si="1"/>
        <v>1644183.8402777778</v>
      </c>
      <c r="AB10" s="215">
        <f t="shared" si="0"/>
        <v>26806624.587166663</v>
      </c>
      <c r="AC10" s="317"/>
      <c r="AD10" s="345"/>
    </row>
    <row r="11" spans="1:30" s="135" customFormat="1" ht="19" customHeight="1" x14ac:dyDescent="0.4">
      <c r="A11" s="345"/>
      <c r="B11" s="315"/>
      <c r="C11" s="198" t="s">
        <v>138</v>
      </c>
      <c r="D11" s="174">
        <v>0</v>
      </c>
      <c r="E11" s="174">
        <f>Инвестиции!$F$10*Инвестиции!$F$11</f>
        <v>80000</v>
      </c>
      <c r="F11" s="174">
        <f>Инвестиции!$F$10*Инвестиции!$F$11</f>
        <v>80000</v>
      </c>
      <c r="G11" s="174">
        <f>Инвестиции!$F$10*Инвестиции!$F$11</f>
        <v>80000</v>
      </c>
      <c r="H11" s="174">
        <f>Инвестиции!$F$10*Инвестиции!$F$11</f>
        <v>80000</v>
      </c>
      <c r="I11" s="174">
        <f>Инвестиции!$F$10*Инвестиции!$F$11</f>
        <v>80000</v>
      </c>
      <c r="J11" s="174">
        <f>Инвестиции!$F$10*Инвестиции!$F$11</f>
        <v>80000</v>
      </c>
      <c r="K11" s="174">
        <f>Инвестиции!$F$10*Инвестиции!$F$11</f>
        <v>80000</v>
      </c>
      <c r="L11" s="174">
        <f>Инвестиции!$F$10*Инвестиции!$F$11</f>
        <v>80000</v>
      </c>
      <c r="M11" s="174">
        <f>Инвестиции!$F$10*Инвестиции!$F$11</f>
        <v>80000</v>
      </c>
      <c r="N11" s="174">
        <f>Инвестиции!$F$10*Инвестиции!$F$11</f>
        <v>80000</v>
      </c>
      <c r="O11" s="174">
        <f>Инвестиции!$F$10*Инвестиции!$F$11</f>
        <v>80000</v>
      </c>
      <c r="P11" s="174">
        <f>Инвестиции!$F$10*Инвестиции!$F$11</f>
        <v>80000</v>
      </c>
      <c r="Q11" s="174">
        <f>Инвестиции!$F$10*Инвестиции!$F$11</f>
        <v>80000</v>
      </c>
      <c r="R11" s="174">
        <f>Инвестиции!$F$10*Инвестиции!$F$11</f>
        <v>80000</v>
      </c>
      <c r="S11" s="174">
        <f>Инвестиции!$F$10*Инвестиции!$F$11</f>
        <v>80000</v>
      </c>
      <c r="T11" s="174">
        <f>Инвестиции!$F$10*Инвестиции!$F$11</f>
        <v>80000</v>
      </c>
      <c r="U11" s="174">
        <f>Инвестиции!$F$10*Инвестиции!$F$11</f>
        <v>80000</v>
      </c>
      <c r="V11" s="174">
        <f>Инвестиции!$F$10*Инвестиции!$F$11</f>
        <v>80000</v>
      </c>
      <c r="W11" s="174">
        <f>Инвестиции!$F$10*Инвестиции!$F$11</f>
        <v>80000</v>
      </c>
      <c r="X11" s="174">
        <f>Инвестиции!$F$10*Инвестиции!$F$11</f>
        <v>80000</v>
      </c>
      <c r="Y11" s="174">
        <f>Инвестиции!$F$10*Инвестиции!$F$11</f>
        <v>80000</v>
      </c>
      <c r="Z11" s="174">
        <f>Инвестиции!$F$10*Инвестиции!$F$11</f>
        <v>80000</v>
      </c>
      <c r="AA11" s="174">
        <f>Инвестиции!$F$10*Инвестиции!$F$11</f>
        <v>80000</v>
      </c>
      <c r="AB11" s="216">
        <f t="shared" si="0"/>
        <v>1840000</v>
      </c>
      <c r="AC11" s="318"/>
      <c r="AD11" s="345"/>
    </row>
    <row r="12" spans="1:30" s="135" customFormat="1" ht="19" customHeight="1" x14ac:dyDescent="0.4">
      <c r="A12" s="345"/>
      <c r="B12" s="315"/>
      <c r="C12" s="198" t="s">
        <v>89</v>
      </c>
      <c r="D12" s="174">
        <f>'Ежемес. расходы'!$F$11</f>
        <v>22200</v>
      </c>
      <c r="E12" s="174">
        <f>'Ежемес. расходы'!$F$11</f>
        <v>22200</v>
      </c>
      <c r="F12" s="174">
        <f>'Ежемес. расходы'!$F$11</f>
        <v>22200</v>
      </c>
      <c r="G12" s="174">
        <f>'Ежемес. расходы'!$F$11</f>
        <v>22200</v>
      </c>
      <c r="H12" s="174">
        <f>'Ежемес. расходы'!$F$11</f>
        <v>22200</v>
      </c>
      <c r="I12" s="174">
        <f>'Ежемес. расходы'!$F$11</f>
        <v>22200</v>
      </c>
      <c r="J12" s="174">
        <f>'Ежемес. расходы'!$F$11</f>
        <v>22200</v>
      </c>
      <c r="K12" s="174">
        <f>'Ежемес. расходы'!$F$11</f>
        <v>22200</v>
      </c>
      <c r="L12" s="174">
        <f>'Ежемес. расходы'!$F$11</f>
        <v>22200</v>
      </c>
      <c r="M12" s="174">
        <f>'Ежемес. расходы'!$F$11</f>
        <v>22200</v>
      </c>
      <c r="N12" s="174">
        <f>'Ежемес. расходы'!$F$11</f>
        <v>22200</v>
      </c>
      <c r="O12" s="174">
        <f>'Ежемес. расходы'!$F$11</f>
        <v>22200</v>
      </c>
      <c r="P12" s="174">
        <f>'Ежемес. расходы'!$F$11</f>
        <v>22200</v>
      </c>
      <c r="Q12" s="174">
        <f>'Ежемес. расходы'!$F$11</f>
        <v>22200</v>
      </c>
      <c r="R12" s="174">
        <f>'Ежемес. расходы'!$F$11</f>
        <v>22200</v>
      </c>
      <c r="S12" s="174">
        <f>'Ежемес. расходы'!$F$11</f>
        <v>22200</v>
      </c>
      <c r="T12" s="174">
        <f>'Ежемес. расходы'!$F$11</f>
        <v>22200</v>
      </c>
      <c r="U12" s="174">
        <f>'Ежемес. расходы'!$F$11</f>
        <v>22200</v>
      </c>
      <c r="V12" s="174">
        <f>'Ежемес. расходы'!$F$11</f>
        <v>22200</v>
      </c>
      <c r="W12" s="174">
        <f>'Ежемес. расходы'!$F$11</f>
        <v>22200</v>
      </c>
      <c r="X12" s="174">
        <f>'Ежемес. расходы'!$F$11</f>
        <v>22200</v>
      </c>
      <c r="Y12" s="174">
        <f>'Ежемес. расходы'!$F$11</f>
        <v>22200</v>
      </c>
      <c r="Z12" s="174">
        <f>'Ежемес. расходы'!$F$11</f>
        <v>22200</v>
      </c>
      <c r="AA12" s="174">
        <f>'Ежемес. расходы'!$F$11</f>
        <v>22200</v>
      </c>
      <c r="AB12" s="216">
        <f t="shared" si="0"/>
        <v>532800</v>
      </c>
      <c r="AC12" s="318"/>
      <c r="AD12" s="345"/>
    </row>
    <row r="13" spans="1:30" s="135" customFormat="1" ht="19" customHeight="1" x14ac:dyDescent="0.4">
      <c r="A13" s="345"/>
      <c r="B13" s="315"/>
      <c r="C13" s="198" t="str">
        <f>'Ежемес. расходы'!C13</f>
        <v>Себестоимость товара</v>
      </c>
      <c r="D13" s="174">
        <f>'Ежемес. расходы'!$F$13*'Прибыль и окупаемость'!D9</f>
        <v>157251.78</v>
      </c>
      <c r="E13" s="174">
        <f>'Ежемес. расходы'!$F$13*'Прибыль и окупаемость'!E9</f>
        <v>146768.32799999998</v>
      </c>
      <c r="F13" s="174">
        <f>'Ежемес. расходы'!$F$13*'Прибыль и окупаемость'!F9</f>
        <v>314631.44999999995</v>
      </c>
      <c r="G13" s="174">
        <f>'Ежемес. расходы'!$F$13*'Прибыль и окупаемость'!G9</f>
        <v>314631.44999999995</v>
      </c>
      <c r="H13" s="174">
        <f>'Ежемес. расходы'!$F$13*'Прибыль и окупаемость'!H9</f>
        <v>314631.44999999995</v>
      </c>
      <c r="I13" s="174">
        <f>'Ежемес. расходы'!$F$13*'Прибыль и окупаемость'!I9</f>
        <v>314631.44999999995</v>
      </c>
      <c r="J13" s="174">
        <f>'Ежемес. расходы'!$F$13*'Прибыль и окупаемость'!J9</f>
        <v>400560.3</v>
      </c>
      <c r="K13" s="174">
        <f>'Ежемес. расходы'!$F$13*'Прибыль и окупаемость'!K9</f>
        <v>400560.3</v>
      </c>
      <c r="L13" s="174">
        <f>'Ежемес. расходы'!$F$13*'Прибыль и окупаемость'!L9</f>
        <v>400560.3</v>
      </c>
      <c r="M13" s="174">
        <f>'Ежемес. расходы'!$F$13*'Прибыль и окупаемость'!M9</f>
        <v>471883.23</v>
      </c>
      <c r="N13" s="174">
        <f>'Ежемес. расходы'!$F$13*'Прибыль и окупаемость'!N9</f>
        <v>514911.6</v>
      </c>
      <c r="O13" s="174">
        <f>'Ежемес. расходы'!$F$13*'Прибыль и окупаемость'!O9</f>
        <v>715191.75</v>
      </c>
      <c r="P13" s="174">
        <f>'Ежемес. расходы'!$F$13*'Прибыль и окупаемость'!P9</f>
        <v>629262.89999999991</v>
      </c>
      <c r="Q13" s="174">
        <f>'Ежемес. расходы'!$F$13*'Прибыль и окупаемость'!Q9</f>
        <v>373856.27999999997</v>
      </c>
      <c r="R13" s="174">
        <f>'Ежемес. расходы'!$F$13*'Прибыль и окупаемость'!R9</f>
        <v>672163.38</v>
      </c>
      <c r="S13" s="174">
        <f>'Ежемес. расходы'!$F$13*'Прибыль и окупаемость'!S9</f>
        <v>514911.6</v>
      </c>
      <c r="T13" s="174">
        <f>'Ежемес. расходы'!$F$13*'Прибыль и окупаемость'!T9</f>
        <v>514911.6</v>
      </c>
      <c r="U13" s="174">
        <f>'Ежемес. расходы'!$F$13*'Прибыль и окупаемость'!U9</f>
        <v>514911.6</v>
      </c>
      <c r="V13" s="174">
        <f>'Ежемес. расходы'!$F$13*'Прибыль и окупаемость'!V9</f>
        <v>514911.6</v>
      </c>
      <c r="W13" s="174">
        <f>'Ежемес. расходы'!$F$13*'Прибыль и окупаемость'!W9</f>
        <v>471883.23</v>
      </c>
      <c r="X13" s="174">
        <f>'Ежемес. расходы'!$F$13*'Прибыль и окупаемость'!X9</f>
        <v>400560.3</v>
      </c>
      <c r="Y13" s="174">
        <f>'Ежемес. расходы'!$F$13*'Прибыль и окупаемость'!Y9</f>
        <v>514911.6</v>
      </c>
      <c r="Z13" s="174">
        <f>'Ежемес. расходы'!$F$13*'Прибыль и окупаемость'!Z9</f>
        <v>557939.97</v>
      </c>
      <c r="AA13" s="174">
        <f>'Ежемес. расходы'!$F$13*'Прибыль и окупаемость'!AA9</f>
        <v>715191.75</v>
      </c>
      <c r="AB13" s="216">
        <f t="shared" si="0"/>
        <v>10861629.198000001</v>
      </c>
      <c r="AC13" s="318"/>
      <c r="AD13" s="345"/>
    </row>
    <row r="14" spans="1:30" s="135" customFormat="1" ht="19" customHeight="1" x14ac:dyDescent="0.4">
      <c r="A14" s="345"/>
      <c r="B14" s="315"/>
      <c r="C14" s="198" t="str">
        <f>'Ежемес. расходы'!C14</f>
        <v>Реинвестирование для закупа товара</v>
      </c>
      <c r="D14" s="174">
        <f>'Ежемес. расходы'!$F$14*'Прибыль и окупаемость'!D9</f>
        <v>53487</v>
      </c>
      <c r="E14" s="174">
        <f>'Ежемес. расходы'!$F$14*'Прибыль и окупаемость'!E9</f>
        <v>49921.200000000004</v>
      </c>
      <c r="F14" s="174">
        <f>'Ежемес. расходы'!$F$14*'Прибыль и окупаемость'!F9</f>
        <v>107017.5</v>
      </c>
      <c r="G14" s="174">
        <f>'Ежемес. расходы'!$F$14*'Прибыль и окупаемость'!G9</f>
        <v>107017.5</v>
      </c>
      <c r="H14" s="174">
        <f>'Ежемес. расходы'!$F$14*'Прибыль и окупаемость'!H9</f>
        <v>107017.5</v>
      </c>
      <c r="I14" s="174">
        <f>'Ежемес. расходы'!$F$14*'Прибыль и окупаемость'!I9</f>
        <v>107017.5</v>
      </c>
      <c r="J14" s="174">
        <f>'Ежемес. расходы'!$F$14*'Прибыль и окупаемость'!J9</f>
        <v>136245</v>
      </c>
      <c r="K14" s="174">
        <f>'Ежемес. расходы'!$F$14*'Прибыль и окупаемость'!K9</f>
        <v>136245</v>
      </c>
      <c r="L14" s="174">
        <f>'Ежемес. расходы'!$F$14*'Прибыль и окупаемость'!L9</f>
        <v>136245</v>
      </c>
      <c r="M14" s="174">
        <f>'Ежемес. расходы'!$F$14*'Прибыль и окупаемость'!M9</f>
        <v>160504.5</v>
      </c>
      <c r="N14" s="174">
        <f>'Ежемес. расходы'!$F$14*'Прибыль и окупаемость'!N9</f>
        <v>175140</v>
      </c>
      <c r="O14" s="174">
        <f>'Ежемес. расходы'!$F$14*'Прибыль и окупаемость'!O9</f>
        <v>243262.5</v>
      </c>
      <c r="P14" s="174">
        <f>'Ежемес. расходы'!$F$14*'Прибыль и окупаемость'!P9</f>
        <v>214035</v>
      </c>
      <c r="Q14" s="174">
        <f>'Ежемес. расходы'!$F$14*'Прибыль и окупаемость'!Q9</f>
        <v>127162</v>
      </c>
      <c r="R14" s="174">
        <f>'Ежемес. расходы'!$F$14*'Прибыль и окупаемость'!R9</f>
        <v>228627</v>
      </c>
      <c r="S14" s="174">
        <f>'Ежемес. расходы'!$F$14*'Прибыль и окупаемость'!S9</f>
        <v>175140</v>
      </c>
      <c r="T14" s="174">
        <f>'Ежемес. расходы'!$F$14*'Прибыль и окупаемость'!T9</f>
        <v>175140</v>
      </c>
      <c r="U14" s="174">
        <f>'Ежемес. расходы'!$F$14*'Прибыль и окупаемость'!U9</f>
        <v>175140</v>
      </c>
      <c r="V14" s="174">
        <f>'Ежемес. расходы'!$F$14*'Прибыль и окупаемость'!V9</f>
        <v>175140</v>
      </c>
      <c r="W14" s="174">
        <f>'Ежемес. расходы'!$F$14*'Прибыль и окупаемость'!W9</f>
        <v>160504.5</v>
      </c>
      <c r="X14" s="174">
        <f>'Ежемес. расходы'!$F$14*'Прибыль и окупаемость'!X9</f>
        <v>136245</v>
      </c>
      <c r="Y14" s="174">
        <f>'Ежемес. расходы'!$F$14*'Прибыль и окупаемость'!Y9</f>
        <v>175140</v>
      </c>
      <c r="Z14" s="174">
        <f>'Ежемес. расходы'!$F$14*'Прибыль и окупаемость'!Z9</f>
        <v>189775.5</v>
      </c>
      <c r="AA14" s="174">
        <f>'Ежемес. расходы'!$F$14*'Прибыль и окупаемость'!AA9</f>
        <v>243262.5</v>
      </c>
      <c r="AB14" s="216">
        <f t="shared" si="0"/>
        <v>3694431.7</v>
      </c>
      <c r="AC14" s="318"/>
      <c r="AD14" s="345"/>
    </row>
    <row r="15" spans="1:30" s="135" customFormat="1" ht="19" customHeight="1" x14ac:dyDescent="0.4">
      <c r="A15" s="345"/>
      <c r="B15" s="315"/>
      <c r="C15" s="198" t="s">
        <v>56</v>
      </c>
      <c r="D15" s="174">
        <f>SUM(D16:D18)</f>
        <v>6082.6111111111122</v>
      </c>
      <c r="E15" s="174">
        <f t="shared" ref="E15:AA15" si="2">SUM(E16:E18)</f>
        <v>6082.6111111111122</v>
      </c>
      <c r="F15" s="174">
        <f t="shared" si="2"/>
        <v>6082.6111111111122</v>
      </c>
      <c r="G15" s="174">
        <f t="shared" si="2"/>
        <v>6082.6111111111122</v>
      </c>
      <c r="H15" s="174">
        <f t="shared" si="2"/>
        <v>6082.6111111111122</v>
      </c>
      <c r="I15" s="174">
        <f t="shared" si="2"/>
        <v>6082.6111111111122</v>
      </c>
      <c r="J15" s="174">
        <f t="shared" si="2"/>
        <v>6082.6111111111122</v>
      </c>
      <c r="K15" s="174">
        <f t="shared" si="2"/>
        <v>6082.6111111111122</v>
      </c>
      <c r="L15" s="174">
        <f t="shared" si="2"/>
        <v>6082.6111111111122</v>
      </c>
      <c r="M15" s="174">
        <f t="shared" si="2"/>
        <v>6082.6111111111122</v>
      </c>
      <c r="N15" s="174">
        <f t="shared" si="2"/>
        <v>6082.6111111111122</v>
      </c>
      <c r="O15" s="174">
        <f t="shared" si="2"/>
        <v>6082.6111111111122</v>
      </c>
      <c r="P15" s="174">
        <f t="shared" si="2"/>
        <v>6082.6111111111122</v>
      </c>
      <c r="Q15" s="174">
        <f t="shared" si="2"/>
        <v>6082.6111111111122</v>
      </c>
      <c r="R15" s="174">
        <f t="shared" si="2"/>
        <v>6082.6111111111122</v>
      </c>
      <c r="S15" s="174">
        <f t="shared" si="2"/>
        <v>6082.6111111111122</v>
      </c>
      <c r="T15" s="174">
        <f t="shared" si="2"/>
        <v>6082.6111111111122</v>
      </c>
      <c r="U15" s="174">
        <f t="shared" si="2"/>
        <v>6082.6111111111122</v>
      </c>
      <c r="V15" s="174">
        <f t="shared" si="2"/>
        <v>6082.6111111111122</v>
      </c>
      <c r="W15" s="174">
        <f t="shared" si="2"/>
        <v>6082.6111111111122</v>
      </c>
      <c r="X15" s="174">
        <f t="shared" si="2"/>
        <v>6082.6111111111122</v>
      </c>
      <c r="Y15" s="174">
        <f t="shared" si="2"/>
        <v>6082.6111111111122</v>
      </c>
      <c r="Z15" s="174">
        <f t="shared" si="2"/>
        <v>6082.6111111111122</v>
      </c>
      <c r="AA15" s="174">
        <f t="shared" si="2"/>
        <v>6082.6111111111122</v>
      </c>
      <c r="AB15" s="216">
        <f t="shared" si="0"/>
        <v>145982.66666666669</v>
      </c>
      <c r="AC15" s="317"/>
      <c r="AD15" s="345"/>
    </row>
    <row r="16" spans="1:30" s="135" customFormat="1" ht="19" hidden="1" customHeight="1" outlineLevel="1" x14ac:dyDescent="0.4">
      <c r="A16" s="345"/>
      <c r="B16" s="315"/>
      <c r="C16" s="200" t="s">
        <v>95</v>
      </c>
      <c r="D16" s="201">
        <f>'Ежемес. расходы'!$E$8*'Ежемес. расходы'!$D$8+'Ежемес. расходы'!$F$8*'Прибыль и окупаемость'!D9</f>
        <v>0</v>
      </c>
      <c r="E16" s="201">
        <f>'Ежемес. расходы'!$E$8*'Ежемес. расходы'!$D$8+'Ежемес. расходы'!$F$8*'Прибыль и окупаемость'!E9</f>
        <v>0</v>
      </c>
      <c r="F16" s="201">
        <f>'Ежемес. расходы'!$E$8*'Ежемес. расходы'!$D$8+'Ежемес. расходы'!$F$8*'Прибыль и окупаемость'!F9</f>
        <v>0</v>
      </c>
      <c r="G16" s="201">
        <f>'Ежемес. расходы'!$E$8*'Ежемес. расходы'!$D$8+'Ежемес. расходы'!$F$8*'Прибыль и окупаемость'!G9</f>
        <v>0</v>
      </c>
      <c r="H16" s="201">
        <f>'Ежемес. расходы'!$E$8*'Ежемес. расходы'!$D$8+'Ежемес. расходы'!$F$8*'Прибыль и окупаемость'!H9</f>
        <v>0</v>
      </c>
      <c r="I16" s="201">
        <f>'Ежемес. расходы'!$E$8*'Ежемес. расходы'!$D$8+'Ежемес. расходы'!$F$8*'Прибыль и окупаемость'!I9</f>
        <v>0</v>
      </c>
      <c r="J16" s="201">
        <f>'Ежемес. расходы'!$E$8*'Ежемес. расходы'!$D$8+'Ежемес. расходы'!$F$8*'Прибыль и окупаемость'!J9</f>
        <v>0</v>
      </c>
      <c r="K16" s="201">
        <f>'Ежемес. расходы'!$E$8*'Ежемес. расходы'!$D$8+'Ежемес. расходы'!$F$8*'Прибыль и окупаемость'!K9</f>
        <v>0</v>
      </c>
      <c r="L16" s="201">
        <f>'Ежемес. расходы'!$E$8*'Ежемес. расходы'!$D$8+'Ежемес. расходы'!$F$8*'Прибыль и окупаемость'!L9</f>
        <v>0</v>
      </c>
      <c r="M16" s="201">
        <f>'Ежемес. расходы'!$E$8*'Ежемес. расходы'!$D$8+'Ежемес. расходы'!$F$8*'Прибыль и окупаемость'!M9</f>
        <v>0</v>
      </c>
      <c r="N16" s="201">
        <f>'Ежемес. расходы'!$E$8*'Ежемес. расходы'!$D$8+'Ежемес. расходы'!$F$8*'Прибыль и окупаемость'!N9</f>
        <v>0</v>
      </c>
      <c r="O16" s="201">
        <f>'Ежемес. расходы'!$E$8*'Ежемес. расходы'!$D$8+'Ежемес. расходы'!$F$8*'Прибыль и окупаемость'!O9</f>
        <v>0</v>
      </c>
      <c r="P16" s="201">
        <f>'Ежемес. расходы'!$E$8*'Ежемес. расходы'!$D$8+'Ежемес. расходы'!$F$8*'Прибыль и окупаемость'!P9</f>
        <v>0</v>
      </c>
      <c r="Q16" s="201">
        <f>'Ежемес. расходы'!$E$8*'Ежемес. расходы'!$D$8+'Ежемес. расходы'!$F$8*'Прибыль и окупаемость'!Q9</f>
        <v>0</v>
      </c>
      <c r="R16" s="201">
        <f>'Ежемес. расходы'!$E$8*'Ежемес. расходы'!$D$8+'Ежемес. расходы'!$F$8*'Прибыль и окупаемость'!R9</f>
        <v>0</v>
      </c>
      <c r="S16" s="201">
        <f>'Ежемес. расходы'!$E$8*'Ежемес. расходы'!$D$8+'Ежемес. расходы'!$F$8*'Прибыль и окупаемость'!S9</f>
        <v>0</v>
      </c>
      <c r="T16" s="201">
        <f>'Ежемес. расходы'!$E$8*'Ежемес. расходы'!$D$8+'Ежемес. расходы'!$F$8*'Прибыль и окупаемость'!T9</f>
        <v>0</v>
      </c>
      <c r="U16" s="201">
        <f>'Ежемес. расходы'!$E$8*'Ежемес. расходы'!$D$8+'Ежемес. расходы'!$F$8*'Прибыль и окупаемость'!U9</f>
        <v>0</v>
      </c>
      <c r="V16" s="201">
        <f>'Ежемес. расходы'!$E$8*'Ежемес. расходы'!$D$8+'Ежемес. расходы'!$F$8*'Прибыль и окупаемость'!V9</f>
        <v>0</v>
      </c>
      <c r="W16" s="201">
        <f>'Ежемес. расходы'!$E$8*'Ежемес. расходы'!$D$8+'Ежемес. расходы'!$F$8*'Прибыль и окупаемость'!W9</f>
        <v>0</v>
      </c>
      <c r="X16" s="201">
        <f>'Ежемес. расходы'!$E$8*'Ежемес. расходы'!$D$8+'Ежемес. расходы'!$F$8*'Прибыль и окупаемость'!X9</f>
        <v>0</v>
      </c>
      <c r="Y16" s="201">
        <f>'Ежемес. расходы'!$E$8*'Ежемес. расходы'!$D$8+'Ежемес. расходы'!$F$8*'Прибыль и окупаемость'!Y9</f>
        <v>0</v>
      </c>
      <c r="Z16" s="201">
        <f>'Ежемес. расходы'!$E$8*'Ежемес. расходы'!$D$8+'Ежемес. расходы'!$F$8*'Прибыль и окупаемость'!Z9</f>
        <v>0</v>
      </c>
      <c r="AA16" s="201">
        <f>'Ежемес. расходы'!$E$8*'Ежемес. расходы'!$D$8+'Ежемес. расходы'!$F$8*'Прибыль и окупаемость'!AA9</f>
        <v>0</v>
      </c>
      <c r="AB16" s="217">
        <f t="shared" si="0"/>
        <v>0</v>
      </c>
      <c r="AC16" s="317"/>
      <c r="AD16" s="345"/>
    </row>
    <row r="17" spans="1:30" s="135" customFormat="1" ht="19" hidden="1" customHeight="1" outlineLevel="1" x14ac:dyDescent="0.4">
      <c r="A17" s="345"/>
      <c r="B17" s="315"/>
      <c r="C17" s="200" t="s">
        <v>61</v>
      </c>
      <c r="D17" s="201">
        <f>IF(AND(Титул!$E$16=Сезон!$A$28,Титул!$E$15=Сезон!$A$25),0,'Ежемес. расходы'!$D$8*'Ежемес. расходы'!$D$9*'Ежемес. расходы'!$F$9)</f>
        <v>0</v>
      </c>
      <c r="E17" s="201">
        <f>IF(AND(Титул!$E$16=Сезон!$A$28,Титул!$E$15=Сезон!$A$25),0,'Ежемес. расходы'!$D$8*'Ежемес. расходы'!$D$9*'Ежемес. расходы'!$F$9)</f>
        <v>0</v>
      </c>
      <c r="F17" s="201">
        <f>IF(AND(Титул!$E$16=Сезон!$A$28,Титул!$E$15=Сезон!$A$25),0,'Ежемес. расходы'!$D$8*'Ежемес. расходы'!$D$9*'Ежемес. расходы'!$F$9)</f>
        <v>0</v>
      </c>
      <c r="G17" s="201">
        <f>IF(AND(Титул!$E$16=Сезон!$A$28,Титул!$E$15=Сезон!$A$25),0,'Ежемес. расходы'!$D$8*'Ежемес. расходы'!$D$9*'Ежемес. расходы'!$F$9)</f>
        <v>0</v>
      </c>
      <c r="H17" s="201">
        <f>IF(AND(Титул!$E$16=Сезон!$A$28,Титул!$E$15=Сезон!$A$25),0,'Ежемес. расходы'!$D$8*'Ежемес. расходы'!$D$9*'Ежемес. расходы'!$F$9)</f>
        <v>0</v>
      </c>
      <c r="I17" s="201">
        <f>IF(AND(Титул!$E$16=Сезон!$A$28,Титул!$E$15=Сезон!$A$25),0,'Ежемес. расходы'!$D$8*'Ежемес. расходы'!$D$9*'Ежемес. расходы'!$F$9)</f>
        <v>0</v>
      </c>
      <c r="J17" s="201">
        <f>IF(AND(Титул!$E$16=Сезон!$A$28,Титул!$E$15=Сезон!$A$25),0,'Ежемес. расходы'!$D$8*'Ежемес. расходы'!$D$9*'Ежемес. расходы'!$F$9)</f>
        <v>0</v>
      </c>
      <c r="K17" s="201">
        <f>IF(AND(Титул!$E$16=Сезон!$A$28,Титул!$E$15=Сезон!$A$25),0,'Ежемес. расходы'!$D$8*'Ежемес. расходы'!$D$9*'Ежемес. расходы'!$F$9)</f>
        <v>0</v>
      </c>
      <c r="L17" s="201">
        <f>IF(AND(Титул!$E$16=Сезон!$A$28,Титул!$E$15=Сезон!$A$25),0,'Ежемес. расходы'!$D$8*'Ежемес. расходы'!$D$9*'Ежемес. расходы'!$F$9)</f>
        <v>0</v>
      </c>
      <c r="M17" s="201">
        <f>IF(AND(Титул!$E$16=Сезон!$A$28,Титул!$E$15=Сезон!$A$25),0,'Ежемес. расходы'!$D$8*'Ежемес. расходы'!$D$9*'Ежемес. расходы'!$F$9)</f>
        <v>0</v>
      </c>
      <c r="N17" s="201">
        <f>IF(AND(Титул!$E$16=Сезон!$A$28,Титул!$E$15=Сезон!$A$25),0,'Ежемес. расходы'!$D$8*'Ежемес. расходы'!$D$9*'Ежемес. расходы'!$F$9)</f>
        <v>0</v>
      </c>
      <c r="O17" s="201">
        <f>IF(AND(Титул!$E$16=Сезон!$A$28,Титул!$E$15=Сезон!$A$25),0,'Ежемес. расходы'!$D$8*'Ежемес. расходы'!$D$9*'Ежемес. расходы'!$F$9)</f>
        <v>0</v>
      </c>
      <c r="P17" s="201">
        <f>IF(AND(Титул!$E$16=Сезон!$A$28,Титул!$E$15=Сезон!$A$25),0,'Ежемес. расходы'!$D$8*'Ежемес. расходы'!$D$9*'Ежемес. расходы'!$F$9)</f>
        <v>0</v>
      </c>
      <c r="Q17" s="201">
        <f>IF(AND(Титул!$E$16=Сезон!$A$28,Титул!$E$15=Сезон!$A$25),0,'Ежемес. расходы'!$D$8*'Ежемес. расходы'!$D$9*'Ежемес. расходы'!$F$9)</f>
        <v>0</v>
      </c>
      <c r="R17" s="201">
        <f>IF(AND(Титул!$E$16=Сезон!$A$28,Титул!$E$15=Сезон!$A$25),0,'Ежемес. расходы'!$D$8*'Ежемес. расходы'!$D$9*'Ежемес. расходы'!$F$9)</f>
        <v>0</v>
      </c>
      <c r="S17" s="201">
        <f>IF(AND(Титул!$E$16=Сезон!$A$28,Титул!$E$15=Сезон!$A$25),0,'Ежемес. расходы'!$D$8*'Ежемес. расходы'!$D$9*'Ежемес. расходы'!$F$9)</f>
        <v>0</v>
      </c>
      <c r="T17" s="201">
        <f>IF(AND(Титул!$E$16=Сезон!$A$28,Титул!$E$15=Сезон!$A$25),0,'Ежемес. расходы'!$D$8*'Ежемес. расходы'!$D$9*'Ежемес. расходы'!$F$9)</f>
        <v>0</v>
      </c>
      <c r="U17" s="201">
        <f>IF(AND(Титул!$E$16=Сезон!$A$28,Титул!$E$15=Сезон!$A$25),0,'Ежемес. расходы'!$D$8*'Ежемес. расходы'!$D$9*'Ежемес. расходы'!$F$9)</f>
        <v>0</v>
      </c>
      <c r="V17" s="201">
        <f>IF(AND(Титул!$E$16=Сезон!$A$28,Титул!$E$15=Сезон!$A$25),0,'Ежемес. расходы'!$D$8*'Ежемес. расходы'!$D$9*'Ежемес. расходы'!$F$9)</f>
        <v>0</v>
      </c>
      <c r="W17" s="201">
        <f>IF(AND(Титул!$E$16=Сезон!$A$28,Титул!$E$15=Сезон!$A$25),0,'Ежемес. расходы'!$D$8*'Ежемес. расходы'!$D$9*'Ежемес. расходы'!$F$9)</f>
        <v>0</v>
      </c>
      <c r="X17" s="201">
        <f>IF(AND(Титул!$E$16=Сезон!$A$28,Титул!$E$15=Сезон!$A$25),0,'Ежемес. расходы'!$D$8*'Ежемес. расходы'!$D$9*'Ежемес. расходы'!$F$9)</f>
        <v>0</v>
      </c>
      <c r="Y17" s="201">
        <f>IF(AND(Титул!$E$16=Сезон!$A$28,Титул!$E$15=Сезон!$A$25),0,'Ежемес. расходы'!$D$8*'Ежемес. расходы'!$D$9*'Ежемес. расходы'!$F$9)</f>
        <v>0</v>
      </c>
      <c r="Z17" s="201">
        <f>IF(AND(Титул!$E$16=Сезон!$A$28,Титул!$E$15=Сезон!$A$25),0,'Ежемес. расходы'!$D$8*'Ежемес. расходы'!$D$9*'Ежемес. расходы'!$F$9)</f>
        <v>0</v>
      </c>
      <c r="AA17" s="201">
        <f>IF(AND(Титул!$E$16=Сезон!$A$28,Титул!$E$15=Сезон!$A$25),0,'Ежемес. расходы'!$D$8*'Ежемес. расходы'!$D$9*'Ежемес. расходы'!$F$9)</f>
        <v>0</v>
      </c>
      <c r="AB17" s="217">
        <f t="shared" si="0"/>
        <v>0</v>
      </c>
      <c r="AC17" s="317"/>
      <c r="AD17" s="345"/>
    </row>
    <row r="18" spans="1:30" s="135" customFormat="1" ht="19" hidden="1" customHeight="1" outlineLevel="1" x14ac:dyDescent="0.4">
      <c r="A18" s="345"/>
      <c r="B18" s="315"/>
      <c r="C18" s="202" t="s">
        <v>83</v>
      </c>
      <c r="D18" s="201">
        <f>'Ежемес. расходы'!$F$10</f>
        <v>6082.6111111111122</v>
      </c>
      <c r="E18" s="201">
        <f>'Ежемес. расходы'!$F$10</f>
        <v>6082.6111111111122</v>
      </c>
      <c r="F18" s="201">
        <f>'Ежемес. расходы'!$F$10</f>
        <v>6082.6111111111122</v>
      </c>
      <c r="G18" s="201">
        <f>'Ежемес. расходы'!$F$10</f>
        <v>6082.6111111111122</v>
      </c>
      <c r="H18" s="201">
        <f>'Ежемес. расходы'!$F$10</f>
        <v>6082.6111111111122</v>
      </c>
      <c r="I18" s="201">
        <f>'Ежемес. расходы'!$F$10</f>
        <v>6082.6111111111122</v>
      </c>
      <c r="J18" s="201">
        <f>'Ежемес. расходы'!$F$10</f>
        <v>6082.6111111111122</v>
      </c>
      <c r="K18" s="201">
        <f>'Ежемес. расходы'!$F$10</f>
        <v>6082.6111111111122</v>
      </c>
      <c r="L18" s="201">
        <f>'Ежемес. расходы'!$F$10</f>
        <v>6082.6111111111122</v>
      </c>
      <c r="M18" s="201">
        <f>'Ежемес. расходы'!$F$10</f>
        <v>6082.6111111111122</v>
      </c>
      <c r="N18" s="201">
        <f>'Ежемес. расходы'!$F$10</f>
        <v>6082.6111111111122</v>
      </c>
      <c r="O18" s="201">
        <f>'Ежемес. расходы'!$F$10</f>
        <v>6082.6111111111122</v>
      </c>
      <c r="P18" s="201">
        <f>'Ежемес. расходы'!$F$10</f>
        <v>6082.6111111111122</v>
      </c>
      <c r="Q18" s="201">
        <f>'Ежемес. расходы'!$F$10</f>
        <v>6082.6111111111122</v>
      </c>
      <c r="R18" s="201">
        <f>'Ежемес. расходы'!$F$10</f>
        <v>6082.6111111111122</v>
      </c>
      <c r="S18" s="201">
        <f>'Ежемес. расходы'!$F$10</f>
        <v>6082.6111111111122</v>
      </c>
      <c r="T18" s="201">
        <f>'Ежемес. расходы'!$F$10</f>
        <v>6082.6111111111122</v>
      </c>
      <c r="U18" s="201">
        <f>'Ежемес. расходы'!$F$10</f>
        <v>6082.6111111111122</v>
      </c>
      <c r="V18" s="201">
        <f>'Ежемес. расходы'!$F$10</f>
        <v>6082.6111111111122</v>
      </c>
      <c r="W18" s="201">
        <f>'Ежемес. расходы'!$F$10</f>
        <v>6082.6111111111122</v>
      </c>
      <c r="X18" s="201">
        <f>'Ежемес. расходы'!$F$10</f>
        <v>6082.6111111111122</v>
      </c>
      <c r="Y18" s="201">
        <f>'Ежемес. расходы'!$F$10</f>
        <v>6082.6111111111122</v>
      </c>
      <c r="Z18" s="201">
        <f>'Ежемес. расходы'!$F$10</f>
        <v>6082.6111111111122</v>
      </c>
      <c r="AA18" s="201">
        <f>'Ежемес. расходы'!$F$10</f>
        <v>6082.6111111111122</v>
      </c>
      <c r="AB18" s="217">
        <f t="shared" si="0"/>
        <v>145982.66666666669</v>
      </c>
      <c r="AC18" s="317"/>
      <c r="AD18" s="345"/>
    </row>
    <row r="19" spans="1:30" s="135" customFormat="1" ht="18.75" customHeight="1" collapsed="1" x14ac:dyDescent="0.4">
      <c r="A19" s="345"/>
      <c r="B19" s="315"/>
      <c r="C19" s="198" t="s">
        <v>90</v>
      </c>
      <c r="D19" s="199">
        <f>SUM(D20:D22)</f>
        <v>117440.9</v>
      </c>
      <c r="E19" s="199">
        <f t="shared" ref="E19:AA19" si="3">SUM(E20:E22)</f>
        <v>114944.84</v>
      </c>
      <c r="F19" s="199">
        <f t="shared" si="3"/>
        <v>154912.25</v>
      </c>
      <c r="G19" s="199">
        <f t="shared" si="3"/>
        <v>154912.25</v>
      </c>
      <c r="H19" s="199">
        <f t="shared" si="3"/>
        <v>154912.25</v>
      </c>
      <c r="I19" s="199">
        <f t="shared" si="3"/>
        <v>154912.25</v>
      </c>
      <c r="J19" s="199">
        <f t="shared" si="3"/>
        <v>175371.5</v>
      </c>
      <c r="K19" s="199">
        <f t="shared" si="3"/>
        <v>175371.5</v>
      </c>
      <c r="L19" s="199">
        <f t="shared" si="3"/>
        <v>175371.5</v>
      </c>
      <c r="M19" s="199">
        <f t="shared" si="3"/>
        <v>192353.15000000002</v>
      </c>
      <c r="N19" s="199">
        <f t="shared" si="3"/>
        <v>202598</v>
      </c>
      <c r="O19" s="199">
        <f t="shared" si="3"/>
        <v>250283.75000000003</v>
      </c>
      <c r="P19" s="199">
        <f t="shared" si="3"/>
        <v>229824.5</v>
      </c>
      <c r="Q19" s="199">
        <f t="shared" si="3"/>
        <v>169013.40000000002</v>
      </c>
      <c r="R19" s="199">
        <f t="shared" si="3"/>
        <v>240038.90000000002</v>
      </c>
      <c r="S19" s="199">
        <f t="shared" si="3"/>
        <v>202598</v>
      </c>
      <c r="T19" s="199">
        <f t="shared" si="3"/>
        <v>202598</v>
      </c>
      <c r="U19" s="199">
        <f t="shared" si="3"/>
        <v>202598</v>
      </c>
      <c r="V19" s="199">
        <f t="shared" si="3"/>
        <v>202598</v>
      </c>
      <c r="W19" s="199">
        <f t="shared" si="3"/>
        <v>192353.15000000002</v>
      </c>
      <c r="X19" s="199">
        <f t="shared" si="3"/>
        <v>175371.5</v>
      </c>
      <c r="Y19" s="199">
        <f t="shared" si="3"/>
        <v>202598</v>
      </c>
      <c r="Z19" s="199">
        <f t="shared" si="3"/>
        <v>212842.85</v>
      </c>
      <c r="AA19" s="199">
        <f t="shared" si="3"/>
        <v>250283.75000000003</v>
      </c>
      <c r="AB19" s="216">
        <f t="shared" si="0"/>
        <v>4506102.1899999995</v>
      </c>
      <c r="AC19" s="318"/>
      <c r="AD19" s="345"/>
    </row>
    <row r="20" spans="1:30" s="135" customFormat="1" ht="19" customHeight="1" outlineLevel="1" x14ac:dyDescent="0.4">
      <c r="A20" s="345"/>
      <c r="B20" s="315"/>
      <c r="C20" s="202" t="str">
        <f>'Ежемес. расходы'!C16</f>
        <v>Брафиттер</v>
      </c>
      <c r="D20" s="203">
        <f>IF('Ежемес. расходы'!$D$16&gt;0,'Ежемес. расходы'!$E$16*'Ежемес. расходы'!$D$16+'Ежемес. расходы'!$F$16*'Прибыль и окупаемость'!D9,0)</f>
        <v>117440.9</v>
      </c>
      <c r="E20" s="203">
        <f>IF('Ежемес. расходы'!$D$16&gt;0,'Ежемес. расходы'!$E$16*'Ежемес. расходы'!$D$16+'Ежемес. расходы'!$F$16*'Прибыль и окупаемость'!E9,0)</f>
        <v>114944.84</v>
      </c>
      <c r="F20" s="203">
        <f>IF('Ежемес. расходы'!$D$16&gt;0,'Ежемес. расходы'!$E$16*'Ежемес. расходы'!$D$16+'Ежемес. расходы'!$F$16*'Прибыль и окупаемость'!F9,0)</f>
        <v>154912.25</v>
      </c>
      <c r="G20" s="203">
        <f>IF('Ежемес. расходы'!$D$16&gt;0,'Ежемес. расходы'!$E$16*'Ежемес. расходы'!$D$16+'Ежемес. расходы'!$F$16*'Прибыль и окупаемость'!G9,0)</f>
        <v>154912.25</v>
      </c>
      <c r="H20" s="203">
        <f>IF('Ежемес. расходы'!$D$16&gt;0,'Ежемес. расходы'!$E$16*'Ежемес. расходы'!$D$16+'Ежемес. расходы'!$F$16*'Прибыль и окупаемость'!H9,0)</f>
        <v>154912.25</v>
      </c>
      <c r="I20" s="203">
        <f>IF('Ежемес. расходы'!$D$16&gt;0,'Ежемес. расходы'!$E$16*'Ежемес. расходы'!$D$16+'Ежемес. расходы'!$F$16*'Прибыль и окупаемость'!I9,0)</f>
        <v>154912.25</v>
      </c>
      <c r="J20" s="203">
        <f>IF('Ежемес. расходы'!$D$16&gt;0,'Ежемес. расходы'!$E$16*'Ежемес. расходы'!$D$16+'Ежемес. расходы'!$F$16*'Прибыль и окупаемость'!J9,0)</f>
        <v>175371.5</v>
      </c>
      <c r="K20" s="203">
        <f>IF('Ежемес. расходы'!$D$16&gt;0,'Ежемес. расходы'!$E$16*'Ежемес. расходы'!$D$16+'Ежемес. расходы'!$F$16*'Прибыль и окупаемость'!K9,0)</f>
        <v>175371.5</v>
      </c>
      <c r="L20" s="203">
        <f>IF('Ежемес. расходы'!$D$16&gt;0,'Ежемес. расходы'!$E$16*'Ежемес. расходы'!$D$16+'Ежемес. расходы'!$F$16*'Прибыль и окупаемость'!L9,0)</f>
        <v>175371.5</v>
      </c>
      <c r="M20" s="203">
        <f>IF('Ежемес. расходы'!$D$16&gt;0,'Ежемес. расходы'!$E$16*'Ежемес. расходы'!$D$16+'Ежемес. расходы'!$F$16*'Прибыль и окупаемость'!M9,0)</f>
        <v>192353.15000000002</v>
      </c>
      <c r="N20" s="203">
        <f>IF('Ежемес. расходы'!$D$16&gt;0,'Ежемес. расходы'!$E$16*'Ежемес. расходы'!$D$16+'Ежемес. расходы'!$F$16*'Прибыль и окупаемость'!N9,0)</f>
        <v>202598</v>
      </c>
      <c r="O20" s="203">
        <f>IF('Ежемес. расходы'!$D$16&gt;0,'Ежемес. расходы'!$E$16*'Ежемес. расходы'!$D$16+'Ежемес. расходы'!$F$16*'Прибыль и окупаемость'!O9,0)</f>
        <v>250283.75000000003</v>
      </c>
      <c r="P20" s="203">
        <f>IF('Ежемес. расходы'!$D$16&gt;0,'Ежемес. расходы'!$E$16*'Ежемес. расходы'!$D$16+'Ежемес. расходы'!$F$16*'Прибыль и окупаемость'!P9,0)</f>
        <v>229824.5</v>
      </c>
      <c r="Q20" s="203">
        <f>IF('Ежемес. расходы'!$D$16&gt;0,'Ежемес. расходы'!$E$16*'Ежемес. расходы'!$D$16+'Ежемес. расходы'!$F$16*'Прибыль и окупаемость'!Q9,0)</f>
        <v>169013.40000000002</v>
      </c>
      <c r="R20" s="203">
        <f>IF('Ежемес. расходы'!$D$16&gt;0,'Ежемес. расходы'!$E$16*'Ежемес. расходы'!$D$16+'Ежемес. расходы'!$F$16*'Прибыль и окупаемость'!R9,0)</f>
        <v>240038.90000000002</v>
      </c>
      <c r="S20" s="203">
        <f>IF('Ежемес. расходы'!$D$16&gt;0,'Ежемес. расходы'!$E$16*'Ежемес. расходы'!$D$16+'Ежемес. расходы'!$F$16*'Прибыль и окупаемость'!S9,0)</f>
        <v>202598</v>
      </c>
      <c r="T20" s="203">
        <f>IF('Ежемес. расходы'!$D$16&gt;0,'Ежемес. расходы'!$E$16*'Ежемес. расходы'!$D$16+'Ежемес. расходы'!$F$16*'Прибыль и окупаемость'!T9,0)</f>
        <v>202598</v>
      </c>
      <c r="U20" s="203">
        <f>IF('Ежемес. расходы'!$D$16&gt;0,'Ежемес. расходы'!$E$16*'Ежемес. расходы'!$D$16+'Ежемес. расходы'!$F$16*'Прибыль и окупаемость'!U9,0)</f>
        <v>202598</v>
      </c>
      <c r="V20" s="203">
        <f>IF('Ежемес. расходы'!$D$16&gt;0,'Ежемес. расходы'!$E$16*'Ежемес. расходы'!$D$16+'Ежемес. расходы'!$F$16*'Прибыль и окупаемость'!V9,0)</f>
        <v>202598</v>
      </c>
      <c r="W20" s="203">
        <f>IF('Ежемес. расходы'!$D$16&gt;0,'Ежемес. расходы'!$E$16*'Ежемес. расходы'!$D$16+'Ежемес. расходы'!$F$16*'Прибыль и окупаемость'!W9,0)</f>
        <v>192353.15000000002</v>
      </c>
      <c r="X20" s="203">
        <f>IF('Ежемес. расходы'!$D$16&gt;0,'Ежемес. расходы'!$E$16*'Ежемес. расходы'!$D$16+'Ежемес. расходы'!$F$16*'Прибыль и окупаемость'!X9,0)</f>
        <v>175371.5</v>
      </c>
      <c r="Y20" s="203">
        <f>IF('Ежемес. расходы'!$D$16&gt;0,'Ежемес. расходы'!$E$16*'Ежемес. расходы'!$D$16+'Ежемес. расходы'!$F$16*'Прибыль и окупаемость'!Y9,0)</f>
        <v>202598</v>
      </c>
      <c r="Z20" s="203">
        <f>IF('Ежемес. расходы'!$D$16&gt;0,'Ежемес. расходы'!$E$16*'Ежемес. расходы'!$D$16+'Ежемес. расходы'!$F$16*'Прибыль и окупаемость'!Z9,0)</f>
        <v>212842.85</v>
      </c>
      <c r="AA20" s="203">
        <f>IF('Ежемес. расходы'!$D$16&gt;0,'Ежемес. расходы'!$E$16*'Ежемес. расходы'!$D$16+'Ежемес. расходы'!$F$16*'Прибыль и окупаемость'!AA9,0)</f>
        <v>250283.75000000003</v>
      </c>
      <c r="AB20" s="217">
        <f t="shared" si="0"/>
        <v>4506102.1899999995</v>
      </c>
      <c r="AC20" s="318"/>
      <c r="AD20" s="345"/>
    </row>
    <row r="21" spans="1:30" s="135" customFormat="1" ht="19" customHeight="1" outlineLevel="1" x14ac:dyDescent="0.4">
      <c r="A21" s="345"/>
      <c r="B21" s="315"/>
      <c r="C21" s="202" t="str">
        <f>'Ежемес. расходы'!C17</f>
        <v>Кассир</v>
      </c>
      <c r="D21" s="203">
        <f>IF('Ежемес. расходы'!$D$17&gt;0,'Ежемес. расходы'!$E$17*'Ежемес. расходы'!$D$17+'Ежемес. расходы'!$F$17*D9,0)</f>
        <v>0</v>
      </c>
      <c r="E21" s="203">
        <f>IF('Ежемес. расходы'!$D$17&gt;0,'Ежемес. расходы'!$E$17*'Ежемес. расходы'!$D$17+'Ежемес. расходы'!$F$17*E9,0)</f>
        <v>0</v>
      </c>
      <c r="F21" s="203">
        <f>IF('Ежемес. расходы'!$D$17&gt;0,'Ежемес. расходы'!$E$17*'Ежемес. расходы'!$D$17+'Ежемес. расходы'!$F$17*F9,0)</f>
        <v>0</v>
      </c>
      <c r="G21" s="203">
        <f>IF('Ежемес. расходы'!$D$17&gt;0,'Ежемес. расходы'!$E$17*'Ежемес. расходы'!$D$17+'Ежемес. расходы'!$F$17*G9,0)</f>
        <v>0</v>
      </c>
      <c r="H21" s="203">
        <f>IF('Ежемес. расходы'!$D$17&gt;0,'Ежемес. расходы'!$E$17*'Ежемес. расходы'!$D$17+'Ежемес. расходы'!$F$17*H9,0)</f>
        <v>0</v>
      </c>
      <c r="I21" s="203">
        <f>IF('Ежемес. расходы'!$D$17&gt;0,'Ежемес. расходы'!$E$17*'Ежемес. расходы'!$D$17+'Ежемес. расходы'!$F$17*I9,0)</f>
        <v>0</v>
      </c>
      <c r="J21" s="203">
        <f>IF('Ежемес. расходы'!$D$17&gt;0,'Ежемес. расходы'!$E$17*'Ежемес. расходы'!$D$17+'Ежемес. расходы'!$F$17*J9,0)</f>
        <v>0</v>
      </c>
      <c r="K21" s="203">
        <f>IF('Ежемес. расходы'!$D$17&gt;0,'Ежемес. расходы'!$E$17*'Ежемес. расходы'!$D$17+'Ежемес. расходы'!$F$17*K9,0)</f>
        <v>0</v>
      </c>
      <c r="L21" s="203">
        <f>IF('Ежемес. расходы'!$D$17&gt;0,'Ежемес. расходы'!$E$17*'Ежемес. расходы'!$D$17+'Ежемес. расходы'!$F$17*L9,0)</f>
        <v>0</v>
      </c>
      <c r="M21" s="203">
        <f>IF('Ежемес. расходы'!$D$17&gt;0,'Ежемес. расходы'!$E$17*'Ежемес. расходы'!$D$17+'Ежемес. расходы'!$F$17*M9,0)</f>
        <v>0</v>
      </c>
      <c r="N21" s="203">
        <f>IF('Ежемес. расходы'!$D$17&gt;0,'Ежемес. расходы'!$E$17*'Ежемес. расходы'!$D$17+'Ежемес. расходы'!$F$17*N9,0)</f>
        <v>0</v>
      </c>
      <c r="O21" s="203">
        <f>IF('Ежемес. расходы'!$D$17&gt;0,'Ежемес. расходы'!$E$17*'Ежемес. расходы'!$D$17+'Ежемес. расходы'!$F$17*O9,0)</f>
        <v>0</v>
      </c>
      <c r="P21" s="203">
        <f>IF('Ежемес. расходы'!$D$17&gt;0,'Ежемес. расходы'!$E$17*'Ежемес. расходы'!$D$17+'Ежемес. расходы'!$F$17*P9,0)</f>
        <v>0</v>
      </c>
      <c r="Q21" s="203">
        <f>IF('Ежемес. расходы'!$D$17&gt;0,'Ежемес. расходы'!$E$17*'Ежемес. расходы'!$D$17+'Ежемес. расходы'!$F$17*Q9,0)</f>
        <v>0</v>
      </c>
      <c r="R21" s="203">
        <f>IF('Ежемес. расходы'!$D$17&gt;0,'Ежемес. расходы'!$E$17*'Ежемес. расходы'!$D$17+'Ежемес. расходы'!$F$17*R9,0)</f>
        <v>0</v>
      </c>
      <c r="S21" s="203">
        <f>IF('Ежемес. расходы'!$D$17&gt;0,'Ежемес. расходы'!$E$17*'Ежемес. расходы'!$D$17+'Ежемес. расходы'!$F$17*S9,0)</f>
        <v>0</v>
      </c>
      <c r="T21" s="203">
        <f>IF('Ежемес. расходы'!$D$17&gt;0,'Ежемес. расходы'!$E$17*'Ежемес. расходы'!$D$17+'Ежемес. расходы'!$F$17*T9,0)</f>
        <v>0</v>
      </c>
      <c r="U21" s="203">
        <f>IF('Ежемес. расходы'!$D$17&gt;0,'Ежемес. расходы'!$E$17*'Ежемес. расходы'!$D$17+'Ежемес. расходы'!$F$17*U9,0)</f>
        <v>0</v>
      </c>
      <c r="V21" s="203">
        <f>IF('Ежемес. расходы'!$D$17&gt;0,'Ежемес. расходы'!$E$17*'Ежемес. расходы'!$D$17+'Ежемес. расходы'!$F$17*V9,0)</f>
        <v>0</v>
      </c>
      <c r="W21" s="203">
        <f>IF('Ежемес. расходы'!$D$17&gt;0,'Ежемес. расходы'!$E$17*'Ежемес. расходы'!$D$17+'Ежемес. расходы'!$F$17*W9,0)</f>
        <v>0</v>
      </c>
      <c r="X21" s="203">
        <f>IF('Ежемес. расходы'!$D$17&gt;0,'Ежемес. расходы'!$E$17*'Ежемес. расходы'!$D$17+'Ежемес. расходы'!$F$17*X9,0)</f>
        <v>0</v>
      </c>
      <c r="Y21" s="203">
        <f>IF('Ежемес. расходы'!$D$17&gt;0,'Ежемес. расходы'!$E$17*'Ежемес. расходы'!$D$17+'Ежемес. расходы'!$F$17*Y9,0)</f>
        <v>0</v>
      </c>
      <c r="Z21" s="203">
        <f>IF('Ежемес. расходы'!$D$17&gt;0,'Ежемес. расходы'!$E$17*'Ежемес. расходы'!$D$17+'Ежемес. расходы'!$F$17*Z9,0)</f>
        <v>0</v>
      </c>
      <c r="AA21" s="203">
        <f>IF('Ежемес. расходы'!$D$17&gt;0,'Ежемес. расходы'!$E$17*'Ежемес. расходы'!$D$17+'Ежемес. расходы'!$F$17*AA9,0)</f>
        <v>0</v>
      </c>
      <c r="AB21" s="217">
        <f t="shared" si="0"/>
        <v>0</v>
      </c>
      <c r="AC21" s="318"/>
      <c r="AD21" s="345"/>
    </row>
    <row r="22" spans="1:30" s="135" customFormat="1" ht="19" customHeight="1" outlineLevel="1" x14ac:dyDescent="0.4">
      <c r="A22" s="345"/>
      <c r="B22" s="315"/>
      <c r="C22" s="202" t="str">
        <f>'Ежемес. расходы'!C18</f>
        <v>Страховые взносы за сотрудников</v>
      </c>
      <c r="D22" s="203">
        <f>SUM('Ежемес. расходы'!$D$16:$D$16)*'Ежемес. расходы'!$D$18*'Ежемес. расходы'!$F$18</f>
        <v>0</v>
      </c>
      <c r="E22" s="203">
        <f>SUM('Ежемес. расходы'!$D$16:$D$16)*'Ежемес. расходы'!$D$18*'Ежемес. расходы'!$F$18</f>
        <v>0</v>
      </c>
      <c r="F22" s="203">
        <f>SUM('Ежемес. расходы'!$D$16:$D$16)*'Ежемес. расходы'!$D$18*'Ежемес. расходы'!$F$18</f>
        <v>0</v>
      </c>
      <c r="G22" s="203">
        <f>SUM('Ежемес. расходы'!$D$16:$D$16)*'Ежемес. расходы'!$D$18*'Ежемес. расходы'!$F$18</f>
        <v>0</v>
      </c>
      <c r="H22" s="203">
        <f>SUM('Ежемес. расходы'!$D$16:$D$16)*'Ежемес. расходы'!$D$18*'Ежемес. расходы'!$F$18</f>
        <v>0</v>
      </c>
      <c r="I22" s="203">
        <f>SUM('Ежемес. расходы'!$D$16:$D$16)*'Ежемес. расходы'!$D$18*'Ежемес. расходы'!$F$18</f>
        <v>0</v>
      </c>
      <c r="J22" s="203">
        <f>SUM('Ежемес. расходы'!$D$16:$D$16)*'Ежемес. расходы'!$D$18*'Ежемес. расходы'!$F$18</f>
        <v>0</v>
      </c>
      <c r="K22" s="203">
        <f>SUM('Ежемес. расходы'!$D$16:$D$16)*'Ежемес. расходы'!$D$18*'Ежемес. расходы'!$F$18</f>
        <v>0</v>
      </c>
      <c r="L22" s="203">
        <f>SUM('Ежемес. расходы'!$D$16:$D$16)*'Ежемес. расходы'!$D$18*'Ежемес. расходы'!$F$18</f>
        <v>0</v>
      </c>
      <c r="M22" s="203">
        <f>SUM('Ежемес. расходы'!$D$16:$D$16)*'Ежемес. расходы'!$D$18*'Ежемес. расходы'!$F$18</f>
        <v>0</v>
      </c>
      <c r="N22" s="203">
        <f>SUM('Ежемес. расходы'!$D$16:$D$16)*'Ежемес. расходы'!$D$18*'Ежемес. расходы'!$F$18</f>
        <v>0</v>
      </c>
      <c r="O22" s="203">
        <f>SUM('Ежемес. расходы'!$D$16:$D$16)*'Ежемес. расходы'!$D$18*'Ежемес. расходы'!$F$18</f>
        <v>0</v>
      </c>
      <c r="P22" s="203">
        <f>SUM('Ежемес. расходы'!$D$16:$D$16)*'Ежемес. расходы'!$D$18*'Ежемес. расходы'!$F$18</f>
        <v>0</v>
      </c>
      <c r="Q22" s="203">
        <f>SUM('Ежемес. расходы'!$D$16:$D$16)*'Ежемес. расходы'!$D$18*'Ежемес. расходы'!$F$18</f>
        <v>0</v>
      </c>
      <c r="R22" s="203">
        <f>SUM('Ежемес. расходы'!$D$16:$D$16)*'Ежемес. расходы'!$D$18*'Ежемес. расходы'!$F$18</f>
        <v>0</v>
      </c>
      <c r="S22" s="203">
        <f>SUM('Ежемес. расходы'!$D$16:$D$16)*'Ежемес. расходы'!$D$18*'Ежемес. расходы'!$F$18</f>
        <v>0</v>
      </c>
      <c r="T22" s="203">
        <f>SUM('Ежемес. расходы'!$D$16:$D$16)*'Ежемес. расходы'!$D$18*'Ежемес. расходы'!$F$18</f>
        <v>0</v>
      </c>
      <c r="U22" s="203">
        <f>SUM('Ежемес. расходы'!$D$16:$D$16)*'Ежемес. расходы'!$D$18*'Ежемес. расходы'!$F$18</f>
        <v>0</v>
      </c>
      <c r="V22" s="203">
        <f>SUM('Ежемес. расходы'!$D$16:$D$16)*'Ежемес. расходы'!$D$18*'Ежемес. расходы'!$F$18</f>
        <v>0</v>
      </c>
      <c r="W22" s="203">
        <f>SUM('Ежемес. расходы'!$D$16:$D$16)*'Ежемес. расходы'!$D$18*'Ежемес. расходы'!$F$18</f>
        <v>0</v>
      </c>
      <c r="X22" s="203">
        <f>SUM('Ежемес. расходы'!$D$16:$D$16)*'Ежемес. расходы'!$D$18*'Ежемес. расходы'!$F$18</f>
        <v>0</v>
      </c>
      <c r="Y22" s="203">
        <f>SUM('Ежемес. расходы'!$D$16:$D$16)*'Ежемес. расходы'!$D$18*'Ежемес. расходы'!$F$18</f>
        <v>0</v>
      </c>
      <c r="Z22" s="203">
        <f>SUM('Ежемес. расходы'!$D$16:$D$16)*'Ежемес. расходы'!$D$18*'Ежемес. расходы'!$F$18</f>
        <v>0</v>
      </c>
      <c r="AA22" s="203">
        <f>SUM('Ежемес. расходы'!$D$16:$D$16)*'Ежемес. расходы'!$D$18*'Ежемес. расходы'!$F$18</f>
        <v>0</v>
      </c>
      <c r="AB22" s="217">
        <f t="shared" si="0"/>
        <v>0</v>
      </c>
      <c r="AC22" s="318"/>
      <c r="AD22" s="345"/>
    </row>
    <row r="23" spans="1:30" s="135" customFormat="1" ht="19" customHeight="1" x14ac:dyDescent="0.4">
      <c r="A23" s="345"/>
      <c r="B23" s="315"/>
      <c r="C23" s="198" t="s">
        <v>50</v>
      </c>
      <c r="D23" s="174">
        <f t="shared" ref="D23:AA23" si="4">SUM(D43:D45)</f>
        <v>11166.666666666666</v>
      </c>
      <c r="E23" s="174">
        <f t="shared" si="4"/>
        <v>11166.666666666666</v>
      </c>
      <c r="F23" s="174">
        <f t="shared" si="4"/>
        <v>11166.666666666666</v>
      </c>
      <c r="G23" s="174">
        <f t="shared" si="4"/>
        <v>11166.666666666666</v>
      </c>
      <c r="H23" s="174">
        <f t="shared" si="4"/>
        <v>11166.666666666666</v>
      </c>
      <c r="I23" s="174">
        <f t="shared" si="4"/>
        <v>11166.666666666666</v>
      </c>
      <c r="J23" s="174">
        <f t="shared" si="4"/>
        <v>11166.666666666666</v>
      </c>
      <c r="K23" s="174">
        <f t="shared" si="4"/>
        <v>11166.666666666666</v>
      </c>
      <c r="L23" s="174">
        <f t="shared" si="4"/>
        <v>11166.666666666666</v>
      </c>
      <c r="M23" s="174">
        <f t="shared" si="4"/>
        <v>11166.666666666666</v>
      </c>
      <c r="N23" s="174">
        <f t="shared" si="4"/>
        <v>11166.666666666666</v>
      </c>
      <c r="O23" s="174">
        <f t="shared" si="4"/>
        <v>11166.666666666666</v>
      </c>
      <c r="P23" s="174">
        <f t="shared" si="4"/>
        <v>11166.666666666666</v>
      </c>
      <c r="Q23" s="174">
        <f t="shared" si="4"/>
        <v>11166.666666666666</v>
      </c>
      <c r="R23" s="174">
        <f t="shared" si="4"/>
        <v>11166.666666666666</v>
      </c>
      <c r="S23" s="174">
        <f t="shared" si="4"/>
        <v>11166.666666666666</v>
      </c>
      <c r="T23" s="174">
        <f t="shared" si="4"/>
        <v>11166.666666666666</v>
      </c>
      <c r="U23" s="174">
        <f t="shared" si="4"/>
        <v>11166.666666666666</v>
      </c>
      <c r="V23" s="174">
        <f t="shared" si="4"/>
        <v>11166.666666666666</v>
      </c>
      <c r="W23" s="174">
        <f t="shared" si="4"/>
        <v>11166.666666666666</v>
      </c>
      <c r="X23" s="174">
        <f t="shared" si="4"/>
        <v>11166.666666666666</v>
      </c>
      <c r="Y23" s="174">
        <f t="shared" si="4"/>
        <v>11166.666666666666</v>
      </c>
      <c r="Z23" s="174">
        <f t="shared" si="4"/>
        <v>11166.666666666666</v>
      </c>
      <c r="AA23" s="174">
        <f t="shared" si="4"/>
        <v>11166.666666666666</v>
      </c>
      <c r="AB23" s="216">
        <f t="shared" si="0"/>
        <v>267999.99999999994</v>
      </c>
      <c r="AC23" s="318"/>
      <c r="AD23" s="345"/>
    </row>
    <row r="24" spans="1:30" s="135" customFormat="1" ht="19.5" customHeight="1" x14ac:dyDescent="0.4">
      <c r="A24" s="345"/>
      <c r="B24" s="315"/>
      <c r="C24" s="198" t="s">
        <v>30</v>
      </c>
      <c r="D24" s="174">
        <f>IF(Инвестиции!$E$57=0,0,Кредитование!$D8)</f>
        <v>0</v>
      </c>
      <c r="E24" s="174">
        <f>IF(Инвестиции!$E$57=0,0,Кредитование!$D9)</f>
        <v>0</v>
      </c>
      <c r="F24" s="174">
        <f>IF(Инвестиции!$E$57=0,0,Кредитование!$D10)</f>
        <v>0</v>
      </c>
      <c r="G24" s="174">
        <f>IF(Инвестиции!$E$57=0,0,Кредитование!$D11)</f>
        <v>0</v>
      </c>
      <c r="H24" s="174">
        <f>IF(Инвестиции!$E$57=0,0,Кредитование!$D12)</f>
        <v>0</v>
      </c>
      <c r="I24" s="174">
        <f>IF(Инвестиции!$E$57=0,0,Кредитование!$D13)</f>
        <v>0</v>
      </c>
      <c r="J24" s="174">
        <f>IF(Инвестиции!$E$57=0,0,Кредитование!$D14)</f>
        <v>0</v>
      </c>
      <c r="K24" s="174">
        <f>IF(Инвестиции!$E$57=0,0,Кредитование!$D15)</f>
        <v>0</v>
      </c>
      <c r="L24" s="174">
        <f>IF(Инвестиции!$E$57=0,0,Кредитование!$D16)</f>
        <v>0</v>
      </c>
      <c r="M24" s="174">
        <f>IF(Инвестиции!$E$57=0,0,Кредитование!$D17)</f>
        <v>0</v>
      </c>
      <c r="N24" s="174">
        <f>IF(Инвестиции!$E$57=0,0,Кредитование!$D18)</f>
        <v>0</v>
      </c>
      <c r="O24" s="174">
        <f>IF(Инвестиции!$E$57=0,0,Кредитование!$D19)</f>
        <v>0</v>
      </c>
      <c r="P24" s="174">
        <f>IF(Инвестиции!$E$57=0,0,Кредитование!$D20)</f>
        <v>0</v>
      </c>
      <c r="Q24" s="174">
        <f>IF(Инвестиции!$E$57=0,0,Кредитование!$D21)</f>
        <v>0</v>
      </c>
      <c r="R24" s="174">
        <f>IF(Инвестиции!$E$57=0,0,Кредитование!$D22)</f>
        <v>0</v>
      </c>
      <c r="S24" s="174">
        <f>IF(Инвестиции!$E$57=0,0,Кредитование!$D23)</f>
        <v>0</v>
      </c>
      <c r="T24" s="174">
        <f>IF(Инвестиции!$E$57=0,0,Кредитование!$D24)</f>
        <v>0</v>
      </c>
      <c r="U24" s="174">
        <f>IF(Инвестиции!$E$57=0,0,Кредитование!$D25)</f>
        <v>0</v>
      </c>
      <c r="V24" s="174">
        <f>IF(Инвестиции!$E$57=0,0,Кредитование!$D26)</f>
        <v>0</v>
      </c>
      <c r="W24" s="174">
        <f>IF(Инвестиции!$E$57=0,0,Кредитование!$D27)</f>
        <v>0</v>
      </c>
      <c r="X24" s="174">
        <f>IF(Инвестиции!$E$57=0,0,Кредитование!$D28)</f>
        <v>0</v>
      </c>
      <c r="Y24" s="174">
        <f>IF(Инвестиции!$E$57=0,0,Кредитование!$D29)</f>
        <v>0</v>
      </c>
      <c r="Z24" s="174">
        <f>IF(Инвестиции!$E$57=0,0,Кредитование!$D30)</f>
        <v>0</v>
      </c>
      <c r="AA24" s="174">
        <f>IF(Инвестиции!$E$57=0,0,Кредитование!$D31)</f>
        <v>0</v>
      </c>
      <c r="AB24" s="216">
        <f t="shared" si="0"/>
        <v>0</v>
      </c>
      <c r="AC24" s="318"/>
      <c r="AD24" s="345"/>
    </row>
    <row r="25" spans="1:30" s="135" customFormat="1" ht="19.5" customHeight="1" x14ac:dyDescent="0.4">
      <c r="A25" s="345"/>
      <c r="B25" s="315"/>
      <c r="C25" s="198" t="str">
        <f>'Ежемес. расходы'!C19</f>
        <v>Реклама</v>
      </c>
      <c r="D25" s="174">
        <f>'Ежемес. расходы'!$F$19*D9</f>
        <v>53487</v>
      </c>
      <c r="E25" s="174">
        <f>'Ежемес. расходы'!$F$19*E9</f>
        <v>49921.200000000004</v>
      </c>
      <c r="F25" s="174">
        <f>'Ежемес. расходы'!$F$19*F9</f>
        <v>107017.5</v>
      </c>
      <c r="G25" s="174">
        <f>'Ежемес. расходы'!$F$19*G9</f>
        <v>107017.5</v>
      </c>
      <c r="H25" s="174">
        <f>'Ежемес. расходы'!$F$19*H9</f>
        <v>107017.5</v>
      </c>
      <c r="I25" s="174">
        <f>'Ежемес. расходы'!$F$19*I9</f>
        <v>107017.5</v>
      </c>
      <c r="J25" s="174">
        <f>'Ежемес. расходы'!$F$19*J9</f>
        <v>136245</v>
      </c>
      <c r="K25" s="174">
        <f>'Ежемес. расходы'!$F$19*K9</f>
        <v>136245</v>
      </c>
      <c r="L25" s="174">
        <f>'Ежемес. расходы'!$F$19*L9</f>
        <v>136245</v>
      </c>
      <c r="M25" s="174">
        <f>'Ежемес. расходы'!$F$19*M9</f>
        <v>160504.5</v>
      </c>
      <c r="N25" s="174">
        <f>'Ежемес. расходы'!$F$19*N9</f>
        <v>175140</v>
      </c>
      <c r="O25" s="174">
        <f>'Ежемес. расходы'!$F$19*O9</f>
        <v>243262.5</v>
      </c>
      <c r="P25" s="174">
        <f>'Ежемес. расходы'!$F$19*P9</f>
        <v>214035</v>
      </c>
      <c r="Q25" s="174">
        <f>'Ежемес. расходы'!$F$19*Q9</f>
        <v>127162</v>
      </c>
      <c r="R25" s="174">
        <f>'Ежемес. расходы'!$F$19*R9</f>
        <v>228627</v>
      </c>
      <c r="S25" s="174">
        <f>'Ежемес. расходы'!$F$19*S9</f>
        <v>175140</v>
      </c>
      <c r="T25" s="174">
        <f>'Ежемес. расходы'!$F$19*T9</f>
        <v>175140</v>
      </c>
      <c r="U25" s="174">
        <f>'Ежемес. расходы'!$F$19*U9</f>
        <v>175140</v>
      </c>
      <c r="V25" s="174">
        <f>'Ежемес. расходы'!$F$19*V9</f>
        <v>175140</v>
      </c>
      <c r="W25" s="174">
        <f>'Ежемес. расходы'!$F$19*W9</f>
        <v>160504.5</v>
      </c>
      <c r="X25" s="174">
        <f>'Ежемес. расходы'!$F$19*X9</f>
        <v>136245</v>
      </c>
      <c r="Y25" s="174">
        <f>'Ежемес. расходы'!$F$19*Y9</f>
        <v>175140</v>
      </c>
      <c r="Z25" s="174">
        <f>'Ежемес. расходы'!$F$19*Z9</f>
        <v>189775.5</v>
      </c>
      <c r="AA25" s="174">
        <f>'Ежемес. расходы'!$F$19*AA9</f>
        <v>243262.5</v>
      </c>
      <c r="AB25" s="216">
        <f t="shared" si="0"/>
        <v>3694431.7</v>
      </c>
      <c r="AC25" s="318"/>
      <c r="AD25" s="345"/>
    </row>
    <row r="26" spans="1:30" s="135" customFormat="1" ht="19" customHeight="1" x14ac:dyDescent="0.4">
      <c r="A26" s="345"/>
      <c r="B26" s="315"/>
      <c r="C26" s="198" t="s">
        <v>96</v>
      </c>
      <c r="D26" s="174">
        <f>SUM(D27:D35)</f>
        <v>30034.575000000001</v>
      </c>
      <c r="E26" s="174">
        <f t="shared" ref="E26:AA26" si="5">SUM(E27:E35)</f>
        <v>29232.27</v>
      </c>
      <c r="F26" s="174">
        <f t="shared" si="5"/>
        <v>42078.9375</v>
      </c>
      <c r="G26" s="174">
        <f t="shared" si="5"/>
        <v>42078.9375</v>
      </c>
      <c r="H26" s="174">
        <f t="shared" si="5"/>
        <v>42078.9375</v>
      </c>
      <c r="I26" s="174">
        <f t="shared" si="5"/>
        <v>42078.9375</v>
      </c>
      <c r="J26" s="174">
        <f t="shared" si="5"/>
        <v>48655.125</v>
      </c>
      <c r="K26" s="174">
        <f t="shared" si="5"/>
        <v>48655.125</v>
      </c>
      <c r="L26" s="174">
        <f t="shared" si="5"/>
        <v>48655.125</v>
      </c>
      <c r="M26" s="174">
        <f t="shared" si="5"/>
        <v>54113.512500000004</v>
      </c>
      <c r="N26" s="174">
        <f t="shared" si="5"/>
        <v>57406.500000000007</v>
      </c>
      <c r="O26" s="174">
        <f t="shared" si="5"/>
        <v>72734.0625</v>
      </c>
      <c r="P26" s="174">
        <f t="shared" si="5"/>
        <v>66157.875</v>
      </c>
      <c r="Q26" s="174">
        <f t="shared" si="5"/>
        <v>46611.450000000004</v>
      </c>
      <c r="R26" s="174">
        <f t="shared" si="5"/>
        <v>69441.075000000012</v>
      </c>
      <c r="S26" s="174">
        <f t="shared" si="5"/>
        <v>57406.500000000007</v>
      </c>
      <c r="T26" s="174">
        <f t="shared" si="5"/>
        <v>57406.500000000007</v>
      </c>
      <c r="U26" s="174">
        <f t="shared" si="5"/>
        <v>57406.500000000007</v>
      </c>
      <c r="V26" s="174">
        <f t="shared" si="5"/>
        <v>57406.500000000007</v>
      </c>
      <c r="W26" s="174">
        <f t="shared" si="5"/>
        <v>54113.512500000004</v>
      </c>
      <c r="X26" s="174">
        <f t="shared" si="5"/>
        <v>48655.125</v>
      </c>
      <c r="Y26" s="174">
        <f t="shared" si="5"/>
        <v>57406.500000000007</v>
      </c>
      <c r="Z26" s="174">
        <f t="shared" si="5"/>
        <v>60699.487500000003</v>
      </c>
      <c r="AA26" s="174">
        <f t="shared" si="5"/>
        <v>72734.0625</v>
      </c>
      <c r="AB26" s="216">
        <f t="shared" si="0"/>
        <v>1263247.1324999998</v>
      </c>
      <c r="AC26" s="318"/>
      <c r="AD26" s="345"/>
    </row>
    <row r="27" spans="1:30" s="135" customFormat="1" ht="19" hidden="1" customHeight="1" outlineLevel="1" x14ac:dyDescent="0.4">
      <c r="A27" s="345"/>
      <c r="B27" s="315"/>
      <c r="C27" s="202" t="str">
        <f>'Ежемес. расходы'!C21</f>
        <v>Связь и интернет</v>
      </c>
      <c r="D27" s="201">
        <f>'Ежемес. расходы'!$F$21</f>
        <v>5000</v>
      </c>
      <c r="E27" s="201">
        <f>'Ежемес. расходы'!$F$21</f>
        <v>5000</v>
      </c>
      <c r="F27" s="201">
        <f>'Ежемес. расходы'!$F$21</f>
        <v>5000</v>
      </c>
      <c r="G27" s="201">
        <f>'Ежемес. расходы'!$F$21</f>
        <v>5000</v>
      </c>
      <c r="H27" s="201">
        <f>'Ежемес. расходы'!$F$21</f>
        <v>5000</v>
      </c>
      <c r="I27" s="201">
        <f>'Ежемес. расходы'!$F$21</f>
        <v>5000</v>
      </c>
      <c r="J27" s="201">
        <f>'Ежемес. расходы'!$F$21</f>
        <v>5000</v>
      </c>
      <c r="K27" s="201">
        <f>'Ежемес. расходы'!$F$21</f>
        <v>5000</v>
      </c>
      <c r="L27" s="201">
        <f>'Ежемес. расходы'!$F$21</f>
        <v>5000</v>
      </c>
      <c r="M27" s="201">
        <f>'Ежемес. расходы'!$F$21</f>
        <v>5000</v>
      </c>
      <c r="N27" s="201">
        <f>'Ежемес. расходы'!$F$21</f>
        <v>5000</v>
      </c>
      <c r="O27" s="201">
        <f>'Ежемес. расходы'!$F$21</f>
        <v>5000</v>
      </c>
      <c r="P27" s="201">
        <f>'Ежемес. расходы'!$F$21</f>
        <v>5000</v>
      </c>
      <c r="Q27" s="201">
        <f>'Ежемес. расходы'!$F$21</f>
        <v>5000</v>
      </c>
      <c r="R27" s="201">
        <f>'Ежемес. расходы'!$F$21</f>
        <v>5000</v>
      </c>
      <c r="S27" s="201">
        <f>'Ежемес. расходы'!$F$21</f>
        <v>5000</v>
      </c>
      <c r="T27" s="201">
        <f>'Ежемес. расходы'!$F$21</f>
        <v>5000</v>
      </c>
      <c r="U27" s="201">
        <f>'Ежемес. расходы'!$F$21</f>
        <v>5000</v>
      </c>
      <c r="V27" s="201">
        <f>'Ежемес. расходы'!$F$21</f>
        <v>5000</v>
      </c>
      <c r="W27" s="201">
        <f>'Ежемес. расходы'!$F$21</f>
        <v>5000</v>
      </c>
      <c r="X27" s="201">
        <f>'Ежемес. расходы'!$F$21</f>
        <v>5000</v>
      </c>
      <c r="Y27" s="201">
        <f>'Ежемес. расходы'!$F$21</f>
        <v>5000</v>
      </c>
      <c r="Z27" s="201">
        <f>'Ежемес. расходы'!$F$21</f>
        <v>5000</v>
      </c>
      <c r="AA27" s="201">
        <f>'Ежемес. расходы'!$F$21</f>
        <v>5000</v>
      </c>
      <c r="AB27" s="217">
        <f t="shared" si="0"/>
        <v>120000</v>
      </c>
      <c r="AC27" s="318"/>
      <c r="AD27" s="345"/>
    </row>
    <row r="28" spans="1:30" s="135" customFormat="1" ht="19" hidden="1" customHeight="1" outlineLevel="1" x14ac:dyDescent="0.4">
      <c r="A28" s="345"/>
      <c r="B28" s="315"/>
      <c r="C28" s="202" t="str">
        <f>'Ежемес. расходы'!C22</f>
        <v>Хозяйственные и канцелярские принадлежности</v>
      </c>
      <c r="D28" s="201">
        <f>'Ежемес. расходы'!$F$22</f>
        <v>3000</v>
      </c>
      <c r="E28" s="201">
        <f>'Ежемес. расходы'!$F$22</f>
        <v>3000</v>
      </c>
      <c r="F28" s="201">
        <f>'Ежемес. расходы'!$F$22</f>
        <v>3000</v>
      </c>
      <c r="G28" s="201">
        <f>'Ежемес. расходы'!$F$22</f>
        <v>3000</v>
      </c>
      <c r="H28" s="201">
        <f>'Ежемес. расходы'!$F$22</f>
        <v>3000</v>
      </c>
      <c r="I28" s="201">
        <f>'Ежемес. расходы'!$F$22</f>
        <v>3000</v>
      </c>
      <c r="J28" s="201">
        <f>'Ежемес. расходы'!$F$22</f>
        <v>3000</v>
      </c>
      <c r="K28" s="201">
        <f>'Ежемес. расходы'!$F$22</f>
        <v>3000</v>
      </c>
      <c r="L28" s="201">
        <f>'Ежемес. расходы'!$F$22</f>
        <v>3000</v>
      </c>
      <c r="M28" s="201">
        <f>'Ежемес. расходы'!$F$22</f>
        <v>3000</v>
      </c>
      <c r="N28" s="201">
        <f>'Ежемес. расходы'!$F$22</f>
        <v>3000</v>
      </c>
      <c r="O28" s="201">
        <f>'Ежемес. расходы'!$F$22</f>
        <v>3000</v>
      </c>
      <c r="P28" s="201">
        <f>'Ежемес. расходы'!$F$22</f>
        <v>3000</v>
      </c>
      <c r="Q28" s="201">
        <f>'Ежемес. расходы'!$F$22</f>
        <v>3000</v>
      </c>
      <c r="R28" s="201">
        <f>'Ежемес. расходы'!$F$22</f>
        <v>3000</v>
      </c>
      <c r="S28" s="201">
        <f>'Ежемес. расходы'!$F$22</f>
        <v>3000</v>
      </c>
      <c r="T28" s="201">
        <f>'Ежемес. расходы'!$F$22</f>
        <v>3000</v>
      </c>
      <c r="U28" s="201">
        <f>'Ежемес. расходы'!$F$22</f>
        <v>3000</v>
      </c>
      <c r="V28" s="201">
        <f>'Ежемес. расходы'!$F$22</f>
        <v>3000</v>
      </c>
      <c r="W28" s="201">
        <f>'Ежемес. расходы'!$F$22</f>
        <v>3000</v>
      </c>
      <c r="X28" s="201">
        <f>'Ежемес. расходы'!$F$22</f>
        <v>3000</v>
      </c>
      <c r="Y28" s="201">
        <f>'Ежемес. расходы'!$F$22</f>
        <v>3000</v>
      </c>
      <c r="Z28" s="201">
        <f>'Ежемес. расходы'!$F$22</f>
        <v>3000</v>
      </c>
      <c r="AA28" s="201">
        <f>'Ежемес. расходы'!$F$22</f>
        <v>3000</v>
      </c>
      <c r="AB28" s="217">
        <f t="shared" si="0"/>
        <v>72000</v>
      </c>
      <c r="AC28" s="318"/>
      <c r="AD28" s="345"/>
    </row>
    <row r="29" spans="1:30" s="135" customFormat="1" ht="19" hidden="1" customHeight="1" outlineLevel="1" x14ac:dyDescent="0.4">
      <c r="A29" s="345"/>
      <c r="B29" s="315"/>
      <c r="C29" s="202" t="str">
        <f>'Ежемес. расходы'!C23</f>
        <v>Бухгалтерские услуги</v>
      </c>
      <c r="D29" s="201">
        <f>'Ежемес. расходы'!$F$23</f>
        <v>1000</v>
      </c>
      <c r="E29" s="201">
        <f>'Ежемес. расходы'!$F$23</f>
        <v>1000</v>
      </c>
      <c r="F29" s="201">
        <f>'Ежемес. расходы'!$F$23</f>
        <v>1000</v>
      </c>
      <c r="G29" s="201">
        <f>'Ежемес. расходы'!$F$23</f>
        <v>1000</v>
      </c>
      <c r="H29" s="201">
        <f>'Ежемес. расходы'!$F$23</f>
        <v>1000</v>
      </c>
      <c r="I29" s="201">
        <f>'Ежемес. расходы'!$F$23</f>
        <v>1000</v>
      </c>
      <c r="J29" s="201">
        <f>'Ежемес. расходы'!$F$23</f>
        <v>1000</v>
      </c>
      <c r="K29" s="201">
        <f>'Ежемес. расходы'!$F$23</f>
        <v>1000</v>
      </c>
      <c r="L29" s="201">
        <f>'Ежемес. расходы'!$F$23</f>
        <v>1000</v>
      </c>
      <c r="M29" s="201">
        <f>'Ежемес. расходы'!$F$23</f>
        <v>1000</v>
      </c>
      <c r="N29" s="201">
        <f>'Ежемес. расходы'!$F$23</f>
        <v>1000</v>
      </c>
      <c r="O29" s="201">
        <f>'Ежемес. расходы'!$F$23</f>
        <v>1000</v>
      </c>
      <c r="P29" s="201">
        <f>'Ежемес. расходы'!$F$23</f>
        <v>1000</v>
      </c>
      <c r="Q29" s="201">
        <f>'Ежемес. расходы'!$F$23</f>
        <v>1000</v>
      </c>
      <c r="R29" s="201">
        <f>'Ежемес. расходы'!$F$23</f>
        <v>1000</v>
      </c>
      <c r="S29" s="201">
        <f>'Ежемес. расходы'!$F$23</f>
        <v>1000</v>
      </c>
      <c r="T29" s="201">
        <f>'Ежемес. расходы'!$F$23</f>
        <v>1000</v>
      </c>
      <c r="U29" s="201">
        <f>'Ежемес. расходы'!$F$23</f>
        <v>1000</v>
      </c>
      <c r="V29" s="201">
        <f>'Ежемес. расходы'!$F$23</f>
        <v>1000</v>
      </c>
      <c r="W29" s="201">
        <f>'Ежемес. расходы'!$F$23</f>
        <v>1000</v>
      </c>
      <c r="X29" s="201">
        <f>'Ежемес. расходы'!$F$23</f>
        <v>1000</v>
      </c>
      <c r="Y29" s="201">
        <f>'Ежемес. расходы'!$F$23</f>
        <v>1000</v>
      </c>
      <c r="Z29" s="201">
        <f>'Ежемес. расходы'!$F$23</f>
        <v>1000</v>
      </c>
      <c r="AA29" s="201">
        <f>'Ежемес. расходы'!$F$23</f>
        <v>1000</v>
      </c>
      <c r="AB29" s="217">
        <f t="shared" si="0"/>
        <v>24000</v>
      </c>
      <c r="AC29" s="318"/>
      <c r="AD29" s="345"/>
    </row>
    <row r="30" spans="1:30" s="135" customFormat="1" ht="19" hidden="1" customHeight="1" outlineLevel="1" x14ac:dyDescent="0.4">
      <c r="A30" s="345"/>
      <c r="B30" s="315"/>
      <c r="C30" s="202" t="s">
        <v>161</v>
      </c>
      <c r="D30" s="201">
        <f>'Ежемес. расходы'!$F$24</f>
        <v>0</v>
      </c>
      <c r="E30" s="201">
        <f>'Ежемес. расходы'!$F$24</f>
        <v>0</v>
      </c>
      <c r="F30" s="201">
        <f>'Ежемес. расходы'!$F$24</f>
        <v>0</v>
      </c>
      <c r="G30" s="201">
        <f>'Ежемес. расходы'!$F$24</f>
        <v>0</v>
      </c>
      <c r="H30" s="201">
        <f>'Ежемес. расходы'!$F$24</f>
        <v>0</v>
      </c>
      <c r="I30" s="201">
        <f>'Ежемес. расходы'!$F$24</f>
        <v>0</v>
      </c>
      <c r="J30" s="201">
        <f>'Ежемес. расходы'!$F$24</f>
        <v>0</v>
      </c>
      <c r="K30" s="201">
        <f>'Ежемес. расходы'!$F$24</f>
        <v>0</v>
      </c>
      <c r="L30" s="201">
        <f>'Ежемес. расходы'!$F$24</f>
        <v>0</v>
      </c>
      <c r="M30" s="201">
        <f>'Ежемес. расходы'!$F$24</f>
        <v>0</v>
      </c>
      <c r="N30" s="201">
        <f>'Ежемес. расходы'!$F$24</f>
        <v>0</v>
      </c>
      <c r="O30" s="201">
        <f>'Ежемес. расходы'!$F$24</f>
        <v>0</v>
      </c>
      <c r="P30" s="201">
        <f>'Ежемес. расходы'!$F$24</f>
        <v>0</v>
      </c>
      <c r="Q30" s="201">
        <f>'Ежемес. расходы'!$F$24</f>
        <v>0</v>
      </c>
      <c r="R30" s="201">
        <f>'Ежемес. расходы'!$F$24</f>
        <v>0</v>
      </c>
      <c r="S30" s="201">
        <f>'Ежемес. расходы'!$F$24</f>
        <v>0</v>
      </c>
      <c r="T30" s="201">
        <f>'Ежемес. расходы'!$F$24</f>
        <v>0</v>
      </c>
      <c r="U30" s="201">
        <f>'Ежемес. расходы'!$F$24</f>
        <v>0</v>
      </c>
      <c r="V30" s="201">
        <f>'Ежемес. расходы'!$F$24</f>
        <v>0</v>
      </c>
      <c r="W30" s="201">
        <f>'Ежемес. расходы'!$F$24</f>
        <v>0</v>
      </c>
      <c r="X30" s="201">
        <f>'Ежемес. расходы'!$F$24</f>
        <v>0</v>
      </c>
      <c r="Y30" s="201">
        <f>'Ежемес. расходы'!$F$24</f>
        <v>0</v>
      </c>
      <c r="Z30" s="201">
        <f>'Ежемес. расходы'!$F$24</f>
        <v>0</v>
      </c>
      <c r="AA30" s="201">
        <f>'Ежемес. расходы'!$F$24</f>
        <v>0</v>
      </c>
      <c r="AB30" s="217">
        <f t="shared" si="0"/>
        <v>0</v>
      </c>
      <c r="AC30" s="318"/>
      <c r="AD30" s="345"/>
    </row>
    <row r="31" spans="1:30" s="135" customFormat="1" ht="19" hidden="1" customHeight="1" outlineLevel="1" x14ac:dyDescent="0.4">
      <c r="A31" s="345"/>
      <c r="B31" s="315"/>
      <c r="C31" s="202" t="str">
        <f>'Ежемес. расходы'!C25</f>
        <v>Банковское и кассовое обслуживание</v>
      </c>
      <c r="D31" s="201">
        <f>'Ежемес. расходы'!$F$25</f>
        <v>3000</v>
      </c>
      <c r="E31" s="201">
        <f>'Ежемес. расходы'!$F$25</f>
        <v>3000</v>
      </c>
      <c r="F31" s="201">
        <f>'Ежемес. расходы'!$F$25</f>
        <v>3000</v>
      </c>
      <c r="G31" s="201">
        <f>'Ежемес. расходы'!$F$25</f>
        <v>3000</v>
      </c>
      <c r="H31" s="201">
        <f>'Ежемес. расходы'!$F$25</f>
        <v>3000</v>
      </c>
      <c r="I31" s="201">
        <f>'Ежемес. расходы'!$F$25</f>
        <v>3000</v>
      </c>
      <c r="J31" s="201">
        <f>'Ежемес. расходы'!$F$25</f>
        <v>3000</v>
      </c>
      <c r="K31" s="201">
        <f>'Ежемес. расходы'!$F$25</f>
        <v>3000</v>
      </c>
      <c r="L31" s="201">
        <f>'Ежемес. расходы'!$F$25</f>
        <v>3000</v>
      </c>
      <c r="M31" s="201">
        <f>'Ежемес. расходы'!$F$25</f>
        <v>3000</v>
      </c>
      <c r="N31" s="201">
        <f>'Ежемес. расходы'!$F$25</f>
        <v>3000</v>
      </c>
      <c r="O31" s="201">
        <f>'Ежемес. расходы'!$F$25</f>
        <v>3000</v>
      </c>
      <c r="P31" s="201">
        <f>'Ежемес. расходы'!$F$25</f>
        <v>3000</v>
      </c>
      <c r="Q31" s="201">
        <f>'Ежемес. расходы'!$F$25</f>
        <v>3000</v>
      </c>
      <c r="R31" s="201">
        <f>'Ежемес. расходы'!$F$25</f>
        <v>3000</v>
      </c>
      <c r="S31" s="201">
        <f>'Ежемес. расходы'!$F$25</f>
        <v>3000</v>
      </c>
      <c r="T31" s="201">
        <f>'Ежемес. расходы'!$F$25</f>
        <v>3000</v>
      </c>
      <c r="U31" s="201">
        <f>'Ежемес. расходы'!$F$25</f>
        <v>3000</v>
      </c>
      <c r="V31" s="201">
        <f>'Ежемес. расходы'!$F$25</f>
        <v>3000</v>
      </c>
      <c r="W31" s="201">
        <f>'Ежемес. расходы'!$F$25</f>
        <v>3000</v>
      </c>
      <c r="X31" s="201">
        <f>'Ежемес. расходы'!$F$25</f>
        <v>3000</v>
      </c>
      <c r="Y31" s="201">
        <f>'Ежемес. расходы'!$F$25</f>
        <v>3000</v>
      </c>
      <c r="Z31" s="201">
        <f>'Ежемес. расходы'!$F$25</f>
        <v>3000</v>
      </c>
      <c r="AA31" s="201">
        <f>'Ежемес. расходы'!$F$25</f>
        <v>3000</v>
      </c>
      <c r="AB31" s="217">
        <f t="shared" si="0"/>
        <v>72000</v>
      </c>
      <c r="AC31" s="318"/>
      <c r="AD31" s="345"/>
    </row>
    <row r="32" spans="1:30" s="135" customFormat="1" ht="19" hidden="1" customHeight="1" outlineLevel="1" x14ac:dyDescent="0.4">
      <c r="A32" s="345"/>
      <c r="B32" s="315"/>
      <c r="C32" s="202" t="str">
        <f>'Ежемес. расходы'!C26</f>
        <v>Мелкий ремонт оборудования</v>
      </c>
      <c r="D32" s="201">
        <f>'Ежемес. расходы'!$F$26</f>
        <v>1000</v>
      </c>
      <c r="E32" s="201">
        <f>'Ежемес. расходы'!$F$26</f>
        <v>1000</v>
      </c>
      <c r="F32" s="201">
        <f>'Ежемес. расходы'!$F$26</f>
        <v>1000</v>
      </c>
      <c r="G32" s="201">
        <f>'Ежемес. расходы'!$F$26</f>
        <v>1000</v>
      </c>
      <c r="H32" s="201">
        <f>'Ежемес. расходы'!$F$26</f>
        <v>1000</v>
      </c>
      <c r="I32" s="201">
        <f>'Ежемес. расходы'!$F$26</f>
        <v>1000</v>
      </c>
      <c r="J32" s="201">
        <f>'Ежемес. расходы'!$F$26</f>
        <v>1000</v>
      </c>
      <c r="K32" s="201">
        <f>'Ежемес. расходы'!$F$26</f>
        <v>1000</v>
      </c>
      <c r="L32" s="201">
        <f>'Ежемес. расходы'!$F$26</f>
        <v>1000</v>
      </c>
      <c r="M32" s="201">
        <f>'Ежемес. расходы'!$F$26</f>
        <v>1000</v>
      </c>
      <c r="N32" s="201">
        <f>'Ежемес. расходы'!$F$26</f>
        <v>1000</v>
      </c>
      <c r="O32" s="201">
        <f>'Ежемес. расходы'!$F$26</f>
        <v>1000</v>
      </c>
      <c r="P32" s="201">
        <f>'Ежемес. расходы'!$F$26</f>
        <v>1000</v>
      </c>
      <c r="Q32" s="201">
        <f>'Ежемес. расходы'!$F$26</f>
        <v>1000</v>
      </c>
      <c r="R32" s="201">
        <f>'Ежемес. расходы'!$F$26</f>
        <v>1000</v>
      </c>
      <c r="S32" s="201">
        <f>'Ежемес. расходы'!$F$26</f>
        <v>1000</v>
      </c>
      <c r="T32" s="201">
        <f>'Ежемес. расходы'!$F$26</f>
        <v>1000</v>
      </c>
      <c r="U32" s="201">
        <f>'Ежемес. расходы'!$F$26</f>
        <v>1000</v>
      </c>
      <c r="V32" s="201">
        <f>'Ежемес. расходы'!$F$26</f>
        <v>1000</v>
      </c>
      <c r="W32" s="201">
        <f>'Ежемес. расходы'!$F$26</f>
        <v>1000</v>
      </c>
      <c r="X32" s="201">
        <f>'Ежемес. расходы'!$F$26</f>
        <v>1000</v>
      </c>
      <c r="Y32" s="201">
        <f>'Ежемес. расходы'!$F$26</f>
        <v>1000</v>
      </c>
      <c r="Z32" s="201">
        <f>'Ежемес. расходы'!$F$26</f>
        <v>1000</v>
      </c>
      <c r="AA32" s="201">
        <f>'Ежемес. расходы'!$F$26</f>
        <v>1000</v>
      </c>
      <c r="AB32" s="217">
        <f t="shared" si="0"/>
        <v>24000</v>
      </c>
      <c r="AC32" s="318"/>
      <c r="AD32" s="345"/>
    </row>
    <row r="33" spans="1:30" s="135" customFormat="1" ht="19" hidden="1" customHeight="1" outlineLevel="1" x14ac:dyDescent="0.4">
      <c r="A33" s="345"/>
      <c r="B33" s="315"/>
      <c r="C33" s="202" t="str">
        <f>'Ежемес. расходы'!C27</f>
        <v>Клиентский сервис</v>
      </c>
      <c r="D33" s="201">
        <f>'Ежемес. расходы'!$F$27</f>
        <v>0</v>
      </c>
      <c r="E33" s="201">
        <f>'Ежемес. расходы'!$F$27</f>
        <v>0</v>
      </c>
      <c r="F33" s="201">
        <f>'Ежемес. расходы'!$F$27</f>
        <v>0</v>
      </c>
      <c r="G33" s="201">
        <f>'Ежемес. расходы'!$F$27</f>
        <v>0</v>
      </c>
      <c r="H33" s="201">
        <f>'Ежемес. расходы'!$F$27</f>
        <v>0</v>
      </c>
      <c r="I33" s="201">
        <f>'Ежемес. расходы'!$F$27</f>
        <v>0</v>
      </c>
      <c r="J33" s="201">
        <f>'Ежемес. расходы'!$F$27</f>
        <v>0</v>
      </c>
      <c r="K33" s="201">
        <f>'Ежемес. расходы'!$F$27</f>
        <v>0</v>
      </c>
      <c r="L33" s="201">
        <f>'Ежемес. расходы'!$F$27</f>
        <v>0</v>
      </c>
      <c r="M33" s="201">
        <f>'Ежемес. расходы'!$F$27</f>
        <v>0</v>
      </c>
      <c r="N33" s="201">
        <f>'Ежемес. расходы'!$F$27</f>
        <v>0</v>
      </c>
      <c r="O33" s="201">
        <f>'Ежемес. расходы'!$F$27</f>
        <v>0</v>
      </c>
      <c r="P33" s="201">
        <f>'Ежемес. расходы'!$F$27</f>
        <v>0</v>
      </c>
      <c r="Q33" s="201">
        <f>'Ежемес. расходы'!$F$27</f>
        <v>0</v>
      </c>
      <c r="R33" s="201">
        <f>'Ежемес. расходы'!$F$27</f>
        <v>0</v>
      </c>
      <c r="S33" s="201">
        <f>'Ежемес. расходы'!$F$27</f>
        <v>0</v>
      </c>
      <c r="T33" s="201">
        <f>'Ежемес. расходы'!$F$27</f>
        <v>0</v>
      </c>
      <c r="U33" s="201">
        <f>'Ежемес. расходы'!$F$27</f>
        <v>0</v>
      </c>
      <c r="V33" s="201">
        <f>'Ежемес. расходы'!$F$27</f>
        <v>0</v>
      </c>
      <c r="W33" s="201">
        <f>'Ежемес. расходы'!$F$27</f>
        <v>0</v>
      </c>
      <c r="X33" s="201">
        <f>'Ежемес. расходы'!$F$27</f>
        <v>0</v>
      </c>
      <c r="Y33" s="201">
        <f>'Ежемес. расходы'!$F$27</f>
        <v>0</v>
      </c>
      <c r="Z33" s="201">
        <f>'Ежемес. расходы'!$F$27</f>
        <v>0</v>
      </c>
      <c r="AA33" s="201">
        <f>'Ежемес. расходы'!$F$27</f>
        <v>0</v>
      </c>
      <c r="AB33" s="217">
        <f t="shared" si="0"/>
        <v>0</v>
      </c>
      <c r="AC33" s="318"/>
      <c r="AD33" s="345"/>
    </row>
    <row r="34" spans="1:30" s="135" customFormat="1" ht="19" hidden="1" customHeight="1" outlineLevel="1" x14ac:dyDescent="0.4">
      <c r="A34" s="345"/>
      <c r="B34" s="315"/>
      <c r="C34" s="202" t="str">
        <f>'Ежемес. расходы'!C28</f>
        <v>Непредвиденные расходы</v>
      </c>
      <c r="D34" s="201">
        <f>'Ежемес. расходы'!$F$28</f>
        <v>5000</v>
      </c>
      <c r="E34" s="201">
        <f>'Ежемес. расходы'!$F$28</f>
        <v>5000</v>
      </c>
      <c r="F34" s="201">
        <f>'Ежемес. расходы'!$F$28</f>
        <v>5000</v>
      </c>
      <c r="G34" s="201">
        <f>'Ежемес. расходы'!$F$28</f>
        <v>5000</v>
      </c>
      <c r="H34" s="201">
        <f>'Ежемес. расходы'!$F$28</f>
        <v>5000</v>
      </c>
      <c r="I34" s="201">
        <f>'Ежемес. расходы'!$F$28</f>
        <v>5000</v>
      </c>
      <c r="J34" s="201">
        <f>'Ежемес. расходы'!$F$28</f>
        <v>5000</v>
      </c>
      <c r="K34" s="201">
        <f>'Ежемес. расходы'!$F$28</f>
        <v>5000</v>
      </c>
      <c r="L34" s="201">
        <f>'Ежемес. расходы'!$F$28</f>
        <v>5000</v>
      </c>
      <c r="M34" s="201">
        <f>'Ежемес. расходы'!$F$28</f>
        <v>5000</v>
      </c>
      <c r="N34" s="201">
        <f>'Ежемес. расходы'!$F$28</f>
        <v>5000</v>
      </c>
      <c r="O34" s="201">
        <f>'Ежемес. расходы'!$F$28</f>
        <v>5000</v>
      </c>
      <c r="P34" s="201">
        <f>'Ежемес. расходы'!$F$28</f>
        <v>5000</v>
      </c>
      <c r="Q34" s="201">
        <f>'Ежемес. расходы'!$F$28</f>
        <v>5000</v>
      </c>
      <c r="R34" s="201">
        <f>'Ежемес. расходы'!$F$28</f>
        <v>5000</v>
      </c>
      <c r="S34" s="201">
        <f>'Ежемес. расходы'!$F$28</f>
        <v>5000</v>
      </c>
      <c r="T34" s="201">
        <f>'Ежемес. расходы'!$F$28</f>
        <v>5000</v>
      </c>
      <c r="U34" s="201">
        <f>'Ежемес. расходы'!$F$28</f>
        <v>5000</v>
      </c>
      <c r="V34" s="201">
        <f>'Ежемес. расходы'!$F$28</f>
        <v>5000</v>
      </c>
      <c r="W34" s="201">
        <f>'Ежемес. расходы'!$F$28</f>
        <v>5000</v>
      </c>
      <c r="X34" s="201">
        <f>'Ежемес. расходы'!$F$28</f>
        <v>5000</v>
      </c>
      <c r="Y34" s="201">
        <f>'Ежемес. расходы'!$F$28</f>
        <v>5000</v>
      </c>
      <c r="Z34" s="201">
        <f>'Ежемес. расходы'!$F$28</f>
        <v>5000</v>
      </c>
      <c r="AA34" s="201">
        <f>'Ежемес. расходы'!$F$28</f>
        <v>5000</v>
      </c>
      <c r="AB34" s="217">
        <f t="shared" si="0"/>
        <v>120000</v>
      </c>
      <c r="AC34" s="318"/>
      <c r="AD34" s="345"/>
    </row>
    <row r="35" spans="1:30" s="135" customFormat="1" ht="18.75" hidden="1" customHeight="1" outlineLevel="1" x14ac:dyDescent="0.4">
      <c r="A35" s="345"/>
      <c r="B35" s="315"/>
      <c r="C35" s="202" t="s">
        <v>135</v>
      </c>
      <c r="D35" s="201">
        <f>'Ежемес. расходы'!$D$29*'Ежемес. расходы'!$F$29*'Прибыль и окупаемость'!D9</f>
        <v>12034.575000000001</v>
      </c>
      <c r="E35" s="201">
        <f>'Ежемес. расходы'!$D$29*'Ежемес. расходы'!$F$29*'Прибыль и окупаемость'!E9</f>
        <v>11232.27</v>
      </c>
      <c r="F35" s="201">
        <f>'Ежемес. расходы'!$D$29*'Ежемес. расходы'!$F$29*'Прибыль и окупаемость'!F9</f>
        <v>24078.937500000004</v>
      </c>
      <c r="G35" s="201">
        <f>'Ежемес. расходы'!$D$29*'Ежемес. расходы'!$F$29*'Прибыль и окупаемость'!G9</f>
        <v>24078.937500000004</v>
      </c>
      <c r="H35" s="201">
        <f>'Ежемес. расходы'!$D$29*'Ежемес. расходы'!$F$29*'Прибыль и окупаемость'!H9</f>
        <v>24078.937500000004</v>
      </c>
      <c r="I35" s="201">
        <f>'Ежемес. расходы'!$D$29*'Ежемес. расходы'!$F$29*'Прибыль и окупаемость'!I9</f>
        <v>24078.937500000004</v>
      </c>
      <c r="J35" s="201">
        <f>'Ежемес. расходы'!$D$29*'Ежемес. расходы'!$F$29*'Прибыль и окупаемость'!J9</f>
        <v>30655.125000000004</v>
      </c>
      <c r="K35" s="201">
        <f>'Ежемес. расходы'!$D$29*'Ежемес. расходы'!$F$29*'Прибыль и окупаемость'!K9</f>
        <v>30655.125000000004</v>
      </c>
      <c r="L35" s="201">
        <f>'Ежемес. расходы'!$D$29*'Ежемес. расходы'!$F$29*'Прибыль и окупаемость'!L9</f>
        <v>30655.125000000004</v>
      </c>
      <c r="M35" s="201">
        <f>'Ежемес. расходы'!$D$29*'Ежемес. расходы'!$F$29*'Прибыль и окупаемость'!M9</f>
        <v>36113.512500000004</v>
      </c>
      <c r="N35" s="201">
        <f>'Ежемес. расходы'!$D$29*'Ежемес. расходы'!$F$29*'Прибыль и окупаемость'!N9</f>
        <v>39406.500000000007</v>
      </c>
      <c r="O35" s="201">
        <f>'Ежемес. расходы'!$D$29*'Ежемес. расходы'!$F$29*'Прибыль и окупаемость'!O9</f>
        <v>54734.062500000007</v>
      </c>
      <c r="P35" s="201">
        <f>'Ежемес. расходы'!$D$29*'Ежемес. расходы'!$F$29*'Прибыль и окупаемость'!P9</f>
        <v>48157.875000000007</v>
      </c>
      <c r="Q35" s="201">
        <f>'Ежемес. расходы'!$D$29*'Ежемес. расходы'!$F$29*'Прибыль и окупаемость'!Q9</f>
        <v>28611.450000000004</v>
      </c>
      <c r="R35" s="201">
        <f>'Ежемес. расходы'!$D$29*'Ежемес. расходы'!$F$29*'Прибыль и окупаемость'!R9</f>
        <v>51441.075000000004</v>
      </c>
      <c r="S35" s="201">
        <f>'Ежемес. расходы'!$D$29*'Ежемес. расходы'!$F$29*'Прибыль и окупаемость'!S9</f>
        <v>39406.500000000007</v>
      </c>
      <c r="T35" s="201">
        <f>'Ежемес. расходы'!$D$29*'Ежемес. расходы'!$F$29*'Прибыль и окупаемость'!T9</f>
        <v>39406.500000000007</v>
      </c>
      <c r="U35" s="201">
        <f>'Ежемес. расходы'!$D$29*'Ежемес. расходы'!$F$29*'Прибыль и окупаемость'!U9</f>
        <v>39406.500000000007</v>
      </c>
      <c r="V35" s="201">
        <f>'Ежемес. расходы'!$D$29*'Ежемес. расходы'!$F$29*'Прибыль и окупаемость'!V9</f>
        <v>39406.500000000007</v>
      </c>
      <c r="W35" s="201">
        <f>'Ежемес. расходы'!$D$29*'Ежемес. расходы'!$F$29*'Прибыль и окупаемость'!W9</f>
        <v>36113.512500000004</v>
      </c>
      <c r="X35" s="201">
        <f>'Ежемес. расходы'!$D$29*'Ежемес. расходы'!$F$29*'Прибыль и окупаемость'!X9</f>
        <v>30655.125000000004</v>
      </c>
      <c r="Y35" s="201">
        <f>'Ежемес. расходы'!$D$29*'Ежемес. расходы'!$F$29*'Прибыль и окупаемость'!Y9</f>
        <v>39406.500000000007</v>
      </c>
      <c r="Z35" s="201">
        <f>'Ежемес. расходы'!$D$29*'Ежемес. расходы'!$F$29*'Прибыль и окупаемость'!Z9</f>
        <v>42699.487500000003</v>
      </c>
      <c r="AA35" s="201">
        <f>'Ежемес. расходы'!$D$29*'Ежемес. расходы'!$F$29*'Прибыль и окупаемость'!AA9</f>
        <v>54734.062500000007</v>
      </c>
      <c r="AB35" s="217">
        <f t="shared" si="0"/>
        <v>831247.13250000007</v>
      </c>
      <c r="AC35" s="318"/>
      <c r="AD35" s="345"/>
    </row>
    <row r="36" spans="1:30" s="135" customFormat="1" ht="19" customHeight="1" collapsed="1" x14ac:dyDescent="0.4">
      <c r="A36" s="345"/>
      <c r="B36" s="315"/>
      <c r="C36" s="204" t="s">
        <v>110</v>
      </c>
      <c r="D36" s="161">
        <f>Инвестиции!F54-Инвестиции!E57</f>
        <v>2424000</v>
      </c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218">
        <f t="shared" si="0"/>
        <v>2424000</v>
      </c>
      <c r="AC36" s="318"/>
      <c r="AD36" s="345"/>
    </row>
    <row r="37" spans="1:30" s="135" customFormat="1" ht="19" customHeight="1" x14ac:dyDescent="0.4">
      <c r="A37" s="345"/>
      <c r="B37" s="315"/>
      <c r="C37" s="204" t="s">
        <v>7</v>
      </c>
      <c r="D37" s="146">
        <f t="shared" ref="D37:AA37" si="6">D9-D10</f>
        <v>83719.467222222185</v>
      </c>
      <c r="E37" s="146">
        <f t="shared" si="6"/>
        <v>-11025.115777777857</v>
      </c>
      <c r="F37" s="146">
        <f t="shared" si="6"/>
        <v>225068.08472222229</v>
      </c>
      <c r="G37" s="146">
        <f t="shared" si="6"/>
        <v>225068.08472222229</v>
      </c>
      <c r="H37" s="146">
        <f t="shared" si="6"/>
        <v>225068.08472222229</v>
      </c>
      <c r="I37" s="146">
        <f t="shared" si="6"/>
        <v>225068.08472222229</v>
      </c>
      <c r="J37" s="146">
        <f t="shared" si="6"/>
        <v>345923.7972222222</v>
      </c>
      <c r="K37" s="146">
        <f t="shared" si="6"/>
        <v>345923.7972222222</v>
      </c>
      <c r="L37" s="146">
        <f t="shared" si="6"/>
        <v>345923.7972222222</v>
      </c>
      <c r="M37" s="146">
        <f t="shared" si="6"/>
        <v>446236.82972222217</v>
      </c>
      <c r="N37" s="146">
        <f t="shared" si="6"/>
        <v>506754.62222222239</v>
      </c>
      <c r="O37" s="146">
        <f t="shared" si="6"/>
        <v>788441.15972222225</v>
      </c>
      <c r="P37" s="146">
        <f t="shared" si="6"/>
        <v>667585.44722222234</v>
      </c>
      <c r="Q37" s="146">
        <f t="shared" si="6"/>
        <v>308365.59222222224</v>
      </c>
      <c r="R37" s="146">
        <f t="shared" si="6"/>
        <v>727923.36722222203</v>
      </c>
      <c r="S37" s="146">
        <f t="shared" si="6"/>
        <v>506754.62222222239</v>
      </c>
      <c r="T37" s="146">
        <f t="shared" si="6"/>
        <v>506754.62222222239</v>
      </c>
      <c r="U37" s="146">
        <f t="shared" si="6"/>
        <v>506754.62222222239</v>
      </c>
      <c r="V37" s="146">
        <f t="shared" si="6"/>
        <v>506754.62222222239</v>
      </c>
      <c r="W37" s="146">
        <f t="shared" si="6"/>
        <v>446236.82972222217</v>
      </c>
      <c r="X37" s="146">
        <f t="shared" si="6"/>
        <v>345923.7972222222</v>
      </c>
      <c r="Y37" s="146">
        <f t="shared" si="6"/>
        <v>506754.62222222239</v>
      </c>
      <c r="Z37" s="146">
        <f t="shared" si="6"/>
        <v>567272.41472222214</v>
      </c>
      <c r="AA37" s="146">
        <f t="shared" si="6"/>
        <v>788441.15972222225</v>
      </c>
      <c r="AB37" s="218">
        <f t="shared" si="0"/>
        <v>10137692.412833335</v>
      </c>
      <c r="AC37" s="318"/>
      <c r="AD37" s="345"/>
    </row>
    <row r="38" spans="1:30" s="135" customFormat="1" ht="19" customHeight="1" x14ac:dyDescent="0.4">
      <c r="A38" s="345"/>
      <c r="B38" s="315"/>
      <c r="C38" s="205" t="s">
        <v>8</v>
      </c>
      <c r="D38" s="174">
        <f>D37</f>
        <v>83719.467222222185</v>
      </c>
      <c r="E38" s="174">
        <f>D38+E37</f>
        <v>72694.351444444328</v>
      </c>
      <c r="F38" s="174">
        <f t="shared" ref="F38:Z38" si="7">E38+F37</f>
        <v>297762.43616666662</v>
      </c>
      <c r="G38" s="174">
        <f t="shared" si="7"/>
        <v>522830.52088888892</v>
      </c>
      <c r="H38" s="174">
        <f t="shared" si="7"/>
        <v>747898.60561111127</v>
      </c>
      <c r="I38" s="174">
        <f t="shared" si="7"/>
        <v>972966.69033333356</v>
      </c>
      <c r="J38" s="174">
        <f t="shared" si="7"/>
        <v>1318890.4875555558</v>
      </c>
      <c r="K38" s="174">
        <f t="shared" si="7"/>
        <v>1664814.284777778</v>
      </c>
      <c r="L38" s="174">
        <f t="shared" si="7"/>
        <v>2010738.0820000002</v>
      </c>
      <c r="M38" s="174">
        <f t="shared" si="7"/>
        <v>2456974.9117222223</v>
      </c>
      <c r="N38" s="174">
        <f t="shared" si="7"/>
        <v>2963729.5339444447</v>
      </c>
      <c r="O38" s="174">
        <f t="shared" si="7"/>
        <v>3752170.6936666667</v>
      </c>
      <c r="P38" s="174">
        <f t="shared" si="7"/>
        <v>4419756.1408888893</v>
      </c>
      <c r="Q38" s="174">
        <f t="shared" si="7"/>
        <v>4728121.7331111114</v>
      </c>
      <c r="R38" s="174">
        <f t="shared" si="7"/>
        <v>5456045.100333333</v>
      </c>
      <c r="S38" s="174">
        <f t="shared" si="7"/>
        <v>5962799.7225555554</v>
      </c>
      <c r="T38" s="174">
        <f t="shared" si="7"/>
        <v>6469554.3447777778</v>
      </c>
      <c r="U38" s="174">
        <f t="shared" si="7"/>
        <v>6976308.9670000002</v>
      </c>
      <c r="V38" s="174">
        <f t="shared" si="7"/>
        <v>7483063.5892222226</v>
      </c>
      <c r="W38" s="174">
        <f t="shared" si="7"/>
        <v>7929300.4189444445</v>
      </c>
      <c r="X38" s="174">
        <f t="shared" si="7"/>
        <v>8275224.2161666667</v>
      </c>
      <c r="Y38" s="174">
        <f t="shared" si="7"/>
        <v>8781978.83838889</v>
      </c>
      <c r="Z38" s="174">
        <f t="shared" si="7"/>
        <v>9349251.2531111129</v>
      </c>
      <c r="AA38" s="174">
        <f>Z38+AA37</f>
        <v>10137692.412833335</v>
      </c>
      <c r="AB38" s="216"/>
      <c r="AC38" s="317"/>
      <c r="AD38" s="345"/>
    </row>
    <row r="39" spans="1:30" s="137" customFormat="1" ht="39" customHeight="1" x14ac:dyDescent="0.35">
      <c r="A39" s="348"/>
      <c r="B39" s="319"/>
      <c r="C39" s="206" t="s">
        <v>51</v>
      </c>
      <c r="D39" s="146">
        <f>D38-D36</f>
        <v>-2340280.5327777779</v>
      </c>
      <c r="E39" s="146">
        <f>D39+E37</f>
        <v>-2351305.6485555558</v>
      </c>
      <c r="F39" s="146">
        <f>E39+F37</f>
        <v>-2126237.5638333336</v>
      </c>
      <c r="G39" s="146">
        <f t="shared" ref="G39:Z39" si="8">F39+G37</f>
        <v>-1901169.4791111113</v>
      </c>
      <c r="H39" s="146">
        <f t="shared" si="8"/>
        <v>-1676101.394388889</v>
      </c>
      <c r="I39" s="146">
        <f t="shared" si="8"/>
        <v>-1451033.3096666667</v>
      </c>
      <c r="J39" s="146">
        <f t="shared" si="8"/>
        <v>-1105109.5124444445</v>
      </c>
      <c r="K39" s="146">
        <f t="shared" si="8"/>
        <v>-759185.71522222226</v>
      </c>
      <c r="L39" s="146">
        <f t="shared" si="8"/>
        <v>-413261.91800000006</v>
      </c>
      <c r="M39" s="146">
        <f t="shared" si="8"/>
        <v>32974.91172222211</v>
      </c>
      <c r="N39" s="146">
        <f t="shared" si="8"/>
        <v>539729.5339444445</v>
      </c>
      <c r="O39" s="146">
        <f t="shared" si="8"/>
        <v>1328170.6936666667</v>
      </c>
      <c r="P39" s="146">
        <f t="shared" si="8"/>
        <v>1995756.1408888891</v>
      </c>
      <c r="Q39" s="146">
        <f t="shared" si="8"/>
        <v>2304121.7331111114</v>
      </c>
      <c r="R39" s="146">
        <f t="shared" si="8"/>
        <v>3032045.1003333335</v>
      </c>
      <c r="S39" s="146">
        <f t="shared" si="8"/>
        <v>3538799.7225555559</v>
      </c>
      <c r="T39" s="146">
        <f t="shared" si="8"/>
        <v>4045554.3447777783</v>
      </c>
      <c r="U39" s="146">
        <f t="shared" si="8"/>
        <v>4552308.9670000002</v>
      </c>
      <c r="V39" s="146">
        <f t="shared" si="8"/>
        <v>5059063.5892222226</v>
      </c>
      <c r="W39" s="146">
        <f t="shared" si="8"/>
        <v>5505300.4189444445</v>
      </c>
      <c r="X39" s="146">
        <f t="shared" si="8"/>
        <v>5851224.2161666667</v>
      </c>
      <c r="Y39" s="146">
        <f t="shared" si="8"/>
        <v>6357978.8383888891</v>
      </c>
      <c r="Z39" s="146">
        <f t="shared" si="8"/>
        <v>6925251.253111111</v>
      </c>
      <c r="AA39" s="146">
        <f>Z39+AA37</f>
        <v>7713692.412833333</v>
      </c>
      <c r="AB39" s="219"/>
      <c r="AC39" s="320"/>
      <c r="AD39" s="348"/>
    </row>
    <row r="40" spans="1:30" s="135" customFormat="1" ht="19" customHeight="1" x14ac:dyDescent="0.4">
      <c r="A40" s="345"/>
      <c r="B40" s="315"/>
      <c r="C40" s="197" t="s">
        <v>1</v>
      </c>
      <c r="D40" s="207" t="str">
        <f>IF(D39&lt;0,"",D7)</f>
        <v/>
      </c>
      <c r="E40" s="207" t="str">
        <f t="shared" ref="E40:AA40" si="9">IF(E39&lt;0,"",IF(D39&gt;0,"",E7))</f>
        <v/>
      </c>
      <c r="F40" s="207" t="str">
        <f t="shared" si="9"/>
        <v/>
      </c>
      <c r="G40" s="207" t="str">
        <f t="shared" si="9"/>
        <v/>
      </c>
      <c r="H40" s="207" t="str">
        <f t="shared" si="9"/>
        <v/>
      </c>
      <c r="I40" s="207" t="str">
        <f t="shared" si="9"/>
        <v/>
      </c>
      <c r="J40" s="207" t="str">
        <f t="shared" si="9"/>
        <v/>
      </c>
      <c r="K40" s="207" t="str">
        <f t="shared" si="9"/>
        <v/>
      </c>
      <c r="L40" s="207" t="str">
        <f t="shared" si="9"/>
        <v/>
      </c>
      <c r="M40" s="207">
        <f t="shared" si="9"/>
        <v>10</v>
      </c>
      <c r="N40" s="207" t="str">
        <f t="shared" si="9"/>
        <v/>
      </c>
      <c r="O40" s="207" t="str">
        <f t="shared" si="9"/>
        <v/>
      </c>
      <c r="P40" s="207" t="str">
        <f t="shared" si="9"/>
        <v/>
      </c>
      <c r="Q40" s="207" t="str">
        <f t="shared" si="9"/>
        <v/>
      </c>
      <c r="R40" s="207" t="str">
        <f t="shared" si="9"/>
        <v/>
      </c>
      <c r="S40" s="207" t="str">
        <f t="shared" si="9"/>
        <v/>
      </c>
      <c r="T40" s="207" t="str">
        <f t="shared" si="9"/>
        <v/>
      </c>
      <c r="U40" s="207" t="str">
        <f t="shared" si="9"/>
        <v/>
      </c>
      <c r="V40" s="207" t="str">
        <f t="shared" si="9"/>
        <v/>
      </c>
      <c r="W40" s="207" t="str">
        <f t="shared" si="9"/>
        <v/>
      </c>
      <c r="X40" s="207" t="str">
        <f t="shared" si="9"/>
        <v/>
      </c>
      <c r="Y40" s="207" t="str">
        <f t="shared" si="9"/>
        <v/>
      </c>
      <c r="Z40" s="207" t="str">
        <f t="shared" si="9"/>
        <v/>
      </c>
      <c r="AA40" s="207" t="str">
        <f t="shared" si="9"/>
        <v/>
      </c>
      <c r="AB40" s="220"/>
      <c r="AC40" s="321"/>
      <c r="AD40" s="345"/>
    </row>
    <row r="41" spans="1:30" s="138" customFormat="1" ht="19" hidden="1" customHeight="1" outlineLevel="1" x14ac:dyDescent="0.35">
      <c r="A41" s="349"/>
      <c r="B41" s="322"/>
      <c r="C41" s="208" t="s">
        <v>76</v>
      </c>
      <c r="D41" s="209">
        <f>IF((D9-SUM(D11:D15,D19,D24:D26))&gt;0,(D9-SUM(D11:D15,D19,D24:D26)),0)</f>
        <v>94886.133888888871</v>
      </c>
      <c r="E41" s="209">
        <f t="shared" ref="E41:AA41" si="10">IF((E9-SUM(E11:E15,E19,E24:E26))&gt;0,(E9-SUM(E11:E15,E19,E24:E26)),0)</f>
        <v>141.55088888882892</v>
      </c>
      <c r="F41" s="209">
        <f t="shared" si="10"/>
        <v>236234.75138888892</v>
      </c>
      <c r="G41" s="209">
        <f t="shared" si="10"/>
        <v>236234.75138888892</v>
      </c>
      <c r="H41" s="209">
        <f t="shared" si="10"/>
        <v>236234.75138888892</v>
      </c>
      <c r="I41" s="209">
        <f t="shared" si="10"/>
        <v>236234.75138888892</v>
      </c>
      <c r="J41" s="209">
        <f t="shared" si="10"/>
        <v>357090.46388888883</v>
      </c>
      <c r="K41" s="209">
        <f t="shared" si="10"/>
        <v>357090.46388888883</v>
      </c>
      <c r="L41" s="209">
        <f t="shared" si="10"/>
        <v>357090.46388888883</v>
      </c>
      <c r="M41" s="209">
        <f t="shared" si="10"/>
        <v>457403.49638888892</v>
      </c>
      <c r="N41" s="209">
        <f t="shared" si="10"/>
        <v>517921.2888888889</v>
      </c>
      <c r="O41" s="209">
        <f t="shared" si="10"/>
        <v>799607.82638888899</v>
      </c>
      <c r="P41" s="209">
        <f t="shared" si="10"/>
        <v>678752.11388888909</v>
      </c>
      <c r="Q41" s="209">
        <f t="shared" si="10"/>
        <v>319532.25888888887</v>
      </c>
      <c r="R41" s="209">
        <f t="shared" si="10"/>
        <v>739090.03388888878</v>
      </c>
      <c r="S41" s="209">
        <f t="shared" si="10"/>
        <v>517921.2888888889</v>
      </c>
      <c r="T41" s="209">
        <f t="shared" si="10"/>
        <v>517921.2888888889</v>
      </c>
      <c r="U41" s="209">
        <f t="shared" si="10"/>
        <v>517921.2888888889</v>
      </c>
      <c r="V41" s="209">
        <f t="shared" si="10"/>
        <v>517921.2888888889</v>
      </c>
      <c r="W41" s="209">
        <f t="shared" si="10"/>
        <v>457403.49638888892</v>
      </c>
      <c r="X41" s="209">
        <f t="shared" si="10"/>
        <v>357090.46388888883</v>
      </c>
      <c r="Y41" s="209">
        <f t="shared" si="10"/>
        <v>517921.2888888889</v>
      </c>
      <c r="Z41" s="209">
        <f t="shared" si="10"/>
        <v>578439.08138888888</v>
      </c>
      <c r="AA41" s="209">
        <f t="shared" si="10"/>
        <v>799607.82638888899</v>
      </c>
      <c r="AB41" s="221"/>
      <c r="AC41" s="323"/>
      <c r="AD41" s="349"/>
    </row>
    <row r="42" spans="1:30" s="138" customFormat="1" ht="19" hidden="1" customHeight="1" outlineLevel="1" x14ac:dyDescent="0.35">
      <c r="A42" s="349"/>
      <c r="B42" s="322"/>
      <c r="C42" s="208" t="s">
        <v>77</v>
      </c>
      <c r="D42" s="209">
        <f>IF(SUM(D17,D18,D22)&gt;0.5*D9*Титул!$E$18,0.5*D9*Титул!$E$18,SUM(D17,D18,D22))</f>
        <v>6082.6111111111122</v>
      </c>
      <c r="E42" s="209">
        <f>IF(SUM(E17,E18,E22)&gt;0.5*E9*Титул!$E$18,0.5*E9*Титул!$E$18,SUM(E17,E18,E22))</f>
        <v>6082.6111111111122</v>
      </c>
      <c r="F42" s="209">
        <f>IF(SUM(F17,F18,F22)&gt;0.5*F9*Титул!$E$18,0.5*F9*Титул!$E$18,SUM(F17,F18,F22))</f>
        <v>6082.6111111111122</v>
      </c>
      <c r="G42" s="209">
        <f>IF(SUM(G17,G18,G22)&gt;0.5*G9*Титул!$E$18,0.5*G9*Титул!$E$18,SUM(G17,G18,G22))</f>
        <v>6082.6111111111122</v>
      </c>
      <c r="H42" s="209">
        <f>IF(SUM(H17,H18,H22)&gt;0.5*H9*Титул!$E$18,0.5*H9*Титул!$E$18,SUM(H17,H18,H22))</f>
        <v>6082.6111111111122</v>
      </c>
      <c r="I42" s="209">
        <f>IF(SUM(I17,I18,I22)&gt;0.5*I9*Титул!$E$18,0.5*I9*Титул!$E$18,SUM(I17,I18,I22))</f>
        <v>6082.6111111111122</v>
      </c>
      <c r="J42" s="209">
        <f>IF(SUM(J17,J18,J22)&gt;0.5*J9*Титул!$E$18,0.5*J9*Титул!$E$18,SUM(J17,J18,J22))</f>
        <v>6082.6111111111122</v>
      </c>
      <c r="K42" s="209">
        <f>IF(SUM(K17,K18,K22)&gt;0.5*K9*Титул!$E$18,0.5*K9*Титул!$E$18,SUM(K17,K18,K22))</f>
        <v>6082.6111111111122</v>
      </c>
      <c r="L42" s="209">
        <f>IF(SUM(L17,L18,L22)&gt;0.5*L9*Титул!$E$18,0.5*L9*Титул!$E$18,SUM(L17,L18,L22))</f>
        <v>6082.6111111111122</v>
      </c>
      <c r="M42" s="209">
        <f>IF(SUM(M17,M18,M22)&gt;0.5*M9*Титул!$E$18,0.5*M9*Титул!$E$18,SUM(M17,M18,M22))</f>
        <v>6082.6111111111122</v>
      </c>
      <c r="N42" s="209">
        <f>IF(SUM(N17,N18,N22)&gt;0.5*N9*Титул!$E$18,0.5*N9*Титул!$E$18,SUM(N17,N18,N22))</f>
        <v>6082.6111111111122</v>
      </c>
      <c r="O42" s="209">
        <f>IF(SUM(O17,O18,O22)&gt;0.5*O9*Титул!$E$18,0.5*O9*Титул!$E$18,SUM(O17,O18,O22))</f>
        <v>6082.6111111111122</v>
      </c>
      <c r="P42" s="209">
        <f>IF(SUM(P17,P18,P22)&gt;0.5*P9*Титул!$E$18,0.5*P9*Титул!$E$18,SUM(P17,P18,P22))</f>
        <v>6082.6111111111122</v>
      </c>
      <c r="Q42" s="209">
        <f>IF(SUM(Q17,Q18,Q22)&gt;0.5*Q9*Титул!$E$18,0.5*Q9*Титул!$E$18,SUM(Q17,Q18,Q22))</f>
        <v>6082.6111111111122</v>
      </c>
      <c r="R42" s="209">
        <f>IF(SUM(R17,R18,R22)&gt;0.5*R9*Титул!$E$18,0.5*R9*Титул!$E$18,SUM(R17,R18,R22))</f>
        <v>6082.6111111111122</v>
      </c>
      <c r="S42" s="209">
        <f>IF(SUM(S17,S18,S22)&gt;0.5*S9*Титул!$E$18,0.5*S9*Титул!$E$18,SUM(S17,S18,S22))</f>
        <v>6082.6111111111122</v>
      </c>
      <c r="T42" s="209">
        <f>IF(SUM(T17,T18,T22)&gt;0.5*T9*Титул!$E$18,0.5*T9*Титул!$E$18,SUM(T17,T18,T22))</f>
        <v>6082.6111111111122</v>
      </c>
      <c r="U42" s="209">
        <f>IF(SUM(U17,U18,U22)&gt;0.5*U9*Титул!$E$18,0.5*U9*Титул!$E$18,SUM(U17,U18,U22))</f>
        <v>6082.6111111111122</v>
      </c>
      <c r="V42" s="209">
        <f>IF(SUM(V17,V18,V22)&gt;0.5*V9*Титул!$E$18,0.5*V9*Титул!$E$18,SUM(V17,V18,V22))</f>
        <v>6082.6111111111122</v>
      </c>
      <c r="W42" s="209">
        <f>IF(SUM(W17,W18,W22)&gt;0.5*W9*Титул!$E$18,0.5*W9*Титул!$E$18,SUM(W17,W18,W22))</f>
        <v>6082.6111111111122</v>
      </c>
      <c r="X42" s="209">
        <f>IF(SUM(X17,X18,X22)&gt;0.5*X9*Титул!$E$18,0.5*X9*Титул!$E$18,SUM(X17,X18,X22))</f>
        <v>6082.6111111111122</v>
      </c>
      <c r="Y42" s="209">
        <f>IF(SUM(Y17,Y18,Y22)&gt;0.5*Y9*Титул!$E$18,0.5*Y9*Титул!$E$18,SUM(Y17,Y18,Y22))</f>
        <v>6082.6111111111122</v>
      </c>
      <c r="Z42" s="209">
        <f>IF(SUM(Z17,Z18,Z22)&gt;0.5*Z9*Титул!$E$18,0.5*Z9*Титул!$E$18,SUM(Z17,Z18,Z22))</f>
        <v>6082.6111111111122</v>
      </c>
      <c r="AA42" s="209">
        <f>IF(SUM(AA17,AA18,AA22)&gt;0.5*AA9*Титул!$E$18,0.5*AA9*Титул!$E$18,SUM(AA17,AA18,AA22))</f>
        <v>6082.6111111111122</v>
      </c>
      <c r="AB42" s="221"/>
      <c r="AC42" s="323"/>
      <c r="AD42" s="349"/>
    </row>
    <row r="43" spans="1:30" s="138" customFormat="1" ht="18.75" hidden="1" customHeight="1" outlineLevel="1" x14ac:dyDescent="0.35">
      <c r="A43" s="349"/>
      <c r="B43" s="322"/>
      <c r="C43" s="210" t="s">
        <v>87</v>
      </c>
      <c r="D43" s="209" t="str">
        <f>IF(Титул!$E$17="УСН (Д-Р)",D41*Титул!$E$18,"-")</f>
        <v>-</v>
      </c>
      <c r="E43" s="209" t="str">
        <f>IF(Титул!$E$17="УСН (Д-Р)",E41*Титул!$E$18,"-")</f>
        <v>-</v>
      </c>
      <c r="F43" s="209" t="str">
        <f>IF(Титул!$E$17="УСН (Д-Р)",F41*Титул!$E$18,"-")</f>
        <v>-</v>
      </c>
      <c r="G43" s="209" t="str">
        <f>IF(Титул!$E$17="УСН (Д-Р)",G41*Титул!$E$18,"-")</f>
        <v>-</v>
      </c>
      <c r="H43" s="209" t="str">
        <f>IF(Титул!$E$17="УСН (Д-Р)",H41*Титул!$E$18,"-")</f>
        <v>-</v>
      </c>
      <c r="I43" s="209" t="str">
        <f>IF(Титул!$E$17="УСН (Д-Р)",I41*Титул!$E$18,"-")</f>
        <v>-</v>
      </c>
      <c r="J43" s="209" t="str">
        <f>IF(Титул!$E$17="УСН (Д-Р)",J41*Титул!$E$18,"-")</f>
        <v>-</v>
      </c>
      <c r="K43" s="209" t="str">
        <f>IF(Титул!$E$17="УСН (Д-Р)",K41*Титул!$E$18,"-")</f>
        <v>-</v>
      </c>
      <c r="L43" s="209" t="str">
        <f>IF(Титул!$E$17="УСН (Д-Р)",L41*Титул!$E$18,"-")</f>
        <v>-</v>
      </c>
      <c r="M43" s="209" t="str">
        <f>IF(Титул!$E$17="УСН (Д-Р)",M41*Титул!$E$18,"-")</f>
        <v>-</v>
      </c>
      <c r="N43" s="209" t="str">
        <f>IF(Титул!$E$17="УСН (Д-Р)",N41*Титул!$E$18,"-")</f>
        <v>-</v>
      </c>
      <c r="O43" s="209" t="str">
        <f>IF(Титул!$E$17="УСН (Д-Р)",O41*Титул!$E$18,"-")</f>
        <v>-</v>
      </c>
      <c r="P43" s="209" t="str">
        <f>IF(Титул!$E$17="УСН (Д-Р)",P41*Титул!$E$18,"-")</f>
        <v>-</v>
      </c>
      <c r="Q43" s="209" t="str">
        <f>IF(Титул!$E$17="УСН (Д-Р)",Q41*Титул!$E$18,"-")</f>
        <v>-</v>
      </c>
      <c r="R43" s="209" t="str">
        <f>IF(Титул!$E$17="УСН (Д-Р)",R41*Титул!$E$18,"-")</f>
        <v>-</v>
      </c>
      <c r="S43" s="209" t="str">
        <f>IF(Титул!$E$17="УСН (Д-Р)",S41*Титул!$E$18,"-")</f>
        <v>-</v>
      </c>
      <c r="T43" s="209" t="str">
        <f>IF(Титул!$E$17="УСН (Д-Р)",T41*Титул!$E$18,"-")</f>
        <v>-</v>
      </c>
      <c r="U43" s="209" t="str">
        <f>IF(Титул!$E$17="УСН (Д-Р)",U41*Титул!$E$18,"-")</f>
        <v>-</v>
      </c>
      <c r="V43" s="209" t="str">
        <f>IF(Титул!$E$17="УСН (Д-Р)",V41*Титул!$E$18,"-")</f>
        <v>-</v>
      </c>
      <c r="W43" s="209" t="str">
        <f>IF(Титул!$E$17="УСН (Д-Р)",W41*Титул!$E$18,"-")</f>
        <v>-</v>
      </c>
      <c r="X43" s="209" t="str">
        <f>IF(Титул!$E$17="УСН (Д-Р)",X41*Титул!$E$18,"-")</f>
        <v>-</v>
      </c>
      <c r="Y43" s="209" t="str">
        <f>IF(Титул!$E$17="УСН (Д-Р)",Y41*Титул!$E$18,"-")</f>
        <v>-</v>
      </c>
      <c r="Z43" s="209" t="str">
        <f>IF(Титул!$E$17="УСН (Д-Р)",Z41*Титул!$E$18,"-")</f>
        <v>-</v>
      </c>
      <c r="AA43" s="209" t="str">
        <f>IF(Титул!$E$17="УСН (Д-Р)",AA41*Титул!$E$18,"-")</f>
        <v>-</v>
      </c>
      <c r="AB43" s="221"/>
      <c r="AC43" s="323"/>
      <c r="AD43" s="349"/>
    </row>
    <row r="44" spans="1:30" s="138" customFormat="1" ht="18.75" hidden="1" customHeight="1" outlineLevel="1" x14ac:dyDescent="0.35">
      <c r="A44" s="349"/>
      <c r="B44" s="322"/>
      <c r="C44" s="210" t="s">
        <v>139</v>
      </c>
      <c r="D44" s="209">
        <f>IF(Титул!$E$17="Патент",Титул!$E$18/12,"-")</f>
        <v>11166.666666666666</v>
      </c>
      <c r="E44" s="209">
        <f>IF(Титул!$E$17="Патент",Титул!$E$18/12,"-")</f>
        <v>11166.666666666666</v>
      </c>
      <c r="F44" s="209">
        <f>IF(Титул!$E$17="Патент",Титул!$E$18/12,"-")</f>
        <v>11166.666666666666</v>
      </c>
      <c r="G44" s="209">
        <f>IF(Титул!$E$17="Патент",Титул!$E$18/12,"-")</f>
        <v>11166.666666666666</v>
      </c>
      <c r="H44" s="209">
        <f>IF(Титул!$E$17="Патент",Титул!$E$18/12,"-")</f>
        <v>11166.666666666666</v>
      </c>
      <c r="I44" s="209">
        <f>IF(Титул!$E$17="Патент",Титул!$E$18/12,"-")</f>
        <v>11166.666666666666</v>
      </c>
      <c r="J44" s="209">
        <f>IF(Титул!$E$17="Патент",Титул!$E$18/12,"-")</f>
        <v>11166.666666666666</v>
      </c>
      <c r="K44" s="209">
        <f>IF(Титул!$E$17="Патент",Титул!$E$18/12,"-")</f>
        <v>11166.666666666666</v>
      </c>
      <c r="L44" s="209">
        <f>IF(Титул!$E$17="Патент",Титул!$E$18/12,"-")</f>
        <v>11166.666666666666</v>
      </c>
      <c r="M44" s="209">
        <f>IF(Титул!$E$17="Патент",Титул!$E$18/12,"-")</f>
        <v>11166.666666666666</v>
      </c>
      <c r="N44" s="209">
        <f>IF(Титул!$E$17="Патент",Титул!$E$18/12,"-")</f>
        <v>11166.666666666666</v>
      </c>
      <c r="O44" s="209">
        <f>IF(Титул!$E$17="Патент",Титул!$E$18/12,"-")</f>
        <v>11166.666666666666</v>
      </c>
      <c r="P44" s="209">
        <f>IF(Титул!$E$17="Патент",Титул!$E$18/12,"-")</f>
        <v>11166.666666666666</v>
      </c>
      <c r="Q44" s="209">
        <f>IF(Титул!$E$17="Патент",Титул!$E$18/12,"-")</f>
        <v>11166.666666666666</v>
      </c>
      <c r="R44" s="209">
        <f>IF(Титул!$E$17="Патент",Титул!$E$18/12,"-")</f>
        <v>11166.666666666666</v>
      </c>
      <c r="S44" s="209">
        <f>IF(Титул!$E$17="Патент",Титул!$E$18/12,"-")</f>
        <v>11166.666666666666</v>
      </c>
      <c r="T44" s="209">
        <f>IF(Титул!$E$17="Патент",Титул!$E$18/12,"-")</f>
        <v>11166.666666666666</v>
      </c>
      <c r="U44" s="209">
        <f>IF(Титул!$E$17="Патент",Титул!$E$18/12,"-")</f>
        <v>11166.666666666666</v>
      </c>
      <c r="V44" s="209">
        <f>IF(Титул!$E$17="Патент",Титул!$E$18/12,"-")</f>
        <v>11166.666666666666</v>
      </c>
      <c r="W44" s="209">
        <f>IF(Титул!$E$17="Патент",Титул!$E$18/12,"-")</f>
        <v>11166.666666666666</v>
      </c>
      <c r="X44" s="209">
        <f>IF(Титул!$E$17="Патент",Титул!$E$18/12,"-")</f>
        <v>11166.666666666666</v>
      </c>
      <c r="Y44" s="209">
        <f>IF(Титул!$E$17="Патент",Титул!$E$18/12,"-")</f>
        <v>11166.666666666666</v>
      </c>
      <c r="Z44" s="209">
        <f>IF(Титул!$E$17="Патент",Титул!$E$18/12,"-")</f>
        <v>11166.666666666666</v>
      </c>
      <c r="AA44" s="209">
        <f>IF(Титул!$E$17="Патент",Титул!$E$18/12,"-")</f>
        <v>11166.666666666666</v>
      </c>
      <c r="AB44" s="221"/>
      <c r="AC44" s="323"/>
      <c r="AD44" s="349"/>
    </row>
    <row r="45" spans="1:30" s="138" customFormat="1" ht="19" hidden="1" customHeight="1" outlineLevel="1" x14ac:dyDescent="0.35">
      <c r="A45" s="349"/>
      <c r="B45" s="322"/>
      <c r="C45" s="210" t="s">
        <v>85</v>
      </c>
      <c r="D45" s="209" t="str">
        <f>IF(Титул!$E$17="УСН (Д)",D9*Титул!$E$18-D42,"-")</f>
        <v>-</v>
      </c>
      <c r="E45" s="209" t="str">
        <f>IF(Титул!$E$17="УСН (Д)",E9*Титул!$E$18-E42,"-")</f>
        <v>-</v>
      </c>
      <c r="F45" s="209" t="str">
        <f>IF(Титул!$E$17="УСН (Д)",F9*Титул!$E$18-F42,"-")</f>
        <v>-</v>
      </c>
      <c r="G45" s="209" t="str">
        <f>IF(Титул!$E$17="УСН (Д)",G9*Титул!$E$18-G42,"-")</f>
        <v>-</v>
      </c>
      <c r="H45" s="209" t="str">
        <f>IF(Титул!$E$17="УСН (Д)",H9*Титул!$E$18-H42,"-")</f>
        <v>-</v>
      </c>
      <c r="I45" s="209" t="str">
        <f>IF(Титул!$E$17="УСН (Д)",I9*Титул!$E$18-I42,"-")</f>
        <v>-</v>
      </c>
      <c r="J45" s="209" t="str">
        <f>IF(Титул!$E$17="УСН (Д)",J9*Титул!$E$18-J42,"-")</f>
        <v>-</v>
      </c>
      <c r="K45" s="209" t="str">
        <f>IF(Титул!$E$17="УСН (Д)",K9*Титул!$E$18-K42,"-")</f>
        <v>-</v>
      </c>
      <c r="L45" s="209" t="str">
        <f>IF(Титул!$E$17="УСН (Д)",L9*Титул!$E$18-L42,"-")</f>
        <v>-</v>
      </c>
      <c r="M45" s="209" t="str">
        <f>IF(Титул!$E$17="УСН (Д)",M9*Титул!$E$18-M42,"-")</f>
        <v>-</v>
      </c>
      <c r="N45" s="209" t="str">
        <f>IF(Титул!$E$17="УСН (Д)",N9*Титул!$E$18-N42,"-")</f>
        <v>-</v>
      </c>
      <c r="O45" s="209" t="str">
        <f>IF(Титул!$E$17="УСН (Д)",O9*Титул!$E$18-O42,"-")</f>
        <v>-</v>
      </c>
      <c r="P45" s="209" t="str">
        <f>IF(Титул!$E$17="УСН (Д)",P9*Титул!$E$18-P42,"-")</f>
        <v>-</v>
      </c>
      <c r="Q45" s="209" t="str">
        <f>IF(Титул!$E$17="УСН (Д)",Q9*Титул!$E$18-Q42,"-")</f>
        <v>-</v>
      </c>
      <c r="R45" s="209" t="str">
        <f>IF(Титул!$E$17="УСН (Д)",R9*Титул!$E$18-R42,"-")</f>
        <v>-</v>
      </c>
      <c r="S45" s="209" t="str">
        <f>IF(Титул!$E$17="УСН (Д)",S9*Титул!$E$18-S42,"-")</f>
        <v>-</v>
      </c>
      <c r="T45" s="209" t="str">
        <f>IF(Титул!$E$17="УСН (Д)",T9*Титул!$E$18-T42,"-")</f>
        <v>-</v>
      </c>
      <c r="U45" s="209" t="str">
        <f>IF(Титул!$E$17="УСН (Д)",U9*Титул!$E$18-U42,"-")</f>
        <v>-</v>
      </c>
      <c r="V45" s="209" t="str">
        <f>IF(Титул!$E$17="УСН (Д)",V9*Титул!$E$18-V42,"-")</f>
        <v>-</v>
      </c>
      <c r="W45" s="209" t="str">
        <f>IF(Титул!$E$17="УСН (Д)",W9*Титул!$E$18-W42,"-")</f>
        <v>-</v>
      </c>
      <c r="X45" s="209" t="str">
        <f>IF(Титул!$E$17="УСН (Д)",X9*Титул!$E$18-X42,"-")</f>
        <v>-</v>
      </c>
      <c r="Y45" s="209" t="str">
        <f>IF(Титул!$E$17="УСН (Д)",Y9*Титул!$E$18-Y42,"-")</f>
        <v>-</v>
      </c>
      <c r="Z45" s="209" t="str">
        <f>IF(Титул!$E$17="УСН (Д)",Z9*Титул!$E$18-Z42,"-")</f>
        <v>-</v>
      </c>
      <c r="AA45" s="209" t="str">
        <f>IF(Титул!$E$17="УСН (Д)",AA9*Титул!$E$18-AA42,"-")</f>
        <v>-</v>
      </c>
      <c r="AB45" s="221"/>
      <c r="AC45" s="323"/>
      <c r="AD45" s="349"/>
    </row>
    <row r="46" spans="1:30" s="135" customFormat="1" ht="19" customHeight="1" collapsed="1" x14ac:dyDescent="0.4">
      <c r="A46" s="345"/>
      <c r="B46" s="315"/>
      <c r="C46" s="244"/>
      <c r="D46" s="211"/>
      <c r="E46" s="244"/>
      <c r="F46" s="244"/>
      <c r="G46" s="244"/>
      <c r="H46" s="244"/>
      <c r="I46" s="244"/>
      <c r="J46" s="244"/>
      <c r="K46" s="245"/>
      <c r="L46" s="245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324"/>
      <c r="AD46" s="345"/>
    </row>
    <row r="47" spans="1:30" s="76" customFormat="1" ht="22" customHeight="1" x14ac:dyDescent="0.4">
      <c r="A47" s="345"/>
      <c r="B47" s="315"/>
      <c r="C47" s="430" t="s">
        <v>5</v>
      </c>
      <c r="D47" s="431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  <c r="R47" s="246"/>
      <c r="S47" s="246"/>
      <c r="T47" s="246"/>
      <c r="U47" s="246"/>
      <c r="V47" s="246"/>
      <c r="W47" s="246"/>
      <c r="X47" s="246"/>
      <c r="Y47" s="246"/>
      <c r="Z47" s="246"/>
      <c r="AA47" s="246"/>
      <c r="AB47" s="247"/>
      <c r="AC47" s="324"/>
      <c r="AD47" s="345"/>
    </row>
    <row r="48" spans="1:30" s="135" customFormat="1" ht="19" customHeight="1" x14ac:dyDescent="0.4">
      <c r="A48" s="345"/>
      <c r="B48" s="315"/>
      <c r="C48" s="194" t="s">
        <v>48</v>
      </c>
      <c r="D48" s="174">
        <f>AVERAGE(D9:AA9)</f>
        <v>1539346.5416666667</v>
      </c>
      <c r="E48" s="76"/>
      <c r="F48" s="7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324"/>
      <c r="AD48" s="345"/>
    </row>
    <row r="49" spans="1:30" s="135" customFormat="1" ht="19" customHeight="1" x14ac:dyDescent="0.4">
      <c r="A49" s="345"/>
      <c r="B49" s="315"/>
      <c r="C49" s="194" t="s">
        <v>6</v>
      </c>
      <c r="D49" s="174">
        <f>AVERAGE(D37:AA37)</f>
        <v>422403.85053472227</v>
      </c>
      <c r="E49" s="76"/>
      <c r="F49" s="7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324"/>
      <c r="AD49" s="345"/>
    </row>
    <row r="50" spans="1:30" s="135" customFormat="1" ht="19" customHeight="1" x14ac:dyDescent="0.4">
      <c r="A50" s="345"/>
      <c r="B50" s="315"/>
      <c r="C50" s="194" t="s">
        <v>39</v>
      </c>
      <c r="D50" s="195">
        <f>MIN(D40:AA40)</f>
        <v>10</v>
      </c>
      <c r="E50" s="76"/>
      <c r="F50" s="76"/>
      <c r="G50" s="76"/>
      <c r="H50" s="246"/>
      <c r="I50" s="76"/>
      <c r="J50" s="7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324"/>
      <c r="AD50" s="345"/>
    </row>
    <row r="51" spans="1:30" s="135" customFormat="1" ht="19" customHeight="1" x14ac:dyDescent="0.4">
      <c r="A51" s="345"/>
      <c r="B51" s="315"/>
      <c r="C51" s="194" t="s">
        <v>211</v>
      </c>
      <c r="D51" s="174">
        <f>AB9</f>
        <v>36944317</v>
      </c>
      <c r="E51" s="76"/>
      <c r="F51" s="76"/>
      <c r="G51" s="76"/>
      <c r="H51" s="246"/>
      <c r="I51" s="76"/>
      <c r="J51" s="7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324"/>
      <c r="AD51" s="345"/>
    </row>
    <row r="52" spans="1:30" s="135" customFormat="1" ht="19" customHeight="1" x14ac:dyDescent="0.4">
      <c r="A52" s="345"/>
      <c r="B52" s="315"/>
      <c r="C52" s="194" t="s">
        <v>212</v>
      </c>
      <c r="D52" s="174">
        <f>AB37</f>
        <v>10137692.412833335</v>
      </c>
      <c r="E52" s="76"/>
      <c r="F52" s="76"/>
      <c r="G52" s="76"/>
      <c r="H52" s="246"/>
      <c r="I52" s="76"/>
      <c r="J52" s="7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324"/>
      <c r="AD52" s="345"/>
    </row>
    <row r="53" spans="1:30" s="135" customFormat="1" ht="19" customHeight="1" x14ac:dyDescent="0.4">
      <c r="A53" s="345"/>
      <c r="B53" s="315"/>
      <c r="C53" s="194" t="s">
        <v>40</v>
      </c>
      <c r="D53" s="196">
        <f>D49/D48</f>
        <v>0.27440465100040512</v>
      </c>
      <c r="E53" s="76"/>
      <c r="F53" s="76"/>
      <c r="G53" s="76"/>
      <c r="H53" s="246"/>
      <c r="I53" s="76"/>
      <c r="J53" s="7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324"/>
      <c r="AD53" s="345"/>
    </row>
    <row r="54" spans="1:30" ht="19" customHeight="1" x14ac:dyDescent="0.3">
      <c r="B54" s="272"/>
      <c r="C54" s="248"/>
      <c r="D54" s="226"/>
      <c r="E54" s="249"/>
      <c r="F54" s="250"/>
      <c r="G54" s="72"/>
      <c r="H54" s="251"/>
      <c r="I54" s="72"/>
      <c r="J54" s="72"/>
      <c r="K54" s="251"/>
      <c r="L54" s="251"/>
      <c r="M54" s="251"/>
      <c r="N54" s="251"/>
      <c r="O54" s="251"/>
      <c r="P54" s="251"/>
      <c r="Q54" s="251"/>
      <c r="R54" s="251"/>
      <c r="S54" s="251"/>
      <c r="T54" s="251"/>
      <c r="U54" s="251"/>
      <c r="V54" s="251"/>
      <c r="W54" s="251"/>
      <c r="X54" s="251"/>
      <c r="Y54" s="251"/>
      <c r="Z54" s="251"/>
      <c r="AA54" s="251"/>
      <c r="AB54" s="251"/>
      <c r="AC54" s="325"/>
    </row>
    <row r="55" spans="1:30" ht="85.5" customHeight="1" x14ac:dyDescent="0.3">
      <c r="B55" s="272"/>
      <c r="C55" s="72"/>
      <c r="D55" s="252"/>
      <c r="E55" s="253"/>
      <c r="F55" s="253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282"/>
    </row>
    <row r="56" spans="1:30" ht="21.75" customHeight="1" thickBot="1" x14ac:dyDescent="0.35">
      <c r="B56" s="274"/>
      <c r="C56" s="275"/>
      <c r="D56" s="326"/>
      <c r="E56" s="275"/>
      <c r="F56" s="275"/>
      <c r="G56" s="275"/>
      <c r="H56" s="275"/>
      <c r="I56" s="275"/>
      <c r="J56" s="275"/>
      <c r="K56" s="275"/>
      <c r="L56" s="275"/>
      <c r="M56" s="275"/>
      <c r="N56" s="275"/>
      <c r="O56" s="275"/>
      <c r="P56" s="275"/>
      <c r="Q56" s="275"/>
      <c r="R56" s="275"/>
      <c r="S56" s="275"/>
      <c r="T56" s="275"/>
      <c r="U56" s="275"/>
      <c r="V56" s="275"/>
      <c r="W56" s="275"/>
      <c r="X56" s="275"/>
      <c r="Y56" s="275"/>
      <c r="Z56" s="275"/>
      <c r="AA56" s="275"/>
      <c r="AB56" s="275"/>
      <c r="AC56" s="285"/>
    </row>
    <row r="57" spans="1:30" s="331" customFormat="1" ht="22" customHeight="1" x14ac:dyDescent="0.3">
      <c r="D57" s="347"/>
    </row>
    <row r="58" spans="1:30" hidden="1" x14ac:dyDescent="0.3">
      <c r="D58" s="139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  <c r="AA58" s="133"/>
      <c r="AB58" s="133"/>
      <c r="AC58" s="133"/>
    </row>
    <row r="59" spans="1:30" hidden="1" x14ac:dyDescent="0.3">
      <c r="D59" s="139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3"/>
      <c r="AB59" s="133"/>
      <c r="AC59" s="133"/>
    </row>
    <row r="139" ht="15" hidden="1" customHeight="1" x14ac:dyDescent="0.3"/>
    <row r="140" ht="15" hidden="1" customHeight="1" x14ac:dyDescent="0.3"/>
    <row r="141" ht="15" hidden="1" customHeight="1" x14ac:dyDescent="0.3"/>
    <row r="142" ht="15" hidden="1" customHeight="1" x14ac:dyDescent="0.3"/>
    <row r="143" ht="15" hidden="1" customHeight="1" x14ac:dyDescent="0.3"/>
    <row r="144" ht="15" hidden="1" customHeight="1" x14ac:dyDescent="0.3"/>
    <row r="145" ht="15" hidden="1" customHeight="1" x14ac:dyDescent="0.3"/>
    <row r="146" ht="15" hidden="1" customHeight="1" x14ac:dyDescent="0.3"/>
    <row r="147" ht="15" hidden="1" customHeight="1" x14ac:dyDescent="0.3"/>
    <row r="171" ht="10.5" hidden="1" customHeight="1" x14ac:dyDescent="0.3"/>
  </sheetData>
  <mergeCells count="3">
    <mergeCell ref="C47:D47"/>
    <mergeCell ref="AB6:AB8"/>
    <mergeCell ref="B3:C4"/>
  </mergeCells>
  <conditionalFormatting sqref="D37:AA37">
    <cfRule type="colorScale" priority="693">
      <colorScale>
        <cfvo type="min"/>
        <cfvo type="max"/>
        <color rgb="FFF3FCEA"/>
        <color rgb="FF9FE856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23" orientation="landscape" r:id="rId1"/>
  <ignoredErrors>
    <ignoredError sqref="E37:H37 E38:H39 E40:H40 I37:I40" evalError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12"/>
  <dimension ref="A1:Z704"/>
  <sheetViews>
    <sheetView workbookViewId="0">
      <selection activeCell="D5" sqref="D5:G5"/>
    </sheetView>
  </sheetViews>
  <sheetFormatPr defaultColWidth="9.1796875" defaultRowHeight="14.5" x14ac:dyDescent="0.35"/>
  <cols>
    <col min="1" max="1" width="15.1796875" style="2" bestFit="1" customWidth="1"/>
    <col min="2" max="2" width="17.1796875" style="2" hidden="1" customWidth="1"/>
    <col min="3" max="3" width="15.7265625" style="2" hidden="1" customWidth="1"/>
    <col min="4" max="25" width="14.81640625" style="2" customWidth="1"/>
    <col min="26" max="26" width="15.1796875" style="2" customWidth="1"/>
    <col min="27" max="16384" width="9.1796875" style="2"/>
  </cols>
  <sheetData>
    <row r="1" spans="1:26" x14ac:dyDescent="0.3">
      <c r="A1" s="438" t="s">
        <v>11</v>
      </c>
      <c r="B1" s="439"/>
      <c r="C1" s="440"/>
      <c r="D1" s="6">
        <f>Инвестиции!E57</f>
        <v>0</v>
      </c>
      <c r="E1" s="7"/>
      <c r="F1" s="8"/>
      <c r="G1" s="9"/>
      <c r="H1" s="8"/>
      <c r="I1" s="8"/>
      <c r="J1" s="8"/>
      <c r="K1" s="8"/>
      <c r="L1" s="8"/>
      <c r="M1" s="8"/>
      <c r="N1" s="10"/>
      <c r="O1" s="11"/>
      <c r="P1" s="12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x14ac:dyDescent="0.3">
      <c r="A2" s="441" t="s">
        <v>12</v>
      </c>
      <c r="B2" s="442"/>
      <c r="C2" s="443"/>
      <c r="D2" s="5">
        <f>Инвестиции!E58*100</f>
        <v>35</v>
      </c>
      <c r="E2" s="7"/>
      <c r="F2" s="14"/>
      <c r="G2" s="14"/>
      <c r="H2" s="15"/>
      <c r="I2" s="14"/>
      <c r="J2" s="14"/>
      <c r="K2" s="16"/>
      <c r="L2" s="14"/>
      <c r="M2" s="14"/>
      <c r="N2" s="10"/>
      <c r="O2" s="11"/>
      <c r="P2" s="12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5" thickBot="1" x14ac:dyDescent="0.35">
      <c r="A3" s="444" t="s">
        <v>13</v>
      </c>
      <c r="B3" s="445"/>
      <c r="C3" s="446"/>
      <c r="D3" s="17">
        <f>IF(Инвестиции!E59&gt;0,Инвестиции!E59,1)</f>
        <v>24</v>
      </c>
      <c r="E3" s="7"/>
      <c r="F3" s="9"/>
      <c r="G3" s="9"/>
      <c r="H3" s="14"/>
      <c r="I3" s="9"/>
      <c r="J3" s="9"/>
      <c r="K3" s="9"/>
      <c r="L3" s="9"/>
      <c r="M3" s="9"/>
      <c r="N3" s="10"/>
      <c r="O3" s="11"/>
      <c r="P3" s="12"/>
      <c r="Q3" s="1">
        <f>'Прибыль и окупаемость'!R8</f>
        <v>44996</v>
      </c>
      <c r="R3" s="1">
        <f>'Прибыль и окупаемость'!S8</f>
        <v>45027</v>
      </c>
      <c r="S3" s="1">
        <f>'Прибыль и окупаемость'!T8</f>
        <v>45058</v>
      </c>
      <c r="T3" s="1">
        <f>'Прибыль и окупаемость'!U8</f>
        <v>45089</v>
      </c>
      <c r="U3" s="1">
        <f>'Прибыль и окупаемость'!V8</f>
        <v>45120</v>
      </c>
      <c r="V3" s="1">
        <f>'Прибыль и окупаемость'!W8</f>
        <v>45151</v>
      </c>
      <c r="W3" s="1">
        <f>'Прибыль и окупаемость'!X8</f>
        <v>45182</v>
      </c>
      <c r="X3" s="1">
        <f>'Прибыль и окупаемость'!Y8</f>
        <v>45213</v>
      </c>
      <c r="Y3" s="1">
        <f>'Прибыль и окупаемость'!Z8</f>
        <v>45244</v>
      </c>
      <c r="Z3" s="1" t="e">
        <f>'Прибыль и окупаемость'!#REF!</f>
        <v>#REF!</v>
      </c>
    </row>
    <row r="4" spans="1:26" ht="15" hidden="1" thickBot="1" x14ac:dyDescent="0.35">
      <c r="A4" s="444" t="s">
        <v>14</v>
      </c>
      <c r="B4" s="445"/>
      <c r="C4" s="446"/>
      <c r="D4" s="18">
        <v>41192</v>
      </c>
      <c r="E4" s="7"/>
      <c r="F4" s="9"/>
      <c r="G4" s="9"/>
      <c r="H4" s="9"/>
      <c r="I4" s="9"/>
      <c r="J4" s="9"/>
      <c r="K4" s="9"/>
      <c r="L4" s="9"/>
      <c r="M4" s="9"/>
      <c r="N4" s="10"/>
      <c r="O4" s="11"/>
      <c r="P4" s="12"/>
      <c r="Q4" s="1">
        <v>15</v>
      </c>
      <c r="R4" s="1">
        <v>16</v>
      </c>
      <c r="S4" s="1">
        <v>17</v>
      </c>
      <c r="T4" s="1">
        <v>18</v>
      </c>
      <c r="U4" s="1">
        <v>19</v>
      </c>
      <c r="V4" s="1">
        <v>20</v>
      </c>
      <c r="W4" s="1">
        <v>21</v>
      </c>
      <c r="X4" s="1">
        <v>22</v>
      </c>
      <c r="Y4" s="1">
        <v>23</v>
      </c>
      <c r="Z4" s="1">
        <v>24</v>
      </c>
    </row>
    <row r="5" spans="1:26" x14ac:dyDescent="0.3">
      <c r="A5" s="447" t="s">
        <v>15</v>
      </c>
      <c r="B5" s="449" t="s">
        <v>16</v>
      </c>
      <c r="C5" s="451" t="s">
        <v>17</v>
      </c>
      <c r="D5" s="433" t="s">
        <v>18</v>
      </c>
      <c r="E5" s="434"/>
      <c r="F5" s="434"/>
      <c r="G5" s="435"/>
      <c r="H5" s="433" t="s">
        <v>19</v>
      </c>
      <c r="I5" s="434"/>
      <c r="J5" s="434"/>
      <c r="K5" s="434"/>
      <c r="L5" s="436" t="s">
        <v>20</v>
      </c>
      <c r="M5" s="437"/>
      <c r="N5" s="10"/>
      <c r="O5" s="11"/>
      <c r="P5" s="12"/>
      <c r="Q5" s="3">
        <f t="shared" ref="Q5:Z5" si="0">P5</f>
        <v>0</v>
      </c>
      <c r="R5" s="3">
        <f t="shared" si="0"/>
        <v>0</v>
      </c>
      <c r="S5" s="3">
        <f t="shared" si="0"/>
        <v>0</v>
      </c>
      <c r="T5" s="3">
        <f t="shared" si="0"/>
        <v>0</v>
      </c>
      <c r="U5" s="3">
        <f t="shared" si="0"/>
        <v>0</v>
      </c>
      <c r="V5" s="3">
        <f t="shared" si="0"/>
        <v>0</v>
      </c>
      <c r="W5" s="3">
        <f t="shared" si="0"/>
        <v>0</v>
      </c>
      <c r="X5" s="3">
        <f t="shared" si="0"/>
        <v>0</v>
      </c>
      <c r="Y5" s="3">
        <f t="shared" si="0"/>
        <v>0</v>
      </c>
      <c r="Z5" s="3">
        <f t="shared" si="0"/>
        <v>0</v>
      </c>
    </row>
    <row r="6" spans="1:26" ht="28.5" thickBot="1" x14ac:dyDescent="0.35">
      <c r="A6" s="448"/>
      <c r="B6" s="450"/>
      <c r="C6" s="452"/>
      <c r="D6" s="19" t="s">
        <v>21</v>
      </c>
      <c r="E6" s="20" t="s">
        <v>22</v>
      </c>
      <c r="F6" s="20" t="s">
        <v>23</v>
      </c>
      <c r="G6" s="21" t="s">
        <v>24</v>
      </c>
      <c r="H6" s="19" t="s">
        <v>21</v>
      </c>
      <c r="I6" s="20" t="s">
        <v>22</v>
      </c>
      <c r="J6" s="20" t="s">
        <v>23</v>
      </c>
      <c r="K6" s="22" t="s">
        <v>24</v>
      </c>
      <c r="L6" s="19" t="s">
        <v>25</v>
      </c>
      <c r="M6" s="21" t="s">
        <v>26</v>
      </c>
      <c r="N6" s="10"/>
      <c r="O6" s="11"/>
      <c r="P6" s="12"/>
      <c r="Q6" s="4">
        <f t="shared" ref="Q6:Z6" si="1">(1+$B$6)^Q4</f>
        <v>1</v>
      </c>
      <c r="R6" s="4">
        <f t="shared" si="1"/>
        <v>1</v>
      </c>
      <c r="S6" s="4">
        <f t="shared" si="1"/>
        <v>1</v>
      </c>
      <c r="T6" s="4">
        <f t="shared" si="1"/>
        <v>1</v>
      </c>
      <c r="U6" s="4">
        <f t="shared" si="1"/>
        <v>1</v>
      </c>
      <c r="V6" s="4">
        <f t="shared" si="1"/>
        <v>1</v>
      </c>
      <c r="W6" s="4">
        <f t="shared" si="1"/>
        <v>1</v>
      </c>
      <c r="X6" s="4">
        <f t="shared" si="1"/>
        <v>1</v>
      </c>
      <c r="Y6" s="4">
        <f t="shared" si="1"/>
        <v>1</v>
      </c>
      <c r="Z6" s="4">
        <f t="shared" si="1"/>
        <v>1</v>
      </c>
    </row>
    <row r="7" spans="1:26" ht="15" thickBot="1" x14ac:dyDescent="0.35">
      <c r="A7" s="23" t="s">
        <v>27</v>
      </c>
      <c r="B7" s="24"/>
      <c r="C7" s="25">
        <f>$D$4</f>
        <v>41192</v>
      </c>
      <c r="D7" s="26">
        <f>E7+F7</f>
        <v>0</v>
      </c>
      <c r="E7" s="27">
        <f>SUM(E8:E65536)+SUM(L8:M65536)</f>
        <v>0</v>
      </c>
      <c r="F7" s="28">
        <f>SUM(F8:F65536)</f>
        <v>0</v>
      </c>
      <c r="G7" s="29">
        <f>$D$1</f>
        <v>0</v>
      </c>
      <c r="H7" s="30">
        <f>I7+J7</f>
        <v>0</v>
      </c>
      <c r="I7" s="27">
        <f>SUM(I8:I65536)+SUM(L8:M65536)</f>
        <v>0</v>
      </c>
      <c r="J7" s="28">
        <f>SUM(J8:J65536)</f>
        <v>0</v>
      </c>
      <c r="K7" s="31">
        <f>$D$1</f>
        <v>0</v>
      </c>
      <c r="L7" s="26"/>
      <c r="M7" s="32"/>
      <c r="N7" s="10">
        <f>ROW(N7)</f>
        <v>7</v>
      </c>
      <c r="O7" s="11"/>
      <c r="P7" s="12"/>
      <c r="Q7" s="3">
        <f t="shared" ref="Q7:Z7" si="2">Q5/Q6</f>
        <v>0</v>
      </c>
      <c r="R7" s="3">
        <f t="shared" si="2"/>
        <v>0</v>
      </c>
      <c r="S7" s="3">
        <f t="shared" si="2"/>
        <v>0</v>
      </c>
      <c r="T7" s="3">
        <f t="shared" si="2"/>
        <v>0</v>
      </c>
      <c r="U7" s="3">
        <f t="shared" si="2"/>
        <v>0</v>
      </c>
      <c r="V7" s="3">
        <f t="shared" si="2"/>
        <v>0</v>
      </c>
      <c r="W7" s="3">
        <f t="shared" si="2"/>
        <v>0</v>
      </c>
      <c r="X7" s="3">
        <f t="shared" si="2"/>
        <v>0</v>
      </c>
      <c r="Y7" s="3">
        <f t="shared" si="2"/>
        <v>0</v>
      </c>
      <c r="Z7" s="3">
        <f t="shared" si="2"/>
        <v>0</v>
      </c>
    </row>
    <row r="8" spans="1:26" x14ac:dyDescent="0.3">
      <c r="A8" s="33">
        <v>1</v>
      </c>
      <c r="B8" s="34" t="str">
        <f>CONCATENATE(INT((A8-1)/12)+1,"-й год ",A8-1-INT((A8-1)/12)*12+1,"-й мес")</f>
        <v>1-й год 1-й мес</v>
      </c>
      <c r="C8" s="35">
        <f>DATE(YEAR(C7),MONTH(C7)+1,DAY(C7))</f>
        <v>41223</v>
      </c>
      <c r="D8" s="36">
        <f t="shared" ref="D8:D71" si="3">IF(P8*$D$2/100/12/(1-(1+$D$2/100/12)^(-O8))&lt;G7,ROUNDUP(P8*$D$2/100/12/(1-(1+$D$2/100/12)^(-O8)),0),G7+F8)</f>
        <v>0</v>
      </c>
      <c r="E8" s="37">
        <f>D8-F8</f>
        <v>0</v>
      </c>
      <c r="F8" s="37">
        <f>$D$1*$D$2*(C8-C7)/(DATE(YEAR(C8)+1,1,1)-DATE(YEAR(C8),1,1))/100</f>
        <v>0</v>
      </c>
      <c r="G8" s="38">
        <f>G7-E8-L8-M8</f>
        <v>0</v>
      </c>
      <c r="H8" s="39">
        <f t="shared" ref="H8:H71" si="4">I8+J8</f>
        <v>0</v>
      </c>
      <c r="I8" s="37">
        <f>IF($D$1/$D$3&lt;K7,$D$1/$D$3,K7)</f>
        <v>0</v>
      </c>
      <c r="J8" s="37">
        <f>K7*$D$2/12/100</f>
        <v>0</v>
      </c>
      <c r="K8" s="40">
        <f>K7-I8-L8-M8</f>
        <v>0</v>
      </c>
      <c r="L8" s="5"/>
      <c r="M8" s="5"/>
      <c r="N8" s="41">
        <f t="shared" ref="N8:N71" si="5">IF(ISBLANK(L7),VALUE(N7),ROW(L7))</f>
        <v>7</v>
      </c>
      <c r="O8" s="11">
        <f>$D$3</f>
        <v>24</v>
      </c>
      <c r="P8" s="12">
        <f t="shared" ref="P8:P71" si="6">INDEX(G:G,N8,1)</f>
        <v>0</v>
      </c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x14ac:dyDescent="0.3">
      <c r="A9" s="33">
        <v>2</v>
      </c>
      <c r="B9" s="34" t="str">
        <f t="shared" ref="B9:B72" si="7">CONCATENATE(INT((A9-1)/12)+1,"-й год ",A9-1-INT((A9-1)/12)*12+1,"-й мес")</f>
        <v>1-й год 2-й мес</v>
      </c>
      <c r="C9" s="35">
        <f>DATE(YEAR(C8),MONTH(C8)+1,DAY(C8))</f>
        <v>41253</v>
      </c>
      <c r="D9" s="36">
        <f t="shared" si="3"/>
        <v>0</v>
      </c>
      <c r="E9" s="37">
        <f t="shared" ref="E9:E72" si="8">D9-F9</f>
        <v>0</v>
      </c>
      <c r="F9" s="37">
        <f>G8*$D$2*(C9-C8)/(DATE(YEAR(C9)+1,1,1)-DATE(YEAR(C9),1,1))/100</f>
        <v>0</v>
      </c>
      <c r="G9" s="38">
        <f t="shared" ref="G9:G72" si="9">G8-E9-L9-M9</f>
        <v>0</v>
      </c>
      <c r="H9" s="39">
        <f t="shared" si="4"/>
        <v>0</v>
      </c>
      <c r="I9" s="37">
        <f>IF($D$1/$D$3&lt;K8,$D$1/$D$3,K8)</f>
        <v>0</v>
      </c>
      <c r="J9" s="37">
        <f t="shared" ref="J9:J72" si="10">K8*$D$2/12/100</f>
        <v>0</v>
      </c>
      <c r="K9" s="40">
        <f t="shared" ref="K9:K72" si="11">K8-I9-L9-M9</f>
        <v>0</v>
      </c>
      <c r="L9" s="5"/>
      <c r="M9" s="5"/>
      <c r="N9" s="41">
        <f t="shared" si="5"/>
        <v>7</v>
      </c>
      <c r="O9" s="11">
        <f t="shared" ref="O9:O72" si="12">O8+N8-N9</f>
        <v>24</v>
      </c>
      <c r="P9" s="12">
        <f t="shared" si="6"/>
        <v>0</v>
      </c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x14ac:dyDescent="0.3">
      <c r="A10" s="33">
        <v>3</v>
      </c>
      <c r="B10" s="34" t="str">
        <f t="shared" si="7"/>
        <v>1-й год 3-й мес</v>
      </c>
      <c r="C10" s="35">
        <f t="shared" ref="C10:C73" si="13">DATE(YEAR(C9),MONTH(C9)+1,DAY(C9))</f>
        <v>41284</v>
      </c>
      <c r="D10" s="36">
        <f t="shared" si="3"/>
        <v>0</v>
      </c>
      <c r="E10" s="37">
        <f t="shared" si="8"/>
        <v>0</v>
      </c>
      <c r="F10" s="37">
        <f t="shared" ref="F10:F73" si="14">G9*$D$2*(C10-C9)/(DATE(YEAR(C10)+1,1,1)-DATE(YEAR(C10),1,1))/100</f>
        <v>0</v>
      </c>
      <c r="G10" s="38">
        <f t="shared" si="9"/>
        <v>0</v>
      </c>
      <c r="H10" s="39">
        <f t="shared" si="4"/>
        <v>0</v>
      </c>
      <c r="I10" s="37">
        <f t="shared" ref="I10:I73" si="15">IF($D$1/$D$3&lt;K9,$D$1/$D$3,K9)</f>
        <v>0</v>
      </c>
      <c r="J10" s="37">
        <f t="shared" si="10"/>
        <v>0</v>
      </c>
      <c r="K10" s="40">
        <f t="shared" si="11"/>
        <v>0</v>
      </c>
      <c r="L10" s="5"/>
      <c r="M10" s="5"/>
      <c r="N10" s="41">
        <f t="shared" si="5"/>
        <v>7</v>
      </c>
      <c r="O10" s="11">
        <f t="shared" si="12"/>
        <v>24</v>
      </c>
      <c r="P10" s="12">
        <f t="shared" si="6"/>
        <v>0</v>
      </c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x14ac:dyDescent="0.3">
      <c r="A11" s="33">
        <v>4</v>
      </c>
      <c r="B11" s="34" t="str">
        <f t="shared" si="7"/>
        <v>1-й год 4-й мес</v>
      </c>
      <c r="C11" s="35">
        <f t="shared" si="13"/>
        <v>41315</v>
      </c>
      <c r="D11" s="36">
        <f t="shared" si="3"/>
        <v>0</v>
      </c>
      <c r="E11" s="37">
        <f t="shared" si="8"/>
        <v>0</v>
      </c>
      <c r="F11" s="37">
        <f t="shared" si="14"/>
        <v>0</v>
      </c>
      <c r="G11" s="38">
        <f t="shared" si="9"/>
        <v>0</v>
      </c>
      <c r="H11" s="39">
        <f t="shared" si="4"/>
        <v>0</v>
      </c>
      <c r="I11" s="37">
        <f t="shared" si="15"/>
        <v>0</v>
      </c>
      <c r="J11" s="37">
        <f t="shared" si="10"/>
        <v>0</v>
      </c>
      <c r="K11" s="40">
        <f t="shared" si="11"/>
        <v>0</v>
      </c>
      <c r="L11" s="5"/>
      <c r="M11" s="5"/>
      <c r="N11" s="41">
        <f t="shared" si="5"/>
        <v>7</v>
      </c>
      <c r="O11" s="11">
        <f t="shared" si="12"/>
        <v>24</v>
      </c>
      <c r="P11" s="12">
        <f t="shared" si="6"/>
        <v>0</v>
      </c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x14ac:dyDescent="0.3">
      <c r="A12" s="33">
        <v>5</v>
      </c>
      <c r="B12" s="34" t="str">
        <f t="shared" si="7"/>
        <v>1-й год 5-й мес</v>
      </c>
      <c r="C12" s="35">
        <f t="shared" si="13"/>
        <v>41343</v>
      </c>
      <c r="D12" s="36">
        <f t="shared" si="3"/>
        <v>0</v>
      </c>
      <c r="E12" s="37">
        <f t="shared" si="8"/>
        <v>0</v>
      </c>
      <c r="F12" s="37">
        <f t="shared" si="14"/>
        <v>0</v>
      </c>
      <c r="G12" s="38">
        <f>G11-E12-L12-M12</f>
        <v>0</v>
      </c>
      <c r="H12" s="39">
        <f t="shared" si="4"/>
        <v>0</v>
      </c>
      <c r="I12" s="37">
        <f t="shared" si="15"/>
        <v>0</v>
      </c>
      <c r="J12" s="37">
        <f t="shared" si="10"/>
        <v>0</v>
      </c>
      <c r="K12" s="40">
        <f>K11-I12-L12-M12</f>
        <v>0</v>
      </c>
      <c r="L12" s="5"/>
      <c r="M12" s="5"/>
      <c r="N12" s="41">
        <f t="shared" si="5"/>
        <v>7</v>
      </c>
      <c r="O12" s="11">
        <f t="shared" si="12"/>
        <v>24</v>
      </c>
      <c r="P12" s="12">
        <f t="shared" si="6"/>
        <v>0</v>
      </c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x14ac:dyDescent="0.3">
      <c r="A13" s="33">
        <v>6</v>
      </c>
      <c r="B13" s="34" t="str">
        <f t="shared" si="7"/>
        <v>1-й год 6-й мес</v>
      </c>
      <c r="C13" s="35">
        <f t="shared" si="13"/>
        <v>41374</v>
      </c>
      <c r="D13" s="36">
        <f t="shared" si="3"/>
        <v>0</v>
      </c>
      <c r="E13" s="37">
        <f t="shared" si="8"/>
        <v>0</v>
      </c>
      <c r="F13" s="37">
        <f t="shared" si="14"/>
        <v>0</v>
      </c>
      <c r="G13" s="38">
        <f>G12-E13-L13-M13</f>
        <v>0</v>
      </c>
      <c r="H13" s="39">
        <f t="shared" si="4"/>
        <v>0</v>
      </c>
      <c r="I13" s="37">
        <f t="shared" si="15"/>
        <v>0</v>
      </c>
      <c r="J13" s="37">
        <f t="shared" si="10"/>
        <v>0</v>
      </c>
      <c r="K13" s="40">
        <f>K12-I13-L13-M13</f>
        <v>0</v>
      </c>
      <c r="L13" s="5"/>
      <c r="M13" s="5"/>
      <c r="N13" s="41">
        <f t="shared" si="5"/>
        <v>7</v>
      </c>
      <c r="O13" s="11">
        <f t="shared" si="12"/>
        <v>24</v>
      </c>
      <c r="P13" s="12">
        <f t="shared" si="6"/>
        <v>0</v>
      </c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x14ac:dyDescent="0.3">
      <c r="A14" s="33">
        <v>7</v>
      </c>
      <c r="B14" s="34" t="str">
        <f t="shared" si="7"/>
        <v>1-й год 7-й мес</v>
      </c>
      <c r="C14" s="35">
        <f t="shared" si="13"/>
        <v>41404</v>
      </c>
      <c r="D14" s="36">
        <f t="shared" si="3"/>
        <v>0</v>
      </c>
      <c r="E14" s="37">
        <f t="shared" si="8"/>
        <v>0</v>
      </c>
      <c r="F14" s="37">
        <f t="shared" si="14"/>
        <v>0</v>
      </c>
      <c r="G14" s="38">
        <f t="shared" si="9"/>
        <v>0</v>
      </c>
      <c r="H14" s="39">
        <f t="shared" si="4"/>
        <v>0</v>
      </c>
      <c r="I14" s="37">
        <f t="shared" si="15"/>
        <v>0</v>
      </c>
      <c r="J14" s="37">
        <f t="shared" si="10"/>
        <v>0</v>
      </c>
      <c r="K14" s="40">
        <f t="shared" si="11"/>
        <v>0</v>
      </c>
      <c r="L14" s="5"/>
      <c r="M14" s="5"/>
      <c r="N14" s="41">
        <f t="shared" si="5"/>
        <v>7</v>
      </c>
      <c r="O14" s="11">
        <f t="shared" si="12"/>
        <v>24</v>
      </c>
      <c r="P14" s="12">
        <f t="shared" si="6"/>
        <v>0</v>
      </c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x14ac:dyDescent="0.3">
      <c r="A15" s="33">
        <v>8</v>
      </c>
      <c r="B15" s="34" t="str">
        <f t="shared" si="7"/>
        <v>1-й год 8-й мес</v>
      </c>
      <c r="C15" s="35">
        <f t="shared" si="13"/>
        <v>41435</v>
      </c>
      <c r="D15" s="36">
        <f t="shared" si="3"/>
        <v>0</v>
      </c>
      <c r="E15" s="37">
        <f t="shared" si="8"/>
        <v>0</v>
      </c>
      <c r="F15" s="37">
        <f t="shared" si="14"/>
        <v>0</v>
      </c>
      <c r="G15" s="38">
        <f t="shared" si="9"/>
        <v>0</v>
      </c>
      <c r="H15" s="39">
        <f t="shared" si="4"/>
        <v>0</v>
      </c>
      <c r="I15" s="37">
        <f t="shared" si="15"/>
        <v>0</v>
      </c>
      <c r="J15" s="37">
        <f t="shared" si="10"/>
        <v>0</v>
      </c>
      <c r="K15" s="40">
        <f t="shared" si="11"/>
        <v>0</v>
      </c>
      <c r="L15" s="5"/>
      <c r="M15" s="5"/>
      <c r="N15" s="41">
        <f t="shared" si="5"/>
        <v>7</v>
      </c>
      <c r="O15" s="11">
        <f t="shared" si="12"/>
        <v>24</v>
      </c>
      <c r="P15" s="12">
        <f t="shared" si="6"/>
        <v>0</v>
      </c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x14ac:dyDescent="0.3">
      <c r="A16" s="33">
        <v>9</v>
      </c>
      <c r="B16" s="34" t="str">
        <f t="shared" si="7"/>
        <v>1-й год 9-й мес</v>
      </c>
      <c r="C16" s="35">
        <f t="shared" si="13"/>
        <v>41465</v>
      </c>
      <c r="D16" s="36">
        <f t="shared" si="3"/>
        <v>0</v>
      </c>
      <c r="E16" s="37">
        <f t="shared" si="8"/>
        <v>0</v>
      </c>
      <c r="F16" s="37">
        <f t="shared" si="14"/>
        <v>0</v>
      </c>
      <c r="G16" s="38">
        <f t="shared" si="9"/>
        <v>0</v>
      </c>
      <c r="H16" s="39">
        <f t="shared" si="4"/>
        <v>0</v>
      </c>
      <c r="I16" s="37">
        <f t="shared" si="15"/>
        <v>0</v>
      </c>
      <c r="J16" s="37">
        <f t="shared" si="10"/>
        <v>0</v>
      </c>
      <c r="K16" s="40">
        <f t="shared" si="11"/>
        <v>0</v>
      </c>
      <c r="L16" s="5"/>
      <c r="M16" s="5"/>
      <c r="N16" s="41">
        <f t="shared" si="5"/>
        <v>7</v>
      </c>
      <c r="O16" s="11">
        <f t="shared" si="12"/>
        <v>24</v>
      </c>
      <c r="P16" s="12">
        <f t="shared" si="6"/>
        <v>0</v>
      </c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x14ac:dyDescent="0.3">
      <c r="A17" s="33">
        <v>10</v>
      </c>
      <c r="B17" s="34" t="str">
        <f t="shared" si="7"/>
        <v>1-й год 10-й мес</v>
      </c>
      <c r="C17" s="35">
        <f t="shared" si="13"/>
        <v>41496</v>
      </c>
      <c r="D17" s="36">
        <f t="shared" si="3"/>
        <v>0</v>
      </c>
      <c r="E17" s="37">
        <f t="shared" si="8"/>
        <v>0</v>
      </c>
      <c r="F17" s="37">
        <f t="shared" si="14"/>
        <v>0</v>
      </c>
      <c r="G17" s="38">
        <f t="shared" si="9"/>
        <v>0</v>
      </c>
      <c r="H17" s="39">
        <f t="shared" si="4"/>
        <v>0</v>
      </c>
      <c r="I17" s="37">
        <f t="shared" si="15"/>
        <v>0</v>
      </c>
      <c r="J17" s="37">
        <f t="shared" si="10"/>
        <v>0</v>
      </c>
      <c r="K17" s="40">
        <f t="shared" si="11"/>
        <v>0</v>
      </c>
      <c r="L17" s="5"/>
      <c r="M17" s="5"/>
      <c r="N17" s="41">
        <f t="shared" si="5"/>
        <v>7</v>
      </c>
      <c r="O17" s="11">
        <f t="shared" si="12"/>
        <v>24</v>
      </c>
      <c r="P17" s="12">
        <f t="shared" si="6"/>
        <v>0</v>
      </c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x14ac:dyDescent="0.3">
      <c r="A18" s="33">
        <v>11</v>
      </c>
      <c r="B18" s="34" t="str">
        <f t="shared" si="7"/>
        <v>1-й год 11-й мес</v>
      </c>
      <c r="C18" s="35">
        <f t="shared" si="13"/>
        <v>41527</v>
      </c>
      <c r="D18" s="36">
        <f t="shared" si="3"/>
        <v>0</v>
      </c>
      <c r="E18" s="37">
        <f t="shared" si="8"/>
        <v>0</v>
      </c>
      <c r="F18" s="37">
        <f t="shared" si="14"/>
        <v>0</v>
      </c>
      <c r="G18" s="38">
        <f>G17-E18-L18-M18</f>
        <v>0</v>
      </c>
      <c r="H18" s="39">
        <f t="shared" si="4"/>
        <v>0</v>
      </c>
      <c r="I18" s="37">
        <f t="shared" si="15"/>
        <v>0</v>
      </c>
      <c r="J18" s="37">
        <f t="shared" si="10"/>
        <v>0</v>
      </c>
      <c r="K18" s="40">
        <f>K17-I18-L18-M18</f>
        <v>0</v>
      </c>
      <c r="L18" s="5"/>
      <c r="M18" s="5"/>
      <c r="N18" s="41">
        <f t="shared" si="5"/>
        <v>7</v>
      </c>
      <c r="O18" s="11">
        <f t="shared" si="12"/>
        <v>24</v>
      </c>
      <c r="P18" s="12">
        <f t="shared" si="6"/>
        <v>0</v>
      </c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x14ac:dyDescent="0.3">
      <c r="A19" s="33">
        <v>12</v>
      </c>
      <c r="B19" s="34" t="str">
        <f t="shared" si="7"/>
        <v>1-й год 12-й мес</v>
      </c>
      <c r="C19" s="35">
        <f t="shared" si="13"/>
        <v>41557</v>
      </c>
      <c r="D19" s="36">
        <f t="shared" si="3"/>
        <v>0</v>
      </c>
      <c r="E19" s="37">
        <f t="shared" si="8"/>
        <v>0</v>
      </c>
      <c r="F19" s="37">
        <f t="shared" si="14"/>
        <v>0</v>
      </c>
      <c r="G19" s="38">
        <f t="shared" si="9"/>
        <v>0</v>
      </c>
      <c r="H19" s="39">
        <f t="shared" si="4"/>
        <v>0</v>
      </c>
      <c r="I19" s="37">
        <f t="shared" si="15"/>
        <v>0</v>
      </c>
      <c r="J19" s="37">
        <f t="shared" si="10"/>
        <v>0</v>
      </c>
      <c r="K19" s="40">
        <f t="shared" si="11"/>
        <v>0</v>
      </c>
      <c r="L19" s="5"/>
      <c r="M19" s="5"/>
      <c r="N19" s="41">
        <f>IF(ISBLANK(L18),VALUE(N18),ROW(L18))</f>
        <v>7</v>
      </c>
      <c r="O19" s="11">
        <f t="shared" si="12"/>
        <v>24</v>
      </c>
      <c r="P19" s="12">
        <f t="shared" si="6"/>
        <v>0</v>
      </c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x14ac:dyDescent="0.3">
      <c r="A20" s="42">
        <v>13</v>
      </c>
      <c r="B20" s="34" t="str">
        <f t="shared" si="7"/>
        <v>2-й год 1-й мес</v>
      </c>
      <c r="C20" s="35">
        <f t="shared" si="13"/>
        <v>41588</v>
      </c>
      <c r="D20" s="36">
        <f t="shared" si="3"/>
        <v>0</v>
      </c>
      <c r="E20" s="43">
        <f t="shared" si="8"/>
        <v>0</v>
      </c>
      <c r="F20" s="37">
        <f t="shared" si="14"/>
        <v>0</v>
      </c>
      <c r="G20" s="44">
        <f t="shared" si="9"/>
        <v>0</v>
      </c>
      <c r="H20" s="45">
        <f t="shared" si="4"/>
        <v>0</v>
      </c>
      <c r="I20" s="43">
        <f t="shared" si="15"/>
        <v>0</v>
      </c>
      <c r="J20" s="43">
        <f t="shared" si="10"/>
        <v>0</v>
      </c>
      <c r="K20" s="46">
        <f t="shared" si="11"/>
        <v>0</v>
      </c>
      <c r="L20" s="5"/>
      <c r="M20" s="5"/>
      <c r="N20" s="41">
        <f t="shared" si="5"/>
        <v>7</v>
      </c>
      <c r="O20" s="11">
        <f t="shared" si="12"/>
        <v>24</v>
      </c>
      <c r="P20" s="12">
        <f t="shared" si="6"/>
        <v>0</v>
      </c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x14ac:dyDescent="0.3">
      <c r="A21" s="47">
        <v>14</v>
      </c>
      <c r="B21" s="34" t="str">
        <f t="shared" si="7"/>
        <v>2-й год 2-й мес</v>
      </c>
      <c r="C21" s="35">
        <f t="shared" si="13"/>
        <v>41618</v>
      </c>
      <c r="D21" s="36">
        <f t="shared" si="3"/>
        <v>0</v>
      </c>
      <c r="E21" s="37">
        <f t="shared" si="8"/>
        <v>0</v>
      </c>
      <c r="F21" s="37">
        <f t="shared" si="14"/>
        <v>0</v>
      </c>
      <c r="G21" s="38">
        <f t="shared" si="9"/>
        <v>0</v>
      </c>
      <c r="H21" s="39">
        <f t="shared" si="4"/>
        <v>0</v>
      </c>
      <c r="I21" s="37">
        <f t="shared" si="15"/>
        <v>0</v>
      </c>
      <c r="J21" s="37">
        <f t="shared" si="10"/>
        <v>0</v>
      </c>
      <c r="K21" s="40">
        <f t="shared" si="11"/>
        <v>0</v>
      </c>
      <c r="L21" s="5"/>
      <c r="M21" s="5"/>
      <c r="N21" s="41">
        <f t="shared" si="5"/>
        <v>7</v>
      </c>
      <c r="O21" s="11">
        <f t="shared" si="12"/>
        <v>24</v>
      </c>
      <c r="P21" s="12">
        <f t="shared" si="6"/>
        <v>0</v>
      </c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x14ac:dyDescent="0.3">
      <c r="A22" s="47">
        <v>15</v>
      </c>
      <c r="B22" s="34" t="str">
        <f t="shared" si="7"/>
        <v>2-й год 3-й мес</v>
      </c>
      <c r="C22" s="35">
        <f t="shared" si="13"/>
        <v>41649</v>
      </c>
      <c r="D22" s="36">
        <f t="shared" si="3"/>
        <v>0</v>
      </c>
      <c r="E22" s="37">
        <f t="shared" si="8"/>
        <v>0</v>
      </c>
      <c r="F22" s="37">
        <f t="shared" si="14"/>
        <v>0</v>
      </c>
      <c r="G22" s="38">
        <f t="shared" si="9"/>
        <v>0</v>
      </c>
      <c r="H22" s="39">
        <f t="shared" si="4"/>
        <v>0</v>
      </c>
      <c r="I22" s="37">
        <f t="shared" si="15"/>
        <v>0</v>
      </c>
      <c r="J22" s="37">
        <f t="shared" si="10"/>
        <v>0</v>
      </c>
      <c r="K22" s="40">
        <f t="shared" si="11"/>
        <v>0</v>
      </c>
      <c r="L22" s="5"/>
      <c r="M22" s="5"/>
      <c r="N22" s="41">
        <f t="shared" si="5"/>
        <v>7</v>
      </c>
      <c r="O22" s="11">
        <f t="shared" si="12"/>
        <v>24</v>
      </c>
      <c r="P22" s="12">
        <f t="shared" si="6"/>
        <v>0</v>
      </c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x14ac:dyDescent="0.3">
      <c r="A23" s="47">
        <v>16</v>
      </c>
      <c r="B23" s="34" t="str">
        <f t="shared" si="7"/>
        <v>2-й год 4-й мес</v>
      </c>
      <c r="C23" s="35">
        <f t="shared" si="13"/>
        <v>41680</v>
      </c>
      <c r="D23" s="36">
        <f t="shared" si="3"/>
        <v>0</v>
      </c>
      <c r="E23" s="37">
        <f t="shared" si="8"/>
        <v>0</v>
      </c>
      <c r="F23" s="37">
        <f t="shared" si="14"/>
        <v>0</v>
      </c>
      <c r="G23" s="38">
        <f t="shared" si="9"/>
        <v>0</v>
      </c>
      <c r="H23" s="39">
        <f t="shared" si="4"/>
        <v>0</v>
      </c>
      <c r="I23" s="37">
        <f t="shared" si="15"/>
        <v>0</v>
      </c>
      <c r="J23" s="37">
        <f t="shared" si="10"/>
        <v>0</v>
      </c>
      <c r="K23" s="40">
        <f t="shared" si="11"/>
        <v>0</v>
      </c>
      <c r="L23" s="5"/>
      <c r="M23" s="5"/>
      <c r="N23" s="41">
        <f t="shared" si="5"/>
        <v>7</v>
      </c>
      <c r="O23" s="11">
        <f t="shared" si="12"/>
        <v>24</v>
      </c>
      <c r="P23" s="12">
        <f t="shared" si="6"/>
        <v>0</v>
      </c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x14ac:dyDescent="0.3">
      <c r="A24" s="47">
        <v>17</v>
      </c>
      <c r="B24" s="34" t="str">
        <f t="shared" si="7"/>
        <v>2-й год 5-й мес</v>
      </c>
      <c r="C24" s="35">
        <f t="shared" si="13"/>
        <v>41708</v>
      </c>
      <c r="D24" s="36">
        <f t="shared" si="3"/>
        <v>0</v>
      </c>
      <c r="E24" s="37">
        <f t="shared" si="8"/>
        <v>0</v>
      </c>
      <c r="F24" s="37">
        <f t="shared" si="14"/>
        <v>0</v>
      </c>
      <c r="G24" s="38">
        <f t="shared" si="9"/>
        <v>0</v>
      </c>
      <c r="H24" s="39">
        <f t="shared" si="4"/>
        <v>0</v>
      </c>
      <c r="I24" s="37">
        <f t="shared" si="15"/>
        <v>0</v>
      </c>
      <c r="J24" s="37">
        <f t="shared" si="10"/>
        <v>0</v>
      </c>
      <c r="K24" s="40">
        <f t="shared" si="11"/>
        <v>0</v>
      </c>
      <c r="L24" s="5"/>
      <c r="M24" s="5"/>
      <c r="N24" s="41">
        <f t="shared" si="5"/>
        <v>7</v>
      </c>
      <c r="O24" s="11">
        <f t="shared" si="12"/>
        <v>24</v>
      </c>
      <c r="P24" s="12">
        <f t="shared" si="6"/>
        <v>0</v>
      </c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x14ac:dyDescent="0.3">
      <c r="A25" s="47">
        <v>18</v>
      </c>
      <c r="B25" s="34" t="str">
        <f t="shared" si="7"/>
        <v>2-й год 6-й мес</v>
      </c>
      <c r="C25" s="35">
        <f t="shared" si="13"/>
        <v>41739</v>
      </c>
      <c r="D25" s="36">
        <f t="shared" si="3"/>
        <v>0</v>
      </c>
      <c r="E25" s="37">
        <f t="shared" si="8"/>
        <v>0</v>
      </c>
      <c r="F25" s="37">
        <f t="shared" si="14"/>
        <v>0</v>
      </c>
      <c r="G25" s="38">
        <f t="shared" si="9"/>
        <v>0</v>
      </c>
      <c r="H25" s="39">
        <f t="shared" si="4"/>
        <v>0</v>
      </c>
      <c r="I25" s="37">
        <f t="shared" si="15"/>
        <v>0</v>
      </c>
      <c r="J25" s="37">
        <f t="shared" si="10"/>
        <v>0</v>
      </c>
      <c r="K25" s="40">
        <f t="shared" si="11"/>
        <v>0</v>
      </c>
      <c r="L25" s="5"/>
      <c r="M25" s="5"/>
      <c r="N25" s="41">
        <f t="shared" si="5"/>
        <v>7</v>
      </c>
      <c r="O25" s="11">
        <f t="shared" si="12"/>
        <v>24</v>
      </c>
      <c r="P25" s="12">
        <f t="shared" si="6"/>
        <v>0</v>
      </c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x14ac:dyDescent="0.3">
      <c r="A26" s="47">
        <v>19</v>
      </c>
      <c r="B26" s="34" t="str">
        <f t="shared" si="7"/>
        <v>2-й год 7-й мес</v>
      </c>
      <c r="C26" s="35">
        <f t="shared" si="13"/>
        <v>41769</v>
      </c>
      <c r="D26" s="36">
        <f t="shared" si="3"/>
        <v>0</v>
      </c>
      <c r="E26" s="37">
        <f t="shared" si="8"/>
        <v>0</v>
      </c>
      <c r="F26" s="37">
        <f t="shared" si="14"/>
        <v>0</v>
      </c>
      <c r="G26" s="38">
        <f t="shared" si="9"/>
        <v>0</v>
      </c>
      <c r="H26" s="39">
        <f t="shared" si="4"/>
        <v>0</v>
      </c>
      <c r="I26" s="37">
        <f t="shared" si="15"/>
        <v>0</v>
      </c>
      <c r="J26" s="37">
        <f t="shared" si="10"/>
        <v>0</v>
      </c>
      <c r="K26" s="40">
        <f t="shared" si="11"/>
        <v>0</v>
      </c>
      <c r="L26" s="5"/>
      <c r="M26" s="5"/>
      <c r="N26" s="41">
        <f t="shared" si="5"/>
        <v>7</v>
      </c>
      <c r="O26" s="11">
        <f t="shared" si="12"/>
        <v>24</v>
      </c>
      <c r="P26" s="12">
        <f t="shared" si="6"/>
        <v>0</v>
      </c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x14ac:dyDescent="0.3">
      <c r="A27" s="47">
        <v>20</v>
      </c>
      <c r="B27" s="34" t="str">
        <f t="shared" si="7"/>
        <v>2-й год 8-й мес</v>
      </c>
      <c r="C27" s="35">
        <f t="shared" si="13"/>
        <v>41800</v>
      </c>
      <c r="D27" s="36">
        <f t="shared" si="3"/>
        <v>0</v>
      </c>
      <c r="E27" s="37">
        <f t="shared" si="8"/>
        <v>0</v>
      </c>
      <c r="F27" s="37">
        <f t="shared" si="14"/>
        <v>0</v>
      </c>
      <c r="G27" s="38">
        <f t="shared" si="9"/>
        <v>0</v>
      </c>
      <c r="H27" s="39">
        <f t="shared" si="4"/>
        <v>0</v>
      </c>
      <c r="I27" s="37">
        <f t="shared" si="15"/>
        <v>0</v>
      </c>
      <c r="J27" s="37">
        <f t="shared" si="10"/>
        <v>0</v>
      </c>
      <c r="K27" s="40">
        <f t="shared" si="11"/>
        <v>0</v>
      </c>
      <c r="L27" s="5"/>
      <c r="M27" s="5"/>
      <c r="N27" s="41">
        <f t="shared" si="5"/>
        <v>7</v>
      </c>
      <c r="O27" s="11">
        <f t="shared" si="12"/>
        <v>24</v>
      </c>
      <c r="P27" s="12">
        <f t="shared" si="6"/>
        <v>0</v>
      </c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x14ac:dyDescent="0.3">
      <c r="A28" s="47">
        <v>21</v>
      </c>
      <c r="B28" s="34" t="str">
        <f t="shared" si="7"/>
        <v>2-й год 9-й мес</v>
      </c>
      <c r="C28" s="35">
        <f t="shared" si="13"/>
        <v>41830</v>
      </c>
      <c r="D28" s="36">
        <f t="shared" si="3"/>
        <v>0</v>
      </c>
      <c r="E28" s="37">
        <f t="shared" si="8"/>
        <v>0</v>
      </c>
      <c r="F28" s="37">
        <f t="shared" si="14"/>
        <v>0</v>
      </c>
      <c r="G28" s="38">
        <f t="shared" si="9"/>
        <v>0</v>
      </c>
      <c r="H28" s="39">
        <f t="shared" si="4"/>
        <v>0</v>
      </c>
      <c r="I28" s="37">
        <f t="shared" si="15"/>
        <v>0</v>
      </c>
      <c r="J28" s="37">
        <f t="shared" si="10"/>
        <v>0</v>
      </c>
      <c r="K28" s="40">
        <f t="shared" si="11"/>
        <v>0</v>
      </c>
      <c r="L28" s="5"/>
      <c r="M28" s="5"/>
      <c r="N28" s="41">
        <f t="shared" si="5"/>
        <v>7</v>
      </c>
      <c r="O28" s="11">
        <f t="shared" si="12"/>
        <v>24</v>
      </c>
      <c r="P28" s="12">
        <f t="shared" si="6"/>
        <v>0</v>
      </c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x14ac:dyDescent="0.3">
      <c r="A29" s="47">
        <v>22</v>
      </c>
      <c r="B29" s="34" t="str">
        <f t="shared" si="7"/>
        <v>2-й год 10-й мес</v>
      </c>
      <c r="C29" s="35">
        <f t="shared" si="13"/>
        <v>41861</v>
      </c>
      <c r="D29" s="36">
        <f t="shared" si="3"/>
        <v>0</v>
      </c>
      <c r="E29" s="37">
        <f t="shared" si="8"/>
        <v>0</v>
      </c>
      <c r="F29" s="37">
        <f t="shared" si="14"/>
        <v>0</v>
      </c>
      <c r="G29" s="38">
        <f t="shared" si="9"/>
        <v>0</v>
      </c>
      <c r="H29" s="39">
        <f t="shared" si="4"/>
        <v>0</v>
      </c>
      <c r="I29" s="37">
        <f t="shared" si="15"/>
        <v>0</v>
      </c>
      <c r="J29" s="37">
        <f t="shared" si="10"/>
        <v>0</v>
      </c>
      <c r="K29" s="40">
        <f t="shared" si="11"/>
        <v>0</v>
      </c>
      <c r="L29" s="5"/>
      <c r="M29" s="5"/>
      <c r="N29" s="41">
        <f t="shared" si="5"/>
        <v>7</v>
      </c>
      <c r="O29" s="11">
        <f t="shared" si="12"/>
        <v>24</v>
      </c>
      <c r="P29" s="12">
        <f t="shared" si="6"/>
        <v>0</v>
      </c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x14ac:dyDescent="0.3">
      <c r="A30" s="47">
        <v>23</v>
      </c>
      <c r="B30" s="34" t="str">
        <f t="shared" si="7"/>
        <v>2-й год 11-й мес</v>
      </c>
      <c r="C30" s="35">
        <f t="shared" si="13"/>
        <v>41892</v>
      </c>
      <c r="D30" s="36">
        <f t="shared" si="3"/>
        <v>0</v>
      </c>
      <c r="E30" s="37">
        <f t="shared" si="8"/>
        <v>0</v>
      </c>
      <c r="F30" s="37">
        <f t="shared" si="14"/>
        <v>0</v>
      </c>
      <c r="G30" s="38">
        <f t="shared" si="9"/>
        <v>0</v>
      </c>
      <c r="H30" s="39">
        <f t="shared" si="4"/>
        <v>0</v>
      </c>
      <c r="I30" s="37">
        <f t="shared" si="15"/>
        <v>0</v>
      </c>
      <c r="J30" s="37">
        <f t="shared" si="10"/>
        <v>0</v>
      </c>
      <c r="K30" s="40">
        <f t="shared" si="11"/>
        <v>0</v>
      </c>
      <c r="L30" s="5"/>
      <c r="M30" s="5"/>
      <c r="N30" s="41">
        <f t="shared" si="5"/>
        <v>7</v>
      </c>
      <c r="O30" s="11">
        <f t="shared" si="12"/>
        <v>24</v>
      </c>
      <c r="P30" s="12">
        <f t="shared" si="6"/>
        <v>0</v>
      </c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x14ac:dyDescent="0.3">
      <c r="A31" s="48">
        <v>24</v>
      </c>
      <c r="B31" s="34" t="str">
        <f t="shared" si="7"/>
        <v>2-й год 12-й мес</v>
      </c>
      <c r="C31" s="35">
        <f t="shared" si="13"/>
        <v>41922</v>
      </c>
      <c r="D31" s="36">
        <f t="shared" si="3"/>
        <v>0</v>
      </c>
      <c r="E31" s="49">
        <f t="shared" si="8"/>
        <v>0</v>
      </c>
      <c r="F31" s="37">
        <f t="shared" si="14"/>
        <v>0</v>
      </c>
      <c r="G31" s="50">
        <f t="shared" si="9"/>
        <v>0</v>
      </c>
      <c r="H31" s="51">
        <f t="shared" si="4"/>
        <v>0</v>
      </c>
      <c r="I31" s="49">
        <f t="shared" si="15"/>
        <v>0</v>
      </c>
      <c r="J31" s="49">
        <f t="shared" si="10"/>
        <v>0</v>
      </c>
      <c r="K31" s="52">
        <f t="shared" si="11"/>
        <v>0</v>
      </c>
      <c r="L31" s="5"/>
      <c r="M31" s="5"/>
      <c r="N31" s="41">
        <f t="shared" si="5"/>
        <v>7</v>
      </c>
      <c r="O31" s="11">
        <f t="shared" si="12"/>
        <v>24</v>
      </c>
      <c r="P31" s="12">
        <f t="shared" si="6"/>
        <v>0</v>
      </c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x14ac:dyDescent="0.3">
      <c r="A32" s="33">
        <v>25</v>
      </c>
      <c r="B32" s="34" t="str">
        <f t="shared" si="7"/>
        <v>3-й год 1-й мес</v>
      </c>
      <c r="C32" s="35">
        <f t="shared" si="13"/>
        <v>41953</v>
      </c>
      <c r="D32" s="36">
        <f t="shared" si="3"/>
        <v>0</v>
      </c>
      <c r="E32" s="37">
        <f t="shared" si="8"/>
        <v>0</v>
      </c>
      <c r="F32" s="37">
        <f t="shared" si="14"/>
        <v>0</v>
      </c>
      <c r="G32" s="38">
        <f t="shared" si="9"/>
        <v>0</v>
      </c>
      <c r="H32" s="39">
        <f t="shared" si="4"/>
        <v>0</v>
      </c>
      <c r="I32" s="37">
        <f t="shared" si="15"/>
        <v>0</v>
      </c>
      <c r="J32" s="37">
        <f t="shared" si="10"/>
        <v>0</v>
      </c>
      <c r="K32" s="40">
        <f t="shared" si="11"/>
        <v>0</v>
      </c>
      <c r="L32" s="5"/>
      <c r="M32" s="5"/>
      <c r="N32" s="41">
        <f t="shared" si="5"/>
        <v>7</v>
      </c>
      <c r="O32" s="11">
        <f t="shared" si="12"/>
        <v>24</v>
      </c>
      <c r="P32" s="12">
        <f t="shared" si="6"/>
        <v>0</v>
      </c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x14ac:dyDescent="0.3">
      <c r="A33" s="33">
        <v>26</v>
      </c>
      <c r="B33" s="34" t="str">
        <f t="shared" si="7"/>
        <v>3-й год 2-й мес</v>
      </c>
      <c r="C33" s="35">
        <f t="shared" si="13"/>
        <v>41983</v>
      </c>
      <c r="D33" s="36">
        <f t="shared" si="3"/>
        <v>0</v>
      </c>
      <c r="E33" s="37">
        <f t="shared" si="8"/>
        <v>0</v>
      </c>
      <c r="F33" s="37">
        <f t="shared" si="14"/>
        <v>0</v>
      </c>
      <c r="G33" s="38">
        <f t="shared" si="9"/>
        <v>0</v>
      </c>
      <c r="H33" s="39">
        <f t="shared" si="4"/>
        <v>0</v>
      </c>
      <c r="I33" s="37">
        <f t="shared" si="15"/>
        <v>0</v>
      </c>
      <c r="J33" s="37">
        <f t="shared" si="10"/>
        <v>0</v>
      </c>
      <c r="K33" s="40">
        <f t="shared" si="11"/>
        <v>0</v>
      </c>
      <c r="L33" s="53"/>
      <c r="M33" s="54"/>
      <c r="N33" s="41">
        <f t="shared" si="5"/>
        <v>7</v>
      </c>
      <c r="O33" s="11">
        <f t="shared" si="12"/>
        <v>24</v>
      </c>
      <c r="P33" s="12">
        <f t="shared" si="6"/>
        <v>0</v>
      </c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x14ac:dyDescent="0.3">
      <c r="A34" s="33">
        <v>27</v>
      </c>
      <c r="B34" s="34" t="str">
        <f t="shared" si="7"/>
        <v>3-й год 3-й мес</v>
      </c>
      <c r="C34" s="35">
        <f t="shared" si="13"/>
        <v>42014</v>
      </c>
      <c r="D34" s="36">
        <f t="shared" si="3"/>
        <v>0</v>
      </c>
      <c r="E34" s="37">
        <f t="shared" si="8"/>
        <v>0</v>
      </c>
      <c r="F34" s="37">
        <f t="shared" si="14"/>
        <v>0</v>
      </c>
      <c r="G34" s="38">
        <f t="shared" si="9"/>
        <v>0</v>
      </c>
      <c r="H34" s="39">
        <f t="shared" si="4"/>
        <v>0</v>
      </c>
      <c r="I34" s="37">
        <f t="shared" si="15"/>
        <v>0</v>
      </c>
      <c r="J34" s="37">
        <f t="shared" si="10"/>
        <v>0</v>
      </c>
      <c r="K34" s="40">
        <f t="shared" si="11"/>
        <v>0</v>
      </c>
      <c r="L34" s="53"/>
      <c r="M34" s="54"/>
      <c r="N34" s="41">
        <f t="shared" si="5"/>
        <v>7</v>
      </c>
      <c r="O34" s="11">
        <f t="shared" si="12"/>
        <v>24</v>
      </c>
      <c r="P34" s="12">
        <f t="shared" si="6"/>
        <v>0</v>
      </c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x14ac:dyDescent="0.3">
      <c r="A35" s="33">
        <v>28</v>
      </c>
      <c r="B35" s="34" t="str">
        <f t="shared" si="7"/>
        <v>3-й год 4-й мес</v>
      </c>
      <c r="C35" s="35">
        <f t="shared" si="13"/>
        <v>42045</v>
      </c>
      <c r="D35" s="36">
        <f t="shared" si="3"/>
        <v>0</v>
      </c>
      <c r="E35" s="37">
        <f t="shared" si="8"/>
        <v>0</v>
      </c>
      <c r="F35" s="37">
        <f t="shared" si="14"/>
        <v>0</v>
      </c>
      <c r="G35" s="38">
        <f t="shared" si="9"/>
        <v>0</v>
      </c>
      <c r="H35" s="39">
        <f t="shared" si="4"/>
        <v>0</v>
      </c>
      <c r="I35" s="37">
        <f t="shared" si="15"/>
        <v>0</v>
      </c>
      <c r="J35" s="37">
        <f t="shared" si="10"/>
        <v>0</v>
      </c>
      <c r="K35" s="40">
        <f t="shared" si="11"/>
        <v>0</v>
      </c>
      <c r="L35" s="53"/>
      <c r="M35" s="54"/>
      <c r="N35" s="41">
        <f t="shared" si="5"/>
        <v>7</v>
      </c>
      <c r="O35" s="11">
        <f t="shared" si="12"/>
        <v>24</v>
      </c>
      <c r="P35" s="12">
        <f t="shared" si="6"/>
        <v>0</v>
      </c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x14ac:dyDescent="0.3">
      <c r="A36" s="33">
        <v>29</v>
      </c>
      <c r="B36" s="34" t="str">
        <f t="shared" si="7"/>
        <v>3-й год 5-й мес</v>
      </c>
      <c r="C36" s="35">
        <f t="shared" si="13"/>
        <v>42073</v>
      </c>
      <c r="D36" s="36">
        <f t="shared" si="3"/>
        <v>0</v>
      </c>
      <c r="E36" s="37">
        <f t="shared" si="8"/>
        <v>0</v>
      </c>
      <c r="F36" s="37">
        <f t="shared" si="14"/>
        <v>0</v>
      </c>
      <c r="G36" s="38">
        <f t="shared" si="9"/>
        <v>0</v>
      </c>
      <c r="H36" s="39">
        <f t="shared" si="4"/>
        <v>0</v>
      </c>
      <c r="I36" s="37">
        <f t="shared" si="15"/>
        <v>0</v>
      </c>
      <c r="J36" s="37">
        <f t="shared" si="10"/>
        <v>0</v>
      </c>
      <c r="K36" s="40">
        <f t="shared" si="11"/>
        <v>0</v>
      </c>
      <c r="L36" s="53"/>
      <c r="M36" s="54"/>
      <c r="N36" s="41">
        <f t="shared" si="5"/>
        <v>7</v>
      </c>
      <c r="O36" s="11">
        <f t="shared" si="12"/>
        <v>24</v>
      </c>
      <c r="P36" s="12">
        <f t="shared" si="6"/>
        <v>0</v>
      </c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x14ac:dyDescent="0.3">
      <c r="A37" s="33">
        <v>30</v>
      </c>
      <c r="B37" s="34" t="str">
        <f t="shared" si="7"/>
        <v>3-й год 6-й мес</v>
      </c>
      <c r="C37" s="35">
        <f t="shared" si="13"/>
        <v>42104</v>
      </c>
      <c r="D37" s="36">
        <f t="shared" si="3"/>
        <v>0</v>
      </c>
      <c r="E37" s="37">
        <f t="shared" si="8"/>
        <v>0</v>
      </c>
      <c r="F37" s="37">
        <f t="shared" si="14"/>
        <v>0</v>
      </c>
      <c r="G37" s="38">
        <f t="shared" si="9"/>
        <v>0</v>
      </c>
      <c r="H37" s="39">
        <f t="shared" si="4"/>
        <v>0</v>
      </c>
      <c r="I37" s="37">
        <f t="shared" si="15"/>
        <v>0</v>
      </c>
      <c r="J37" s="37">
        <f t="shared" si="10"/>
        <v>0</v>
      </c>
      <c r="K37" s="40">
        <f t="shared" si="11"/>
        <v>0</v>
      </c>
      <c r="L37" s="53"/>
      <c r="M37" s="54"/>
      <c r="N37" s="41">
        <f t="shared" si="5"/>
        <v>7</v>
      </c>
      <c r="O37" s="11">
        <f t="shared" si="12"/>
        <v>24</v>
      </c>
      <c r="P37" s="12">
        <f t="shared" si="6"/>
        <v>0</v>
      </c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x14ac:dyDescent="0.3">
      <c r="A38" s="33">
        <v>31</v>
      </c>
      <c r="B38" s="34" t="str">
        <f t="shared" si="7"/>
        <v>3-й год 7-й мес</v>
      </c>
      <c r="C38" s="35">
        <f t="shared" si="13"/>
        <v>42134</v>
      </c>
      <c r="D38" s="36">
        <f t="shared" si="3"/>
        <v>0</v>
      </c>
      <c r="E38" s="37">
        <f t="shared" si="8"/>
        <v>0</v>
      </c>
      <c r="F38" s="37">
        <f t="shared" si="14"/>
        <v>0</v>
      </c>
      <c r="G38" s="38">
        <f t="shared" si="9"/>
        <v>0</v>
      </c>
      <c r="H38" s="39">
        <f t="shared" si="4"/>
        <v>0</v>
      </c>
      <c r="I38" s="37">
        <f t="shared" si="15"/>
        <v>0</v>
      </c>
      <c r="J38" s="37">
        <f t="shared" si="10"/>
        <v>0</v>
      </c>
      <c r="K38" s="40">
        <f t="shared" si="11"/>
        <v>0</v>
      </c>
      <c r="L38" s="53"/>
      <c r="M38" s="54"/>
      <c r="N38" s="41">
        <f t="shared" si="5"/>
        <v>7</v>
      </c>
      <c r="O38" s="11">
        <f t="shared" si="12"/>
        <v>24</v>
      </c>
      <c r="P38" s="12">
        <f t="shared" si="6"/>
        <v>0</v>
      </c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x14ac:dyDescent="0.3">
      <c r="A39" s="33">
        <v>32</v>
      </c>
      <c r="B39" s="34" t="str">
        <f t="shared" si="7"/>
        <v>3-й год 8-й мес</v>
      </c>
      <c r="C39" s="35">
        <f t="shared" si="13"/>
        <v>42165</v>
      </c>
      <c r="D39" s="36">
        <f t="shared" si="3"/>
        <v>0</v>
      </c>
      <c r="E39" s="37">
        <f t="shared" si="8"/>
        <v>0</v>
      </c>
      <c r="F39" s="37">
        <f t="shared" si="14"/>
        <v>0</v>
      </c>
      <c r="G39" s="38">
        <f t="shared" si="9"/>
        <v>0</v>
      </c>
      <c r="H39" s="39">
        <f t="shared" si="4"/>
        <v>0</v>
      </c>
      <c r="I39" s="37">
        <f t="shared" si="15"/>
        <v>0</v>
      </c>
      <c r="J39" s="37">
        <f t="shared" si="10"/>
        <v>0</v>
      </c>
      <c r="K39" s="40">
        <f t="shared" si="11"/>
        <v>0</v>
      </c>
      <c r="L39" s="53"/>
      <c r="M39" s="54"/>
      <c r="N39" s="41">
        <f t="shared" si="5"/>
        <v>7</v>
      </c>
      <c r="O39" s="11">
        <f t="shared" si="12"/>
        <v>24</v>
      </c>
      <c r="P39" s="12">
        <f t="shared" si="6"/>
        <v>0</v>
      </c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x14ac:dyDescent="0.3">
      <c r="A40" s="33">
        <v>33</v>
      </c>
      <c r="B40" s="34" t="str">
        <f t="shared" si="7"/>
        <v>3-й год 9-й мес</v>
      </c>
      <c r="C40" s="35">
        <f t="shared" si="13"/>
        <v>42195</v>
      </c>
      <c r="D40" s="36">
        <f t="shared" si="3"/>
        <v>0</v>
      </c>
      <c r="E40" s="37">
        <f t="shared" si="8"/>
        <v>0</v>
      </c>
      <c r="F40" s="37">
        <f t="shared" si="14"/>
        <v>0</v>
      </c>
      <c r="G40" s="38">
        <f t="shared" si="9"/>
        <v>0</v>
      </c>
      <c r="H40" s="39">
        <f t="shared" si="4"/>
        <v>0</v>
      </c>
      <c r="I40" s="37">
        <f t="shared" si="15"/>
        <v>0</v>
      </c>
      <c r="J40" s="37">
        <f t="shared" si="10"/>
        <v>0</v>
      </c>
      <c r="K40" s="40">
        <f t="shared" si="11"/>
        <v>0</v>
      </c>
      <c r="L40" s="53"/>
      <c r="M40" s="54"/>
      <c r="N40" s="41">
        <f t="shared" si="5"/>
        <v>7</v>
      </c>
      <c r="O40" s="11">
        <f t="shared" si="12"/>
        <v>24</v>
      </c>
      <c r="P40" s="12">
        <f t="shared" si="6"/>
        <v>0</v>
      </c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x14ac:dyDescent="0.3">
      <c r="A41" s="33">
        <v>34</v>
      </c>
      <c r="B41" s="34" t="str">
        <f t="shared" si="7"/>
        <v>3-й год 10-й мес</v>
      </c>
      <c r="C41" s="35">
        <f t="shared" si="13"/>
        <v>42226</v>
      </c>
      <c r="D41" s="36">
        <f t="shared" si="3"/>
        <v>0</v>
      </c>
      <c r="E41" s="37">
        <f t="shared" si="8"/>
        <v>0</v>
      </c>
      <c r="F41" s="37">
        <f t="shared" si="14"/>
        <v>0</v>
      </c>
      <c r="G41" s="38">
        <f t="shared" si="9"/>
        <v>0</v>
      </c>
      <c r="H41" s="39">
        <f t="shared" si="4"/>
        <v>0</v>
      </c>
      <c r="I41" s="37">
        <f t="shared" si="15"/>
        <v>0</v>
      </c>
      <c r="J41" s="37">
        <f t="shared" si="10"/>
        <v>0</v>
      </c>
      <c r="K41" s="40">
        <f t="shared" si="11"/>
        <v>0</v>
      </c>
      <c r="L41" s="53"/>
      <c r="M41" s="54"/>
      <c r="N41" s="41">
        <f t="shared" si="5"/>
        <v>7</v>
      </c>
      <c r="O41" s="11">
        <f t="shared" si="12"/>
        <v>24</v>
      </c>
      <c r="P41" s="12">
        <f t="shared" si="6"/>
        <v>0</v>
      </c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x14ac:dyDescent="0.3">
      <c r="A42" s="33">
        <v>35</v>
      </c>
      <c r="B42" s="34" t="str">
        <f t="shared" si="7"/>
        <v>3-й год 11-й мес</v>
      </c>
      <c r="C42" s="35">
        <f t="shared" si="13"/>
        <v>42257</v>
      </c>
      <c r="D42" s="36">
        <f t="shared" si="3"/>
        <v>0</v>
      </c>
      <c r="E42" s="37">
        <f t="shared" si="8"/>
        <v>0</v>
      </c>
      <c r="F42" s="37">
        <f t="shared" si="14"/>
        <v>0</v>
      </c>
      <c r="G42" s="38">
        <f t="shared" si="9"/>
        <v>0</v>
      </c>
      <c r="H42" s="39">
        <f t="shared" si="4"/>
        <v>0</v>
      </c>
      <c r="I42" s="37">
        <f t="shared" si="15"/>
        <v>0</v>
      </c>
      <c r="J42" s="37">
        <f t="shared" si="10"/>
        <v>0</v>
      </c>
      <c r="K42" s="40">
        <f t="shared" si="11"/>
        <v>0</v>
      </c>
      <c r="L42" s="53"/>
      <c r="M42" s="54"/>
      <c r="N42" s="41">
        <f t="shared" si="5"/>
        <v>7</v>
      </c>
      <c r="O42" s="11">
        <f t="shared" si="12"/>
        <v>24</v>
      </c>
      <c r="P42" s="12">
        <f t="shared" si="6"/>
        <v>0</v>
      </c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x14ac:dyDescent="0.3">
      <c r="A43" s="33">
        <v>36</v>
      </c>
      <c r="B43" s="34" t="str">
        <f t="shared" si="7"/>
        <v>3-й год 12-й мес</v>
      </c>
      <c r="C43" s="35">
        <f t="shared" si="13"/>
        <v>42287</v>
      </c>
      <c r="D43" s="36">
        <f t="shared" si="3"/>
        <v>0</v>
      </c>
      <c r="E43" s="37">
        <f t="shared" si="8"/>
        <v>0</v>
      </c>
      <c r="F43" s="37">
        <f t="shared" si="14"/>
        <v>0</v>
      </c>
      <c r="G43" s="38">
        <f t="shared" si="9"/>
        <v>0</v>
      </c>
      <c r="H43" s="39">
        <f t="shared" si="4"/>
        <v>0</v>
      </c>
      <c r="I43" s="37">
        <f t="shared" si="15"/>
        <v>0</v>
      </c>
      <c r="J43" s="37">
        <f t="shared" si="10"/>
        <v>0</v>
      </c>
      <c r="K43" s="40">
        <f t="shared" si="11"/>
        <v>0</v>
      </c>
      <c r="L43" s="53"/>
      <c r="M43" s="54"/>
      <c r="N43" s="41">
        <f t="shared" si="5"/>
        <v>7</v>
      </c>
      <c r="O43" s="11">
        <f t="shared" si="12"/>
        <v>24</v>
      </c>
      <c r="P43" s="12">
        <f t="shared" si="6"/>
        <v>0</v>
      </c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x14ac:dyDescent="0.3">
      <c r="A44" s="42">
        <v>37</v>
      </c>
      <c r="B44" s="34" t="str">
        <f t="shared" si="7"/>
        <v>4-й год 1-й мес</v>
      </c>
      <c r="C44" s="35">
        <f t="shared" si="13"/>
        <v>42318</v>
      </c>
      <c r="D44" s="36">
        <f t="shared" si="3"/>
        <v>0</v>
      </c>
      <c r="E44" s="43">
        <f t="shared" si="8"/>
        <v>0</v>
      </c>
      <c r="F44" s="37">
        <f t="shared" si="14"/>
        <v>0</v>
      </c>
      <c r="G44" s="44">
        <f t="shared" si="9"/>
        <v>0</v>
      </c>
      <c r="H44" s="45">
        <f t="shared" si="4"/>
        <v>0</v>
      </c>
      <c r="I44" s="43">
        <f t="shared" si="15"/>
        <v>0</v>
      </c>
      <c r="J44" s="43">
        <f t="shared" si="10"/>
        <v>0</v>
      </c>
      <c r="K44" s="46">
        <f t="shared" si="11"/>
        <v>0</v>
      </c>
      <c r="L44" s="55"/>
      <c r="M44" s="54"/>
      <c r="N44" s="41">
        <f t="shared" si="5"/>
        <v>7</v>
      </c>
      <c r="O44" s="11">
        <f t="shared" si="12"/>
        <v>24</v>
      </c>
      <c r="P44" s="12">
        <f t="shared" si="6"/>
        <v>0</v>
      </c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x14ac:dyDescent="0.3">
      <c r="A45" s="47">
        <v>38</v>
      </c>
      <c r="B45" s="34" t="str">
        <f t="shared" si="7"/>
        <v>4-й год 2-й мес</v>
      </c>
      <c r="C45" s="35">
        <f t="shared" si="13"/>
        <v>42348</v>
      </c>
      <c r="D45" s="36">
        <f t="shared" si="3"/>
        <v>0</v>
      </c>
      <c r="E45" s="37">
        <f t="shared" si="8"/>
        <v>0</v>
      </c>
      <c r="F45" s="37">
        <f t="shared" si="14"/>
        <v>0</v>
      </c>
      <c r="G45" s="38">
        <f t="shared" si="9"/>
        <v>0</v>
      </c>
      <c r="H45" s="39">
        <f t="shared" si="4"/>
        <v>0</v>
      </c>
      <c r="I45" s="37">
        <f t="shared" si="15"/>
        <v>0</v>
      </c>
      <c r="J45" s="37">
        <f t="shared" si="10"/>
        <v>0</v>
      </c>
      <c r="K45" s="40">
        <f t="shared" si="11"/>
        <v>0</v>
      </c>
      <c r="L45" s="53"/>
      <c r="M45" s="54"/>
      <c r="N45" s="41">
        <f t="shared" si="5"/>
        <v>7</v>
      </c>
      <c r="O45" s="11">
        <f t="shared" si="12"/>
        <v>24</v>
      </c>
      <c r="P45" s="12">
        <f t="shared" si="6"/>
        <v>0</v>
      </c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x14ac:dyDescent="0.3">
      <c r="A46" s="47">
        <v>39</v>
      </c>
      <c r="B46" s="34" t="str">
        <f t="shared" si="7"/>
        <v>4-й год 3-й мес</v>
      </c>
      <c r="C46" s="35">
        <f t="shared" si="13"/>
        <v>42379</v>
      </c>
      <c r="D46" s="36">
        <f t="shared" si="3"/>
        <v>0</v>
      </c>
      <c r="E46" s="37">
        <f t="shared" si="8"/>
        <v>0</v>
      </c>
      <c r="F46" s="37">
        <f t="shared" si="14"/>
        <v>0</v>
      </c>
      <c r="G46" s="38">
        <f t="shared" si="9"/>
        <v>0</v>
      </c>
      <c r="H46" s="39">
        <f t="shared" si="4"/>
        <v>0</v>
      </c>
      <c r="I46" s="37">
        <f t="shared" si="15"/>
        <v>0</v>
      </c>
      <c r="J46" s="37">
        <f t="shared" si="10"/>
        <v>0</v>
      </c>
      <c r="K46" s="40">
        <f t="shared" si="11"/>
        <v>0</v>
      </c>
      <c r="L46" s="53"/>
      <c r="M46" s="54"/>
      <c r="N46" s="41">
        <f t="shared" si="5"/>
        <v>7</v>
      </c>
      <c r="O46" s="11">
        <f t="shared" si="12"/>
        <v>24</v>
      </c>
      <c r="P46" s="12">
        <f t="shared" si="6"/>
        <v>0</v>
      </c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x14ac:dyDescent="0.3">
      <c r="A47" s="47">
        <v>40</v>
      </c>
      <c r="B47" s="34" t="str">
        <f t="shared" si="7"/>
        <v>4-й год 4-й мес</v>
      </c>
      <c r="C47" s="35">
        <f t="shared" si="13"/>
        <v>42410</v>
      </c>
      <c r="D47" s="36">
        <f t="shared" si="3"/>
        <v>0</v>
      </c>
      <c r="E47" s="37">
        <f t="shared" si="8"/>
        <v>0</v>
      </c>
      <c r="F47" s="37">
        <f t="shared" si="14"/>
        <v>0</v>
      </c>
      <c r="G47" s="38">
        <f t="shared" si="9"/>
        <v>0</v>
      </c>
      <c r="H47" s="39">
        <f t="shared" si="4"/>
        <v>0</v>
      </c>
      <c r="I47" s="37">
        <f t="shared" si="15"/>
        <v>0</v>
      </c>
      <c r="J47" s="37">
        <f t="shared" si="10"/>
        <v>0</v>
      </c>
      <c r="K47" s="40">
        <f t="shared" si="11"/>
        <v>0</v>
      </c>
      <c r="L47" s="53"/>
      <c r="M47" s="54"/>
      <c r="N47" s="41">
        <f t="shared" si="5"/>
        <v>7</v>
      </c>
      <c r="O47" s="11">
        <f t="shared" si="12"/>
        <v>24</v>
      </c>
      <c r="P47" s="12">
        <f t="shared" si="6"/>
        <v>0</v>
      </c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x14ac:dyDescent="0.3">
      <c r="A48" s="47">
        <v>41</v>
      </c>
      <c r="B48" s="34" t="str">
        <f t="shared" si="7"/>
        <v>4-й год 5-й мес</v>
      </c>
      <c r="C48" s="35">
        <f t="shared" si="13"/>
        <v>42439</v>
      </c>
      <c r="D48" s="36">
        <f t="shared" si="3"/>
        <v>0</v>
      </c>
      <c r="E48" s="37">
        <f t="shared" si="8"/>
        <v>0</v>
      </c>
      <c r="F48" s="37">
        <f t="shared" si="14"/>
        <v>0</v>
      </c>
      <c r="G48" s="38">
        <f t="shared" si="9"/>
        <v>0</v>
      </c>
      <c r="H48" s="39">
        <f t="shared" si="4"/>
        <v>0</v>
      </c>
      <c r="I48" s="37">
        <f t="shared" si="15"/>
        <v>0</v>
      </c>
      <c r="J48" s="37">
        <f t="shared" si="10"/>
        <v>0</v>
      </c>
      <c r="K48" s="40">
        <f t="shared" si="11"/>
        <v>0</v>
      </c>
      <c r="L48" s="53"/>
      <c r="M48" s="54"/>
      <c r="N48" s="41">
        <f t="shared" si="5"/>
        <v>7</v>
      </c>
      <c r="O48" s="11">
        <f t="shared" si="12"/>
        <v>24</v>
      </c>
      <c r="P48" s="12">
        <f t="shared" si="6"/>
        <v>0</v>
      </c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x14ac:dyDescent="0.3">
      <c r="A49" s="47">
        <v>42</v>
      </c>
      <c r="B49" s="34" t="str">
        <f t="shared" si="7"/>
        <v>4-й год 6-й мес</v>
      </c>
      <c r="C49" s="35">
        <f t="shared" si="13"/>
        <v>42470</v>
      </c>
      <c r="D49" s="36">
        <f t="shared" si="3"/>
        <v>0</v>
      </c>
      <c r="E49" s="37">
        <f t="shared" si="8"/>
        <v>0</v>
      </c>
      <c r="F49" s="37">
        <f t="shared" si="14"/>
        <v>0</v>
      </c>
      <c r="G49" s="38">
        <f t="shared" si="9"/>
        <v>0</v>
      </c>
      <c r="H49" s="39">
        <f t="shared" si="4"/>
        <v>0</v>
      </c>
      <c r="I49" s="37">
        <f t="shared" si="15"/>
        <v>0</v>
      </c>
      <c r="J49" s="37">
        <f t="shared" si="10"/>
        <v>0</v>
      </c>
      <c r="K49" s="40">
        <f t="shared" si="11"/>
        <v>0</v>
      </c>
      <c r="L49" s="53"/>
      <c r="M49" s="54"/>
      <c r="N49" s="41">
        <f t="shared" si="5"/>
        <v>7</v>
      </c>
      <c r="O49" s="11">
        <f t="shared" si="12"/>
        <v>24</v>
      </c>
      <c r="P49" s="12">
        <f t="shared" si="6"/>
        <v>0</v>
      </c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x14ac:dyDescent="0.3">
      <c r="A50" s="47">
        <v>43</v>
      </c>
      <c r="B50" s="34" t="str">
        <f t="shared" si="7"/>
        <v>4-й год 7-й мес</v>
      </c>
      <c r="C50" s="35">
        <f t="shared" si="13"/>
        <v>42500</v>
      </c>
      <c r="D50" s="36">
        <f t="shared" si="3"/>
        <v>0</v>
      </c>
      <c r="E50" s="37">
        <f t="shared" si="8"/>
        <v>0</v>
      </c>
      <c r="F50" s="37">
        <f t="shared" si="14"/>
        <v>0</v>
      </c>
      <c r="G50" s="38">
        <f t="shared" si="9"/>
        <v>0</v>
      </c>
      <c r="H50" s="39">
        <f t="shared" si="4"/>
        <v>0</v>
      </c>
      <c r="I50" s="37">
        <f t="shared" si="15"/>
        <v>0</v>
      </c>
      <c r="J50" s="37">
        <f t="shared" si="10"/>
        <v>0</v>
      </c>
      <c r="K50" s="40">
        <f t="shared" si="11"/>
        <v>0</v>
      </c>
      <c r="L50" s="53"/>
      <c r="M50" s="54"/>
      <c r="N50" s="41">
        <f t="shared" si="5"/>
        <v>7</v>
      </c>
      <c r="O50" s="11">
        <f t="shared" si="12"/>
        <v>24</v>
      </c>
      <c r="P50" s="12">
        <f t="shared" si="6"/>
        <v>0</v>
      </c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x14ac:dyDescent="0.3">
      <c r="A51" s="47">
        <v>44</v>
      </c>
      <c r="B51" s="34" t="str">
        <f t="shared" si="7"/>
        <v>4-й год 8-й мес</v>
      </c>
      <c r="C51" s="35">
        <f t="shared" si="13"/>
        <v>42531</v>
      </c>
      <c r="D51" s="36">
        <f t="shared" si="3"/>
        <v>0</v>
      </c>
      <c r="E51" s="37">
        <f t="shared" si="8"/>
        <v>0</v>
      </c>
      <c r="F51" s="37">
        <f t="shared" si="14"/>
        <v>0</v>
      </c>
      <c r="G51" s="38">
        <f t="shared" si="9"/>
        <v>0</v>
      </c>
      <c r="H51" s="39">
        <f t="shared" si="4"/>
        <v>0</v>
      </c>
      <c r="I51" s="37">
        <f t="shared" si="15"/>
        <v>0</v>
      </c>
      <c r="J51" s="37">
        <f t="shared" si="10"/>
        <v>0</v>
      </c>
      <c r="K51" s="40">
        <f t="shared" si="11"/>
        <v>0</v>
      </c>
      <c r="L51" s="53"/>
      <c r="M51" s="54"/>
      <c r="N51" s="41">
        <f t="shared" si="5"/>
        <v>7</v>
      </c>
      <c r="O51" s="11">
        <f t="shared" si="12"/>
        <v>24</v>
      </c>
      <c r="P51" s="12">
        <f t="shared" si="6"/>
        <v>0</v>
      </c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x14ac:dyDescent="0.3">
      <c r="A52" s="47">
        <v>45</v>
      </c>
      <c r="B52" s="34" t="str">
        <f t="shared" si="7"/>
        <v>4-й год 9-й мес</v>
      </c>
      <c r="C52" s="35">
        <f t="shared" si="13"/>
        <v>42561</v>
      </c>
      <c r="D52" s="36">
        <f t="shared" si="3"/>
        <v>0</v>
      </c>
      <c r="E52" s="37">
        <f t="shared" si="8"/>
        <v>0</v>
      </c>
      <c r="F52" s="37">
        <f t="shared" si="14"/>
        <v>0</v>
      </c>
      <c r="G52" s="38">
        <f t="shared" si="9"/>
        <v>0</v>
      </c>
      <c r="H52" s="39">
        <f t="shared" si="4"/>
        <v>0</v>
      </c>
      <c r="I52" s="37">
        <f t="shared" si="15"/>
        <v>0</v>
      </c>
      <c r="J52" s="37">
        <f t="shared" si="10"/>
        <v>0</v>
      </c>
      <c r="K52" s="40">
        <f t="shared" si="11"/>
        <v>0</v>
      </c>
      <c r="L52" s="53"/>
      <c r="M52" s="54"/>
      <c r="N52" s="41">
        <f t="shared" si="5"/>
        <v>7</v>
      </c>
      <c r="O52" s="11">
        <f t="shared" si="12"/>
        <v>24</v>
      </c>
      <c r="P52" s="12">
        <f t="shared" si="6"/>
        <v>0</v>
      </c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x14ac:dyDescent="0.3">
      <c r="A53" s="47">
        <v>46</v>
      </c>
      <c r="B53" s="34" t="str">
        <f t="shared" si="7"/>
        <v>4-й год 10-й мес</v>
      </c>
      <c r="C53" s="35">
        <f t="shared" si="13"/>
        <v>42592</v>
      </c>
      <c r="D53" s="36">
        <f t="shared" si="3"/>
        <v>0</v>
      </c>
      <c r="E53" s="37">
        <f t="shared" si="8"/>
        <v>0</v>
      </c>
      <c r="F53" s="37">
        <f t="shared" si="14"/>
        <v>0</v>
      </c>
      <c r="G53" s="38">
        <f t="shared" si="9"/>
        <v>0</v>
      </c>
      <c r="H53" s="39">
        <f t="shared" si="4"/>
        <v>0</v>
      </c>
      <c r="I53" s="37">
        <f t="shared" si="15"/>
        <v>0</v>
      </c>
      <c r="J53" s="37">
        <f t="shared" si="10"/>
        <v>0</v>
      </c>
      <c r="K53" s="40">
        <f t="shared" si="11"/>
        <v>0</v>
      </c>
      <c r="L53" s="53"/>
      <c r="M53" s="54"/>
      <c r="N53" s="41">
        <f t="shared" si="5"/>
        <v>7</v>
      </c>
      <c r="O53" s="11">
        <f t="shared" si="12"/>
        <v>24</v>
      </c>
      <c r="P53" s="12">
        <f t="shared" si="6"/>
        <v>0</v>
      </c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x14ac:dyDescent="0.3">
      <c r="A54" s="47">
        <v>47</v>
      </c>
      <c r="B54" s="34" t="str">
        <f t="shared" si="7"/>
        <v>4-й год 11-й мес</v>
      </c>
      <c r="C54" s="35">
        <f t="shared" si="13"/>
        <v>42623</v>
      </c>
      <c r="D54" s="36">
        <f t="shared" si="3"/>
        <v>0</v>
      </c>
      <c r="E54" s="37">
        <f t="shared" si="8"/>
        <v>0</v>
      </c>
      <c r="F54" s="37">
        <f t="shared" si="14"/>
        <v>0</v>
      </c>
      <c r="G54" s="38">
        <f t="shared" si="9"/>
        <v>0</v>
      </c>
      <c r="H54" s="39">
        <f t="shared" si="4"/>
        <v>0</v>
      </c>
      <c r="I54" s="37">
        <f t="shared" si="15"/>
        <v>0</v>
      </c>
      <c r="J54" s="37">
        <f t="shared" si="10"/>
        <v>0</v>
      </c>
      <c r="K54" s="40">
        <f t="shared" si="11"/>
        <v>0</v>
      </c>
      <c r="L54" s="53"/>
      <c r="M54" s="54"/>
      <c r="N54" s="41">
        <f t="shared" si="5"/>
        <v>7</v>
      </c>
      <c r="O54" s="11">
        <f t="shared" si="12"/>
        <v>24</v>
      </c>
      <c r="P54" s="12">
        <f t="shared" si="6"/>
        <v>0</v>
      </c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x14ac:dyDescent="0.3">
      <c r="A55" s="48">
        <v>48</v>
      </c>
      <c r="B55" s="34" t="str">
        <f t="shared" si="7"/>
        <v>4-й год 12-й мес</v>
      </c>
      <c r="C55" s="35">
        <f t="shared" si="13"/>
        <v>42653</v>
      </c>
      <c r="D55" s="36">
        <f t="shared" si="3"/>
        <v>0</v>
      </c>
      <c r="E55" s="49">
        <f t="shared" si="8"/>
        <v>0</v>
      </c>
      <c r="F55" s="37">
        <f t="shared" si="14"/>
        <v>0</v>
      </c>
      <c r="G55" s="50">
        <f t="shared" si="9"/>
        <v>0</v>
      </c>
      <c r="H55" s="51">
        <f t="shared" si="4"/>
        <v>0</v>
      </c>
      <c r="I55" s="49">
        <f t="shared" si="15"/>
        <v>0</v>
      </c>
      <c r="J55" s="49">
        <f t="shared" si="10"/>
        <v>0</v>
      </c>
      <c r="K55" s="52">
        <f t="shared" si="11"/>
        <v>0</v>
      </c>
      <c r="L55" s="56"/>
      <c r="M55" s="54"/>
      <c r="N55" s="41">
        <f t="shared" si="5"/>
        <v>7</v>
      </c>
      <c r="O55" s="11">
        <f t="shared" si="12"/>
        <v>24</v>
      </c>
      <c r="P55" s="12">
        <f t="shared" si="6"/>
        <v>0</v>
      </c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x14ac:dyDescent="0.3">
      <c r="A56" s="33">
        <v>49</v>
      </c>
      <c r="B56" s="34" t="str">
        <f t="shared" si="7"/>
        <v>5-й год 1-й мес</v>
      </c>
      <c r="C56" s="35">
        <f t="shared" si="13"/>
        <v>42684</v>
      </c>
      <c r="D56" s="36">
        <f t="shared" si="3"/>
        <v>0</v>
      </c>
      <c r="E56" s="37">
        <f t="shared" si="8"/>
        <v>0</v>
      </c>
      <c r="F56" s="37">
        <f t="shared" si="14"/>
        <v>0</v>
      </c>
      <c r="G56" s="38">
        <f>G55-E56-L56-M56</f>
        <v>0</v>
      </c>
      <c r="H56" s="39">
        <f t="shared" si="4"/>
        <v>0</v>
      </c>
      <c r="I56" s="37">
        <f t="shared" si="15"/>
        <v>0</v>
      </c>
      <c r="J56" s="37">
        <f t="shared" si="10"/>
        <v>0</v>
      </c>
      <c r="K56" s="40">
        <f>K55-I56-L56-M56</f>
        <v>0</v>
      </c>
      <c r="L56" s="53"/>
      <c r="M56" s="54"/>
      <c r="N56" s="41">
        <f t="shared" si="5"/>
        <v>7</v>
      </c>
      <c r="O56" s="11">
        <f t="shared" si="12"/>
        <v>24</v>
      </c>
      <c r="P56" s="12">
        <f t="shared" si="6"/>
        <v>0</v>
      </c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x14ac:dyDescent="0.3">
      <c r="A57" s="33">
        <v>50</v>
      </c>
      <c r="B57" s="34" t="str">
        <f t="shared" si="7"/>
        <v>5-й год 2-й мес</v>
      </c>
      <c r="C57" s="35">
        <f t="shared" si="13"/>
        <v>42714</v>
      </c>
      <c r="D57" s="36">
        <f t="shared" si="3"/>
        <v>0</v>
      </c>
      <c r="E57" s="37">
        <f t="shared" si="8"/>
        <v>0</v>
      </c>
      <c r="F57" s="37">
        <f t="shared" si="14"/>
        <v>0</v>
      </c>
      <c r="G57" s="38">
        <f t="shared" si="9"/>
        <v>0</v>
      </c>
      <c r="H57" s="39">
        <f t="shared" si="4"/>
        <v>0</v>
      </c>
      <c r="I57" s="37">
        <f t="shared" si="15"/>
        <v>0</v>
      </c>
      <c r="J57" s="37">
        <f t="shared" si="10"/>
        <v>0</v>
      </c>
      <c r="K57" s="40">
        <f t="shared" si="11"/>
        <v>0</v>
      </c>
      <c r="L57" s="53"/>
      <c r="M57" s="54"/>
      <c r="N57" s="41">
        <f t="shared" si="5"/>
        <v>7</v>
      </c>
      <c r="O57" s="11">
        <f t="shared" si="12"/>
        <v>24</v>
      </c>
      <c r="P57" s="12">
        <f t="shared" si="6"/>
        <v>0</v>
      </c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x14ac:dyDescent="0.3">
      <c r="A58" s="33">
        <v>51</v>
      </c>
      <c r="B58" s="34" t="str">
        <f t="shared" si="7"/>
        <v>5-й год 3-й мес</v>
      </c>
      <c r="C58" s="35">
        <f t="shared" si="13"/>
        <v>42745</v>
      </c>
      <c r="D58" s="36">
        <f t="shared" si="3"/>
        <v>0</v>
      </c>
      <c r="E58" s="37">
        <f t="shared" si="8"/>
        <v>0</v>
      </c>
      <c r="F58" s="37">
        <f t="shared" si="14"/>
        <v>0</v>
      </c>
      <c r="G58" s="38">
        <f t="shared" si="9"/>
        <v>0</v>
      </c>
      <c r="H58" s="39">
        <f t="shared" si="4"/>
        <v>0</v>
      </c>
      <c r="I58" s="37">
        <f t="shared" si="15"/>
        <v>0</v>
      </c>
      <c r="J58" s="37">
        <f t="shared" si="10"/>
        <v>0</v>
      </c>
      <c r="K58" s="40">
        <f t="shared" si="11"/>
        <v>0</v>
      </c>
      <c r="L58" s="53"/>
      <c r="M58" s="54"/>
      <c r="N58" s="41">
        <f t="shared" si="5"/>
        <v>7</v>
      </c>
      <c r="O58" s="11">
        <f t="shared" si="12"/>
        <v>24</v>
      </c>
      <c r="P58" s="12">
        <f t="shared" si="6"/>
        <v>0</v>
      </c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x14ac:dyDescent="0.3">
      <c r="A59" s="33">
        <v>52</v>
      </c>
      <c r="B59" s="34" t="str">
        <f t="shared" si="7"/>
        <v>5-й год 4-й мес</v>
      </c>
      <c r="C59" s="35">
        <f t="shared" si="13"/>
        <v>42776</v>
      </c>
      <c r="D59" s="36">
        <f t="shared" si="3"/>
        <v>0</v>
      </c>
      <c r="E59" s="37">
        <f t="shared" si="8"/>
        <v>0</v>
      </c>
      <c r="F59" s="37">
        <f t="shared" si="14"/>
        <v>0</v>
      </c>
      <c r="G59" s="38">
        <f t="shared" si="9"/>
        <v>0</v>
      </c>
      <c r="H59" s="39">
        <f t="shared" si="4"/>
        <v>0</v>
      </c>
      <c r="I59" s="37">
        <f t="shared" si="15"/>
        <v>0</v>
      </c>
      <c r="J59" s="37">
        <f t="shared" si="10"/>
        <v>0</v>
      </c>
      <c r="K59" s="40">
        <f t="shared" si="11"/>
        <v>0</v>
      </c>
      <c r="L59" s="53"/>
      <c r="M59" s="54"/>
      <c r="N59" s="41">
        <f t="shared" si="5"/>
        <v>7</v>
      </c>
      <c r="O59" s="11">
        <f t="shared" si="12"/>
        <v>24</v>
      </c>
      <c r="P59" s="12">
        <f t="shared" si="6"/>
        <v>0</v>
      </c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x14ac:dyDescent="0.3">
      <c r="A60" s="33">
        <v>53</v>
      </c>
      <c r="B60" s="34" t="str">
        <f t="shared" si="7"/>
        <v>5-й год 5-й мес</v>
      </c>
      <c r="C60" s="35">
        <f t="shared" si="13"/>
        <v>42804</v>
      </c>
      <c r="D60" s="36">
        <f t="shared" si="3"/>
        <v>0</v>
      </c>
      <c r="E60" s="37">
        <f t="shared" si="8"/>
        <v>0</v>
      </c>
      <c r="F60" s="37">
        <f t="shared" si="14"/>
        <v>0</v>
      </c>
      <c r="G60" s="38">
        <f t="shared" si="9"/>
        <v>0</v>
      </c>
      <c r="H60" s="39">
        <f t="shared" si="4"/>
        <v>0</v>
      </c>
      <c r="I60" s="37">
        <f t="shared" si="15"/>
        <v>0</v>
      </c>
      <c r="J60" s="37">
        <f t="shared" si="10"/>
        <v>0</v>
      </c>
      <c r="K60" s="40">
        <f t="shared" si="11"/>
        <v>0</v>
      </c>
      <c r="L60" s="53"/>
      <c r="M60" s="54"/>
      <c r="N60" s="41">
        <f t="shared" si="5"/>
        <v>7</v>
      </c>
      <c r="O60" s="11">
        <f t="shared" si="12"/>
        <v>24</v>
      </c>
      <c r="P60" s="12">
        <f t="shared" si="6"/>
        <v>0</v>
      </c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x14ac:dyDescent="0.3">
      <c r="A61" s="33">
        <v>54</v>
      </c>
      <c r="B61" s="34" t="str">
        <f t="shared" si="7"/>
        <v>5-й год 6-й мес</v>
      </c>
      <c r="C61" s="35">
        <f t="shared" si="13"/>
        <v>42835</v>
      </c>
      <c r="D61" s="36">
        <f t="shared" si="3"/>
        <v>0</v>
      </c>
      <c r="E61" s="37">
        <f t="shared" si="8"/>
        <v>0</v>
      </c>
      <c r="F61" s="37">
        <f t="shared" si="14"/>
        <v>0</v>
      </c>
      <c r="G61" s="38">
        <f t="shared" si="9"/>
        <v>0</v>
      </c>
      <c r="H61" s="39">
        <f t="shared" si="4"/>
        <v>0</v>
      </c>
      <c r="I61" s="37">
        <f t="shared" si="15"/>
        <v>0</v>
      </c>
      <c r="J61" s="37">
        <f t="shared" si="10"/>
        <v>0</v>
      </c>
      <c r="K61" s="40">
        <f t="shared" si="11"/>
        <v>0</v>
      </c>
      <c r="L61" s="53"/>
      <c r="M61" s="54"/>
      <c r="N61" s="41">
        <f t="shared" si="5"/>
        <v>7</v>
      </c>
      <c r="O61" s="11">
        <f t="shared" si="12"/>
        <v>24</v>
      </c>
      <c r="P61" s="12">
        <f t="shared" si="6"/>
        <v>0</v>
      </c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x14ac:dyDescent="0.3">
      <c r="A62" s="33">
        <v>55</v>
      </c>
      <c r="B62" s="34" t="str">
        <f t="shared" si="7"/>
        <v>5-й год 7-й мес</v>
      </c>
      <c r="C62" s="35">
        <f t="shared" si="13"/>
        <v>42865</v>
      </c>
      <c r="D62" s="36">
        <f t="shared" si="3"/>
        <v>0</v>
      </c>
      <c r="E62" s="37">
        <f t="shared" si="8"/>
        <v>0</v>
      </c>
      <c r="F62" s="37">
        <f t="shared" si="14"/>
        <v>0</v>
      </c>
      <c r="G62" s="38">
        <f t="shared" si="9"/>
        <v>0</v>
      </c>
      <c r="H62" s="39">
        <f t="shared" si="4"/>
        <v>0</v>
      </c>
      <c r="I62" s="37">
        <f t="shared" si="15"/>
        <v>0</v>
      </c>
      <c r="J62" s="37">
        <f t="shared" si="10"/>
        <v>0</v>
      </c>
      <c r="K62" s="40">
        <f t="shared" si="11"/>
        <v>0</v>
      </c>
      <c r="L62" s="53"/>
      <c r="M62" s="54"/>
      <c r="N62" s="41">
        <f t="shared" si="5"/>
        <v>7</v>
      </c>
      <c r="O62" s="11">
        <f t="shared" si="12"/>
        <v>24</v>
      </c>
      <c r="P62" s="12">
        <f t="shared" si="6"/>
        <v>0</v>
      </c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x14ac:dyDescent="0.3">
      <c r="A63" s="33">
        <v>56</v>
      </c>
      <c r="B63" s="34" t="str">
        <f t="shared" si="7"/>
        <v>5-й год 8-й мес</v>
      </c>
      <c r="C63" s="35">
        <f t="shared" si="13"/>
        <v>42896</v>
      </c>
      <c r="D63" s="36">
        <f t="shared" si="3"/>
        <v>0</v>
      </c>
      <c r="E63" s="37">
        <f t="shared" si="8"/>
        <v>0</v>
      </c>
      <c r="F63" s="37">
        <f t="shared" si="14"/>
        <v>0</v>
      </c>
      <c r="G63" s="38">
        <f>G62-E63-L63-M63</f>
        <v>0</v>
      </c>
      <c r="H63" s="39">
        <f t="shared" si="4"/>
        <v>0</v>
      </c>
      <c r="I63" s="37">
        <f t="shared" si="15"/>
        <v>0</v>
      </c>
      <c r="J63" s="37">
        <f t="shared" si="10"/>
        <v>0</v>
      </c>
      <c r="K63" s="40">
        <f>K62-I63-L63-M63</f>
        <v>0</v>
      </c>
      <c r="L63" s="53"/>
      <c r="M63" s="54"/>
      <c r="N63" s="41">
        <f t="shared" si="5"/>
        <v>7</v>
      </c>
      <c r="O63" s="11">
        <f t="shared" si="12"/>
        <v>24</v>
      </c>
      <c r="P63" s="12">
        <f t="shared" si="6"/>
        <v>0</v>
      </c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x14ac:dyDescent="0.3">
      <c r="A64" s="33">
        <v>57</v>
      </c>
      <c r="B64" s="34" t="str">
        <f t="shared" si="7"/>
        <v>5-й год 9-й мес</v>
      </c>
      <c r="C64" s="35">
        <f t="shared" si="13"/>
        <v>42926</v>
      </c>
      <c r="D64" s="36">
        <f t="shared" si="3"/>
        <v>0</v>
      </c>
      <c r="E64" s="37">
        <f t="shared" si="8"/>
        <v>0</v>
      </c>
      <c r="F64" s="37">
        <f t="shared" si="14"/>
        <v>0</v>
      </c>
      <c r="G64" s="38">
        <f t="shared" si="9"/>
        <v>0</v>
      </c>
      <c r="H64" s="39">
        <f t="shared" si="4"/>
        <v>0</v>
      </c>
      <c r="I64" s="37">
        <f t="shared" si="15"/>
        <v>0</v>
      </c>
      <c r="J64" s="37">
        <f t="shared" si="10"/>
        <v>0</v>
      </c>
      <c r="K64" s="40">
        <f t="shared" si="11"/>
        <v>0</v>
      </c>
      <c r="L64" s="53"/>
      <c r="M64" s="54"/>
      <c r="N64" s="41">
        <f t="shared" si="5"/>
        <v>7</v>
      </c>
      <c r="O64" s="11">
        <f t="shared" si="12"/>
        <v>24</v>
      </c>
      <c r="P64" s="12">
        <f t="shared" si="6"/>
        <v>0</v>
      </c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x14ac:dyDescent="0.3">
      <c r="A65" s="33">
        <v>58</v>
      </c>
      <c r="B65" s="34" t="str">
        <f t="shared" si="7"/>
        <v>5-й год 10-й мес</v>
      </c>
      <c r="C65" s="35">
        <f t="shared" si="13"/>
        <v>42957</v>
      </c>
      <c r="D65" s="36">
        <f t="shared" si="3"/>
        <v>0</v>
      </c>
      <c r="E65" s="37">
        <f t="shared" si="8"/>
        <v>0</v>
      </c>
      <c r="F65" s="37">
        <f t="shared" si="14"/>
        <v>0</v>
      </c>
      <c r="G65" s="38">
        <f t="shared" si="9"/>
        <v>0</v>
      </c>
      <c r="H65" s="39">
        <f t="shared" si="4"/>
        <v>0</v>
      </c>
      <c r="I65" s="37">
        <f t="shared" si="15"/>
        <v>0</v>
      </c>
      <c r="J65" s="37">
        <f t="shared" si="10"/>
        <v>0</v>
      </c>
      <c r="K65" s="40">
        <f t="shared" si="11"/>
        <v>0</v>
      </c>
      <c r="L65" s="53"/>
      <c r="M65" s="54"/>
      <c r="N65" s="41">
        <f t="shared" si="5"/>
        <v>7</v>
      </c>
      <c r="O65" s="11">
        <f t="shared" si="12"/>
        <v>24</v>
      </c>
      <c r="P65" s="12">
        <f t="shared" si="6"/>
        <v>0</v>
      </c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x14ac:dyDescent="0.3">
      <c r="A66" s="33">
        <v>59</v>
      </c>
      <c r="B66" s="34" t="str">
        <f t="shared" si="7"/>
        <v>5-й год 11-й мес</v>
      </c>
      <c r="C66" s="35">
        <f t="shared" si="13"/>
        <v>42988</v>
      </c>
      <c r="D66" s="36">
        <f t="shared" si="3"/>
        <v>0</v>
      </c>
      <c r="E66" s="37">
        <f t="shared" si="8"/>
        <v>0</v>
      </c>
      <c r="F66" s="37">
        <f t="shared" si="14"/>
        <v>0</v>
      </c>
      <c r="G66" s="38">
        <f t="shared" si="9"/>
        <v>0</v>
      </c>
      <c r="H66" s="39">
        <f t="shared" si="4"/>
        <v>0</v>
      </c>
      <c r="I66" s="37">
        <f t="shared" si="15"/>
        <v>0</v>
      </c>
      <c r="J66" s="37">
        <f t="shared" si="10"/>
        <v>0</v>
      </c>
      <c r="K66" s="40">
        <f t="shared" si="11"/>
        <v>0</v>
      </c>
      <c r="L66" s="53"/>
      <c r="M66" s="54"/>
      <c r="N66" s="41">
        <f t="shared" si="5"/>
        <v>7</v>
      </c>
      <c r="O66" s="11">
        <f t="shared" si="12"/>
        <v>24</v>
      </c>
      <c r="P66" s="12">
        <f t="shared" si="6"/>
        <v>0</v>
      </c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x14ac:dyDescent="0.3">
      <c r="A67" s="33">
        <v>60</v>
      </c>
      <c r="B67" s="34" t="str">
        <f t="shared" si="7"/>
        <v>5-й год 12-й мес</v>
      </c>
      <c r="C67" s="35">
        <f t="shared" si="13"/>
        <v>43018</v>
      </c>
      <c r="D67" s="36">
        <f t="shared" si="3"/>
        <v>0</v>
      </c>
      <c r="E67" s="37">
        <f t="shared" si="8"/>
        <v>0</v>
      </c>
      <c r="F67" s="37">
        <f t="shared" si="14"/>
        <v>0</v>
      </c>
      <c r="G67" s="38">
        <f t="shared" si="9"/>
        <v>0</v>
      </c>
      <c r="H67" s="39">
        <f t="shared" si="4"/>
        <v>0</v>
      </c>
      <c r="I67" s="37">
        <f t="shared" si="15"/>
        <v>0</v>
      </c>
      <c r="J67" s="37">
        <f t="shared" si="10"/>
        <v>0</v>
      </c>
      <c r="K67" s="40">
        <f t="shared" si="11"/>
        <v>0</v>
      </c>
      <c r="L67" s="53"/>
      <c r="M67" s="54"/>
      <c r="N67" s="41">
        <f t="shared" si="5"/>
        <v>7</v>
      </c>
      <c r="O67" s="11">
        <f t="shared" si="12"/>
        <v>24</v>
      </c>
      <c r="P67" s="12">
        <f t="shared" si="6"/>
        <v>0</v>
      </c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x14ac:dyDescent="0.3">
      <c r="A68" s="42">
        <v>61</v>
      </c>
      <c r="B68" s="34" t="str">
        <f t="shared" si="7"/>
        <v>6-й год 1-й мес</v>
      </c>
      <c r="C68" s="35">
        <f t="shared" si="13"/>
        <v>43049</v>
      </c>
      <c r="D68" s="36">
        <f t="shared" si="3"/>
        <v>0</v>
      </c>
      <c r="E68" s="43">
        <f t="shared" si="8"/>
        <v>0</v>
      </c>
      <c r="F68" s="37">
        <f t="shared" si="14"/>
        <v>0</v>
      </c>
      <c r="G68" s="44">
        <f t="shared" si="9"/>
        <v>0</v>
      </c>
      <c r="H68" s="45">
        <f t="shared" si="4"/>
        <v>0</v>
      </c>
      <c r="I68" s="43">
        <f t="shared" si="15"/>
        <v>0</v>
      </c>
      <c r="J68" s="43">
        <f t="shared" si="10"/>
        <v>0</v>
      </c>
      <c r="K68" s="46">
        <f t="shared" si="11"/>
        <v>0</v>
      </c>
      <c r="L68" s="55"/>
      <c r="M68" s="54"/>
      <c r="N68" s="41">
        <f t="shared" si="5"/>
        <v>7</v>
      </c>
      <c r="O68" s="11">
        <f t="shared" si="12"/>
        <v>24</v>
      </c>
      <c r="P68" s="12">
        <f t="shared" si="6"/>
        <v>0</v>
      </c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x14ac:dyDescent="0.3">
      <c r="A69" s="47">
        <v>62</v>
      </c>
      <c r="B69" s="34" t="str">
        <f t="shared" si="7"/>
        <v>6-й год 2-й мес</v>
      </c>
      <c r="C69" s="35">
        <f t="shared" si="13"/>
        <v>43079</v>
      </c>
      <c r="D69" s="36">
        <f t="shared" si="3"/>
        <v>0</v>
      </c>
      <c r="E69" s="37">
        <f t="shared" si="8"/>
        <v>0</v>
      </c>
      <c r="F69" s="37">
        <f t="shared" si="14"/>
        <v>0</v>
      </c>
      <c r="G69" s="38">
        <f t="shared" si="9"/>
        <v>0</v>
      </c>
      <c r="H69" s="39">
        <f t="shared" si="4"/>
        <v>0</v>
      </c>
      <c r="I69" s="37">
        <f t="shared" si="15"/>
        <v>0</v>
      </c>
      <c r="J69" s="37">
        <f t="shared" si="10"/>
        <v>0</v>
      </c>
      <c r="K69" s="40">
        <f t="shared" si="11"/>
        <v>0</v>
      </c>
      <c r="L69" s="53"/>
      <c r="M69" s="54"/>
      <c r="N69" s="41">
        <f t="shared" si="5"/>
        <v>7</v>
      </c>
      <c r="O69" s="11">
        <f t="shared" si="12"/>
        <v>24</v>
      </c>
      <c r="P69" s="12">
        <f t="shared" si="6"/>
        <v>0</v>
      </c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x14ac:dyDescent="0.3">
      <c r="A70" s="47">
        <v>63</v>
      </c>
      <c r="B70" s="34" t="str">
        <f t="shared" si="7"/>
        <v>6-й год 3-й мес</v>
      </c>
      <c r="C70" s="35">
        <f t="shared" si="13"/>
        <v>43110</v>
      </c>
      <c r="D70" s="36">
        <f t="shared" si="3"/>
        <v>0</v>
      </c>
      <c r="E70" s="37">
        <f t="shared" si="8"/>
        <v>0</v>
      </c>
      <c r="F70" s="37">
        <f t="shared" si="14"/>
        <v>0</v>
      </c>
      <c r="G70" s="38">
        <f t="shared" si="9"/>
        <v>0</v>
      </c>
      <c r="H70" s="39">
        <f t="shared" si="4"/>
        <v>0</v>
      </c>
      <c r="I70" s="37">
        <f t="shared" si="15"/>
        <v>0</v>
      </c>
      <c r="J70" s="37">
        <f t="shared" si="10"/>
        <v>0</v>
      </c>
      <c r="K70" s="40">
        <f t="shared" si="11"/>
        <v>0</v>
      </c>
      <c r="L70" s="53"/>
      <c r="M70" s="54"/>
      <c r="N70" s="41">
        <f t="shared" si="5"/>
        <v>7</v>
      </c>
      <c r="O70" s="11">
        <f t="shared" si="12"/>
        <v>24</v>
      </c>
      <c r="P70" s="12">
        <f t="shared" si="6"/>
        <v>0</v>
      </c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x14ac:dyDescent="0.3">
      <c r="A71" s="47">
        <v>64</v>
      </c>
      <c r="B71" s="34" t="str">
        <f t="shared" si="7"/>
        <v>6-й год 4-й мес</v>
      </c>
      <c r="C71" s="35">
        <f t="shared" si="13"/>
        <v>43141</v>
      </c>
      <c r="D71" s="36">
        <f t="shared" si="3"/>
        <v>0</v>
      </c>
      <c r="E71" s="37">
        <f t="shared" si="8"/>
        <v>0</v>
      </c>
      <c r="F71" s="37">
        <f t="shared" si="14"/>
        <v>0</v>
      </c>
      <c r="G71" s="38">
        <f t="shared" si="9"/>
        <v>0</v>
      </c>
      <c r="H71" s="39">
        <f t="shared" si="4"/>
        <v>0</v>
      </c>
      <c r="I71" s="37">
        <f t="shared" si="15"/>
        <v>0</v>
      </c>
      <c r="J71" s="37">
        <f t="shared" si="10"/>
        <v>0</v>
      </c>
      <c r="K71" s="40">
        <f t="shared" si="11"/>
        <v>0</v>
      </c>
      <c r="L71" s="53"/>
      <c r="M71" s="54"/>
      <c r="N71" s="41">
        <f t="shared" si="5"/>
        <v>7</v>
      </c>
      <c r="O71" s="11">
        <f t="shared" si="12"/>
        <v>24</v>
      </c>
      <c r="P71" s="12">
        <f t="shared" si="6"/>
        <v>0</v>
      </c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x14ac:dyDescent="0.3">
      <c r="A72" s="47">
        <v>65</v>
      </c>
      <c r="B72" s="34" t="str">
        <f t="shared" si="7"/>
        <v>6-й год 5-й мес</v>
      </c>
      <c r="C72" s="35">
        <f t="shared" si="13"/>
        <v>43169</v>
      </c>
      <c r="D72" s="36">
        <f t="shared" ref="D72:D135" si="16">IF(P72*$D$2/100/12/(1-(1+$D$2/100/12)^(-O72))&lt;G71,ROUNDUP(P72*$D$2/100/12/(1-(1+$D$2/100/12)^(-O72)),0),G71+F72)</f>
        <v>0</v>
      </c>
      <c r="E72" s="37">
        <f t="shared" si="8"/>
        <v>0</v>
      </c>
      <c r="F72" s="37">
        <f t="shared" si="14"/>
        <v>0</v>
      </c>
      <c r="G72" s="38">
        <f t="shared" si="9"/>
        <v>0</v>
      </c>
      <c r="H72" s="39">
        <f t="shared" ref="H72:H135" si="17">I72+J72</f>
        <v>0</v>
      </c>
      <c r="I72" s="37">
        <f t="shared" si="15"/>
        <v>0</v>
      </c>
      <c r="J72" s="37">
        <f t="shared" si="10"/>
        <v>0</v>
      </c>
      <c r="K72" s="40">
        <f t="shared" si="11"/>
        <v>0</v>
      </c>
      <c r="L72" s="53"/>
      <c r="M72" s="54"/>
      <c r="N72" s="41">
        <f t="shared" ref="N72:N135" si="18">IF(ISBLANK(L71),VALUE(N71),ROW(L71))</f>
        <v>7</v>
      </c>
      <c r="O72" s="11">
        <f t="shared" si="12"/>
        <v>24</v>
      </c>
      <c r="P72" s="12">
        <f t="shared" ref="P72:P135" si="19">INDEX(G:G,N72,1)</f>
        <v>0</v>
      </c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x14ac:dyDescent="0.3">
      <c r="A73" s="47">
        <v>66</v>
      </c>
      <c r="B73" s="34" t="str">
        <f t="shared" ref="B73:B136" si="20">CONCATENATE(INT((A73-1)/12)+1,"-й год ",A73-1-INT((A73-1)/12)*12+1,"-й мес")</f>
        <v>6-й год 6-й мес</v>
      </c>
      <c r="C73" s="35">
        <f t="shared" si="13"/>
        <v>43200</v>
      </c>
      <c r="D73" s="36">
        <f t="shared" si="16"/>
        <v>0</v>
      </c>
      <c r="E73" s="37">
        <f t="shared" ref="E73:E136" si="21">D73-F73</f>
        <v>0</v>
      </c>
      <c r="F73" s="37">
        <f t="shared" si="14"/>
        <v>0</v>
      </c>
      <c r="G73" s="38">
        <f t="shared" ref="G73:G136" si="22">G72-E73-L73-M73</f>
        <v>0</v>
      </c>
      <c r="H73" s="39">
        <f t="shared" si="17"/>
        <v>0</v>
      </c>
      <c r="I73" s="37">
        <f t="shared" si="15"/>
        <v>0</v>
      </c>
      <c r="J73" s="37">
        <f t="shared" ref="J73:J136" si="23">K72*$D$2/12/100</f>
        <v>0</v>
      </c>
      <c r="K73" s="40">
        <f t="shared" ref="K73:K136" si="24">K72-I73-L73-M73</f>
        <v>0</v>
      </c>
      <c r="L73" s="53"/>
      <c r="M73" s="54"/>
      <c r="N73" s="41">
        <f t="shared" si="18"/>
        <v>7</v>
      </c>
      <c r="O73" s="11">
        <f t="shared" ref="O73:O136" si="25">O72+N72-N73</f>
        <v>24</v>
      </c>
      <c r="P73" s="12">
        <f t="shared" si="19"/>
        <v>0</v>
      </c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x14ac:dyDescent="0.3">
      <c r="A74" s="47">
        <v>67</v>
      </c>
      <c r="B74" s="34" t="str">
        <f t="shared" si="20"/>
        <v>6-й год 7-й мес</v>
      </c>
      <c r="C74" s="35">
        <f t="shared" ref="C74:C137" si="26">DATE(YEAR(C73),MONTH(C73)+1,DAY(C73))</f>
        <v>43230</v>
      </c>
      <c r="D74" s="36">
        <f t="shared" si="16"/>
        <v>0</v>
      </c>
      <c r="E74" s="37">
        <f t="shared" si="21"/>
        <v>0</v>
      </c>
      <c r="F74" s="37">
        <f t="shared" ref="F74:F137" si="27">G73*$D$2*(C74-C73)/(DATE(YEAR(C74)+1,1,1)-DATE(YEAR(C74),1,1))/100</f>
        <v>0</v>
      </c>
      <c r="G74" s="38">
        <f t="shared" si="22"/>
        <v>0</v>
      </c>
      <c r="H74" s="39">
        <f t="shared" si="17"/>
        <v>0</v>
      </c>
      <c r="I74" s="37">
        <f t="shared" ref="I74:I137" si="28">IF($D$1/$D$3&lt;K73,$D$1/$D$3,K73)</f>
        <v>0</v>
      </c>
      <c r="J74" s="37">
        <f t="shared" si="23"/>
        <v>0</v>
      </c>
      <c r="K74" s="40">
        <f t="shared" si="24"/>
        <v>0</v>
      </c>
      <c r="L74" s="53"/>
      <c r="M74" s="54"/>
      <c r="N74" s="41">
        <f t="shared" si="18"/>
        <v>7</v>
      </c>
      <c r="O74" s="11">
        <f t="shared" si="25"/>
        <v>24</v>
      </c>
      <c r="P74" s="12">
        <f t="shared" si="19"/>
        <v>0</v>
      </c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x14ac:dyDescent="0.3">
      <c r="A75" s="47">
        <v>68</v>
      </c>
      <c r="B75" s="34" t="str">
        <f t="shared" si="20"/>
        <v>6-й год 8-й мес</v>
      </c>
      <c r="C75" s="35">
        <f t="shared" si="26"/>
        <v>43261</v>
      </c>
      <c r="D75" s="36">
        <f t="shared" si="16"/>
        <v>0</v>
      </c>
      <c r="E75" s="37">
        <f t="shared" si="21"/>
        <v>0</v>
      </c>
      <c r="F75" s="37">
        <f t="shared" si="27"/>
        <v>0</v>
      </c>
      <c r="G75" s="38">
        <f t="shared" si="22"/>
        <v>0</v>
      </c>
      <c r="H75" s="39">
        <f t="shared" si="17"/>
        <v>0</v>
      </c>
      <c r="I75" s="37">
        <f t="shared" si="28"/>
        <v>0</v>
      </c>
      <c r="J75" s="37">
        <f t="shared" si="23"/>
        <v>0</v>
      </c>
      <c r="K75" s="40">
        <f t="shared" si="24"/>
        <v>0</v>
      </c>
      <c r="L75" s="53"/>
      <c r="M75" s="54"/>
      <c r="N75" s="41">
        <f t="shared" si="18"/>
        <v>7</v>
      </c>
      <c r="O75" s="11">
        <f t="shared" si="25"/>
        <v>24</v>
      </c>
      <c r="P75" s="12">
        <f t="shared" si="19"/>
        <v>0</v>
      </c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x14ac:dyDescent="0.3">
      <c r="A76" s="47">
        <v>69</v>
      </c>
      <c r="B76" s="34" t="str">
        <f t="shared" si="20"/>
        <v>6-й год 9-й мес</v>
      </c>
      <c r="C76" s="35">
        <f t="shared" si="26"/>
        <v>43291</v>
      </c>
      <c r="D76" s="36">
        <f t="shared" si="16"/>
        <v>0</v>
      </c>
      <c r="E76" s="37">
        <f t="shared" si="21"/>
        <v>0</v>
      </c>
      <c r="F76" s="37">
        <f t="shared" si="27"/>
        <v>0</v>
      </c>
      <c r="G76" s="38">
        <f t="shared" si="22"/>
        <v>0</v>
      </c>
      <c r="H76" s="39">
        <f t="shared" si="17"/>
        <v>0</v>
      </c>
      <c r="I76" s="37">
        <f t="shared" si="28"/>
        <v>0</v>
      </c>
      <c r="J76" s="37">
        <f t="shared" si="23"/>
        <v>0</v>
      </c>
      <c r="K76" s="40">
        <f t="shared" si="24"/>
        <v>0</v>
      </c>
      <c r="L76" s="53"/>
      <c r="M76" s="54"/>
      <c r="N76" s="41">
        <f t="shared" si="18"/>
        <v>7</v>
      </c>
      <c r="O76" s="11">
        <f t="shared" si="25"/>
        <v>24</v>
      </c>
      <c r="P76" s="12">
        <f t="shared" si="19"/>
        <v>0</v>
      </c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x14ac:dyDescent="0.3">
      <c r="A77" s="47">
        <v>70</v>
      </c>
      <c r="B77" s="34" t="str">
        <f t="shared" si="20"/>
        <v>6-й год 10-й мес</v>
      </c>
      <c r="C77" s="35">
        <f t="shared" si="26"/>
        <v>43322</v>
      </c>
      <c r="D77" s="36">
        <f t="shared" si="16"/>
        <v>0</v>
      </c>
      <c r="E77" s="37">
        <f t="shared" si="21"/>
        <v>0</v>
      </c>
      <c r="F77" s="37">
        <f t="shared" si="27"/>
        <v>0</v>
      </c>
      <c r="G77" s="38">
        <f t="shared" si="22"/>
        <v>0</v>
      </c>
      <c r="H77" s="39">
        <f t="shared" si="17"/>
        <v>0</v>
      </c>
      <c r="I77" s="37">
        <f t="shared" si="28"/>
        <v>0</v>
      </c>
      <c r="J77" s="37">
        <f t="shared" si="23"/>
        <v>0</v>
      </c>
      <c r="K77" s="40">
        <f t="shared" si="24"/>
        <v>0</v>
      </c>
      <c r="L77" s="53"/>
      <c r="M77" s="54"/>
      <c r="N77" s="41">
        <f t="shared" si="18"/>
        <v>7</v>
      </c>
      <c r="O77" s="11">
        <f t="shared" si="25"/>
        <v>24</v>
      </c>
      <c r="P77" s="12">
        <f t="shared" si="19"/>
        <v>0</v>
      </c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x14ac:dyDescent="0.3">
      <c r="A78" s="47">
        <v>71</v>
      </c>
      <c r="B78" s="34" t="str">
        <f t="shared" si="20"/>
        <v>6-й год 11-й мес</v>
      </c>
      <c r="C78" s="35">
        <f t="shared" si="26"/>
        <v>43353</v>
      </c>
      <c r="D78" s="36">
        <f t="shared" si="16"/>
        <v>0</v>
      </c>
      <c r="E78" s="37">
        <f t="shared" si="21"/>
        <v>0</v>
      </c>
      <c r="F78" s="37">
        <f t="shared" si="27"/>
        <v>0</v>
      </c>
      <c r="G78" s="38">
        <f t="shared" si="22"/>
        <v>0</v>
      </c>
      <c r="H78" s="39">
        <f t="shared" si="17"/>
        <v>0</v>
      </c>
      <c r="I78" s="37">
        <f t="shared" si="28"/>
        <v>0</v>
      </c>
      <c r="J78" s="37">
        <f t="shared" si="23"/>
        <v>0</v>
      </c>
      <c r="K78" s="40">
        <f t="shared" si="24"/>
        <v>0</v>
      </c>
      <c r="L78" s="53"/>
      <c r="M78" s="54"/>
      <c r="N78" s="41">
        <f t="shared" si="18"/>
        <v>7</v>
      </c>
      <c r="O78" s="11">
        <f t="shared" si="25"/>
        <v>24</v>
      </c>
      <c r="P78" s="12">
        <f t="shared" si="19"/>
        <v>0</v>
      </c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x14ac:dyDescent="0.3">
      <c r="A79" s="48">
        <v>72</v>
      </c>
      <c r="B79" s="34" t="str">
        <f t="shared" si="20"/>
        <v>6-й год 12-й мес</v>
      </c>
      <c r="C79" s="35">
        <f t="shared" si="26"/>
        <v>43383</v>
      </c>
      <c r="D79" s="36">
        <f t="shared" si="16"/>
        <v>0</v>
      </c>
      <c r="E79" s="49">
        <f t="shared" si="21"/>
        <v>0</v>
      </c>
      <c r="F79" s="37">
        <f t="shared" si="27"/>
        <v>0</v>
      </c>
      <c r="G79" s="50">
        <f t="shared" si="22"/>
        <v>0</v>
      </c>
      <c r="H79" s="51">
        <f t="shared" si="17"/>
        <v>0</v>
      </c>
      <c r="I79" s="49">
        <f t="shared" si="28"/>
        <v>0</v>
      </c>
      <c r="J79" s="49">
        <f t="shared" si="23"/>
        <v>0</v>
      </c>
      <c r="K79" s="52">
        <f t="shared" si="24"/>
        <v>0</v>
      </c>
      <c r="L79" s="56"/>
      <c r="M79" s="54"/>
      <c r="N79" s="41">
        <f t="shared" si="18"/>
        <v>7</v>
      </c>
      <c r="O79" s="11">
        <f t="shared" si="25"/>
        <v>24</v>
      </c>
      <c r="P79" s="12">
        <f t="shared" si="19"/>
        <v>0</v>
      </c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x14ac:dyDescent="0.3">
      <c r="A80" s="33">
        <v>73</v>
      </c>
      <c r="B80" s="34" t="str">
        <f t="shared" si="20"/>
        <v>7-й год 1-й мес</v>
      </c>
      <c r="C80" s="35">
        <f t="shared" si="26"/>
        <v>43414</v>
      </c>
      <c r="D80" s="36">
        <f t="shared" si="16"/>
        <v>0</v>
      </c>
      <c r="E80" s="37">
        <f t="shared" si="21"/>
        <v>0</v>
      </c>
      <c r="F80" s="37">
        <f t="shared" si="27"/>
        <v>0</v>
      </c>
      <c r="G80" s="38">
        <f t="shared" si="22"/>
        <v>0</v>
      </c>
      <c r="H80" s="39">
        <f t="shared" si="17"/>
        <v>0</v>
      </c>
      <c r="I80" s="37">
        <f t="shared" si="28"/>
        <v>0</v>
      </c>
      <c r="J80" s="37">
        <f t="shared" si="23"/>
        <v>0</v>
      </c>
      <c r="K80" s="40">
        <f t="shared" si="24"/>
        <v>0</v>
      </c>
      <c r="L80" s="53"/>
      <c r="M80" s="54"/>
      <c r="N80" s="41">
        <f t="shared" si="18"/>
        <v>7</v>
      </c>
      <c r="O80" s="11">
        <f t="shared" si="25"/>
        <v>24</v>
      </c>
      <c r="P80" s="12">
        <f t="shared" si="19"/>
        <v>0</v>
      </c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x14ac:dyDescent="0.3">
      <c r="A81" s="33">
        <v>74</v>
      </c>
      <c r="B81" s="34" t="str">
        <f t="shared" si="20"/>
        <v>7-й год 2-й мес</v>
      </c>
      <c r="C81" s="35">
        <f t="shared" si="26"/>
        <v>43444</v>
      </c>
      <c r="D81" s="36">
        <f t="shared" si="16"/>
        <v>0</v>
      </c>
      <c r="E81" s="37">
        <f t="shared" si="21"/>
        <v>0</v>
      </c>
      <c r="F81" s="37">
        <f t="shared" si="27"/>
        <v>0</v>
      </c>
      <c r="G81" s="38">
        <f t="shared" si="22"/>
        <v>0</v>
      </c>
      <c r="H81" s="39">
        <f t="shared" si="17"/>
        <v>0</v>
      </c>
      <c r="I81" s="37">
        <f t="shared" si="28"/>
        <v>0</v>
      </c>
      <c r="J81" s="37">
        <f t="shared" si="23"/>
        <v>0</v>
      </c>
      <c r="K81" s="40">
        <f t="shared" si="24"/>
        <v>0</v>
      </c>
      <c r="L81" s="53"/>
      <c r="M81" s="54"/>
      <c r="N81" s="41">
        <f t="shared" si="18"/>
        <v>7</v>
      </c>
      <c r="O81" s="11">
        <f t="shared" si="25"/>
        <v>24</v>
      </c>
      <c r="P81" s="12">
        <f t="shared" si="19"/>
        <v>0</v>
      </c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x14ac:dyDescent="0.3">
      <c r="A82" s="33">
        <v>75</v>
      </c>
      <c r="B82" s="34" t="str">
        <f t="shared" si="20"/>
        <v>7-й год 3-й мес</v>
      </c>
      <c r="C82" s="35">
        <f t="shared" si="26"/>
        <v>43475</v>
      </c>
      <c r="D82" s="36">
        <f t="shared" si="16"/>
        <v>0</v>
      </c>
      <c r="E82" s="37">
        <f t="shared" si="21"/>
        <v>0</v>
      </c>
      <c r="F82" s="37">
        <f t="shared" si="27"/>
        <v>0</v>
      </c>
      <c r="G82" s="38">
        <f t="shared" si="22"/>
        <v>0</v>
      </c>
      <c r="H82" s="39">
        <f t="shared" si="17"/>
        <v>0</v>
      </c>
      <c r="I82" s="37">
        <f t="shared" si="28"/>
        <v>0</v>
      </c>
      <c r="J82" s="37">
        <f t="shared" si="23"/>
        <v>0</v>
      </c>
      <c r="K82" s="40">
        <f t="shared" si="24"/>
        <v>0</v>
      </c>
      <c r="L82" s="53"/>
      <c r="M82" s="54"/>
      <c r="N82" s="41">
        <f t="shared" si="18"/>
        <v>7</v>
      </c>
      <c r="O82" s="11">
        <f t="shared" si="25"/>
        <v>24</v>
      </c>
      <c r="P82" s="12">
        <f t="shared" si="19"/>
        <v>0</v>
      </c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x14ac:dyDescent="0.3">
      <c r="A83" s="33">
        <v>76</v>
      </c>
      <c r="B83" s="34" t="str">
        <f t="shared" si="20"/>
        <v>7-й год 4-й мес</v>
      </c>
      <c r="C83" s="35">
        <f t="shared" si="26"/>
        <v>43506</v>
      </c>
      <c r="D83" s="36">
        <f t="shared" si="16"/>
        <v>0</v>
      </c>
      <c r="E83" s="37">
        <f t="shared" si="21"/>
        <v>0</v>
      </c>
      <c r="F83" s="37">
        <f t="shared" si="27"/>
        <v>0</v>
      </c>
      <c r="G83" s="38">
        <f t="shared" si="22"/>
        <v>0</v>
      </c>
      <c r="H83" s="39">
        <f t="shared" si="17"/>
        <v>0</v>
      </c>
      <c r="I83" s="37">
        <f t="shared" si="28"/>
        <v>0</v>
      </c>
      <c r="J83" s="37">
        <f t="shared" si="23"/>
        <v>0</v>
      </c>
      <c r="K83" s="40">
        <f t="shared" si="24"/>
        <v>0</v>
      </c>
      <c r="L83" s="53"/>
      <c r="M83" s="54"/>
      <c r="N83" s="41">
        <f t="shared" si="18"/>
        <v>7</v>
      </c>
      <c r="O83" s="11">
        <f t="shared" si="25"/>
        <v>24</v>
      </c>
      <c r="P83" s="12">
        <f t="shared" si="19"/>
        <v>0</v>
      </c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x14ac:dyDescent="0.3">
      <c r="A84" s="33">
        <v>77</v>
      </c>
      <c r="B84" s="34" t="str">
        <f t="shared" si="20"/>
        <v>7-й год 5-й мес</v>
      </c>
      <c r="C84" s="35">
        <f t="shared" si="26"/>
        <v>43534</v>
      </c>
      <c r="D84" s="36">
        <f t="shared" si="16"/>
        <v>0</v>
      </c>
      <c r="E84" s="37">
        <f t="shared" si="21"/>
        <v>0</v>
      </c>
      <c r="F84" s="37">
        <f t="shared" si="27"/>
        <v>0</v>
      </c>
      <c r="G84" s="38">
        <f t="shared" si="22"/>
        <v>0</v>
      </c>
      <c r="H84" s="39">
        <f t="shared" si="17"/>
        <v>0</v>
      </c>
      <c r="I84" s="37">
        <f t="shared" si="28"/>
        <v>0</v>
      </c>
      <c r="J84" s="37">
        <f t="shared" si="23"/>
        <v>0</v>
      </c>
      <c r="K84" s="40">
        <f t="shared" si="24"/>
        <v>0</v>
      </c>
      <c r="L84" s="53"/>
      <c r="M84" s="54"/>
      <c r="N84" s="41">
        <f t="shared" si="18"/>
        <v>7</v>
      </c>
      <c r="O84" s="11">
        <f t="shared" si="25"/>
        <v>24</v>
      </c>
      <c r="P84" s="12">
        <f t="shared" si="19"/>
        <v>0</v>
      </c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x14ac:dyDescent="0.3">
      <c r="A85" s="33">
        <v>78</v>
      </c>
      <c r="B85" s="34" t="str">
        <f t="shared" si="20"/>
        <v>7-й год 6-й мес</v>
      </c>
      <c r="C85" s="35">
        <f t="shared" si="26"/>
        <v>43565</v>
      </c>
      <c r="D85" s="36">
        <f t="shared" si="16"/>
        <v>0</v>
      </c>
      <c r="E85" s="37">
        <f t="shared" si="21"/>
        <v>0</v>
      </c>
      <c r="F85" s="37">
        <f t="shared" si="27"/>
        <v>0</v>
      </c>
      <c r="G85" s="38">
        <f t="shared" si="22"/>
        <v>0</v>
      </c>
      <c r="H85" s="39">
        <f t="shared" si="17"/>
        <v>0</v>
      </c>
      <c r="I85" s="37">
        <f t="shared" si="28"/>
        <v>0</v>
      </c>
      <c r="J85" s="37">
        <f t="shared" si="23"/>
        <v>0</v>
      </c>
      <c r="K85" s="40">
        <f t="shared" si="24"/>
        <v>0</v>
      </c>
      <c r="L85" s="53"/>
      <c r="M85" s="54"/>
      <c r="N85" s="41">
        <f t="shared" si="18"/>
        <v>7</v>
      </c>
      <c r="O85" s="11">
        <f t="shared" si="25"/>
        <v>24</v>
      </c>
      <c r="P85" s="12">
        <f t="shared" si="19"/>
        <v>0</v>
      </c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x14ac:dyDescent="0.3">
      <c r="A86" s="33">
        <v>79</v>
      </c>
      <c r="B86" s="34" t="str">
        <f t="shared" si="20"/>
        <v>7-й год 7-й мес</v>
      </c>
      <c r="C86" s="35">
        <f t="shared" si="26"/>
        <v>43595</v>
      </c>
      <c r="D86" s="36">
        <f t="shared" si="16"/>
        <v>0</v>
      </c>
      <c r="E86" s="37">
        <f t="shared" si="21"/>
        <v>0</v>
      </c>
      <c r="F86" s="37">
        <f t="shared" si="27"/>
        <v>0</v>
      </c>
      <c r="G86" s="38">
        <f t="shared" si="22"/>
        <v>0</v>
      </c>
      <c r="H86" s="39">
        <f t="shared" si="17"/>
        <v>0</v>
      </c>
      <c r="I86" s="37">
        <f t="shared" si="28"/>
        <v>0</v>
      </c>
      <c r="J86" s="37">
        <f t="shared" si="23"/>
        <v>0</v>
      </c>
      <c r="K86" s="40">
        <f t="shared" si="24"/>
        <v>0</v>
      </c>
      <c r="L86" s="53"/>
      <c r="M86" s="54"/>
      <c r="N86" s="41">
        <f t="shared" si="18"/>
        <v>7</v>
      </c>
      <c r="O86" s="11">
        <f t="shared" si="25"/>
        <v>24</v>
      </c>
      <c r="P86" s="12">
        <f t="shared" si="19"/>
        <v>0</v>
      </c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x14ac:dyDescent="0.3">
      <c r="A87" s="33">
        <v>80</v>
      </c>
      <c r="B87" s="34" t="str">
        <f t="shared" si="20"/>
        <v>7-й год 8-й мес</v>
      </c>
      <c r="C87" s="35">
        <f t="shared" si="26"/>
        <v>43626</v>
      </c>
      <c r="D87" s="36">
        <f t="shared" si="16"/>
        <v>0</v>
      </c>
      <c r="E87" s="37">
        <f t="shared" si="21"/>
        <v>0</v>
      </c>
      <c r="F87" s="37">
        <f t="shared" si="27"/>
        <v>0</v>
      </c>
      <c r="G87" s="38">
        <f t="shared" si="22"/>
        <v>0</v>
      </c>
      <c r="H87" s="39">
        <f t="shared" si="17"/>
        <v>0</v>
      </c>
      <c r="I87" s="37">
        <f t="shared" si="28"/>
        <v>0</v>
      </c>
      <c r="J87" s="37">
        <f t="shared" si="23"/>
        <v>0</v>
      </c>
      <c r="K87" s="40">
        <f t="shared" si="24"/>
        <v>0</v>
      </c>
      <c r="L87" s="53"/>
      <c r="M87" s="54"/>
      <c r="N87" s="41">
        <f t="shared" si="18"/>
        <v>7</v>
      </c>
      <c r="O87" s="11">
        <f t="shared" si="25"/>
        <v>24</v>
      </c>
      <c r="P87" s="12">
        <f t="shared" si="19"/>
        <v>0</v>
      </c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x14ac:dyDescent="0.3">
      <c r="A88" s="33">
        <v>81</v>
      </c>
      <c r="B88" s="34" t="str">
        <f t="shared" si="20"/>
        <v>7-й год 9-й мес</v>
      </c>
      <c r="C88" s="35">
        <f t="shared" si="26"/>
        <v>43656</v>
      </c>
      <c r="D88" s="36">
        <f t="shared" si="16"/>
        <v>0</v>
      </c>
      <c r="E88" s="37">
        <f t="shared" si="21"/>
        <v>0</v>
      </c>
      <c r="F88" s="37">
        <f t="shared" si="27"/>
        <v>0</v>
      </c>
      <c r="G88" s="38">
        <f t="shared" si="22"/>
        <v>0</v>
      </c>
      <c r="H88" s="39">
        <f t="shared" si="17"/>
        <v>0</v>
      </c>
      <c r="I88" s="37">
        <f t="shared" si="28"/>
        <v>0</v>
      </c>
      <c r="J88" s="37">
        <f t="shared" si="23"/>
        <v>0</v>
      </c>
      <c r="K88" s="40">
        <f t="shared" si="24"/>
        <v>0</v>
      </c>
      <c r="L88" s="53"/>
      <c r="M88" s="54"/>
      <c r="N88" s="41">
        <f t="shared" si="18"/>
        <v>7</v>
      </c>
      <c r="O88" s="11">
        <f t="shared" si="25"/>
        <v>24</v>
      </c>
      <c r="P88" s="12">
        <f t="shared" si="19"/>
        <v>0</v>
      </c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x14ac:dyDescent="0.3">
      <c r="A89" s="33">
        <v>82</v>
      </c>
      <c r="B89" s="34" t="str">
        <f t="shared" si="20"/>
        <v>7-й год 10-й мес</v>
      </c>
      <c r="C89" s="35">
        <f t="shared" si="26"/>
        <v>43687</v>
      </c>
      <c r="D89" s="36">
        <f t="shared" si="16"/>
        <v>0</v>
      </c>
      <c r="E89" s="37">
        <f t="shared" si="21"/>
        <v>0</v>
      </c>
      <c r="F89" s="37">
        <f t="shared" si="27"/>
        <v>0</v>
      </c>
      <c r="G89" s="38">
        <f t="shared" si="22"/>
        <v>0</v>
      </c>
      <c r="H89" s="39">
        <f t="shared" si="17"/>
        <v>0</v>
      </c>
      <c r="I89" s="37">
        <f t="shared" si="28"/>
        <v>0</v>
      </c>
      <c r="J89" s="37">
        <f t="shared" si="23"/>
        <v>0</v>
      </c>
      <c r="K89" s="40">
        <f t="shared" si="24"/>
        <v>0</v>
      </c>
      <c r="L89" s="53"/>
      <c r="M89" s="54"/>
      <c r="N89" s="41">
        <f t="shared" si="18"/>
        <v>7</v>
      </c>
      <c r="O89" s="11">
        <f t="shared" si="25"/>
        <v>24</v>
      </c>
      <c r="P89" s="12">
        <f t="shared" si="19"/>
        <v>0</v>
      </c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x14ac:dyDescent="0.3">
      <c r="A90" s="33">
        <v>83</v>
      </c>
      <c r="B90" s="34" t="str">
        <f t="shared" si="20"/>
        <v>7-й год 11-й мес</v>
      </c>
      <c r="C90" s="35">
        <f t="shared" si="26"/>
        <v>43718</v>
      </c>
      <c r="D90" s="36">
        <f t="shared" si="16"/>
        <v>0</v>
      </c>
      <c r="E90" s="37">
        <f t="shared" si="21"/>
        <v>0</v>
      </c>
      <c r="F90" s="37">
        <f t="shared" si="27"/>
        <v>0</v>
      </c>
      <c r="G90" s="38">
        <f t="shared" si="22"/>
        <v>0</v>
      </c>
      <c r="H90" s="39">
        <f t="shared" si="17"/>
        <v>0</v>
      </c>
      <c r="I90" s="37">
        <f t="shared" si="28"/>
        <v>0</v>
      </c>
      <c r="J90" s="37">
        <f t="shared" si="23"/>
        <v>0</v>
      </c>
      <c r="K90" s="40">
        <f t="shared" si="24"/>
        <v>0</v>
      </c>
      <c r="L90" s="53"/>
      <c r="M90" s="54"/>
      <c r="N90" s="41">
        <f t="shared" si="18"/>
        <v>7</v>
      </c>
      <c r="O90" s="11">
        <f t="shared" si="25"/>
        <v>24</v>
      </c>
      <c r="P90" s="12">
        <f t="shared" si="19"/>
        <v>0</v>
      </c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x14ac:dyDescent="0.3">
      <c r="A91" s="33">
        <v>84</v>
      </c>
      <c r="B91" s="34" t="str">
        <f t="shared" si="20"/>
        <v>7-й год 12-й мес</v>
      </c>
      <c r="C91" s="35">
        <f t="shared" si="26"/>
        <v>43748</v>
      </c>
      <c r="D91" s="36">
        <f t="shared" si="16"/>
        <v>0</v>
      </c>
      <c r="E91" s="37">
        <f t="shared" si="21"/>
        <v>0</v>
      </c>
      <c r="F91" s="37">
        <f t="shared" si="27"/>
        <v>0</v>
      </c>
      <c r="G91" s="38">
        <f t="shared" si="22"/>
        <v>0</v>
      </c>
      <c r="H91" s="39">
        <f t="shared" si="17"/>
        <v>0</v>
      </c>
      <c r="I91" s="37">
        <f t="shared" si="28"/>
        <v>0</v>
      </c>
      <c r="J91" s="37">
        <f t="shared" si="23"/>
        <v>0</v>
      </c>
      <c r="K91" s="40">
        <f t="shared" si="24"/>
        <v>0</v>
      </c>
      <c r="L91" s="53"/>
      <c r="M91" s="54"/>
      <c r="N91" s="41">
        <f t="shared" si="18"/>
        <v>7</v>
      </c>
      <c r="O91" s="11">
        <f t="shared" si="25"/>
        <v>24</v>
      </c>
      <c r="P91" s="12">
        <f t="shared" si="19"/>
        <v>0</v>
      </c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x14ac:dyDescent="0.3">
      <c r="A92" s="42">
        <v>85</v>
      </c>
      <c r="B92" s="34" t="str">
        <f t="shared" si="20"/>
        <v>8-й год 1-й мес</v>
      </c>
      <c r="C92" s="35">
        <f t="shared" si="26"/>
        <v>43779</v>
      </c>
      <c r="D92" s="36">
        <f t="shared" si="16"/>
        <v>0</v>
      </c>
      <c r="E92" s="43">
        <f t="shared" si="21"/>
        <v>0</v>
      </c>
      <c r="F92" s="37">
        <f t="shared" si="27"/>
        <v>0</v>
      </c>
      <c r="G92" s="44">
        <f t="shared" si="22"/>
        <v>0</v>
      </c>
      <c r="H92" s="45">
        <f t="shared" si="17"/>
        <v>0</v>
      </c>
      <c r="I92" s="43">
        <f t="shared" si="28"/>
        <v>0</v>
      </c>
      <c r="J92" s="43">
        <f t="shared" si="23"/>
        <v>0</v>
      </c>
      <c r="K92" s="46">
        <f t="shared" si="24"/>
        <v>0</v>
      </c>
      <c r="L92" s="55"/>
      <c r="M92" s="54"/>
      <c r="N92" s="41">
        <f t="shared" si="18"/>
        <v>7</v>
      </c>
      <c r="O92" s="11">
        <f t="shared" si="25"/>
        <v>24</v>
      </c>
      <c r="P92" s="12">
        <f t="shared" si="19"/>
        <v>0</v>
      </c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x14ac:dyDescent="0.3">
      <c r="A93" s="47">
        <v>86</v>
      </c>
      <c r="B93" s="34" t="str">
        <f t="shared" si="20"/>
        <v>8-й год 2-й мес</v>
      </c>
      <c r="C93" s="35">
        <f t="shared" si="26"/>
        <v>43809</v>
      </c>
      <c r="D93" s="36">
        <f t="shared" si="16"/>
        <v>0</v>
      </c>
      <c r="E93" s="37">
        <f t="shared" si="21"/>
        <v>0</v>
      </c>
      <c r="F93" s="37">
        <f t="shared" si="27"/>
        <v>0</v>
      </c>
      <c r="G93" s="38">
        <f t="shared" si="22"/>
        <v>0</v>
      </c>
      <c r="H93" s="39">
        <f t="shared" si="17"/>
        <v>0</v>
      </c>
      <c r="I93" s="37">
        <f t="shared" si="28"/>
        <v>0</v>
      </c>
      <c r="J93" s="37">
        <f t="shared" si="23"/>
        <v>0</v>
      </c>
      <c r="K93" s="40">
        <f t="shared" si="24"/>
        <v>0</v>
      </c>
      <c r="L93" s="53"/>
      <c r="M93" s="54"/>
      <c r="N93" s="41">
        <f t="shared" si="18"/>
        <v>7</v>
      </c>
      <c r="O93" s="11">
        <f t="shared" si="25"/>
        <v>24</v>
      </c>
      <c r="P93" s="12">
        <f t="shared" si="19"/>
        <v>0</v>
      </c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x14ac:dyDescent="0.3">
      <c r="A94" s="47">
        <v>87</v>
      </c>
      <c r="B94" s="34" t="str">
        <f t="shared" si="20"/>
        <v>8-й год 3-й мес</v>
      </c>
      <c r="C94" s="35">
        <f t="shared" si="26"/>
        <v>43840</v>
      </c>
      <c r="D94" s="36">
        <f t="shared" si="16"/>
        <v>0</v>
      </c>
      <c r="E94" s="37">
        <f t="shared" si="21"/>
        <v>0</v>
      </c>
      <c r="F94" s="37">
        <f t="shared" si="27"/>
        <v>0</v>
      </c>
      <c r="G94" s="38">
        <f t="shared" si="22"/>
        <v>0</v>
      </c>
      <c r="H94" s="39">
        <f t="shared" si="17"/>
        <v>0</v>
      </c>
      <c r="I94" s="37">
        <f t="shared" si="28"/>
        <v>0</v>
      </c>
      <c r="J94" s="37">
        <f t="shared" si="23"/>
        <v>0</v>
      </c>
      <c r="K94" s="40">
        <f t="shared" si="24"/>
        <v>0</v>
      </c>
      <c r="L94" s="53"/>
      <c r="M94" s="54"/>
      <c r="N94" s="41">
        <f t="shared" si="18"/>
        <v>7</v>
      </c>
      <c r="O94" s="11">
        <f t="shared" si="25"/>
        <v>24</v>
      </c>
      <c r="P94" s="12">
        <f t="shared" si="19"/>
        <v>0</v>
      </c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x14ac:dyDescent="0.3">
      <c r="A95" s="47">
        <v>88</v>
      </c>
      <c r="B95" s="34" t="str">
        <f t="shared" si="20"/>
        <v>8-й год 4-й мес</v>
      </c>
      <c r="C95" s="35">
        <f t="shared" si="26"/>
        <v>43871</v>
      </c>
      <c r="D95" s="36">
        <f t="shared" si="16"/>
        <v>0</v>
      </c>
      <c r="E95" s="37">
        <f t="shared" si="21"/>
        <v>0</v>
      </c>
      <c r="F95" s="37">
        <f t="shared" si="27"/>
        <v>0</v>
      </c>
      <c r="G95" s="38">
        <f t="shared" si="22"/>
        <v>0</v>
      </c>
      <c r="H95" s="39">
        <f t="shared" si="17"/>
        <v>0</v>
      </c>
      <c r="I95" s="37">
        <f t="shared" si="28"/>
        <v>0</v>
      </c>
      <c r="J95" s="37">
        <f t="shared" si="23"/>
        <v>0</v>
      </c>
      <c r="K95" s="40">
        <f t="shared" si="24"/>
        <v>0</v>
      </c>
      <c r="L95" s="53"/>
      <c r="M95" s="54"/>
      <c r="N95" s="41">
        <f t="shared" si="18"/>
        <v>7</v>
      </c>
      <c r="O95" s="11">
        <f t="shared" si="25"/>
        <v>24</v>
      </c>
      <c r="P95" s="12">
        <f t="shared" si="19"/>
        <v>0</v>
      </c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x14ac:dyDescent="0.3">
      <c r="A96" s="47">
        <v>89</v>
      </c>
      <c r="B96" s="34" t="str">
        <f t="shared" si="20"/>
        <v>8-й год 5-й мес</v>
      </c>
      <c r="C96" s="35">
        <f t="shared" si="26"/>
        <v>43900</v>
      </c>
      <c r="D96" s="36">
        <f t="shared" si="16"/>
        <v>0</v>
      </c>
      <c r="E96" s="37">
        <f t="shared" si="21"/>
        <v>0</v>
      </c>
      <c r="F96" s="37">
        <f t="shared" si="27"/>
        <v>0</v>
      </c>
      <c r="G96" s="38">
        <f t="shared" si="22"/>
        <v>0</v>
      </c>
      <c r="H96" s="39">
        <f t="shared" si="17"/>
        <v>0</v>
      </c>
      <c r="I96" s="37">
        <f t="shared" si="28"/>
        <v>0</v>
      </c>
      <c r="J96" s="37">
        <f t="shared" si="23"/>
        <v>0</v>
      </c>
      <c r="K96" s="40">
        <f t="shared" si="24"/>
        <v>0</v>
      </c>
      <c r="L96" s="53"/>
      <c r="M96" s="54"/>
      <c r="N96" s="41">
        <f t="shared" si="18"/>
        <v>7</v>
      </c>
      <c r="O96" s="11">
        <f t="shared" si="25"/>
        <v>24</v>
      </c>
      <c r="P96" s="12">
        <f t="shared" si="19"/>
        <v>0</v>
      </c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x14ac:dyDescent="0.3">
      <c r="A97" s="47">
        <v>90</v>
      </c>
      <c r="B97" s="34" t="str">
        <f t="shared" si="20"/>
        <v>8-й год 6-й мес</v>
      </c>
      <c r="C97" s="35">
        <f t="shared" si="26"/>
        <v>43931</v>
      </c>
      <c r="D97" s="36">
        <f t="shared" si="16"/>
        <v>0</v>
      </c>
      <c r="E97" s="37">
        <f t="shared" si="21"/>
        <v>0</v>
      </c>
      <c r="F97" s="37">
        <f t="shared" si="27"/>
        <v>0</v>
      </c>
      <c r="G97" s="38">
        <f t="shared" si="22"/>
        <v>0</v>
      </c>
      <c r="H97" s="39">
        <f t="shared" si="17"/>
        <v>0</v>
      </c>
      <c r="I97" s="37">
        <f t="shared" si="28"/>
        <v>0</v>
      </c>
      <c r="J97" s="37">
        <f t="shared" si="23"/>
        <v>0</v>
      </c>
      <c r="K97" s="40">
        <f t="shared" si="24"/>
        <v>0</v>
      </c>
      <c r="L97" s="53"/>
      <c r="M97" s="54"/>
      <c r="N97" s="41">
        <f t="shared" si="18"/>
        <v>7</v>
      </c>
      <c r="O97" s="11">
        <f t="shared" si="25"/>
        <v>24</v>
      </c>
      <c r="P97" s="12">
        <f t="shared" si="19"/>
        <v>0</v>
      </c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x14ac:dyDescent="0.3">
      <c r="A98" s="47">
        <v>91</v>
      </c>
      <c r="B98" s="34" t="str">
        <f t="shared" si="20"/>
        <v>8-й год 7-й мес</v>
      </c>
      <c r="C98" s="35">
        <f t="shared" si="26"/>
        <v>43961</v>
      </c>
      <c r="D98" s="36">
        <f t="shared" si="16"/>
        <v>0</v>
      </c>
      <c r="E98" s="37">
        <f t="shared" si="21"/>
        <v>0</v>
      </c>
      <c r="F98" s="37">
        <f t="shared" si="27"/>
        <v>0</v>
      </c>
      <c r="G98" s="38">
        <f t="shared" si="22"/>
        <v>0</v>
      </c>
      <c r="H98" s="39">
        <f t="shared" si="17"/>
        <v>0</v>
      </c>
      <c r="I98" s="37">
        <f t="shared" si="28"/>
        <v>0</v>
      </c>
      <c r="J98" s="37">
        <f t="shared" si="23"/>
        <v>0</v>
      </c>
      <c r="K98" s="40">
        <f t="shared" si="24"/>
        <v>0</v>
      </c>
      <c r="L98" s="53"/>
      <c r="M98" s="54"/>
      <c r="N98" s="41">
        <f t="shared" si="18"/>
        <v>7</v>
      </c>
      <c r="O98" s="11">
        <f t="shared" si="25"/>
        <v>24</v>
      </c>
      <c r="P98" s="12">
        <f t="shared" si="19"/>
        <v>0</v>
      </c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x14ac:dyDescent="0.3">
      <c r="A99" s="47">
        <v>92</v>
      </c>
      <c r="B99" s="34" t="str">
        <f t="shared" si="20"/>
        <v>8-й год 8-й мес</v>
      </c>
      <c r="C99" s="35">
        <f t="shared" si="26"/>
        <v>43992</v>
      </c>
      <c r="D99" s="36">
        <f t="shared" si="16"/>
        <v>0</v>
      </c>
      <c r="E99" s="37">
        <f t="shared" si="21"/>
        <v>0</v>
      </c>
      <c r="F99" s="37">
        <f t="shared" si="27"/>
        <v>0</v>
      </c>
      <c r="G99" s="38">
        <f t="shared" si="22"/>
        <v>0</v>
      </c>
      <c r="H99" s="39">
        <f t="shared" si="17"/>
        <v>0</v>
      </c>
      <c r="I99" s="37">
        <f t="shared" si="28"/>
        <v>0</v>
      </c>
      <c r="J99" s="37">
        <f t="shared" si="23"/>
        <v>0</v>
      </c>
      <c r="K99" s="40">
        <f t="shared" si="24"/>
        <v>0</v>
      </c>
      <c r="L99" s="53"/>
      <c r="M99" s="54"/>
      <c r="N99" s="41">
        <f t="shared" si="18"/>
        <v>7</v>
      </c>
      <c r="O99" s="11">
        <f t="shared" si="25"/>
        <v>24</v>
      </c>
      <c r="P99" s="12">
        <f t="shared" si="19"/>
        <v>0</v>
      </c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x14ac:dyDescent="0.3">
      <c r="A100" s="47">
        <v>93</v>
      </c>
      <c r="B100" s="34" t="str">
        <f t="shared" si="20"/>
        <v>8-й год 9-й мес</v>
      </c>
      <c r="C100" s="35">
        <f t="shared" si="26"/>
        <v>44022</v>
      </c>
      <c r="D100" s="36">
        <f t="shared" si="16"/>
        <v>0</v>
      </c>
      <c r="E100" s="37">
        <f t="shared" si="21"/>
        <v>0</v>
      </c>
      <c r="F100" s="37">
        <f t="shared" si="27"/>
        <v>0</v>
      </c>
      <c r="G100" s="38">
        <f t="shared" si="22"/>
        <v>0</v>
      </c>
      <c r="H100" s="39">
        <f t="shared" si="17"/>
        <v>0</v>
      </c>
      <c r="I100" s="37">
        <f t="shared" si="28"/>
        <v>0</v>
      </c>
      <c r="J100" s="37">
        <f t="shared" si="23"/>
        <v>0</v>
      </c>
      <c r="K100" s="40">
        <f t="shared" si="24"/>
        <v>0</v>
      </c>
      <c r="L100" s="53"/>
      <c r="M100" s="54"/>
      <c r="N100" s="41">
        <f t="shared" si="18"/>
        <v>7</v>
      </c>
      <c r="O100" s="11">
        <f t="shared" si="25"/>
        <v>24</v>
      </c>
      <c r="P100" s="12">
        <f t="shared" si="19"/>
        <v>0</v>
      </c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x14ac:dyDescent="0.3">
      <c r="A101" s="47">
        <v>94</v>
      </c>
      <c r="B101" s="34" t="str">
        <f t="shared" si="20"/>
        <v>8-й год 10-й мес</v>
      </c>
      <c r="C101" s="35">
        <f t="shared" si="26"/>
        <v>44053</v>
      </c>
      <c r="D101" s="36">
        <f t="shared" si="16"/>
        <v>0</v>
      </c>
      <c r="E101" s="37">
        <f t="shared" si="21"/>
        <v>0</v>
      </c>
      <c r="F101" s="37">
        <f t="shared" si="27"/>
        <v>0</v>
      </c>
      <c r="G101" s="38">
        <f t="shared" si="22"/>
        <v>0</v>
      </c>
      <c r="H101" s="39">
        <f t="shared" si="17"/>
        <v>0</v>
      </c>
      <c r="I101" s="37">
        <f t="shared" si="28"/>
        <v>0</v>
      </c>
      <c r="J101" s="37">
        <f t="shared" si="23"/>
        <v>0</v>
      </c>
      <c r="K101" s="40">
        <f t="shared" si="24"/>
        <v>0</v>
      </c>
      <c r="L101" s="53"/>
      <c r="M101" s="54"/>
      <c r="N101" s="41">
        <f t="shared" si="18"/>
        <v>7</v>
      </c>
      <c r="O101" s="11">
        <f t="shared" si="25"/>
        <v>24</v>
      </c>
      <c r="P101" s="12">
        <f t="shared" si="19"/>
        <v>0</v>
      </c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x14ac:dyDescent="0.3">
      <c r="A102" s="47">
        <v>95</v>
      </c>
      <c r="B102" s="34" t="str">
        <f t="shared" si="20"/>
        <v>8-й год 11-й мес</v>
      </c>
      <c r="C102" s="35">
        <f t="shared" si="26"/>
        <v>44084</v>
      </c>
      <c r="D102" s="36">
        <f t="shared" si="16"/>
        <v>0</v>
      </c>
      <c r="E102" s="37">
        <f t="shared" si="21"/>
        <v>0</v>
      </c>
      <c r="F102" s="37">
        <f t="shared" si="27"/>
        <v>0</v>
      </c>
      <c r="G102" s="38">
        <f t="shared" si="22"/>
        <v>0</v>
      </c>
      <c r="H102" s="39">
        <f t="shared" si="17"/>
        <v>0</v>
      </c>
      <c r="I102" s="37">
        <f t="shared" si="28"/>
        <v>0</v>
      </c>
      <c r="J102" s="37">
        <f t="shared" si="23"/>
        <v>0</v>
      </c>
      <c r="K102" s="40">
        <f t="shared" si="24"/>
        <v>0</v>
      </c>
      <c r="L102" s="53"/>
      <c r="M102" s="54"/>
      <c r="N102" s="41">
        <f t="shared" si="18"/>
        <v>7</v>
      </c>
      <c r="O102" s="11">
        <f t="shared" si="25"/>
        <v>24</v>
      </c>
      <c r="P102" s="12">
        <f t="shared" si="19"/>
        <v>0</v>
      </c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x14ac:dyDescent="0.3">
      <c r="A103" s="48">
        <v>96</v>
      </c>
      <c r="B103" s="34" t="str">
        <f t="shared" si="20"/>
        <v>8-й год 12-й мес</v>
      </c>
      <c r="C103" s="35">
        <f t="shared" si="26"/>
        <v>44114</v>
      </c>
      <c r="D103" s="36">
        <f t="shared" si="16"/>
        <v>0</v>
      </c>
      <c r="E103" s="49">
        <f t="shared" si="21"/>
        <v>0</v>
      </c>
      <c r="F103" s="37">
        <f t="shared" si="27"/>
        <v>0</v>
      </c>
      <c r="G103" s="50">
        <f t="shared" si="22"/>
        <v>0</v>
      </c>
      <c r="H103" s="51">
        <f t="shared" si="17"/>
        <v>0</v>
      </c>
      <c r="I103" s="49">
        <f t="shared" si="28"/>
        <v>0</v>
      </c>
      <c r="J103" s="49">
        <f t="shared" si="23"/>
        <v>0</v>
      </c>
      <c r="K103" s="52">
        <f t="shared" si="24"/>
        <v>0</v>
      </c>
      <c r="L103" s="56"/>
      <c r="M103" s="54"/>
      <c r="N103" s="41">
        <f t="shared" si="18"/>
        <v>7</v>
      </c>
      <c r="O103" s="11">
        <f t="shared" si="25"/>
        <v>24</v>
      </c>
      <c r="P103" s="12">
        <f t="shared" si="19"/>
        <v>0</v>
      </c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x14ac:dyDescent="0.3">
      <c r="A104" s="33">
        <v>97</v>
      </c>
      <c r="B104" s="34" t="str">
        <f t="shared" si="20"/>
        <v>9-й год 1-й мес</v>
      </c>
      <c r="C104" s="35">
        <f t="shared" si="26"/>
        <v>44145</v>
      </c>
      <c r="D104" s="36">
        <f t="shared" si="16"/>
        <v>0</v>
      </c>
      <c r="E104" s="37">
        <f t="shared" si="21"/>
        <v>0</v>
      </c>
      <c r="F104" s="37">
        <f t="shared" si="27"/>
        <v>0</v>
      </c>
      <c r="G104" s="38">
        <f t="shared" si="22"/>
        <v>0</v>
      </c>
      <c r="H104" s="39">
        <f t="shared" si="17"/>
        <v>0</v>
      </c>
      <c r="I104" s="37">
        <f t="shared" si="28"/>
        <v>0</v>
      </c>
      <c r="J104" s="37">
        <f t="shared" si="23"/>
        <v>0</v>
      </c>
      <c r="K104" s="40">
        <f t="shared" si="24"/>
        <v>0</v>
      </c>
      <c r="L104" s="53"/>
      <c r="M104" s="54"/>
      <c r="N104" s="41">
        <f t="shared" si="18"/>
        <v>7</v>
      </c>
      <c r="O104" s="11">
        <f t="shared" si="25"/>
        <v>24</v>
      </c>
      <c r="P104" s="12">
        <f t="shared" si="19"/>
        <v>0</v>
      </c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x14ac:dyDescent="0.3">
      <c r="A105" s="33">
        <v>98</v>
      </c>
      <c r="B105" s="34" t="str">
        <f t="shared" si="20"/>
        <v>9-й год 2-й мес</v>
      </c>
      <c r="C105" s="35">
        <f t="shared" si="26"/>
        <v>44175</v>
      </c>
      <c r="D105" s="36">
        <f t="shared" si="16"/>
        <v>0</v>
      </c>
      <c r="E105" s="37">
        <f t="shared" si="21"/>
        <v>0</v>
      </c>
      <c r="F105" s="37">
        <f t="shared" si="27"/>
        <v>0</v>
      </c>
      <c r="G105" s="38">
        <f t="shared" si="22"/>
        <v>0</v>
      </c>
      <c r="H105" s="39">
        <f t="shared" si="17"/>
        <v>0</v>
      </c>
      <c r="I105" s="37">
        <f t="shared" si="28"/>
        <v>0</v>
      </c>
      <c r="J105" s="37">
        <f t="shared" si="23"/>
        <v>0</v>
      </c>
      <c r="K105" s="40">
        <f t="shared" si="24"/>
        <v>0</v>
      </c>
      <c r="L105" s="53"/>
      <c r="M105" s="54"/>
      <c r="N105" s="41">
        <f t="shared" si="18"/>
        <v>7</v>
      </c>
      <c r="O105" s="11">
        <f t="shared" si="25"/>
        <v>24</v>
      </c>
      <c r="P105" s="12">
        <f t="shared" si="19"/>
        <v>0</v>
      </c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x14ac:dyDescent="0.3">
      <c r="A106" s="33">
        <v>99</v>
      </c>
      <c r="B106" s="34" t="str">
        <f t="shared" si="20"/>
        <v>9-й год 3-й мес</v>
      </c>
      <c r="C106" s="35">
        <f t="shared" si="26"/>
        <v>44206</v>
      </c>
      <c r="D106" s="36">
        <f t="shared" si="16"/>
        <v>0</v>
      </c>
      <c r="E106" s="37">
        <f t="shared" si="21"/>
        <v>0</v>
      </c>
      <c r="F106" s="37">
        <f t="shared" si="27"/>
        <v>0</v>
      </c>
      <c r="G106" s="38">
        <f t="shared" si="22"/>
        <v>0</v>
      </c>
      <c r="H106" s="39">
        <f t="shared" si="17"/>
        <v>0</v>
      </c>
      <c r="I106" s="37">
        <f t="shared" si="28"/>
        <v>0</v>
      </c>
      <c r="J106" s="37">
        <f t="shared" si="23"/>
        <v>0</v>
      </c>
      <c r="K106" s="40">
        <f t="shared" si="24"/>
        <v>0</v>
      </c>
      <c r="L106" s="53"/>
      <c r="M106" s="54"/>
      <c r="N106" s="41">
        <f t="shared" si="18"/>
        <v>7</v>
      </c>
      <c r="O106" s="11">
        <f t="shared" si="25"/>
        <v>24</v>
      </c>
      <c r="P106" s="12">
        <f t="shared" si="19"/>
        <v>0</v>
      </c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x14ac:dyDescent="0.3">
      <c r="A107" s="33">
        <v>100</v>
      </c>
      <c r="B107" s="34" t="str">
        <f t="shared" si="20"/>
        <v>9-й год 4-й мес</v>
      </c>
      <c r="C107" s="35">
        <f t="shared" si="26"/>
        <v>44237</v>
      </c>
      <c r="D107" s="36">
        <f t="shared" si="16"/>
        <v>0</v>
      </c>
      <c r="E107" s="37">
        <f t="shared" si="21"/>
        <v>0</v>
      </c>
      <c r="F107" s="37">
        <f t="shared" si="27"/>
        <v>0</v>
      </c>
      <c r="G107" s="38">
        <f t="shared" si="22"/>
        <v>0</v>
      </c>
      <c r="H107" s="39">
        <f t="shared" si="17"/>
        <v>0</v>
      </c>
      <c r="I107" s="37">
        <f t="shared" si="28"/>
        <v>0</v>
      </c>
      <c r="J107" s="37">
        <f t="shared" si="23"/>
        <v>0</v>
      </c>
      <c r="K107" s="40">
        <f t="shared" si="24"/>
        <v>0</v>
      </c>
      <c r="L107" s="53"/>
      <c r="M107" s="54"/>
      <c r="N107" s="41">
        <f t="shared" si="18"/>
        <v>7</v>
      </c>
      <c r="O107" s="11">
        <f t="shared" si="25"/>
        <v>24</v>
      </c>
      <c r="P107" s="12">
        <f t="shared" si="19"/>
        <v>0</v>
      </c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x14ac:dyDescent="0.3">
      <c r="A108" s="33">
        <v>101</v>
      </c>
      <c r="B108" s="34" t="str">
        <f t="shared" si="20"/>
        <v>9-й год 5-й мес</v>
      </c>
      <c r="C108" s="35">
        <f t="shared" si="26"/>
        <v>44265</v>
      </c>
      <c r="D108" s="36">
        <f t="shared" si="16"/>
        <v>0</v>
      </c>
      <c r="E108" s="37">
        <f t="shared" si="21"/>
        <v>0</v>
      </c>
      <c r="F108" s="37">
        <f t="shared" si="27"/>
        <v>0</v>
      </c>
      <c r="G108" s="38">
        <f t="shared" si="22"/>
        <v>0</v>
      </c>
      <c r="H108" s="39">
        <f t="shared" si="17"/>
        <v>0</v>
      </c>
      <c r="I108" s="37">
        <f t="shared" si="28"/>
        <v>0</v>
      </c>
      <c r="J108" s="37">
        <f t="shared" si="23"/>
        <v>0</v>
      </c>
      <c r="K108" s="40">
        <f t="shared" si="24"/>
        <v>0</v>
      </c>
      <c r="L108" s="53"/>
      <c r="M108" s="54"/>
      <c r="N108" s="41">
        <f t="shared" si="18"/>
        <v>7</v>
      </c>
      <c r="O108" s="11">
        <f t="shared" si="25"/>
        <v>24</v>
      </c>
      <c r="P108" s="12">
        <f t="shared" si="19"/>
        <v>0</v>
      </c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x14ac:dyDescent="0.3">
      <c r="A109" s="33">
        <v>102</v>
      </c>
      <c r="B109" s="34" t="str">
        <f t="shared" si="20"/>
        <v>9-й год 6-й мес</v>
      </c>
      <c r="C109" s="35">
        <f t="shared" si="26"/>
        <v>44296</v>
      </c>
      <c r="D109" s="36">
        <f t="shared" si="16"/>
        <v>0</v>
      </c>
      <c r="E109" s="37">
        <f t="shared" si="21"/>
        <v>0</v>
      </c>
      <c r="F109" s="37">
        <f t="shared" si="27"/>
        <v>0</v>
      </c>
      <c r="G109" s="38">
        <f t="shared" si="22"/>
        <v>0</v>
      </c>
      <c r="H109" s="39">
        <f t="shared" si="17"/>
        <v>0</v>
      </c>
      <c r="I109" s="37">
        <f t="shared" si="28"/>
        <v>0</v>
      </c>
      <c r="J109" s="37">
        <f t="shared" si="23"/>
        <v>0</v>
      </c>
      <c r="K109" s="40">
        <f t="shared" si="24"/>
        <v>0</v>
      </c>
      <c r="L109" s="53"/>
      <c r="M109" s="54"/>
      <c r="N109" s="41">
        <f t="shared" si="18"/>
        <v>7</v>
      </c>
      <c r="O109" s="11">
        <f t="shared" si="25"/>
        <v>24</v>
      </c>
      <c r="P109" s="12">
        <f t="shared" si="19"/>
        <v>0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x14ac:dyDescent="0.3">
      <c r="A110" s="33">
        <v>103</v>
      </c>
      <c r="B110" s="34" t="str">
        <f t="shared" si="20"/>
        <v>9-й год 7-й мес</v>
      </c>
      <c r="C110" s="35">
        <f t="shared" si="26"/>
        <v>44326</v>
      </c>
      <c r="D110" s="36">
        <f t="shared" si="16"/>
        <v>0</v>
      </c>
      <c r="E110" s="37">
        <f t="shared" si="21"/>
        <v>0</v>
      </c>
      <c r="F110" s="37">
        <f t="shared" si="27"/>
        <v>0</v>
      </c>
      <c r="G110" s="38">
        <f t="shared" si="22"/>
        <v>0</v>
      </c>
      <c r="H110" s="39">
        <f t="shared" si="17"/>
        <v>0</v>
      </c>
      <c r="I110" s="37">
        <f t="shared" si="28"/>
        <v>0</v>
      </c>
      <c r="J110" s="37">
        <f t="shared" si="23"/>
        <v>0</v>
      </c>
      <c r="K110" s="40">
        <f t="shared" si="24"/>
        <v>0</v>
      </c>
      <c r="L110" s="53"/>
      <c r="M110" s="54"/>
      <c r="N110" s="41">
        <f t="shared" si="18"/>
        <v>7</v>
      </c>
      <c r="O110" s="11">
        <f t="shared" si="25"/>
        <v>24</v>
      </c>
      <c r="P110" s="12">
        <f t="shared" si="19"/>
        <v>0</v>
      </c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x14ac:dyDescent="0.3">
      <c r="A111" s="33">
        <v>104</v>
      </c>
      <c r="B111" s="34" t="str">
        <f t="shared" si="20"/>
        <v>9-й год 8-й мес</v>
      </c>
      <c r="C111" s="35">
        <f t="shared" si="26"/>
        <v>44357</v>
      </c>
      <c r="D111" s="36">
        <f t="shared" si="16"/>
        <v>0</v>
      </c>
      <c r="E111" s="37">
        <f t="shared" si="21"/>
        <v>0</v>
      </c>
      <c r="F111" s="37">
        <f t="shared" si="27"/>
        <v>0</v>
      </c>
      <c r="G111" s="38">
        <f t="shared" si="22"/>
        <v>0</v>
      </c>
      <c r="H111" s="39">
        <f t="shared" si="17"/>
        <v>0</v>
      </c>
      <c r="I111" s="37">
        <f t="shared" si="28"/>
        <v>0</v>
      </c>
      <c r="J111" s="37">
        <f t="shared" si="23"/>
        <v>0</v>
      </c>
      <c r="K111" s="40">
        <f t="shared" si="24"/>
        <v>0</v>
      </c>
      <c r="L111" s="53"/>
      <c r="M111" s="54"/>
      <c r="N111" s="41">
        <f t="shared" si="18"/>
        <v>7</v>
      </c>
      <c r="O111" s="11">
        <f t="shared" si="25"/>
        <v>24</v>
      </c>
      <c r="P111" s="12">
        <f t="shared" si="19"/>
        <v>0</v>
      </c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x14ac:dyDescent="0.3">
      <c r="A112" s="33">
        <v>105</v>
      </c>
      <c r="B112" s="34" t="str">
        <f t="shared" si="20"/>
        <v>9-й год 9-й мес</v>
      </c>
      <c r="C112" s="35">
        <f t="shared" si="26"/>
        <v>44387</v>
      </c>
      <c r="D112" s="36">
        <f t="shared" si="16"/>
        <v>0</v>
      </c>
      <c r="E112" s="37">
        <f t="shared" si="21"/>
        <v>0</v>
      </c>
      <c r="F112" s="37">
        <f t="shared" si="27"/>
        <v>0</v>
      </c>
      <c r="G112" s="38">
        <f t="shared" si="22"/>
        <v>0</v>
      </c>
      <c r="H112" s="39">
        <f t="shared" si="17"/>
        <v>0</v>
      </c>
      <c r="I112" s="37">
        <f t="shared" si="28"/>
        <v>0</v>
      </c>
      <c r="J112" s="37">
        <f t="shared" si="23"/>
        <v>0</v>
      </c>
      <c r="K112" s="40">
        <f t="shared" si="24"/>
        <v>0</v>
      </c>
      <c r="L112" s="53"/>
      <c r="M112" s="54"/>
      <c r="N112" s="41">
        <f t="shared" si="18"/>
        <v>7</v>
      </c>
      <c r="O112" s="11">
        <f t="shared" si="25"/>
        <v>24</v>
      </c>
      <c r="P112" s="12">
        <f t="shared" si="19"/>
        <v>0</v>
      </c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x14ac:dyDescent="0.3">
      <c r="A113" s="33">
        <v>106</v>
      </c>
      <c r="B113" s="34" t="str">
        <f t="shared" si="20"/>
        <v>9-й год 10-й мес</v>
      </c>
      <c r="C113" s="35">
        <f t="shared" si="26"/>
        <v>44418</v>
      </c>
      <c r="D113" s="36">
        <f t="shared" si="16"/>
        <v>0</v>
      </c>
      <c r="E113" s="37">
        <f t="shared" si="21"/>
        <v>0</v>
      </c>
      <c r="F113" s="37">
        <f t="shared" si="27"/>
        <v>0</v>
      </c>
      <c r="G113" s="38">
        <f t="shared" si="22"/>
        <v>0</v>
      </c>
      <c r="H113" s="39">
        <f t="shared" si="17"/>
        <v>0</v>
      </c>
      <c r="I113" s="37">
        <f t="shared" si="28"/>
        <v>0</v>
      </c>
      <c r="J113" s="37">
        <f t="shared" si="23"/>
        <v>0</v>
      </c>
      <c r="K113" s="40">
        <f t="shared" si="24"/>
        <v>0</v>
      </c>
      <c r="L113" s="53"/>
      <c r="M113" s="54"/>
      <c r="N113" s="41">
        <f t="shared" si="18"/>
        <v>7</v>
      </c>
      <c r="O113" s="11">
        <f t="shared" si="25"/>
        <v>24</v>
      </c>
      <c r="P113" s="12">
        <f t="shared" si="19"/>
        <v>0</v>
      </c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x14ac:dyDescent="0.3">
      <c r="A114" s="33">
        <v>107</v>
      </c>
      <c r="B114" s="34" t="str">
        <f t="shared" si="20"/>
        <v>9-й год 11-й мес</v>
      </c>
      <c r="C114" s="35">
        <f t="shared" si="26"/>
        <v>44449</v>
      </c>
      <c r="D114" s="36">
        <f t="shared" si="16"/>
        <v>0</v>
      </c>
      <c r="E114" s="37">
        <f t="shared" si="21"/>
        <v>0</v>
      </c>
      <c r="F114" s="37">
        <f t="shared" si="27"/>
        <v>0</v>
      </c>
      <c r="G114" s="38">
        <f t="shared" si="22"/>
        <v>0</v>
      </c>
      <c r="H114" s="39">
        <f t="shared" si="17"/>
        <v>0</v>
      </c>
      <c r="I114" s="37">
        <f t="shared" si="28"/>
        <v>0</v>
      </c>
      <c r="J114" s="37">
        <f t="shared" si="23"/>
        <v>0</v>
      </c>
      <c r="K114" s="40">
        <f t="shared" si="24"/>
        <v>0</v>
      </c>
      <c r="L114" s="53"/>
      <c r="M114" s="54"/>
      <c r="N114" s="41">
        <f t="shared" si="18"/>
        <v>7</v>
      </c>
      <c r="O114" s="11">
        <f t="shared" si="25"/>
        <v>24</v>
      </c>
      <c r="P114" s="12">
        <f t="shared" si="19"/>
        <v>0</v>
      </c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x14ac:dyDescent="0.3">
      <c r="A115" s="33">
        <v>108</v>
      </c>
      <c r="B115" s="34" t="str">
        <f t="shared" si="20"/>
        <v>9-й год 12-й мес</v>
      </c>
      <c r="C115" s="35">
        <f t="shared" si="26"/>
        <v>44479</v>
      </c>
      <c r="D115" s="36">
        <f t="shared" si="16"/>
        <v>0</v>
      </c>
      <c r="E115" s="37">
        <f t="shared" si="21"/>
        <v>0</v>
      </c>
      <c r="F115" s="37">
        <f t="shared" si="27"/>
        <v>0</v>
      </c>
      <c r="G115" s="38">
        <f t="shared" si="22"/>
        <v>0</v>
      </c>
      <c r="H115" s="39">
        <f t="shared" si="17"/>
        <v>0</v>
      </c>
      <c r="I115" s="37">
        <f t="shared" si="28"/>
        <v>0</v>
      </c>
      <c r="J115" s="37">
        <f t="shared" si="23"/>
        <v>0</v>
      </c>
      <c r="K115" s="40">
        <f t="shared" si="24"/>
        <v>0</v>
      </c>
      <c r="L115" s="53"/>
      <c r="M115" s="54"/>
      <c r="N115" s="41">
        <f t="shared" si="18"/>
        <v>7</v>
      </c>
      <c r="O115" s="11">
        <f t="shared" si="25"/>
        <v>24</v>
      </c>
      <c r="P115" s="12">
        <f t="shared" si="19"/>
        <v>0</v>
      </c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x14ac:dyDescent="0.3">
      <c r="A116" s="42">
        <v>109</v>
      </c>
      <c r="B116" s="34" t="str">
        <f t="shared" si="20"/>
        <v>10-й год 1-й мес</v>
      </c>
      <c r="C116" s="35">
        <f t="shared" si="26"/>
        <v>44510</v>
      </c>
      <c r="D116" s="36">
        <f t="shared" si="16"/>
        <v>0</v>
      </c>
      <c r="E116" s="43">
        <f t="shared" si="21"/>
        <v>0</v>
      </c>
      <c r="F116" s="37">
        <f t="shared" si="27"/>
        <v>0</v>
      </c>
      <c r="G116" s="44">
        <f t="shared" si="22"/>
        <v>0</v>
      </c>
      <c r="H116" s="45">
        <f t="shared" si="17"/>
        <v>0</v>
      </c>
      <c r="I116" s="43">
        <f t="shared" si="28"/>
        <v>0</v>
      </c>
      <c r="J116" s="43">
        <f t="shared" si="23"/>
        <v>0</v>
      </c>
      <c r="K116" s="46">
        <f t="shared" si="24"/>
        <v>0</v>
      </c>
      <c r="L116" s="55"/>
      <c r="M116" s="54"/>
      <c r="N116" s="41">
        <f t="shared" si="18"/>
        <v>7</v>
      </c>
      <c r="O116" s="11">
        <f t="shared" si="25"/>
        <v>24</v>
      </c>
      <c r="P116" s="12">
        <f t="shared" si="19"/>
        <v>0</v>
      </c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x14ac:dyDescent="0.3">
      <c r="A117" s="47">
        <v>110</v>
      </c>
      <c r="B117" s="34" t="str">
        <f t="shared" si="20"/>
        <v>10-й год 2-й мес</v>
      </c>
      <c r="C117" s="35">
        <f t="shared" si="26"/>
        <v>44540</v>
      </c>
      <c r="D117" s="36">
        <f t="shared" si="16"/>
        <v>0</v>
      </c>
      <c r="E117" s="37">
        <f t="shared" si="21"/>
        <v>0</v>
      </c>
      <c r="F117" s="37">
        <f t="shared" si="27"/>
        <v>0</v>
      </c>
      <c r="G117" s="38">
        <f t="shared" si="22"/>
        <v>0</v>
      </c>
      <c r="H117" s="39">
        <f t="shared" si="17"/>
        <v>0</v>
      </c>
      <c r="I117" s="37">
        <f t="shared" si="28"/>
        <v>0</v>
      </c>
      <c r="J117" s="37">
        <f t="shared" si="23"/>
        <v>0</v>
      </c>
      <c r="K117" s="40">
        <f t="shared" si="24"/>
        <v>0</v>
      </c>
      <c r="L117" s="53"/>
      <c r="M117" s="54"/>
      <c r="N117" s="41">
        <f t="shared" si="18"/>
        <v>7</v>
      </c>
      <c r="O117" s="11">
        <f t="shared" si="25"/>
        <v>24</v>
      </c>
      <c r="P117" s="12">
        <f t="shared" si="19"/>
        <v>0</v>
      </c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x14ac:dyDescent="0.3">
      <c r="A118" s="47">
        <v>111</v>
      </c>
      <c r="B118" s="34" t="str">
        <f t="shared" si="20"/>
        <v>10-й год 3-й мес</v>
      </c>
      <c r="C118" s="35">
        <f t="shared" si="26"/>
        <v>44571</v>
      </c>
      <c r="D118" s="36">
        <f t="shared" si="16"/>
        <v>0</v>
      </c>
      <c r="E118" s="37">
        <f t="shared" si="21"/>
        <v>0</v>
      </c>
      <c r="F118" s="37">
        <f t="shared" si="27"/>
        <v>0</v>
      </c>
      <c r="G118" s="38">
        <f t="shared" si="22"/>
        <v>0</v>
      </c>
      <c r="H118" s="39">
        <f t="shared" si="17"/>
        <v>0</v>
      </c>
      <c r="I118" s="37">
        <f t="shared" si="28"/>
        <v>0</v>
      </c>
      <c r="J118" s="37">
        <f t="shared" si="23"/>
        <v>0</v>
      </c>
      <c r="K118" s="40">
        <f t="shared" si="24"/>
        <v>0</v>
      </c>
      <c r="L118" s="53"/>
      <c r="M118" s="54"/>
      <c r="N118" s="41">
        <f t="shared" si="18"/>
        <v>7</v>
      </c>
      <c r="O118" s="11">
        <f t="shared" si="25"/>
        <v>24</v>
      </c>
      <c r="P118" s="12">
        <f t="shared" si="19"/>
        <v>0</v>
      </c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x14ac:dyDescent="0.3">
      <c r="A119" s="47">
        <v>112</v>
      </c>
      <c r="B119" s="34" t="str">
        <f t="shared" si="20"/>
        <v>10-й год 4-й мес</v>
      </c>
      <c r="C119" s="35">
        <f t="shared" si="26"/>
        <v>44602</v>
      </c>
      <c r="D119" s="36">
        <f t="shared" si="16"/>
        <v>0</v>
      </c>
      <c r="E119" s="37">
        <f t="shared" si="21"/>
        <v>0</v>
      </c>
      <c r="F119" s="37">
        <f t="shared" si="27"/>
        <v>0</v>
      </c>
      <c r="G119" s="38">
        <f t="shared" si="22"/>
        <v>0</v>
      </c>
      <c r="H119" s="39">
        <f t="shared" si="17"/>
        <v>0</v>
      </c>
      <c r="I119" s="37">
        <f t="shared" si="28"/>
        <v>0</v>
      </c>
      <c r="J119" s="37">
        <f t="shared" si="23"/>
        <v>0</v>
      </c>
      <c r="K119" s="40">
        <f t="shared" si="24"/>
        <v>0</v>
      </c>
      <c r="L119" s="53"/>
      <c r="M119" s="54"/>
      <c r="N119" s="41">
        <f t="shared" si="18"/>
        <v>7</v>
      </c>
      <c r="O119" s="11">
        <f t="shared" si="25"/>
        <v>24</v>
      </c>
      <c r="P119" s="12">
        <f t="shared" si="19"/>
        <v>0</v>
      </c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x14ac:dyDescent="0.3">
      <c r="A120" s="47">
        <v>113</v>
      </c>
      <c r="B120" s="34" t="str">
        <f t="shared" si="20"/>
        <v>10-й год 5-й мес</v>
      </c>
      <c r="C120" s="35">
        <f t="shared" si="26"/>
        <v>44630</v>
      </c>
      <c r="D120" s="36">
        <f t="shared" si="16"/>
        <v>0</v>
      </c>
      <c r="E120" s="37">
        <f t="shared" si="21"/>
        <v>0</v>
      </c>
      <c r="F120" s="37">
        <f t="shared" si="27"/>
        <v>0</v>
      </c>
      <c r="G120" s="38">
        <f t="shared" si="22"/>
        <v>0</v>
      </c>
      <c r="H120" s="39">
        <f t="shared" si="17"/>
        <v>0</v>
      </c>
      <c r="I120" s="37">
        <f t="shared" si="28"/>
        <v>0</v>
      </c>
      <c r="J120" s="37">
        <f t="shared" si="23"/>
        <v>0</v>
      </c>
      <c r="K120" s="40">
        <f t="shared" si="24"/>
        <v>0</v>
      </c>
      <c r="L120" s="53"/>
      <c r="M120" s="54"/>
      <c r="N120" s="41">
        <f t="shared" si="18"/>
        <v>7</v>
      </c>
      <c r="O120" s="11">
        <f t="shared" si="25"/>
        <v>24</v>
      </c>
      <c r="P120" s="12">
        <f t="shared" si="19"/>
        <v>0</v>
      </c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x14ac:dyDescent="0.3">
      <c r="A121" s="47">
        <v>114</v>
      </c>
      <c r="B121" s="34" t="str">
        <f t="shared" si="20"/>
        <v>10-й год 6-й мес</v>
      </c>
      <c r="C121" s="35">
        <f t="shared" si="26"/>
        <v>44661</v>
      </c>
      <c r="D121" s="36">
        <f t="shared" si="16"/>
        <v>0</v>
      </c>
      <c r="E121" s="37">
        <f t="shared" si="21"/>
        <v>0</v>
      </c>
      <c r="F121" s="37">
        <f t="shared" si="27"/>
        <v>0</v>
      </c>
      <c r="G121" s="38">
        <f t="shared" si="22"/>
        <v>0</v>
      </c>
      <c r="H121" s="39">
        <f t="shared" si="17"/>
        <v>0</v>
      </c>
      <c r="I121" s="37">
        <f t="shared" si="28"/>
        <v>0</v>
      </c>
      <c r="J121" s="37">
        <f t="shared" si="23"/>
        <v>0</v>
      </c>
      <c r="K121" s="40">
        <f t="shared" si="24"/>
        <v>0</v>
      </c>
      <c r="L121" s="53"/>
      <c r="M121" s="54"/>
      <c r="N121" s="41">
        <f t="shared" si="18"/>
        <v>7</v>
      </c>
      <c r="O121" s="11">
        <f t="shared" si="25"/>
        <v>24</v>
      </c>
      <c r="P121" s="12">
        <f t="shared" si="19"/>
        <v>0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x14ac:dyDescent="0.3">
      <c r="A122" s="47">
        <v>115</v>
      </c>
      <c r="B122" s="34" t="str">
        <f t="shared" si="20"/>
        <v>10-й год 7-й мес</v>
      </c>
      <c r="C122" s="35">
        <f t="shared" si="26"/>
        <v>44691</v>
      </c>
      <c r="D122" s="36">
        <f t="shared" si="16"/>
        <v>0</v>
      </c>
      <c r="E122" s="37">
        <f t="shared" si="21"/>
        <v>0</v>
      </c>
      <c r="F122" s="37">
        <f t="shared" si="27"/>
        <v>0</v>
      </c>
      <c r="G122" s="38">
        <f t="shared" si="22"/>
        <v>0</v>
      </c>
      <c r="H122" s="39">
        <f t="shared" si="17"/>
        <v>0</v>
      </c>
      <c r="I122" s="37">
        <f t="shared" si="28"/>
        <v>0</v>
      </c>
      <c r="J122" s="37">
        <f t="shared" si="23"/>
        <v>0</v>
      </c>
      <c r="K122" s="40">
        <f t="shared" si="24"/>
        <v>0</v>
      </c>
      <c r="L122" s="53"/>
      <c r="M122" s="54"/>
      <c r="N122" s="41">
        <f t="shared" si="18"/>
        <v>7</v>
      </c>
      <c r="O122" s="11">
        <f t="shared" si="25"/>
        <v>24</v>
      </c>
      <c r="P122" s="12">
        <f t="shared" si="19"/>
        <v>0</v>
      </c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x14ac:dyDescent="0.3">
      <c r="A123" s="47">
        <v>116</v>
      </c>
      <c r="B123" s="34" t="str">
        <f t="shared" si="20"/>
        <v>10-й год 8-й мес</v>
      </c>
      <c r="C123" s="35">
        <f t="shared" si="26"/>
        <v>44722</v>
      </c>
      <c r="D123" s="36">
        <f t="shared" si="16"/>
        <v>0</v>
      </c>
      <c r="E123" s="37">
        <f t="shared" si="21"/>
        <v>0</v>
      </c>
      <c r="F123" s="37">
        <f t="shared" si="27"/>
        <v>0</v>
      </c>
      <c r="G123" s="38">
        <f t="shared" si="22"/>
        <v>0</v>
      </c>
      <c r="H123" s="39">
        <f t="shared" si="17"/>
        <v>0</v>
      </c>
      <c r="I123" s="37">
        <f t="shared" si="28"/>
        <v>0</v>
      </c>
      <c r="J123" s="37">
        <f t="shared" si="23"/>
        <v>0</v>
      </c>
      <c r="K123" s="40">
        <f t="shared" si="24"/>
        <v>0</v>
      </c>
      <c r="L123" s="53"/>
      <c r="M123" s="54"/>
      <c r="N123" s="41">
        <f t="shared" si="18"/>
        <v>7</v>
      </c>
      <c r="O123" s="11">
        <f t="shared" si="25"/>
        <v>24</v>
      </c>
      <c r="P123" s="12">
        <f t="shared" si="19"/>
        <v>0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x14ac:dyDescent="0.3">
      <c r="A124" s="47">
        <v>117</v>
      </c>
      <c r="B124" s="34" t="str">
        <f t="shared" si="20"/>
        <v>10-й год 9-й мес</v>
      </c>
      <c r="C124" s="35">
        <f t="shared" si="26"/>
        <v>44752</v>
      </c>
      <c r="D124" s="36">
        <f t="shared" si="16"/>
        <v>0</v>
      </c>
      <c r="E124" s="37">
        <f t="shared" si="21"/>
        <v>0</v>
      </c>
      <c r="F124" s="37">
        <f t="shared" si="27"/>
        <v>0</v>
      </c>
      <c r="G124" s="38">
        <f t="shared" si="22"/>
        <v>0</v>
      </c>
      <c r="H124" s="39">
        <f t="shared" si="17"/>
        <v>0</v>
      </c>
      <c r="I124" s="37">
        <f t="shared" si="28"/>
        <v>0</v>
      </c>
      <c r="J124" s="37">
        <f t="shared" si="23"/>
        <v>0</v>
      </c>
      <c r="K124" s="40">
        <f t="shared" si="24"/>
        <v>0</v>
      </c>
      <c r="L124" s="53"/>
      <c r="M124" s="54"/>
      <c r="N124" s="41">
        <f t="shared" si="18"/>
        <v>7</v>
      </c>
      <c r="O124" s="11">
        <f t="shared" si="25"/>
        <v>24</v>
      </c>
      <c r="P124" s="12">
        <f t="shared" si="19"/>
        <v>0</v>
      </c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x14ac:dyDescent="0.3">
      <c r="A125" s="47">
        <v>118</v>
      </c>
      <c r="B125" s="34" t="str">
        <f t="shared" si="20"/>
        <v>10-й год 10-й мес</v>
      </c>
      <c r="C125" s="35">
        <f t="shared" si="26"/>
        <v>44783</v>
      </c>
      <c r="D125" s="36">
        <f t="shared" si="16"/>
        <v>0</v>
      </c>
      <c r="E125" s="37">
        <f t="shared" si="21"/>
        <v>0</v>
      </c>
      <c r="F125" s="37">
        <f t="shared" si="27"/>
        <v>0</v>
      </c>
      <c r="G125" s="38">
        <f t="shared" si="22"/>
        <v>0</v>
      </c>
      <c r="H125" s="39">
        <f t="shared" si="17"/>
        <v>0</v>
      </c>
      <c r="I125" s="37">
        <f t="shared" si="28"/>
        <v>0</v>
      </c>
      <c r="J125" s="37">
        <f t="shared" si="23"/>
        <v>0</v>
      </c>
      <c r="K125" s="40">
        <f t="shared" si="24"/>
        <v>0</v>
      </c>
      <c r="L125" s="53"/>
      <c r="M125" s="54"/>
      <c r="N125" s="41">
        <f t="shared" si="18"/>
        <v>7</v>
      </c>
      <c r="O125" s="11">
        <f t="shared" si="25"/>
        <v>24</v>
      </c>
      <c r="P125" s="12">
        <f t="shared" si="19"/>
        <v>0</v>
      </c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x14ac:dyDescent="0.3">
      <c r="A126" s="47">
        <v>119</v>
      </c>
      <c r="B126" s="34" t="str">
        <f t="shared" si="20"/>
        <v>10-й год 11-й мес</v>
      </c>
      <c r="C126" s="35">
        <f t="shared" si="26"/>
        <v>44814</v>
      </c>
      <c r="D126" s="36">
        <f t="shared" si="16"/>
        <v>0</v>
      </c>
      <c r="E126" s="37">
        <f t="shared" si="21"/>
        <v>0</v>
      </c>
      <c r="F126" s="37">
        <f t="shared" si="27"/>
        <v>0</v>
      </c>
      <c r="G126" s="38">
        <f t="shared" si="22"/>
        <v>0</v>
      </c>
      <c r="H126" s="39">
        <f t="shared" si="17"/>
        <v>0</v>
      </c>
      <c r="I126" s="37">
        <f t="shared" si="28"/>
        <v>0</v>
      </c>
      <c r="J126" s="37">
        <f t="shared" si="23"/>
        <v>0</v>
      </c>
      <c r="K126" s="40">
        <f t="shared" si="24"/>
        <v>0</v>
      </c>
      <c r="L126" s="53"/>
      <c r="M126" s="54"/>
      <c r="N126" s="41">
        <f t="shared" si="18"/>
        <v>7</v>
      </c>
      <c r="O126" s="11">
        <f t="shared" si="25"/>
        <v>24</v>
      </c>
      <c r="P126" s="12">
        <f t="shared" si="19"/>
        <v>0</v>
      </c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x14ac:dyDescent="0.3">
      <c r="A127" s="48">
        <v>120</v>
      </c>
      <c r="B127" s="34" t="str">
        <f t="shared" si="20"/>
        <v>10-й год 12-й мес</v>
      </c>
      <c r="C127" s="35">
        <f t="shared" si="26"/>
        <v>44844</v>
      </c>
      <c r="D127" s="36">
        <f t="shared" si="16"/>
        <v>0</v>
      </c>
      <c r="E127" s="49">
        <f t="shared" si="21"/>
        <v>0</v>
      </c>
      <c r="F127" s="37">
        <f t="shared" si="27"/>
        <v>0</v>
      </c>
      <c r="G127" s="50">
        <f t="shared" si="22"/>
        <v>0</v>
      </c>
      <c r="H127" s="51">
        <f t="shared" si="17"/>
        <v>0</v>
      </c>
      <c r="I127" s="49">
        <f t="shared" si="28"/>
        <v>0</v>
      </c>
      <c r="J127" s="49">
        <f t="shared" si="23"/>
        <v>0</v>
      </c>
      <c r="K127" s="52">
        <f t="shared" si="24"/>
        <v>0</v>
      </c>
      <c r="L127" s="56"/>
      <c r="M127" s="54"/>
      <c r="N127" s="41">
        <f t="shared" si="18"/>
        <v>7</v>
      </c>
      <c r="O127" s="11">
        <f t="shared" si="25"/>
        <v>24</v>
      </c>
      <c r="P127" s="12">
        <f t="shared" si="19"/>
        <v>0</v>
      </c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x14ac:dyDescent="0.3">
      <c r="A128" s="33">
        <v>121</v>
      </c>
      <c r="B128" s="34" t="str">
        <f t="shared" si="20"/>
        <v>11-й год 1-й мес</v>
      </c>
      <c r="C128" s="35">
        <f t="shared" si="26"/>
        <v>44875</v>
      </c>
      <c r="D128" s="36">
        <f t="shared" si="16"/>
        <v>0</v>
      </c>
      <c r="E128" s="37">
        <f t="shared" si="21"/>
        <v>0</v>
      </c>
      <c r="F128" s="37">
        <f t="shared" si="27"/>
        <v>0</v>
      </c>
      <c r="G128" s="38">
        <f t="shared" si="22"/>
        <v>0</v>
      </c>
      <c r="H128" s="39">
        <f t="shared" si="17"/>
        <v>0</v>
      </c>
      <c r="I128" s="37">
        <f t="shared" si="28"/>
        <v>0</v>
      </c>
      <c r="J128" s="37">
        <f t="shared" si="23"/>
        <v>0</v>
      </c>
      <c r="K128" s="40">
        <f t="shared" si="24"/>
        <v>0</v>
      </c>
      <c r="L128" s="53"/>
      <c r="M128" s="54"/>
      <c r="N128" s="41">
        <f t="shared" si="18"/>
        <v>7</v>
      </c>
      <c r="O128" s="11">
        <f t="shared" si="25"/>
        <v>24</v>
      </c>
      <c r="P128" s="12">
        <f t="shared" si="19"/>
        <v>0</v>
      </c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x14ac:dyDescent="0.3">
      <c r="A129" s="33">
        <v>122</v>
      </c>
      <c r="B129" s="34" t="str">
        <f t="shared" si="20"/>
        <v>11-й год 2-й мес</v>
      </c>
      <c r="C129" s="35">
        <f t="shared" si="26"/>
        <v>44905</v>
      </c>
      <c r="D129" s="36">
        <f t="shared" si="16"/>
        <v>0</v>
      </c>
      <c r="E129" s="37">
        <f t="shared" si="21"/>
        <v>0</v>
      </c>
      <c r="F129" s="37">
        <f t="shared" si="27"/>
        <v>0</v>
      </c>
      <c r="G129" s="38">
        <f t="shared" si="22"/>
        <v>0</v>
      </c>
      <c r="H129" s="39">
        <f t="shared" si="17"/>
        <v>0</v>
      </c>
      <c r="I129" s="37">
        <f t="shared" si="28"/>
        <v>0</v>
      </c>
      <c r="J129" s="37">
        <f t="shared" si="23"/>
        <v>0</v>
      </c>
      <c r="K129" s="40">
        <f t="shared" si="24"/>
        <v>0</v>
      </c>
      <c r="L129" s="53"/>
      <c r="M129" s="54"/>
      <c r="N129" s="41">
        <f t="shared" si="18"/>
        <v>7</v>
      </c>
      <c r="O129" s="11">
        <f t="shared" si="25"/>
        <v>24</v>
      </c>
      <c r="P129" s="12">
        <f t="shared" si="19"/>
        <v>0</v>
      </c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x14ac:dyDescent="0.3">
      <c r="A130" s="33">
        <v>123</v>
      </c>
      <c r="B130" s="34" t="str">
        <f t="shared" si="20"/>
        <v>11-й год 3-й мес</v>
      </c>
      <c r="C130" s="35">
        <f t="shared" si="26"/>
        <v>44936</v>
      </c>
      <c r="D130" s="36">
        <f t="shared" si="16"/>
        <v>0</v>
      </c>
      <c r="E130" s="37">
        <f t="shared" si="21"/>
        <v>0</v>
      </c>
      <c r="F130" s="37">
        <f t="shared" si="27"/>
        <v>0</v>
      </c>
      <c r="G130" s="38">
        <f t="shared" si="22"/>
        <v>0</v>
      </c>
      <c r="H130" s="39">
        <f t="shared" si="17"/>
        <v>0</v>
      </c>
      <c r="I130" s="37">
        <f t="shared" si="28"/>
        <v>0</v>
      </c>
      <c r="J130" s="37">
        <f t="shared" si="23"/>
        <v>0</v>
      </c>
      <c r="K130" s="40">
        <f t="shared" si="24"/>
        <v>0</v>
      </c>
      <c r="L130" s="53"/>
      <c r="M130" s="54"/>
      <c r="N130" s="41">
        <f t="shared" si="18"/>
        <v>7</v>
      </c>
      <c r="O130" s="11">
        <f t="shared" si="25"/>
        <v>24</v>
      </c>
      <c r="P130" s="12">
        <f t="shared" si="19"/>
        <v>0</v>
      </c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x14ac:dyDescent="0.3">
      <c r="A131" s="33">
        <v>124</v>
      </c>
      <c r="B131" s="34" t="str">
        <f t="shared" si="20"/>
        <v>11-й год 4-й мес</v>
      </c>
      <c r="C131" s="35">
        <f t="shared" si="26"/>
        <v>44967</v>
      </c>
      <c r="D131" s="36">
        <f t="shared" si="16"/>
        <v>0</v>
      </c>
      <c r="E131" s="37">
        <f t="shared" si="21"/>
        <v>0</v>
      </c>
      <c r="F131" s="37">
        <f t="shared" si="27"/>
        <v>0</v>
      </c>
      <c r="G131" s="38">
        <f t="shared" si="22"/>
        <v>0</v>
      </c>
      <c r="H131" s="39">
        <f t="shared" si="17"/>
        <v>0</v>
      </c>
      <c r="I131" s="37">
        <f t="shared" si="28"/>
        <v>0</v>
      </c>
      <c r="J131" s="37">
        <f t="shared" si="23"/>
        <v>0</v>
      </c>
      <c r="K131" s="40">
        <f t="shared" si="24"/>
        <v>0</v>
      </c>
      <c r="L131" s="53"/>
      <c r="M131" s="54"/>
      <c r="N131" s="41">
        <f t="shared" si="18"/>
        <v>7</v>
      </c>
      <c r="O131" s="11">
        <f t="shared" si="25"/>
        <v>24</v>
      </c>
      <c r="P131" s="12">
        <f t="shared" si="19"/>
        <v>0</v>
      </c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x14ac:dyDescent="0.3">
      <c r="A132" s="33">
        <v>125</v>
      </c>
      <c r="B132" s="34" t="str">
        <f t="shared" si="20"/>
        <v>11-й год 5-й мес</v>
      </c>
      <c r="C132" s="35">
        <f t="shared" si="26"/>
        <v>44995</v>
      </c>
      <c r="D132" s="36">
        <f t="shared" si="16"/>
        <v>0</v>
      </c>
      <c r="E132" s="37">
        <f t="shared" si="21"/>
        <v>0</v>
      </c>
      <c r="F132" s="37">
        <f t="shared" si="27"/>
        <v>0</v>
      </c>
      <c r="G132" s="38">
        <f t="shared" si="22"/>
        <v>0</v>
      </c>
      <c r="H132" s="39">
        <f t="shared" si="17"/>
        <v>0</v>
      </c>
      <c r="I132" s="37">
        <f t="shared" si="28"/>
        <v>0</v>
      </c>
      <c r="J132" s="37">
        <f t="shared" si="23"/>
        <v>0</v>
      </c>
      <c r="K132" s="40">
        <f t="shared" si="24"/>
        <v>0</v>
      </c>
      <c r="L132" s="53"/>
      <c r="M132" s="54"/>
      <c r="N132" s="41">
        <f t="shared" si="18"/>
        <v>7</v>
      </c>
      <c r="O132" s="11">
        <f t="shared" si="25"/>
        <v>24</v>
      </c>
      <c r="P132" s="12">
        <f t="shared" si="19"/>
        <v>0</v>
      </c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x14ac:dyDescent="0.3">
      <c r="A133" s="33">
        <v>126</v>
      </c>
      <c r="B133" s="34" t="str">
        <f t="shared" si="20"/>
        <v>11-й год 6-й мес</v>
      </c>
      <c r="C133" s="35">
        <f t="shared" si="26"/>
        <v>45026</v>
      </c>
      <c r="D133" s="36">
        <f t="shared" si="16"/>
        <v>0</v>
      </c>
      <c r="E133" s="37">
        <f t="shared" si="21"/>
        <v>0</v>
      </c>
      <c r="F133" s="37">
        <f t="shared" si="27"/>
        <v>0</v>
      </c>
      <c r="G133" s="38">
        <f t="shared" si="22"/>
        <v>0</v>
      </c>
      <c r="H133" s="39">
        <f t="shared" si="17"/>
        <v>0</v>
      </c>
      <c r="I133" s="37">
        <f t="shared" si="28"/>
        <v>0</v>
      </c>
      <c r="J133" s="37">
        <f t="shared" si="23"/>
        <v>0</v>
      </c>
      <c r="K133" s="40">
        <f t="shared" si="24"/>
        <v>0</v>
      </c>
      <c r="L133" s="53"/>
      <c r="M133" s="54"/>
      <c r="N133" s="41">
        <f t="shared" si="18"/>
        <v>7</v>
      </c>
      <c r="O133" s="11">
        <f t="shared" si="25"/>
        <v>24</v>
      </c>
      <c r="P133" s="12">
        <f t="shared" si="19"/>
        <v>0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x14ac:dyDescent="0.3">
      <c r="A134" s="33">
        <v>127</v>
      </c>
      <c r="B134" s="34" t="str">
        <f t="shared" si="20"/>
        <v>11-й год 7-й мес</v>
      </c>
      <c r="C134" s="35">
        <f t="shared" si="26"/>
        <v>45056</v>
      </c>
      <c r="D134" s="36">
        <f t="shared" si="16"/>
        <v>0</v>
      </c>
      <c r="E134" s="37">
        <f t="shared" si="21"/>
        <v>0</v>
      </c>
      <c r="F134" s="37">
        <f t="shared" si="27"/>
        <v>0</v>
      </c>
      <c r="G134" s="38">
        <f t="shared" si="22"/>
        <v>0</v>
      </c>
      <c r="H134" s="39">
        <f t="shared" si="17"/>
        <v>0</v>
      </c>
      <c r="I134" s="37">
        <f t="shared" si="28"/>
        <v>0</v>
      </c>
      <c r="J134" s="37">
        <f t="shared" si="23"/>
        <v>0</v>
      </c>
      <c r="K134" s="40">
        <f t="shared" si="24"/>
        <v>0</v>
      </c>
      <c r="L134" s="53"/>
      <c r="M134" s="54"/>
      <c r="N134" s="41">
        <f t="shared" si="18"/>
        <v>7</v>
      </c>
      <c r="O134" s="11">
        <f t="shared" si="25"/>
        <v>24</v>
      </c>
      <c r="P134" s="12">
        <f t="shared" si="19"/>
        <v>0</v>
      </c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x14ac:dyDescent="0.3">
      <c r="A135" s="33">
        <v>128</v>
      </c>
      <c r="B135" s="34" t="str">
        <f t="shared" si="20"/>
        <v>11-й год 8-й мес</v>
      </c>
      <c r="C135" s="35">
        <f t="shared" si="26"/>
        <v>45087</v>
      </c>
      <c r="D135" s="36">
        <f t="shared" si="16"/>
        <v>0</v>
      </c>
      <c r="E135" s="37">
        <f t="shared" si="21"/>
        <v>0</v>
      </c>
      <c r="F135" s="37">
        <f t="shared" si="27"/>
        <v>0</v>
      </c>
      <c r="G135" s="38">
        <f t="shared" si="22"/>
        <v>0</v>
      </c>
      <c r="H135" s="39">
        <f t="shared" si="17"/>
        <v>0</v>
      </c>
      <c r="I135" s="37">
        <f t="shared" si="28"/>
        <v>0</v>
      </c>
      <c r="J135" s="37">
        <f t="shared" si="23"/>
        <v>0</v>
      </c>
      <c r="K135" s="40">
        <f t="shared" si="24"/>
        <v>0</v>
      </c>
      <c r="L135" s="53"/>
      <c r="M135" s="54"/>
      <c r="N135" s="41">
        <f t="shared" si="18"/>
        <v>7</v>
      </c>
      <c r="O135" s="11">
        <f t="shared" si="25"/>
        <v>24</v>
      </c>
      <c r="P135" s="12">
        <f t="shared" si="19"/>
        <v>0</v>
      </c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x14ac:dyDescent="0.3">
      <c r="A136" s="33">
        <v>129</v>
      </c>
      <c r="B136" s="34" t="str">
        <f t="shared" si="20"/>
        <v>11-й год 9-й мес</v>
      </c>
      <c r="C136" s="35">
        <f t="shared" si="26"/>
        <v>45117</v>
      </c>
      <c r="D136" s="36">
        <f t="shared" ref="D136:D199" si="29">IF(P136*$D$2/100/12/(1-(1+$D$2/100/12)^(-O136))&lt;G135,ROUNDUP(P136*$D$2/100/12/(1-(1+$D$2/100/12)^(-O136)),0),G135+F136)</f>
        <v>0</v>
      </c>
      <c r="E136" s="37">
        <f t="shared" si="21"/>
        <v>0</v>
      </c>
      <c r="F136" s="37">
        <f t="shared" si="27"/>
        <v>0</v>
      </c>
      <c r="G136" s="38">
        <f t="shared" si="22"/>
        <v>0</v>
      </c>
      <c r="H136" s="39">
        <f t="shared" ref="H136:H199" si="30">I136+J136</f>
        <v>0</v>
      </c>
      <c r="I136" s="37">
        <f t="shared" si="28"/>
        <v>0</v>
      </c>
      <c r="J136" s="37">
        <f t="shared" si="23"/>
        <v>0</v>
      </c>
      <c r="K136" s="40">
        <f t="shared" si="24"/>
        <v>0</v>
      </c>
      <c r="L136" s="53"/>
      <c r="M136" s="54"/>
      <c r="N136" s="41">
        <f t="shared" ref="N136:N199" si="31">IF(ISBLANK(L135),VALUE(N135),ROW(L135))</f>
        <v>7</v>
      </c>
      <c r="O136" s="11">
        <f t="shared" si="25"/>
        <v>24</v>
      </c>
      <c r="P136" s="12">
        <f t="shared" ref="P136:P199" si="32">INDEX(G:G,N136,1)</f>
        <v>0</v>
      </c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x14ac:dyDescent="0.3">
      <c r="A137" s="33">
        <v>130</v>
      </c>
      <c r="B137" s="34" t="str">
        <f t="shared" ref="B137:B200" si="33">CONCATENATE(INT((A137-1)/12)+1,"-й год ",A137-1-INT((A137-1)/12)*12+1,"-й мес")</f>
        <v>11-й год 10-й мес</v>
      </c>
      <c r="C137" s="35">
        <f t="shared" si="26"/>
        <v>45148</v>
      </c>
      <c r="D137" s="36">
        <f t="shared" si="29"/>
        <v>0</v>
      </c>
      <c r="E137" s="37">
        <f t="shared" ref="E137:E200" si="34">D137-F137</f>
        <v>0</v>
      </c>
      <c r="F137" s="37">
        <f t="shared" si="27"/>
        <v>0</v>
      </c>
      <c r="G137" s="38">
        <f t="shared" ref="G137:G200" si="35">G136-E137-L137-M137</f>
        <v>0</v>
      </c>
      <c r="H137" s="39">
        <f t="shared" si="30"/>
        <v>0</v>
      </c>
      <c r="I137" s="37">
        <f t="shared" si="28"/>
        <v>0</v>
      </c>
      <c r="J137" s="37">
        <f t="shared" ref="J137:J200" si="36">K136*$D$2/12/100</f>
        <v>0</v>
      </c>
      <c r="K137" s="40">
        <f t="shared" ref="K137:K200" si="37">K136-I137-L137-M137</f>
        <v>0</v>
      </c>
      <c r="L137" s="53"/>
      <c r="M137" s="54"/>
      <c r="N137" s="41">
        <f t="shared" si="31"/>
        <v>7</v>
      </c>
      <c r="O137" s="11">
        <f t="shared" ref="O137:O200" si="38">O136+N136-N137</f>
        <v>24</v>
      </c>
      <c r="P137" s="12">
        <f t="shared" si="32"/>
        <v>0</v>
      </c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x14ac:dyDescent="0.3">
      <c r="A138" s="33">
        <v>131</v>
      </c>
      <c r="B138" s="34" t="str">
        <f t="shared" si="33"/>
        <v>11-й год 11-й мес</v>
      </c>
      <c r="C138" s="35">
        <f t="shared" ref="C138:C201" si="39">DATE(YEAR(C137),MONTH(C137)+1,DAY(C137))</f>
        <v>45179</v>
      </c>
      <c r="D138" s="36">
        <f t="shared" si="29"/>
        <v>0</v>
      </c>
      <c r="E138" s="37">
        <f t="shared" si="34"/>
        <v>0</v>
      </c>
      <c r="F138" s="37">
        <f t="shared" ref="F138:F201" si="40">G137*$D$2*(C138-C137)/(DATE(YEAR(C138)+1,1,1)-DATE(YEAR(C138),1,1))/100</f>
        <v>0</v>
      </c>
      <c r="G138" s="38">
        <f t="shared" si="35"/>
        <v>0</v>
      </c>
      <c r="H138" s="39">
        <f t="shared" si="30"/>
        <v>0</v>
      </c>
      <c r="I138" s="37">
        <f t="shared" ref="I138:I201" si="41">IF($D$1/$D$3&lt;K137,$D$1/$D$3,K137)</f>
        <v>0</v>
      </c>
      <c r="J138" s="37">
        <f t="shared" si="36"/>
        <v>0</v>
      </c>
      <c r="K138" s="40">
        <f t="shared" si="37"/>
        <v>0</v>
      </c>
      <c r="L138" s="53"/>
      <c r="M138" s="54"/>
      <c r="N138" s="41">
        <f t="shared" si="31"/>
        <v>7</v>
      </c>
      <c r="O138" s="11">
        <f t="shared" si="38"/>
        <v>24</v>
      </c>
      <c r="P138" s="12">
        <f t="shared" si="32"/>
        <v>0</v>
      </c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x14ac:dyDescent="0.3">
      <c r="A139" s="33">
        <v>132</v>
      </c>
      <c r="B139" s="34" t="str">
        <f t="shared" si="33"/>
        <v>11-й год 12-й мес</v>
      </c>
      <c r="C139" s="35">
        <f t="shared" si="39"/>
        <v>45209</v>
      </c>
      <c r="D139" s="36">
        <f t="shared" si="29"/>
        <v>0</v>
      </c>
      <c r="E139" s="37">
        <f t="shared" si="34"/>
        <v>0</v>
      </c>
      <c r="F139" s="37">
        <f t="shared" si="40"/>
        <v>0</v>
      </c>
      <c r="G139" s="38">
        <f t="shared" si="35"/>
        <v>0</v>
      </c>
      <c r="H139" s="39">
        <f t="shared" si="30"/>
        <v>0</v>
      </c>
      <c r="I139" s="37">
        <f t="shared" si="41"/>
        <v>0</v>
      </c>
      <c r="J139" s="37">
        <f t="shared" si="36"/>
        <v>0</v>
      </c>
      <c r="K139" s="40">
        <f t="shared" si="37"/>
        <v>0</v>
      </c>
      <c r="L139" s="53"/>
      <c r="M139" s="54"/>
      <c r="N139" s="41">
        <f t="shared" si="31"/>
        <v>7</v>
      </c>
      <c r="O139" s="11">
        <f t="shared" si="38"/>
        <v>24</v>
      </c>
      <c r="P139" s="12">
        <f t="shared" si="32"/>
        <v>0</v>
      </c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x14ac:dyDescent="0.3">
      <c r="A140" s="42">
        <v>133</v>
      </c>
      <c r="B140" s="34" t="str">
        <f t="shared" si="33"/>
        <v>12-й год 1-й мес</v>
      </c>
      <c r="C140" s="35">
        <f t="shared" si="39"/>
        <v>45240</v>
      </c>
      <c r="D140" s="36">
        <f t="shared" si="29"/>
        <v>0</v>
      </c>
      <c r="E140" s="43">
        <f t="shared" si="34"/>
        <v>0</v>
      </c>
      <c r="F140" s="37">
        <f t="shared" si="40"/>
        <v>0</v>
      </c>
      <c r="G140" s="44">
        <f t="shared" si="35"/>
        <v>0</v>
      </c>
      <c r="H140" s="45">
        <f t="shared" si="30"/>
        <v>0</v>
      </c>
      <c r="I140" s="43">
        <f t="shared" si="41"/>
        <v>0</v>
      </c>
      <c r="J140" s="43">
        <f t="shared" si="36"/>
        <v>0</v>
      </c>
      <c r="K140" s="46">
        <f t="shared" si="37"/>
        <v>0</v>
      </c>
      <c r="L140" s="55"/>
      <c r="M140" s="54"/>
      <c r="N140" s="41">
        <f t="shared" si="31"/>
        <v>7</v>
      </c>
      <c r="O140" s="11">
        <f t="shared" si="38"/>
        <v>24</v>
      </c>
      <c r="P140" s="12">
        <f t="shared" si="32"/>
        <v>0</v>
      </c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x14ac:dyDescent="0.3">
      <c r="A141" s="47">
        <v>134</v>
      </c>
      <c r="B141" s="34" t="str">
        <f t="shared" si="33"/>
        <v>12-й год 2-й мес</v>
      </c>
      <c r="C141" s="35">
        <f t="shared" si="39"/>
        <v>45270</v>
      </c>
      <c r="D141" s="36">
        <f t="shared" si="29"/>
        <v>0</v>
      </c>
      <c r="E141" s="37">
        <f t="shared" si="34"/>
        <v>0</v>
      </c>
      <c r="F141" s="37">
        <f t="shared" si="40"/>
        <v>0</v>
      </c>
      <c r="G141" s="38">
        <f t="shared" si="35"/>
        <v>0</v>
      </c>
      <c r="H141" s="39">
        <f t="shared" si="30"/>
        <v>0</v>
      </c>
      <c r="I141" s="37">
        <f t="shared" si="41"/>
        <v>0</v>
      </c>
      <c r="J141" s="37">
        <f t="shared" si="36"/>
        <v>0</v>
      </c>
      <c r="K141" s="40">
        <f t="shared" si="37"/>
        <v>0</v>
      </c>
      <c r="L141" s="53"/>
      <c r="M141" s="57"/>
      <c r="N141" s="41">
        <f t="shared" si="31"/>
        <v>7</v>
      </c>
      <c r="O141" s="11">
        <f t="shared" si="38"/>
        <v>24</v>
      </c>
      <c r="P141" s="12">
        <f t="shared" si="32"/>
        <v>0</v>
      </c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x14ac:dyDescent="0.3">
      <c r="A142" s="47">
        <v>135</v>
      </c>
      <c r="B142" s="34" t="str">
        <f t="shared" si="33"/>
        <v>12-й год 3-й мес</v>
      </c>
      <c r="C142" s="35">
        <f t="shared" si="39"/>
        <v>45301</v>
      </c>
      <c r="D142" s="36">
        <f t="shared" si="29"/>
        <v>0</v>
      </c>
      <c r="E142" s="37">
        <f t="shared" si="34"/>
        <v>0</v>
      </c>
      <c r="F142" s="37">
        <f t="shared" si="40"/>
        <v>0</v>
      </c>
      <c r="G142" s="38">
        <f t="shared" si="35"/>
        <v>0</v>
      </c>
      <c r="H142" s="39">
        <f t="shared" si="30"/>
        <v>0</v>
      </c>
      <c r="I142" s="37">
        <f t="shared" si="41"/>
        <v>0</v>
      </c>
      <c r="J142" s="37">
        <f t="shared" si="36"/>
        <v>0</v>
      </c>
      <c r="K142" s="40">
        <f t="shared" si="37"/>
        <v>0</v>
      </c>
      <c r="L142" s="53"/>
      <c r="M142" s="57"/>
      <c r="N142" s="41">
        <f t="shared" si="31"/>
        <v>7</v>
      </c>
      <c r="O142" s="11">
        <f t="shared" si="38"/>
        <v>24</v>
      </c>
      <c r="P142" s="12">
        <f t="shared" si="32"/>
        <v>0</v>
      </c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x14ac:dyDescent="0.3">
      <c r="A143" s="47">
        <v>136</v>
      </c>
      <c r="B143" s="34" t="str">
        <f t="shared" si="33"/>
        <v>12-й год 4-й мес</v>
      </c>
      <c r="C143" s="35">
        <f t="shared" si="39"/>
        <v>45332</v>
      </c>
      <c r="D143" s="36">
        <f t="shared" si="29"/>
        <v>0</v>
      </c>
      <c r="E143" s="37">
        <f t="shared" si="34"/>
        <v>0</v>
      </c>
      <c r="F143" s="37">
        <f t="shared" si="40"/>
        <v>0</v>
      </c>
      <c r="G143" s="38">
        <f t="shared" si="35"/>
        <v>0</v>
      </c>
      <c r="H143" s="39">
        <f t="shared" si="30"/>
        <v>0</v>
      </c>
      <c r="I143" s="37">
        <f t="shared" si="41"/>
        <v>0</v>
      </c>
      <c r="J143" s="37">
        <f t="shared" si="36"/>
        <v>0</v>
      </c>
      <c r="K143" s="40">
        <f t="shared" si="37"/>
        <v>0</v>
      </c>
      <c r="L143" s="53"/>
      <c r="M143" s="57"/>
      <c r="N143" s="41">
        <f t="shared" si="31"/>
        <v>7</v>
      </c>
      <c r="O143" s="11">
        <f t="shared" si="38"/>
        <v>24</v>
      </c>
      <c r="P143" s="12">
        <f t="shared" si="32"/>
        <v>0</v>
      </c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x14ac:dyDescent="0.3">
      <c r="A144" s="47">
        <v>137</v>
      </c>
      <c r="B144" s="34" t="str">
        <f t="shared" si="33"/>
        <v>12-й год 5-й мес</v>
      </c>
      <c r="C144" s="35">
        <f t="shared" si="39"/>
        <v>45361</v>
      </c>
      <c r="D144" s="36">
        <f t="shared" si="29"/>
        <v>0</v>
      </c>
      <c r="E144" s="37">
        <f t="shared" si="34"/>
        <v>0</v>
      </c>
      <c r="F144" s="37">
        <f t="shared" si="40"/>
        <v>0</v>
      </c>
      <c r="G144" s="38">
        <f t="shared" si="35"/>
        <v>0</v>
      </c>
      <c r="H144" s="39">
        <f t="shared" si="30"/>
        <v>0</v>
      </c>
      <c r="I144" s="37">
        <f t="shared" si="41"/>
        <v>0</v>
      </c>
      <c r="J144" s="37">
        <f t="shared" si="36"/>
        <v>0</v>
      </c>
      <c r="K144" s="40">
        <f t="shared" si="37"/>
        <v>0</v>
      </c>
      <c r="L144" s="53"/>
      <c r="M144" s="57"/>
      <c r="N144" s="41">
        <f t="shared" si="31"/>
        <v>7</v>
      </c>
      <c r="O144" s="11">
        <f t="shared" si="38"/>
        <v>24</v>
      </c>
      <c r="P144" s="12">
        <f t="shared" si="32"/>
        <v>0</v>
      </c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x14ac:dyDescent="0.3">
      <c r="A145" s="47">
        <v>138</v>
      </c>
      <c r="B145" s="34" t="str">
        <f t="shared" si="33"/>
        <v>12-й год 6-й мес</v>
      </c>
      <c r="C145" s="35">
        <f t="shared" si="39"/>
        <v>45392</v>
      </c>
      <c r="D145" s="36">
        <f t="shared" si="29"/>
        <v>0</v>
      </c>
      <c r="E145" s="37">
        <f t="shared" si="34"/>
        <v>0</v>
      </c>
      <c r="F145" s="37">
        <f t="shared" si="40"/>
        <v>0</v>
      </c>
      <c r="G145" s="38">
        <f t="shared" si="35"/>
        <v>0</v>
      </c>
      <c r="H145" s="39">
        <f t="shared" si="30"/>
        <v>0</v>
      </c>
      <c r="I145" s="37">
        <f t="shared" si="41"/>
        <v>0</v>
      </c>
      <c r="J145" s="37">
        <f t="shared" si="36"/>
        <v>0</v>
      </c>
      <c r="K145" s="40">
        <f t="shared" si="37"/>
        <v>0</v>
      </c>
      <c r="L145" s="53"/>
      <c r="M145" s="57"/>
      <c r="N145" s="41">
        <f t="shared" si="31"/>
        <v>7</v>
      </c>
      <c r="O145" s="11">
        <f t="shared" si="38"/>
        <v>24</v>
      </c>
      <c r="P145" s="12">
        <f t="shared" si="32"/>
        <v>0</v>
      </c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x14ac:dyDescent="0.3">
      <c r="A146" s="47">
        <v>139</v>
      </c>
      <c r="B146" s="34" t="str">
        <f t="shared" si="33"/>
        <v>12-й год 7-й мес</v>
      </c>
      <c r="C146" s="35">
        <f t="shared" si="39"/>
        <v>45422</v>
      </c>
      <c r="D146" s="36">
        <f t="shared" si="29"/>
        <v>0</v>
      </c>
      <c r="E146" s="37">
        <f t="shared" si="34"/>
        <v>0</v>
      </c>
      <c r="F146" s="37">
        <f t="shared" si="40"/>
        <v>0</v>
      </c>
      <c r="G146" s="38">
        <f t="shared" si="35"/>
        <v>0</v>
      </c>
      <c r="H146" s="39">
        <f t="shared" si="30"/>
        <v>0</v>
      </c>
      <c r="I146" s="37">
        <f t="shared" si="41"/>
        <v>0</v>
      </c>
      <c r="J146" s="37">
        <f t="shared" si="36"/>
        <v>0</v>
      </c>
      <c r="K146" s="40">
        <f t="shared" si="37"/>
        <v>0</v>
      </c>
      <c r="L146" s="53"/>
      <c r="M146" s="57"/>
      <c r="N146" s="41">
        <f t="shared" si="31"/>
        <v>7</v>
      </c>
      <c r="O146" s="11">
        <f t="shared" si="38"/>
        <v>24</v>
      </c>
      <c r="P146" s="12">
        <f t="shared" si="32"/>
        <v>0</v>
      </c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x14ac:dyDescent="0.3">
      <c r="A147" s="47">
        <v>140</v>
      </c>
      <c r="B147" s="34" t="str">
        <f t="shared" si="33"/>
        <v>12-й год 8-й мес</v>
      </c>
      <c r="C147" s="35">
        <f t="shared" si="39"/>
        <v>45453</v>
      </c>
      <c r="D147" s="36">
        <f t="shared" si="29"/>
        <v>0</v>
      </c>
      <c r="E147" s="37">
        <f t="shared" si="34"/>
        <v>0</v>
      </c>
      <c r="F147" s="37">
        <f t="shared" si="40"/>
        <v>0</v>
      </c>
      <c r="G147" s="38">
        <f t="shared" si="35"/>
        <v>0</v>
      </c>
      <c r="H147" s="39">
        <f t="shared" si="30"/>
        <v>0</v>
      </c>
      <c r="I147" s="37">
        <f t="shared" si="41"/>
        <v>0</v>
      </c>
      <c r="J147" s="37">
        <f t="shared" si="36"/>
        <v>0</v>
      </c>
      <c r="K147" s="40">
        <f t="shared" si="37"/>
        <v>0</v>
      </c>
      <c r="L147" s="53"/>
      <c r="M147" s="57"/>
      <c r="N147" s="41">
        <f t="shared" si="31"/>
        <v>7</v>
      </c>
      <c r="O147" s="11">
        <f t="shared" si="38"/>
        <v>24</v>
      </c>
      <c r="P147" s="12">
        <f t="shared" si="32"/>
        <v>0</v>
      </c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x14ac:dyDescent="0.3">
      <c r="A148" s="47">
        <v>141</v>
      </c>
      <c r="B148" s="34" t="str">
        <f t="shared" si="33"/>
        <v>12-й год 9-й мес</v>
      </c>
      <c r="C148" s="35">
        <f t="shared" si="39"/>
        <v>45483</v>
      </c>
      <c r="D148" s="36">
        <f t="shared" si="29"/>
        <v>0</v>
      </c>
      <c r="E148" s="37">
        <f t="shared" si="34"/>
        <v>0</v>
      </c>
      <c r="F148" s="37">
        <f t="shared" si="40"/>
        <v>0</v>
      </c>
      <c r="G148" s="38">
        <f t="shared" si="35"/>
        <v>0</v>
      </c>
      <c r="H148" s="39">
        <f t="shared" si="30"/>
        <v>0</v>
      </c>
      <c r="I148" s="37">
        <f t="shared" si="41"/>
        <v>0</v>
      </c>
      <c r="J148" s="37">
        <f t="shared" si="36"/>
        <v>0</v>
      </c>
      <c r="K148" s="40">
        <f t="shared" si="37"/>
        <v>0</v>
      </c>
      <c r="L148" s="53"/>
      <c r="M148" s="57"/>
      <c r="N148" s="41">
        <f t="shared" si="31"/>
        <v>7</v>
      </c>
      <c r="O148" s="11">
        <f t="shared" si="38"/>
        <v>24</v>
      </c>
      <c r="P148" s="12">
        <f t="shared" si="32"/>
        <v>0</v>
      </c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x14ac:dyDescent="0.3">
      <c r="A149" s="47">
        <v>142</v>
      </c>
      <c r="B149" s="34" t="str">
        <f t="shared" si="33"/>
        <v>12-й год 10-й мес</v>
      </c>
      <c r="C149" s="35">
        <f t="shared" si="39"/>
        <v>45514</v>
      </c>
      <c r="D149" s="36">
        <f t="shared" si="29"/>
        <v>0</v>
      </c>
      <c r="E149" s="37">
        <f t="shared" si="34"/>
        <v>0</v>
      </c>
      <c r="F149" s="37">
        <f t="shared" si="40"/>
        <v>0</v>
      </c>
      <c r="G149" s="38">
        <f t="shared" si="35"/>
        <v>0</v>
      </c>
      <c r="H149" s="39">
        <f t="shared" si="30"/>
        <v>0</v>
      </c>
      <c r="I149" s="37">
        <f t="shared" si="41"/>
        <v>0</v>
      </c>
      <c r="J149" s="37">
        <f t="shared" si="36"/>
        <v>0</v>
      </c>
      <c r="K149" s="40">
        <f t="shared" si="37"/>
        <v>0</v>
      </c>
      <c r="L149" s="53"/>
      <c r="M149" s="57"/>
      <c r="N149" s="41">
        <f t="shared" si="31"/>
        <v>7</v>
      </c>
      <c r="O149" s="11">
        <f t="shared" si="38"/>
        <v>24</v>
      </c>
      <c r="P149" s="12">
        <f t="shared" si="32"/>
        <v>0</v>
      </c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x14ac:dyDescent="0.3">
      <c r="A150" s="47">
        <v>143</v>
      </c>
      <c r="B150" s="34" t="str">
        <f t="shared" si="33"/>
        <v>12-й год 11-й мес</v>
      </c>
      <c r="C150" s="35">
        <f t="shared" si="39"/>
        <v>45545</v>
      </c>
      <c r="D150" s="36">
        <f t="shared" si="29"/>
        <v>0</v>
      </c>
      <c r="E150" s="37">
        <f t="shared" si="34"/>
        <v>0</v>
      </c>
      <c r="F150" s="37">
        <f t="shared" si="40"/>
        <v>0</v>
      </c>
      <c r="G150" s="38">
        <f t="shared" si="35"/>
        <v>0</v>
      </c>
      <c r="H150" s="39">
        <f t="shared" si="30"/>
        <v>0</v>
      </c>
      <c r="I150" s="37">
        <f t="shared" si="41"/>
        <v>0</v>
      </c>
      <c r="J150" s="37">
        <f t="shared" si="36"/>
        <v>0</v>
      </c>
      <c r="K150" s="40">
        <f t="shared" si="37"/>
        <v>0</v>
      </c>
      <c r="L150" s="53"/>
      <c r="M150" s="57"/>
      <c r="N150" s="41">
        <f t="shared" si="31"/>
        <v>7</v>
      </c>
      <c r="O150" s="11">
        <f t="shared" si="38"/>
        <v>24</v>
      </c>
      <c r="P150" s="12">
        <f t="shared" si="32"/>
        <v>0</v>
      </c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x14ac:dyDescent="0.3">
      <c r="A151" s="48">
        <v>144</v>
      </c>
      <c r="B151" s="34" t="str">
        <f t="shared" si="33"/>
        <v>12-й год 12-й мес</v>
      </c>
      <c r="C151" s="35">
        <f t="shared" si="39"/>
        <v>45575</v>
      </c>
      <c r="D151" s="36">
        <f t="shared" si="29"/>
        <v>0</v>
      </c>
      <c r="E151" s="49">
        <f t="shared" si="34"/>
        <v>0</v>
      </c>
      <c r="F151" s="37">
        <f t="shared" si="40"/>
        <v>0</v>
      </c>
      <c r="G151" s="50">
        <f t="shared" si="35"/>
        <v>0</v>
      </c>
      <c r="H151" s="51">
        <f t="shared" si="30"/>
        <v>0</v>
      </c>
      <c r="I151" s="49">
        <f t="shared" si="41"/>
        <v>0</v>
      </c>
      <c r="J151" s="49">
        <f t="shared" si="36"/>
        <v>0</v>
      </c>
      <c r="K151" s="52">
        <f t="shared" si="37"/>
        <v>0</v>
      </c>
      <c r="L151" s="56"/>
      <c r="M151" s="58"/>
      <c r="N151" s="41">
        <f t="shared" si="31"/>
        <v>7</v>
      </c>
      <c r="O151" s="11">
        <f t="shared" si="38"/>
        <v>24</v>
      </c>
      <c r="P151" s="12">
        <f t="shared" si="32"/>
        <v>0</v>
      </c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x14ac:dyDescent="0.3">
      <c r="A152" s="33">
        <v>145</v>
      </c>
      <c r="B152" s="34" t="str">
        <f t="shared" si="33"/>
        <v>13-й год 1-й мес</v>
      </c>
      <c r="C152" s="35">
        <f t="shared" si="39"/>
        <v>45606</v>
      </c>
      <c r="D152" s="36">
        <f t="shared" si="29"/>
        <v>0</v>
      </c>
      <c r="E152" s="37">
        <f t="shared" si="34"/>
        <v>0</v>
      </c>
      <c r="F152" s="37">
        <f t="shared" si="40"/>
        <v>0</v>
      </c>
      <c r="G152" s="38">
        <f t="shared" si="35"/>
        <v>0</v>
      </c>
      <c r="H152" s="39">
        <f t="shared" si="30"/>
        <v>0</v>
      </c>
      <c r="I152" s="37">
        <f t="shared" si="41"/>
        <v>0</v>
      </c>
      <c r="J152" s="37">
        <f t="shared" si="36"/>
        <v>0</v>
      </c>
      <c r="K152" s="40">
        <f t="shared" si="37"/>
        <v>0</v>
      </c>
      <c r="L152" s="53"/>
      <c r="M152" s="57"/>
      <c r="N152" s="41">
        <f t="shared" si="31"/>
        <v>7</v>
      </c>
      <c r="O152" s="11">
        <f t="shared" si="38"/>
        <v>24</v>
      </c>
      <c r="P152" s="12">
        <f t="shared" si="32"/>
        <v>0</v>
      </c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x14ac:dyDescent="0.3">
      <c r="A153" s="33">
        <v>146</v>
      </c>
      <c r="B153" s="34" t="str">
        <f t="shared" si="33"/>
        <v>13-й год 2-й мес</v>
      </c>
      <c r="C153" s="35">
        <f t="shared" si="39"/>
        <v>45636</v>
      </c>
      <c r="D153" s="36">
        <f t="shared" si="29"/>
        <v>0</v>
      </c>
      <c r="E153" s="37">
        <f t="shared" si="34"/>
        <v>0</v>
      </c>
      <c r="F153" s="37">
        <f t="shared" si="40"/>
        <v>0</v>
      </c>
      <c r="G153" s="38">
        <f t="shared" si="35"/>
        <v>0</v>
      </c>
      <c r="H153" s="39">
        <f t="shared" si="30"/>
        <v>0</v>
      </c>
      <c r="I153" s="37">
        <f t="shared" si="41"/>
        <v>0</v>
      </c>
      <c r="J153" s="37">
        <f t="shared" si="36"/>
        <v>0</v>
      </c>
      <c r="K153" s="40">
        <f t="shared" si="37"/>
        <v>0</v>
      </c>
      <c r="L153" s="53"/>
      <c r="M153" s="57"/>
      <c r="N153" s="41">
        <f t="shared" si="31"/>
        <v>7</v>
      </c>
      <c r="O153" s="11">
        <f t="shared" si="38"/>
        <v>24</v>
      </c>
      <c r="P153" s="12">
        <f t="shared" si="32"/>
        <v>0</v>
      </c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x14ac:dyDescent="0.3">
      <c r="A154" s="33">
        <v>147</v>
      </c>
      <c r="B154" s="34" t="str">
        <f t="shared" si="33"/>
        <v>13-й год 3-й мес</v>
      </c>
      <c r="C154" s="35">
        <f t="shared" si="39"/>
        <v>45667</v>
      </c>
      <c r="D154" s="36">
        <f t="shared" si="29"/>
        <v>0</v>
      </c>
      <c r="E154" s="37">
        <f t="shared" si="34"/>
        <v>0</v>
      </c>
      <c r="F154" s="37">
        <f t="shared" si="40"/>
        <v>0</v>
      </c>
      <c r="G154" s="38">
        <f t="shared" si="35"/>
        <v>0</v>
      </c>
      <c r="H154" s="39">
        <f t="shared" si="30"/>
        <v>0</v>
      </c>
      <c r="I154" s="37">
        <f t="shared" si="41"/>
        <v>0</v>
      </c>
      <c r="J154" s="37">
        <f t="shared" si="36"/>
        <v>0</v>
      </c>
      <c r="K154" s="40">
        <f t="shared" si="37"/>
        <v>0</v>
      </c>
      <c r="L154" s="53"/>
      <c r="M154" s="57"/>
      <c r="N154" s="41">
        <f t="shared" si="31"/>
        <v>7</v>
      </c>
      <c r="O154" s="11">
        <f t="shared" si="38"/>
        <v>24</v>
      </c>
      <c r="P154" s="12">
        <f t="shared" si="32"/>
        <v>0</v>
      </c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x14ac:dyDescent="0.3">
      <c r="A155" s="33">
        <v>148</v>
      </c>
      <c r="B155" s="34" t="str">
        <f t="shared" si="33"/>
        <v>13-й год 4-й мес</v>
      </c>
      <c r="C155" s="35">
        <f t="shared" si="39"/>
        <v>45698</v>
      </c>
      <c r="D155" s="36">
        <f t="shared" si="29"/>
        <v>0</v>
      </c>
      <c r="E155" s="37">
        <f t="shared" si="34"/>
        <v>0</v>
      </c>
      <c r="F155" s="37">
        <f t="shared" si="40"/>
        <v>0</v>
      </c>
      <c r="G155" s="38">
        <f t="shared" si="35"/>
        <v>0</v>
      </c>
      <c r="H155" s="39">
        <f t="shared" si="30"/>
        <v>0</v>
      </c>
      <c r="I155" s="37">
        <f t="shared" si="41"/>
        <v>0</v>
      </c>
      <c r="J155" s="37">
        <f t="shared" si="36"/>
        <v>0</v>
      </c>
      <c r="K155" s="40">
        <f t="shared" si="37"/>
        <v>0</v>
      </c>
      <c r="L155" s="53"/>
      <c r="M155" s="57"/>
      <c r="N155" s="41">
        <f t="shared" si="31"/>
        <v>7</v>
      </c>
      <c r="O155" s="11">
        <f t="shared" si="38"/>
        <v>24</v>
      </c>
      <c r="P155" s="12">
        <f t="shared" si="32"/>
        <v>0</v>
      </c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x14ac:dyDescent="0.3">
      <c r="A156" s="33">
        <v>149</v>
      </c>
      <c r="B156" s="34" t="str">
        <f t="shared" si="33"/>
        <v>13-й год 5-й мес</v>
      </c>
      <c r="C156" s="35">
        <f t="shared" si="39"/>
        <v>45726</v>
      </c>
      <c r="D156" s="36">
        <f t="shared" si="29"/>
        <v>0</v>
      </c>
      <c r="E156" s="37">
        <f t="shared" si="34"/>
        <v>0</v>
      </c>
      <c r="F156" s="37">
        <f t="shared" si="40"/>
        <v>0</v>
      </c>
      <c r="G156" s="38">
        <f t="shared" si="35"/>
        <v>0</v>
      </c>
      <c r="H156" s="39">
        <f t="shared" si="30"/>
        <v>0</v>
      </c>
      <c r="I156" s="37">
        <f t="shared" si="41"/>
        <v>0</v>
      </c>
      <c r="J156" s="37">
        <f t="shared" si="36"/>
        <v>0</v>
      </c>
      <c r="K156" s="40">
        <f t="shared" si="37"/>
        <v>0</v>
      </c>
      <c r="L156" s="53"/>
      <c r="M156" s="57"/>
      <c r="N156" s="41">
        <f t="shared" si="31"/>
        <v>7</v>
      </c>
      <c r="O156" s="11">
        <f t="shared" si="38"/>
        <v>24</v>
      </c>
      <c r="P156" s="12">
        <f t="shared" si="32"/>
        <v>0</v>
      </c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x14ac:dyDescent="0.3">
      <c r="A157" s="33">
        <v>150</v>
      </c>
      <c r="B157" s="34" t="str">
        <f t="shared" si="33"/>
        <v>13-й год 6-й мес</v>
      </c>
      <c r="C157" s="35">
        <f t="shared" si="39"/>
        <v>45757</v>
      </c>
      <c r="D157" s="36">
        <f t="shared" si="29"/>
        <v>0</v>
      </c>
      <c r="E157" s="37">
        <f t="shared" si="34"/>
        <v>0</v>
      </c>
      <c r="F157" s="37">
        <f t="shared" si="40"/>
        <v>0</v>
      </c>
      <c r="G157" s="38">
        <f t="shared" si="35"/>
        <v>0</v>
      </c>
      <c r="H157" s="39">
        <f t="shared" si="30"/>
        <v>0</v>
      </c>
      <c r="I157" s="37">
        <f t="shared" si="41"/>
        <v>0</v>
      </c>
      <c r="J157" s="37">
        <f t="shared" si="36"/>
        <v>0</v>
      </c>
      <c r="K157" s="40">
        <f t="shared" si="37"/>
        <v>0</v>
      </c>
      <c r="L157" s="53"/>
      <c r="M157" s="57"/>
      <c r="N157" s="41">
        <f t="shared" si="31"/>
        <v>7</v>
      </c>
      <c r="O157" s="11">
        <f t="shared" si="38"/>
        <v>24</v>
      </c>
      <c r="P157" s="12">
        <f t="shared" si="32"/>
        <v>0</v>
      </c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x14ac:dyDescent="0.3">
      <c r="A158" s="33">
        <v>151</v>
      </c>
      <c r="B158" s="34" t="str">
        <f t="shared" si="33"/>
        <v>13-й год 7-й мес</v>
      </c>
      <c r="C158" s="35">
        <f t="shared" si="39"/>
        <v>45787</v>
      </c>
      <c r="D158" s="36">
        <f t="shared" si="29"/>
        <v>0</v>
      </c>
      <c r="E158" s="37">
        <f t="shared" si="34"/>
        <v>0</v>
      </c>
      <c r="F158" s="37">
        <f t="shared" si="40"/>
        <v>0</v>
      </c>
      <c r="G158" s="38">
        <f t="shared" si="35"/>
        <v>0</v>
      </c>
      <c r="H158" s="39">
        <f t="shared" si="30"/>
        <v>0</v>
      </c>
      <c r="I158" s="37">
        <f t="shared" si="41"/>
        <v>0</v>
      </c>
      <c r="J158" s="37">
        <f t="shared" si="36"/>
        <v>0</v>
      </c>
      <c r="K158" s="40">
        <f t="shared" si="37"/>
        <v>0</v>
      </c>
      <c r="L158" s="53"/>
      <c r="M158" s="57"/>
      <c r="N158" s="41">
        <f t="shared" si="31"/>
        <v>7</v>
      </c>
      <c r="O158" s="11">
        <f t="shared" si="38"/>
        <v>24</v>
      </c>
      <c r="P158" s="12">
        <f t="shared" si="32"/>
        <v>0</v>
      </c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x14ac:dyDescent="0.3">
      <c r="A159" s="33">
        <v>152</v>
      </c>
      <c r="B159" s="34" t="str">
        <f t="shared" si="33"/>
        <v>13-й год 8-й мес</v>
      </c>
      <c r="C159" s="35">
        <f t="shared" si="39"/>
        <v>45818</v>
      </c>
      <c r="D159" s="36">
        <f t="shared" si="29"/>
        <v>0</v>
      </c>
      <c r="E159" s="37">
        <f t="shared" si="34"/>
        <v>0</v>
      </c>
      <c r="F159" s="37">
        <f t="shared" si="40"/>
        <v>0</v>
      </c>
      <c r="G159" s="38">
        <f t="shared" si="35"/>
        <v>0</v>
      </c>
      <c r="H159" s="39">
        <f t="shared" si="30"/>
        <v>0</v>
      </c>
      <c r="I159" s="37">
        <f t="shared" si="41"/>
        <v>0</v>
      </c>
      <c r="J159" s="37">
        <f t="shared" si="36"/>
        <v>0</v>
      </c>
      <c r="K159" s="40">
        <f t="shared" si="37"/>
        <v>0</v>
      </c>
      <c r="L159" s="53"/>
      <c r="M159" s="57"/>
      <c r="N159" s="41">
        <f t="shared" si="31"/>
        <v>7</v>
      </c>
      <c r="O159" s="11">
        <f t="shared" si="38"/>
        <v>24</v>
      </c>
      <c r="P159" s="12">
        <f t="shared" si="32"/>
        <v>0</v>
      </c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x14ac:dyDescent="0.3">
      <c r="A160" s="33">
        <v>153</v>
      </c>
      <c r="B160" s="34" t="str">
        <f t="shared" si="33"/>
        <v>13-й год 9-й мес</v>
      </c>
      <c r="C160" s="35">
        <f t="shared" si="39"/>
        <v>45848</v>
      </c>
      <c r="D160" s="36">
        <f t="shared" si="29"/>
        <v>0</v>
      </c>
      <c r="E160" s="37">
        <f t="shared" si="34"/>
        <v>0</v>
      </c>
      <c r="F160" s="37">
        <f t="shared" si="40"/>
        <v>0</v>
      </c>
      <c r="G160" s="38">
        <f t="shared" si="35"/>
        <v>0</v>
      </c>
      <c r="H160" s="39">
        <f t="shared" si="30"/>
        <v>0</v>
      </c>
      <c r="I160" s="37">
        <f t="shared" si="41"/>
        <v>0</v>
      </c>
      <c r="J160" s="37">
        <f t="shared" si="36"/>
        <v>0</v>
      </c>
      <c r="K160" s="40">
        <f t="shared" si="37"/>
        <v>0</v>
      </c>
      <c r="L160" s="53"/>
      <c r="M160" s="57"/>
      <c r="N160" s="41">
        <f t="shared" si="31"/>
        <v>7</v>
      </c>
      <c r="O160" s="11">
        <f t="shared" si="38"/>
        <v>24</v>
      </c>
      <c r="P160" s="12">
        <f t="shared" si="32"/>
        <v>0</v>
      </c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x14ac:dyDescent="0.3">
      <c r="A161" s="33">
        <v>154</v>
      </c>
      <c r="B161" s="34" t="str">
        <f t="shared" si="33"/>
        <v>13-й год 10-й мес</v>
      </c>
      <c r="C161" s="35">
        <f t="shared" si="39"/>
        <v>45879</v>
      </c>
      <c r="D161" s="36">
        <f t="shared" si="29"/>
        <v>0</v>
      </c>
      <c r="E161" s="37">
        <f t="shared" si="34"/>
        <v>0</v>
      </c>
      <c r="F161" s="37">
        <f t="shared" si="40"/>
        <v>0</v>
      </c>
      <c r="G161" s="38">
        <f t="shared" si="35"/>
        <v>0</v>
      </c>
      <c r="H161" s="39">
        <f t="shared" si="30"/>
        <v>0</v>
      </c>
      <c r="I161" s="37">
        <f t="shared" si="41"/>
        <v>0</v>
      </c>
      <c r="J161" s="37">
        <f t="shared" si="36"/>
        <v>0</v>
      </c>
      <c r="K161" s="40">
        <f t="shared" si="37"/>
        <v>0</v>
      </c>
      <c r="L161" s="53"/>
      <c r="M161" s="57"/>
      <c r="N161" s="41">
        <f t="shared" si="31"/>
        <v>7</v>
      </c>
      <c r="O161" s="11">
        <f t="shared" si="38"/>
        <v>24</v>
      </c>
      <c r="P161" s="12">
        <f t="shared" si="32"/>
        <v>0</v>
      </c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x14ac:dyDescent="0.3">
      <c r="A162" s="33">
        <v>155</v>
      </c>
      <c r="B162" s="34" t="str">
        <f t="shared" si="33"/>
        <v>13-й год 11-й мес</v>
      </c>
      <c r="C162" s="35">
        <f t="shared" si="39"/>
        <v>45910</v>
      </c>
      <c r="D162" s="36">
        <f t="shared" si="29"/>
        <v>0</v>
      </c>
      <c r="E162" s="37">
        <f t="shared" si="34"/>
        <v>0</v>
      </c>
      <c r="F162" s="37">
        <f t="shared" si="40"/>
        <v>0</v>
      </c>
      <c r="G162" s="38">
        <f t="shared" si="35"/>
        <v>0</v>
      </c>
      <c r="H162" s="39">
        <f t="shared" si="30"/>
        <v>0</v>
      </c>
      <c r="I162" s="37">
        <f t="shared" si="41"/>
        <v>0</v>
      </c>
      <c r="J162" s="37">
        <f t="shared" si="36"/>
        <v>0</v>
      </c>
      <c r="K162" s="40">
        <f t="shared" si="37"/>
        <v>0</v>
      </c>
      <c r="L162" s="53"/>
      <c r="M162" s="57"/>
      <c r="N162" s="41">
        <f t="shared" si="31"/>
        <v>7</v>
      </c>
      <c r="O162" s="11">
        <f t="shared" si="38"/>
        <v>24</v>
      </c>
      <c r="P162" s="12">
        <f t="shared" si="32"/>
        <v>0</v>
      </c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x14ac:dyDescent="0.3">
      <c r="A163" s="33">
        <v>156</v>
      </c>
      <c r="B163" s="34" t="str">
        <f t="shared" si="33"/>
        <v>13-й год 12-й мес</v>
      </c>
      <c r="C163" s="35">
        <f t="shared" si="39"/>
        <v>45940</v>
      </c>
      <c r="D163" s="36">
        <f t="shared" si="29"/>
        <v>0</v>
      </c>
      <c r="E163" s="37">
        <f t="shared" si="34"/>
        <v>0</v>
      </c>
      <c r="F163" s="37">
        <f t="shared" si="40"/>
        <v>0</v>
      </c>
      <c r="G163" s="38">
        <f t="shared" si="35"/>
        <v>0</v>
      </c>
      <c r="H163" s="39">
        <f t="shared" si="30"/>
        <v>0</v>
      </c>
      <c r="I163" s="37">
        <f t="shared" si="41"/>
        <v>0</v>
      </c>
      <c r="J163" s="37">
        <f t="shared" si="36"/>
        <v>0</v>
      </c>
      <c r="K163" s="40">
        <f t="shared" si="37"/>
        <v>0</v>
      </c>
      <c r="L163" s="53"/>
      <c r="M163" s="57"/>
      <c r="N163" s="41">
        <f t="shared" si="31"/>
        <v>7</v>
      </c>
      <c r="O163" s="11">
        <f t="shared" si="38"/>
        <v>24</v>
      </c>
      <c r="P163" s="12">
        <f t="shared" si="32"/>
        <v>0</v>
      </c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x14ac:dyDescent="0.3">
      <c r="A164" s="42">
        <v>157</v>
      </c>
      <c r="B164" s="34" t="str">
        <f t="shared" si="33"/>
        <v>14-й год 1-й мес</v>
      </c>
      <c r="C164" s="35">
        <f t="shared" si="39"/>
        <v>45971</v>
      </c>
      <c r="D164" s="36">
        <f t="shared" si="29"/>
        <v>0</v>
      </c>
      <c r="E164" s="43">
        <f t="shared" si="34"/>
        <v>0</v>
      </c>
      <c r="F164" s="37">
        <f t="shared" si="40"/>
        <v>0</v>
      </c>
      <c r="G164" s="44">
        <f t="shared" si="35"/>
        <v>0</v>
      </c>
      <c r="H164" s="45">
        <f t="shared" si="30"/>
        <v>0</v>
      </c>
      <c r="I164" s="43">
        <f t="shared" si="41"/>
        <v>0</v>
      </c>
      <c r="J164" s="43">
        <f t="shared" si="36"/>
        <v>0</v>
      </c>
      <c r="K164" s="46">
        <f t="shared" si="37"/>
        <v>0</v>
      </c>
      <c r="L164" s="55"/>
      <c r="M164" s="54"/>
      <c r="N164" s="41">
        <f t="shared" si="31"/>
        <v>7</v>
      </c>
      <c r="O164" s="11">
        <f t="shared" si="38"/>
        <v>24</v>
      </c>
      <c r="P164" s="12">
        <f t="shared" si="32"/>
        <v>0</v>
      </c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x14ac:dyDescent="0.3">
      <c r="A165" s="47">
        <v>158</v>
      </c>
      <c r="B165" s="34" t="str">
        <f t="shared" si="33"/>
        <v>14-й год 2-й мес</v>
      </c>
      <c r="C165" s="35">
        <f t="shared" si="39"/>
        <v>46001</v>
      </c>
      <c r="D165" s="36">
        <f t="shared" si="29"/>
        <v>0</v>
      </c>
      <c r="E165" s="37">
        <f t="shared" si="34"/>
        <v>0</v>
      </c>
      <c r="F165" s="37">
        <f t="shared" si="40"/>
        <v>0</v>
      </c>
      <c r="G165" s="38">
        <f t="shared" si="35"/>
        <v>0</v>
      </c>
      <c r="H165" s="39">
        <f t="shared" si="30"/>
        <v>0</v>
      </c>
      <c r="I165" s="37">
        <f t="shared" si="41"/>
        <v>0</v>
      </c>
      <c r="J165" s="37">
        <f t="shared" si="36"/>
        <v>0</v>
      </c>
      <c r="K165" s="40">
        <f t="shared" si="37"/>
        <v>0</v>
      </c>
      <c r="L165" s="53"/>
      <c r="M165" s="57"/>
      <c r="N165" s="41">
        <f t="shared" si="31"/>
        <v>7</v>
      </c>
      <c r="O165" s="11">
        <f t="shared" si="38"/>
        <v>24</v>
      </c>
      <c r="P165" s="12">
        <f t="shared" si="32"/>
        <v>0</v>
      </c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x14ac:dyDescent="0.3">
      <c r="A166" s="47">
        <v>159</v>
      </c>
      <c r="B166" s="34" t="str">
        <f t="shared" si="33"/>
        <v>14-й год 3-й мес</v>
      </c>
      <c r="C166" s="35">
        <f t="shared" si="39"/>
        <v>46032</v>
      </c>
      <c r="D166" s="36">
        <f t="shared" si="29"/>
        <v>0</v>
      </c>
      <c r="E166" s="37">
        <f t="shared" si="34"/>
        <v>0</v>
      </c>
      <c r="F166" s="37">
        <f t="shared" si="40"/>
        <v>0</v>
      </c>
      <c r="G166" s="38">
        <f t="shared" si="35"/>
        <v>0</v>
      </c>
      <c r="H166" s="39">
        <f t="shared" si="30"/>
        <v>0</v>
      </c>
      <c r="I166" s="37">
        <f t="shared" si="41"/>
        <v>0</v>
      </c>
      <c r="J166" s="37">
        <f t="shared" si="36"/>
        <v>0</v>
      </c>
      <c r="K166" s="40">
        <f t="shared" si="37"/>
        <v>0</v>
      </c>
      <c r="L166" s="53"/>
      <c r="M166" s="57"/>
      <c r="N166" s="41">
        <f t="shared" si="31"/>
        <v>7</v>
      </c>
      <c r="O166" s="11">
        <f t="shared" si="38"/>
        <v>24</v>
      </c>
      <c r="P166" s="12">
        <f t="shared" si="32"/>
        <v>0</v>
      </c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x14ac:dyDescent="0.3">
      <c r="A167" s="47">
        <v>160</v>
      </c>
      <c r="B167" s="34" t="str">
        <f t="shared" si="33"/>
        <v>14-й год 4-й мес</v>
      </c>
      <c r="C167" s="35">
        <f t="shared" si="39"/>
        <v>46063</v>
      </c>
      <c r="D167" s="36">
        <f t="shared" si="29"/>
        <v>0</v>
      </c>
      <c r="E167" s="37">
        <f t="shared" si="34"/>
        <v>0</v>
      </c>
      <c r="F167" s="37">
        <f t="shared" si="40"/>
        <v>0</v>
      </c>
      <c r="G167" s="38">
        <f t="shared" si="35"/>
        <v>0</v>
      </c>
      <c r="H167" s="39">
        <f t="shared" si="30"/>
        <v>0</v>
      </c>
      <c r="I167" s="37">
        <f t="shared" si="41"/>
        <v>0</v>
      </c>
      <c r="J167" s="37">
        <f t="shared" si="36"/>
        <v>0</v>
      </c>
      <c r="K167" s="40">
        <f t="shared" si="37"/>
        <v>0</v>
      </c>
      <c r="L167" s="53"/>
      <c r="M167" s="57"/>
      <c r="N167" s="41">
        <f t="shared" si="31"/>
        <v>7</v>
      </c>
      <c r="O167" s="11">
        <f t="shared" si="38"/>
        <v>24</v>
      </c>
      <c r="P167" s="12">
        <f t="shared" si="32"/>
        <v>0</v>
      </c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x14ac:dyDescent="0.3">
      <c r="A168" s="47">
        <v>161</v>
      </c>
      <c r="B168" s="34" t="str">
        <f t="shared" si="33"/>
        <v>14-й год 5-й мес</v>
      </c>
      <c r="C168" s="35">
        <f t="shared" si="39"/>
        <v>46091</v>
      </c>
      <c r="D168" s="36">
        <f t="shared" si="29"/>
        <v>0</v>
      </c>
      <c r="E168" s="37">
        <f t="shared" si="34"/>
        <v>0</v>
      </c>
      <c r="F168" s="37">
        <f t="shared" si="40"/>
        <v>0</v>
      </c>
      <c r="G168" s="38">
        <f t="shared" si="35"/>
        <v>0</v>
      </c>
      <c r="H168" s="39">
        <f t="shared" si="30"/>
        <v>0</v>
      </c>
      <c r="I168" s="37">
        <f t="shared" si="41"/>
        <v>0</v>
      </c>
      <c r="J168" s="37">
        <f t="shared" si="36"/>
        <v>0</v>
      </c>
      <c r="K168" s="40">
        <f t="shared" si="37"/>
        <v>0</v>
      </c>
      <c r="L168" s="53"/>
      <c r="M168" s="57"/>
      <c r="N168" s="41">
        <f t="shared" si="31"/>
        <v>7</v>
      </c>
      <c r="O168" s="11">
        <f t="shared" si="38"/>
        <v>24</v>
      </c>
      <c r="P168" s="12">
        <f t="shared" si="32"/>
        <v>0</v>
      </c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x14ac:dyDescent="0.3">
      <c r="A169" s="47">
        <v>162</v>
      </c>
      <c r="B169" s="34" t="str">
        <f t="shared" si="33"/>
        <v>14-й год 6-й мес</v>
      </c>
      <c r="C169" s="35">
        <f t="shared" si="39"/>
        <v>46122</v>
      </c>
      <c r="D169" s="36">
        <f t="shared" si="29"/>
        <v>0</v>
      </c>
      <c r="E169" s="37">
        <f t="shared" si="34"/>
        <v>0</v>
      </c>
      <c r="F169" s="37">
        <f t="shared" si="40"/>
        <v>0</v>
      </c>
      <c r="G169" s="38">
        <f t="shared" si="35"/>
        <v>0</v>
      </c>
      <c r="H169" s="39">
        <f t="shared" si="30"/>
        <v>0</v>
      </c>
      <c r="I169" s="37">
        <f t="shared" si="41"/>
        <v>0</v>
      </c>
      <c r="J169" s="37">
        <f t="shared" si="36"/>
        <v>0</v>
      </c>
      <c r="K169" s="40">
        <f t="shared" si="37"/>
        <v>0</v>
      </c>
      <c r="L169" s="53"/>
      <c r="M169" s="57"/>
      <c r="N169" s="41">
        <f t="shared" si="31"/>
        <v>7</v>
      </c>
      <c r="O169" s="11">
        <f t="shared" si="38"/>
        <v>24</v>
      </c>
      <c r="P169" s="12">
        <f t="shared" si="32"/>
        <v>0</v>
      </c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x14ac:dyDescent="0.3">
      <c r="A170" s="47">
        <v>163</v>
      </c>
      <c r="B170" s="34" t="str">
        <f t="shared" si="33"/>
        <v>14-й год 7-й мес</v>
      </c>
      <c r="C170" s="35">
        <f t="shared" si="39"/>
        <v>46152</v>
      </c>
      <c r="D170" s="36">
        <f t="shared" si="29"/>
        <v>0</v>
      </c>
      <c r="E170" s="37">
        <f t="shared" si="34"/>
        <v>0</v>
      </c>
      <c r="F170" s="37">
        <f t="shared" si="40"/>
        <v>0</v>
      </c>
      <c r="G170" s="38">
        <f t="shared" si="35"/>
        <v>0</v>
      </c>
      <c r="H170" s="39">
        <f t="shared" si="30"/>
        <v>0</v>
      </c>
      <c r="I170" s="37">
        <f t="shared" si="41"/>
        <v>0</v>
      </c>
      <c r="J170" s="37">
        <f t="shared" si="36"/>
        <v>0</v>
      </c>
      <c r="K170" s="40">
        <f t="shared" si="37"/>
        <v>0</v>
      </c>
      <c r="L170" s="53"/>
      <c r="M170" s="57"/>
      <c r="N170" s="41">
        <f t="shared" si="31"/>
        <v>7</v>
      </c>
      <c r="O170" s="11">
        <f t="shared" si="38"/>
        <v>24</v>
      </c>
      <c r="P170" s="12">
        <f t="shared" si="32"/>
        <v>0</v>
      </c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x14ac:dyDescent="0.3">
      <c r="A171" s="47">
        <v>164</v>
      </c>
      <c r="B171" s="34" t="str">
        <f t="shared" si="33"/>
        <v>14-й год 8-й мес</v>
      </c>
      <c r="C171" s="35">
        <f t="shared" si="39"/>
        <v>46183</v>
      </c>
      <c r="D171" s="36">
        <f t="shared" si="29"/>
        <v>0</v>
      </c>
      <c r="E171" s="37">
        <f t="shared" si="34"/>
        <v>0</v>
      </c>
      <c r="F171" s="37">
        <f t="shared" si="40"/>
        <v>0</v>
      </c>
      <c r="G171" s="38">
        <f t="shared" si="35"/>
        <v>0</v>
      </c>
      <c r="H171" s="39">
        <f t="shared" si="30"/>
        <v>0</v>
      </c>
      <c r="I171" s="37">
        <f t="shared" si="41"/>
        <v>0</v>
      </c>
      <c r="J171" s="37">
        <f t="shared" si="36"/>
        <v>0</v>
      </c>
      <c r="K171" s="40">
        <f t="shared" si="37"/>
        <v>0</v>
      </c>
      <c r="L171" s="53"/>
      <c r="M171" s="57"/>
      <c r="N171" s="41">
        <f t="shared" si="31"/>
        <v>7</v>
      </c>
      <c r="O171" s="11">
        <f t="shared" si="38"/>
        <v>24</v>
      </c>
      <c r="P171" s="12">
        <f t="shared" si="32"/>
        <v>0</v>
      </c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x14ac:dyDescent="0.3">
      <c r="A172" s="47">
        <v>165</v>
      </c>
      <c r="B172" s="34" t="str">
        <f t="shared" si="33"/>
        <v>14-й год 9-й мес</v>
      </c>
      <c r="C172" s="35">
        <f t="shared" si="39"/>
        <v>46213</v>
      </c>
      <c r="D172" s="36">
        <f t="shared" si="29"/>
        <v>0</v>
      </c>
      <c r="E172" s="37">
        <f t="shared" si="34"/>
        <v>0</v>
      </c>
      <c r="F172" s="37">
        <f t="shared" si="40"/>
        <v>0</v>
      </c>
      <c r="G172" s="38">
        <f t="shared" si="35"/>
        <v>0</v>
      </c>
      <c r="H172" s="39">
        <f t="shared" si="30"/>
        <v>0</v>
      </c>
      <c r="I172" s="37">
        <f t="shared" si="41"/>
        <v>0</v>
      </c>
      <c r="J172" s="37">
        <f t="shared" si="36"/>
        <v>0</v>
      </c>
      <c r="K172" s="40">
        <f t="shared" si="37"/>
        <v>0</v>
      </c>
      <c r="L172" s="53"/>
      <c r="M172" s="57"/>
      <c r="N172" s="41">
        <f t="shared" si="31"/>
        <v>7</v>
      </c>
      <c r="O172" s="11">
        <f t="shared" si="38"/>
        <v>24</v>
      </c>
      <c r="P172" s="12">
        <f t="shared" si="32"/>
        <v>0</v>
      </c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x14ac:dyDescent="0.3">
      <c r="A173" s="47">
        <v>166</v>
      </c>
      <c r="B173" s="34" t="str">
        <f t="shared" si="33"/>
        <v>14-й год 10-й мес</v>
      </c>
      <c r="C173" s="35">
        <f t="shared" si="39"/>
        <v>46244</v>
      </c>
      <c r="D173" s="36">
        <f t="shared" si="29"/>
        <v>0</v>
      </c>
      <c r="E173" s="37">
        <f t="shared" si="34"/>
        <v>0</v>
      </c>
      <c r="F173" s="37">
        <f t="shared" si="40"/>
        <v>0</v>
      </c>
      <c r="G173" s="38">
        <f t="shared" si="35"/>
        <v>0</v>
      </c>
      <c r="H173" s="39">
        <f t="shared" si="30"/>
        <v>0</v>
      </c>
      <c r="I173" s="37">
        <f t="shared" si="41"/>
        <v>0</v>
      </c>
      <c r="J173" s="37">
        <f t="shared" si="36"/>
        <v>0</v>
      </c>
      <c r="K173" s="40">
        <f t="shared" si="37"/>
        <v>0</v>
      </c>
      <c r="L173" s="53"/>
      <c r="M173" s="57"/>
      <c r="N173" s="41">
        <f t="shared" si="31"/>
        <v>7</v>
      </c>
      <c r="O173" s="11">
        <f t="shared" si="38"/>
        <v>24</v>
      </c>
      <c r="P173" s="12">
        <f t="shared" si="32"/>
        <v>0</v>
      </c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x14ac:dyDescent="0.3">
      <c r="A174" s="47">
        <v>167</v>
      </c>
      <c r="B174" s="34" t="str">
        <f t="shared" si="33"/>
        <v>14-й год 11-й мес</v>
      </c>
      <c r="C174" s="35">
        <f t="shared" si="39"/>
        <v>46275</v>
      </c>
      <c r="D174" s="36">
        <f t="shared" si="29"/>
        <v>0</v>
      </c>
      <c r="E174" s="37">
        <f t="shared" si="34"/>
        <v>0</v>
      </c>
      <c r="F174" s="37">
        <f t="shared" si="40"/>
        <v>0</v>
      </c>
      <c r="G174" s="38">
        <f t="shared" si="35"/>
        <v>0</v>
      </c>
      <c r="H174" s="39">
        <f t="shared" si="30"/>
        <v>0</v>
      </c>
      <c r="I174" s="37">
        <f t="shared" si="41"/>
        <v>0</v>
      </c>
      <c r="J174" s="37">
        <f t="shared" si="36"/>
        <v>0</v>
      </c>
      <c r="K174" s="40">
        <f t="shared" si="37"/>
        <v>0</v>
      </c>
      <c r="L174" s="53"/>
      <c r="M174" s="57"/>
      <c r="N174" s="41">
        <f t="shared" si="31"/>
        <v>7</v>
      </c>
      <c r="O174" s="11">
        <f t="shared" si="38"/>
        <v>24</v>
      </c>
      <c r="P174" s="12">
        <f t="shared" si="32"/>
        <v>0</v>
      </c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x14ac:dyDescent="0.3">
      <c r="A175" s="48">
        <v>168</v>
      </c>
      <c r="B175" s="34" t="str">
        <f t="shared" si="33"/>
        <v>14-й год 12-й мес</v>
      </c>
      <c r="C175" s="35">
        <f t="shared" si="39"/>
        <v>46305</v>
      </c>
      <c r="D175" s="36">
        <f t="shared" si="29"/>
        <v>0</v>
      </c>
      <c r="E175" s="49">
        <f t="shared" si="34"/>
        <v>0</v>
      </c>
      <c r="F175" s="37">
        <f t="shared" si="40"/>
        <v>0</v>
      </c>
      <c r="G175" s="50">
        <f t="shared" si="35"/>
        <v>0</v>
      </c>
      <c r="H175" s="51">
        <f t="shared" si="30"/>
        <v>0</v>
      </c>
      <c r="I175" s="49">
        <f t="shared" si="41"/>
        <v>0</v>
      </c>
      <c r="J175" s="49">
        <f t="shared" si="36"/>
        <v>0</v>
      </c>
      <c r="K175" s="52">
        <f t="shared" si="37"/>
        <v>0</v>
      </c>
      <c r="L175" s="56"/>
      <c r="M175" s="58"/>
      <c r="N175" s="41">
        <f t="shared" si="31"/>
        <v>7</v>
      </c>
      <c r="O175" s="11">
        <f t="shared" si="38"/>
        <v>24</v>
      </c>
      <c r="P175" s="12">
        <f t="shared" si="32"/>
        <v>0</v>
      </c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x14ac:dyDescent="0.3">
      <c r="A176" s="33">
        <v>169</v>
      </c>
      <c r="B176" s="34" t="str">
        <f t="shared" si="33"/>
        <v>15-й год 1-й мес</v>
      </c>
      <c r="C176" s="35">
        <f t="shared" si="39"/>
        <v>46336</v>
      </c>
      <c r="D176" s="36">
        <f t="shared" si="29"/>
        <v>0</v>
      </c>
      <c r="E176" s="37">
        <f t="shared" si="34"/>
        <v>0</v>
      </c>
      <c r="F176" s="37">
        <f t="shared" si="40"/>
        <v>0</v>
      </c>
      <c r="G176" s="38">
        <f t="shared" si="35"/>
        <v>0</v>
      </c>
      <c r="H176" s="39">
        <f t="shared" si="30"/>
        <v>0</v>
      </c>
      <c r="I176" s="37">
        <f t="shared" si="41"/>
        <v>0</v>
      </c>
      <c r="J176" s="37">
        <f t="shared" si="36"/>
        <v>0</v>
      </c>
      <c r="K176" s="40">
        <f t="shared" si="37"/>
        <v>0</v>
      </c>
      <c r="L176" s="53"/>
      <c r="M176" s="57"/>
      <c r="N176" s="41">
        <f t="shared" si="31"/>
        <v>7</v>
      </c>
      <c r="O176" s="11">
        <f t="shared" si="38"/>
        <v>24</v>
      </c>
      <c r="P176" s="12">
        <f t="shared" si="32"/>
        <v>0</v>
      </c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x14ac:dyDescent="0.3">
      <c r="A177" s="33">
        <v>170</v>
      </c>
      <c r="B177" s="34" t="str">
        <f t="shared" si="33"/>
        <v>15-й год 2-й мес</v>
      </c>
      <c r="C177" s="35">
        <f t="shared" si="39"/>
        <v>46366</v>
      </c>
      <c r="D177" s="36">
        <f t="shared" si="29"/>
        <v>0</v>
      </c>
      <c r="E177" s="37">
        <f t="shared" si="34"/>
        <v>0</v>
      </c>
      <c r="F177" s="37">
        <f t="shared" si="40"/>
        <v>0</v>
      </c>
      <c r="G177" s="38">
        <f t="shared" si="35"/>
        <v>0</v>
      </c>
      <c r="H177" s="39">
        <f t="shared" si="30"/>
        <v>0</v>
      </c>
      <c r="I177" s="37">
        <f t="shared" si="41"/>
        <v>0</v>
      </c>
      <c r="J177" s="37">
        <f t="shared" si="36"/>
        <v>0</v>
      </c>
      <c r="K177" s="40">
        <f t="shared" si="37"/>
        <v>0</v>
      </c>
      <c r="L177" s="53"/>
      <c r="M177" s="57"/>
      <c r="N177" s="41">
        <f t="shared" si="31"/>
        <v>7</v>
      </c>
      <c r="O177" s="11">
        <f t="shared" si="38"/>
        <v>24</v>
      </c>
      <c r="P177" s="12">
        <f t="shared" si="32"/>
        <v>0</v>
      </c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x14ac:dyDescent="0.3">
      <c r="A178" s="33">
        <v>171</v>
      </c>
      <c r="B178" s="34" t="str">
        <f t="shared" si="33"/>
        <v>15-й год 3-й мес</v>
      </c>
      <c r="C178" s="35">
        <f t="shared" si="39"/>
        <v>46397</v>
      </c>
      <c r="D178" s="36">
        <f t="shared" si="29"/>
        <v>0</v>
      </c>
      <c r="E178" s="37">
        <f t="shared" si="34"/>
        <v>0</v>
      </c>
      <c r="F178" s="37">
        <f t="shared" si="40"/>
        <v>0</v>
      </c>
      <c r="G178" s="38">
        <f t="shared" si="35"/>
        <v>0</v>
      </c>
      <c r="H178" s="39">
        <f t="shared" si="30"/>
        <v>0</v>
      </c>
      <c r="I178" s="37">
        <f t="shared" si="41"/>
        <v>0</v>
      </c>
      <c r="J178" s="37">
        <f t="shared" si="36"/>
        <v>0</v>
      </c>
      <c r="K178" s="40">
        <f t="shared" si="37"/>
        <v>0</v>
      </c>
      <c r="L178" s="53"/>
      <c r="M178" s="57"/>
      <c r="N178" s="41">
        <f t="shared" si="31"/>
        <v>7</v>
      </c>
      <c r="O178" s="11">
        <f t="shared" si="38"/>
        <v>24</v>
      </c>
      <c r="P178" s="12">
        <f t="shared" si="32"/>
        <v>0</v>
      </c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x14ac:dyDescent="0.3">
      <c r="A179" s="33">
        <v>172</v>
      </c>
      <c r="B179" s="34" t="str">
        <f t="shared" si="33"/>
        <v>15-й год 4-й мес</v>
      </c>
      <c r="C179" s="35">
        <f t="shared" si="39"/>
        <v>46428</v>
      </c>
      <c r="D179" s="36">
        <f t="shared" si="29"/>
        <v>0</v>
      </c>
      <c r="E179" s="37">
        <f t="shared" si="34"/>
        <v>0</v>
      </c>
      <c r="F179" s="37">
        <f t="shared" si="40"/>
        <v>0</v>
      </c>
      <c r="G179" s="38">
        <f t="shared" si="35"/>
        <v>0</v>
      </c>
      <c r="H179" s="39">
        <f t="shared" si="30"/>
        <v>0</v>
      </c>
      <c r="I179" s="37">
        <f t="shared" si="41"/>
        <v>0</v>
      </c>
      <c r="J179" s="37">
        <f t="shared" si="36"/>
        <v>0</v>
      </c>
      <c r="K179" s="40">
        <f t="shared" si="37"/>
        <v>0</v>
      </c>
      <c r="L179" s="53"/>
      <c r="M179" s="57"/>
      <c r="N179" s="41">
        <f t="shared" si="31"/>
        <v>7</v>
      </c>
      <c r="O179" s="11">
        <f t="shared" si="38"/>
        <v>24</v>
      </c>
      <c r="P179" s="12">
        <f t="shared" si="32"/>
        <v>0</v>
      </c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x14ac:dyDescent="0.3">
      <c r="A180" s="33">
        <v>173</v>
      </c>
      <c r="B180" s="34" t="str">
        <f t="shared" si="33"/>
        <v>15-й год 5-й мес</v>
      </c>
      <c r="C180" s="35">
        <f t="shared" si="39"/>
        <v>46456</v>
      </c>
      <c r="D180" s="36">
        <f t="shared" si="29"/>
        <v>0</v>
      </c>
      <c r="E180" s="37">
        <f t="shared" si="34"/>
        <v>0</v>
      </c>
      <c r="F180" s="37">
        <f t="shared" si="40"/>
        <v>0</v>
      </c>
      <c r="G180" s="38">
        <f t="shared" si="35"/>
        <v>0</v>
      </c>
      <c r="H180" s="39">
        <f t="shared" si="30"/>
        <v>0</v>
      </c>
      <c r="I180" s="37">
        <f t="shared" si="41"/>
        <v>0</v>
      </c>
      <c r="J180" s="37">
        <f t="shared" si="36"/>
        <v>0</v>
      </c>
      <c r="K180" s="40">
        <f t="shared" si="37"/>
        <v>0</v>
      </c>
      <c r="L180" s="53"/>
      <c r="M180" s="57"/>
      <c r="N180" s="41">
        <f t="shared" si="31"/>
        <v>7</v>
      </c>
      <c r="O180" s="11">
        <f t="shared" si="38"/>
        <v>24</v>
      </c>
      <c r="P180" s="12">
        <f t="shared" si="32"/>
        <v>0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x14ac:dyDescent="0.3">
      <c r="A181" s="33">
        <v>174</v>
      </c>
      <c r="B181" s="34" t="str">
        <f t="shared" si="33"/>
        <v>15-й год 6-й мес</v>
      </c>
      <c r="C181" s="35">
        <f t="shared" si="39"/>
        <v>46487</v>
      </c>
      <c r="D181" s="36">
        <f t="shared" si="29"/>
        <v>0</v>
      </c>
      <c r="E181" s="37">
        <f t="shared" si="34"/>
        <v>0</v>
      </c>
      <c r="F181" s="37">
        <f t="shared" si="40"/>
        <v>0</v>
      </c>
      <c r="G181" s="38">
        <f t="shared" si="35"/>
        <v>0</v>
      </c>
      <c r="H181" s="39">
        <f t="shared" si="30"/>
        <v>0</v>
      </c>
      <c r="I181" s="37">
        <f t="shared" si="41"/>
        <v>0</v>
      </c>
      <c r="J181" s="37">
        <f t="shared" si="36"/>
        <v>0</v>
      </c>
      <c r="K181" s="40">
        <f t="shared" si="37"/>
        <v>0</v>
      </c>
      <c r="L181" s="53"/>
      <c r="M181" s="57"/>
      <c r="N181" s="41">
        <f t="shared" si="31"/>
        <v>7</v>
      </c>
      <c r="O181" s="11">
        <f t="shared" si="38"/>
        <v>24</v>
      </c>
      <c r="P181" s="12">
        <f t="shared" si="32"/>
        <v>0</v>
      </c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x14ac:dyDescent="0.3">
      <c r="A182" s="33">
        <v>175</v>
      </c>
      <c r="B182" s="34" t="str">
        <f t="shared" si="33"/>
        <v>15-й год 7-й мес</v>
      </c>
      <c r="C182" s="35">
        <f t="shared" si="39"/>
        <v>46517</v>
      </c>
      <c r="D182" s="36">
        <f t="shared" si="29"/>
        <v>0</v>
      </c>
      <c r="E182" s="37">
        <f t="shared" si="34"/>
        <v>0</v>
      </c>
      <c r="F182" s="37">
        <f t="shared" si="40"/>
        <v>0</v>
      </c>
      <c r="G182" s="38">
        <f t="shared" si="35"/>
        <v>0</v>
      </c>
      <c r="H182" s="39">
        <f t="shared" si="30"/>
        <v>0</v>
      </c>
      <c r="I182" s="37">
        <f t="shared" si="41"/>
        <v>0</v>
      </c>
      <c r="J182" s="37">
        <f t="shared" si="36"/>
        <v>0</v>
      </c>
      <c r="K182" s="40">
        <f t="shared" si="37"/>
        <v>0</v>
      </c>
      <c r="L182" s="53"/>
      <c r="M182" s="57"/>
      <c r="N182" s="41">
        <f t="shared" si="31"/>
        <v>7</v>
      </c>
      <c r="O182" s="11">
        <f t="shared" si="38"/>
        <v>24</v>
      </c>
      <c r="P182" s="12">
        <f t="shared" si="32"/>
        <v>0</v>
      </c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x14ac:dyDescent="0.3">
      <c r="A183" s="33">
        <v>176</v>
      </c>
      <c r="B183" s="34" t="str">
        <f t="shared" si="33"/>
        <v>15-й год 8-й мес</v>
      </c>
      <c r="C183" s="35">
        <f t="shared" si="39"/>
        <v>46548</v>
      </c>
      <c r="D183" s="36">
        <f t="shared" si="29"/>
        <v>0</v>
      </c>
      <c r="E183" s="37">
        <f t="shared" si="34"/>
        <v>0</v>
      </c>
      <c r="F183" s="37">
        <f t="shared" si="40"/>
        <v>0</v>
      </c>
      <c r="G183" s="38">
        <f t="shared" si="35"/>
        <v>0</v>
      </c>
      <c r="H183" s="39">
        <f t="shared" si="30"/>
        <v>0</v>
      </c>
      <c r="I183" s="37">
        <f t="shared" si="41"/>
        <v>0</v>
      </c>
      <c r="J183" s="37">
        <f t="shared" si="36"/>
        <v>0</v>
      </c>
      <c r="K183" s="40">
        <f t="shared" si="37"/>
        <v>0</v>
      </c>
      <c r="L183" s="53"/>
      <c r="M183" s="57"/>
      <c r="N183" s="41">
        <f t="shared" si="31"/>
        <v>7</v>
      </c>
      <c r="O183" s="11">
        <f t="shared" si="38"/>
        <v>24</v>
      </c>
      <c r="P183" s="12">
        <f t="shared" si="32"/>
        <v>0</v>
      </c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x14ac:dyDescent="0.3">
      <c r="A184" s="33">
        <v>177</v>
      </c>
      <c r="B184" s="34" t="str">
        <f t="shared" si="33"/>
        <v>15-й год 9-й мес</v>
      </c>
      <c r="C184" s="35">
        <f t="shared" si="39"/>
        <v>46578</v>
      </c>
      <c r="D184" s="36">
        <f t="shared" si="29"/>
        <v>0</v>
      </c>
      <c r="E184" s="37">
        <f t="shared" si="34"/>
        <v>0</v>
      </c>
      <c r="F184" s="37">
        <f t="shared" si="40"/>
        <v>0</v>
      </c>
      <c r="G184" s="38">
        <f t="shared" si="35"/>
        <v>0</v>
      </c>
      <c r="H184" s="39">
        <f t="shared" si="30"/>
        <v>0</v>
      </c>
      <c r="I184" s="37">
        <f t="shared" si="41"/>
        <v>0</v>
      </c>
      <c r="J184" s="37">
        <f t="shared" si="36"/>
        <v>0</v>
      </c>
      <c r="K184" s="40">
        <f t="shared" si="37"/>
        <v>0</v>
      </c>
      <c r="L184" s="53"/>
      <c r="M184" s="57"/>
      <c r="N184" s="41">
        <f t="shared" si="31"/>
        <v>7</v>
      </c>
      <c r="O184" s="11">
        <f t="shared" si="38"/>
        <v>24</v>
      </c>
      <c r="P184" s="12">
        <f t="shared" si="32"/>
        <v>0</v>
      </c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x14ac:dyDescent="0.3">
      <c r="A185" s="33">
        <v>178</v>
      </c>
      <c r="B185" s="34" t="str">
        <f t="shared" si="33"/>
        <v>15-й год 10-й мес</v>
      </c>
      <c r="C185" s="35">
        <f t="shared" si="39"/>
        <v>46609</v>
      </c>
      <c r="D185" s="36">
        <f t="shared" si="29"/>
        <v>0</v>
      </c>
      <c r="E185" s="37">
        <f t="shared" si="34"/>
        <v>0</v>
      </c>
      <c r="F185" s="37">
        <f t="shared" si="40"/>
        <v>0</v>
      </c>
      <c r="G185" s="38">
        <f t="shared" si="35"/>
        <v>0</v>
      </c>
      <c r="H185" s="39">
        <f t="shared" si="30"/>
        <v>0</v>
      </c>
      <c r="I185" s="37">
        <f t="shared" si="41"/>
        <v>0</v>
      </c>
      <c r="J185" s="37">
        <f t="shared" si="36"/>
        <v>0</v>
      </c>
      <c r="K185" s="40">
        <f t="shared" si="37"/>
        <v>0</v>
      </c>
      <c r="L185" s="53"/>
      <c r="M185" s="57"/>
      <c r="N185" s="41">
        <f t="shared" si="31"/>
        <v>7</v>
      </c>
      <c r="O185" s="11">
        <f t="shared" si="38"/>
        <v>24</v>
      </c>
      <c r="P185" s="12">
        <f t="shared" si="32"/>
        <v>0</v>
      </c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x14ac:dyDescent="0.3">
      <c r="A186" s="33">
        <v>179</v>
      </c>
      <c r="B186" s="34" t="str">
        <f t="shared" si="33"/>
        <v>15-й год 11-й мес</v>
      </c>
      <c r="C186" s="35">
        <f t="shared" si="39"/>
        <v>46640</v>
      </c>
      <c r="D186" s="36">
        <f t="shared" si="29"/>
        <v>0</v>
      </c>
      <c r="E186" s="37">
        <f t="shared" si="34"/>
        <v>0</v>
      </c>
      <c r="F186" s="37">
        <f t="shared" si="40"/>
        <v>0</v>
      </c>
      <c r="G186" s="38">
        <f t="shared" si="35"/>
        <v>0</v>
      </c>
      <c r="H186" s="39">
        <f t="shared" si="30"/>
        <v>0</v>
      </c>
      <c r="I186" s="37">
        <f t="shared" si="41"/>
        <v>0</v>
      </c>
      <c r="J186" s="37">
        <f t="shared" si="36"/>
        <v>0</v>
      </c>
      <c r="K186" s="40">
        <f t="shared" si="37"/>
        <v>0</v>
      </c>
      <c r="L186" s="53"/>
      <c r="M186" s="57"/>
      <c r="N186" s="41">
        <f t="shared" si="31"/>
        <v>7</v>
      </c>
      <c r="O186" s="11">
        <f t="shared" si="38"/>
        <v>24</v>
      </c>
      <c r="P186" s="12">
        <f t="shared" si="32"/>
        <v>0</v>
      </c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x14ac:dyDescent="0.3">
      <c r="A187" s="33">
        <v>180</v>
      </c>
      <c r="B187" s="34" t="str">
        <f t="shared" si="33"/>
        <v>15-й год 12-й мес</v>
      </c>
      <c r="C187" s="35">
        <f t="shared" si="39"/>
        <v>46670</v>
      </c>
      <c r="D187" s="36">
        <f t="shared" si="29"/>
        <v>0</v>
      </c>
      <c r="E187" s="37">
        <f t="shared" si="34"/>
        <v>0</v>
      </c>
      <c r="F187" s="37">
        <f t="shared" si="40"/>
        <v>0</v>
      </c>
      <c r="G187" s="38">
        <f t="shared" si="35"/>
        <v>0</v>
      </c>
      <c r="H187" s="39">
        <f t="shared" si="30"/>
        <v>0</v>
      </c>
      <c r="I187" s="37">
        <f t="shared" si="41"/>
        <v>0</v>
      </c>
      <c r="J187" s="37">
        <f t="shared" si="36"/>
        <v>0</v>
      </c>
      <c r="K187" s="40">
        <f t="shared" si="37"/>
        <v>0</v>
      </c>
      <c r="L187" s="53"/>
      <c r="M187" s="57"/>
      <c r="N187" s="41">
        <f t="shared" si="31"/>
        <v>7</v>
      </c>
      <c r="O187" s="11">
        <f t="shared" si="38"/>
        <v>24</v>
      </c>
      <c r="P187" s="12">
        <f t="shared" si="32"/>
        <v>0</v>
      </c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x14ac:dyDescent="0.3">
      <c r="A188" s="42">
        <v>181</v>
      </c>
      <c r="B188" s="34" t="str">
        <f t="shared" si="33"/>
        <v>16-й год 1-й мес</v>
      </c>
      <c r="C188" s="35">
        <f t="shared" si="39"/>
        <v>46701</v>
      </c>
      <c r="D188" s="36">
        <f t="shared" si="29"/>
        <v>0</v>
      </c>
      <c r="E188" s="43">
        <f t="shared" si="34"/>
        <v>0</v>
      </c>
      <c r="F188" s="37">
        <f t="shared" si="40"/>
        <v>0</v>
      </c>
      <c r="G188" s="44">
        <f t="shared" si="35"/>
        <v>0</v>
      </c>
      <c r="H188" s="45">
        <f t="shared" si="30"/>
        <v>0</v>
      </c>
      <c r="I188" s="43">
        <f t="shared" si="41"/>
        <v>0</v>
      </c>
      <c r="J188" s="43">
        <f t="shared" si="36"/>
        <v>0</v>
      </c>
      <c r="K188" s="46">
        <f t="shared" si="37"/>
        <v>0</v>
      </c>
      <c r="L188" s="55"/>
      <c r="M188" s="54"/>
      <c r="N188" s="41">
        <f t="shared" si="31"/>
        <v>7</v>
      </c>
      <c r="O188" s="11">
        <f t="shared" si="38"/>
        <v>24</v>
      </c>
      <c r="P188" s="12">
        <f t="shared" si="32"/>
        <v>0</v>
      </c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x14ac:dyDescent="0.3">
      <c r="A189" s="47">
        <v>182</v>
      </c>
      <c r="B189" s="34" t="str">
        <f t="shared" si="33"/>
        <v>16-й год 2-й мес</v>
      </c>
      <c r="C189" s="35">
        <f t="shared" si="39"/>
        <v>46731</v>
      </c>
      <c r="D189" s="36">
        <f t="shared" si="29"/>
        <v>0</v>
      </c>
      <c r="E189" s="37">
        <f t="shared" si="34"/>
        <v>0</v>
      </c>
      <c r="F189" s="37">
        <f t="shared" si="40"/>
        <v>0</v>
      </c>
      <c r="G189" s="38">
        <f t="shared" si="35"/>
        <v>0</v>
      </c>
      <c r="H189" s="39">
        <f t="shared" si="30"/>
        <v>0</v>
      </c>
      <c r="I189" s="37">
        <f t="shared" si="41"/>
        <v>0</v>
      </c>
      <c r="J189" s="37">
        <f t="shared" si="36"/>
        <v>0</v>
      </c>
      <c r="K189" s="40">
        <f t="shared" si="37"/>
        <v>0</v>
      </c>
      <c r="L189" s="53"/>
      <c r="M189" s="57"/>
      <c r="N189" s="41">
        <f t="shared" si="31"/>
        <v>7</v>
      </c>
      <c r="O189" s="11">
        <f t="shared" si="38"/>
        <v>24</v>
      </c>
      <c r="P189" s="12">
        <f t="shared" si="32"/>
        <v>0</v>
      </c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x14ac:dyDescent="0.3">
      <c r="A190" s="47">
        <v>183</v>
      </c>
      <c r="B190" s="34" t="str">
        <f t="shared" si="33"/>
        <v>16-й год 3-й мес</v>
      </c>
      <c r="C190" s="35">
        <f t="shared" si="39"/>
        <v>46762</v>
      </c>
      <c r="D190" s="36">
        <f t="shared" si="29"/>
        <v>0</v>
      </c>
      <c r="E190" s="37">
        <f t="shared" si="34"/>
        <v>0</v>
      </c>
      <c r="F190" s="37">
        <f t="shared" si="40"/>
        <v>0</v>
      </c>
      <c r="G190" s="38">
        <f t="shared" si="35"/>
        <v>0</v>
      </c>
      <c r="H190" s="39">
        <f t="shared" si="30"/>
        <v>0</v>
      </c>
      <c r="I190" s="37">
        <f t="shared" si="41"/>
        <v>0</v>
      </c>
      <c r="J190" s="37">
        <f t="shared" si="36"/>
        <v>0</v>
      </c>
      <c r="K190" s="40">
        <f t="shared" si="37"/>
        <v>0</v>
      </c>
      <c r="L190" s="53"/>
      <c r="M190" s="57"/>
      <c r="N190" s="41">
        <f t="shared" si="31"/>
        <v>7</v>
      </c>
      <c r="O190" s="11">
        <f t="shared" si="38"/>
        <v>24</v>
      </c>
      <c r="P190" s="12">
        <f t="shared" si="32"/>
        <v>0</v>
      </c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x14ac:dyDescent="0.3">
      <c r="A191" s="47">
        <v>184</v>
      </c>
      <c r="B191" s="34" t="str">
        <f t="shared" si="33"/>
        <v>16-й год 4-й мес</v>
      </c>
      <c r="C191" s="35">
        <f t="shared" si="39"/>
        <v>46793</v>
      </c>
      <c r="D191" s="36">
        <f t="shared" si="29"/>
        <v>0</v>
      </c>
      <c r="E191" s="37">
        <f t="shared" si="34"/>
        <v>0</v>
      </c>
      <c r="F191" s="37">
        <f t="shared" si="40"/>
        <v>0</v>
      </c>
      <c r="G191" s="38">
        <f t="shared" si="35"/>
        <v>0</v>
      </c>
      <c r="H191" s="39">
        <f t="shared" si="30"/>
        <v>0</v>
      </c>
      <c r="I191" s="37">
        <f t="shared" si="41"/>
        <v>0</v>
      </c>
      <c r="J191" s="37">
        <f t="shared" si="36"/>
        <v>0</v>
      </c>
      <c r="K191" s="40">
        <f t="shared" si="37"/>
        <v>0</v>
      </c>
      <c r="L191" s="53"/>
      <c r="M191" s="57"/>
      <c r="N191" s="41">
        <f t="shared" si="31"/>
        <v>7</v>
      </c>
      <c r="O191" s="11">
        <f t="shared" si="38"/>
        <v>24</v>
      </c>
      <c r="P191" s="12">
        <f t="shared" si="32"/>
        <v>0</v>
      </c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x14ac:dyDescent="0.3">
      <c r="A192" s="47">
        <v>185</v>
      </c>
      <c r="B192" s="34" t="str">
        <f t="shared" si="33"/>
        <v>16-й год 5-й мес</v>
      </c>
      <c r="C192" s="35">
        <f t="shared" si="39"/>
        <v>46822</v>
      </c>
      <c r="D192" s="36">
        <f t="shared" si="29"/>
        <v>0</v>
      </c>
      <c r="E192" s="37">
        <f t="shared" si="34"/>
        <v>0</v>
      </c>
      <c r="F192" s="37">
        <f t="shared" si="40"/>
        <v>0</v>
      </c>
      <c r="G192" s="38">
        <f t="shared" si="35"/>
        <v>0</v>
      </c>
      <c r="H192" s="39">
        <f t="shared" si="30"/>
        <v>0</v>
      </c>
      <c r="I192" s="37">
        <f t="shared" si="41"/>
        <v>0</v>
      </c>
      <c r="J192" s="37">
        <f t="shared" si="36"/>
        <v>0</v>
      </c>
      <c r="K192" s="40">
        <f t="shared" si="37"/>
        <v>0</v>
      </c>
      <c r="L192" s="53"/>
      <c r="M192" s="57"/>
      <c r="N192" s="41">
        <f t="shared" si="31"/>
        <v>7</v>
      </c>
      <c r="O192" s="11">
        <f t="shared" si="38"/>
        <v>24</v>
      </c>
      <c r="P192" s="12">
        <f t="shared" si="32"/>
        <v>0</v>
      </c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x14ac:dyDescent="0.3">
      <c r="A193" s="47">
        <v>186</v>
      </c>
      <c r="B193" s="34" t="str">
        <f t="shared" si="33"/>
        <v>16-й год 6-й мес</v>
      </c>
      <c r="C193" s="35">
        <f t="shared" si="39"/>
        <v>46853</v>
      </c>
      <c r="D193" s="36">
        <f t="shared" si="29"/>
        <v>0</v>
      </c>
      <c r="E193" s="37">
        <f t="shared" si="34"/>
        <v>0</v>
      </c>
      <c r="F193" s="37">
        <f t="shared" si="40"/>
        <v>0</v>
      </c>
      <c r="G193" s="38">
        <f t="shared" si="35"/>
        <v>0</v>
      </c>
      <c r="H193" s="39">
        <f t="shared" si="30"/>
        <v>0</v>
      </c>
      <c r="I193" s="37">
        <f t="shared" si="41"/>
        <v>0</v>
      </c>
      <c r="J193" s="37">
        <f t="shared" si="36"/>
        <v>0</v>
      </c>
      <c r="K193" s="40">
        <f t="shared" si="37"/>
        <v>0</v>
      </c>
      <c r="L193" s="53"/>
      <c r="M193" s="57"/>
      <c r="N193" s="41">
        <f t="shared" si="31"/>
        <v>7</v>
      </c>
      <c r="O193" s="11">
        <f t="shared" si="38"/>
        <v>24</v>
      </c>
      <c r="P193" s="12">
        <f t="shared" si="32"/>
        <v>0</v>
      </c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x14ac:dyDescent="0.3">
      <c r="A194" s="47">
        <v>187</v>
      </c>
      <c r="B194" s="34" t="str">
        <f t="shared" si="33"/>
        <v>16-й год 7-й мес</v>
      </c>
      <c r="C194" s="35">
        <f t="shared" si="39"/>
        <v>46883</v>
      </c>
      <c r="D194" s="36">
        <f t="shared" si="29"/>
        <v>0</v>
      </c>
      <c r="E194" s="37">
        <f t="shared" si="34"/>
        <v>0</v>
      </c>
      <c r="F194" s="37">
        <f t="shared" si="40"/>
        <v>0</v>
      </c>
      <c r="G194" s="38">
        <f t="shared" si="35"/>
        <v>0</v>
      </c>
      <c r="H194" s="39">
        <f t="shared" si="30"/>
        <v>0</v>
      </c>
      <c r="I194" s="37">
        <f t="shared" si="41"/>
        <v>0</v>
      </c>
      <c r="J194" s="37">
        <f t="shared" si="36"/>
        <v>0</v>
      </c>
      <c r="K194" s="40">
        <f t="shared" si="37"/>
        <v>0</v>
      </c>
      <c r="L194" s="53"/>
      <c r="M194" s="57"/>
      <c r="N194" s="41">
        <f t="shared" si="31"/>
        <v>7</v>
      </c>
      <c r="O194" s="11">
        <f t="shared" si="38"/>
        <v>24</v>
      </c>
      <c r="P194" s="12">
        <f t="shared" si="32"/>
        <v>0</v>
      </c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x14ac:dyDescent="0.3">
      <c r="A195" s="47">
        <v>188</v>
      </c>
      <c r="B195" s="34" t="str">
        <f t="shared" si="33"/>
        <v>16-й год 8-й мес</v>
      </c>
      <c r="C195" s="35">
        <f t="shared" si="39"/>
        <v>46914</v>
      </c>
      <c r="D195" s="36">
        <f t="shared" si="29"/>
        <v>0</v>
      </c>
      <c r="E195" s="37">
        <f t="shared" si="34"/>
        <v>0</v>
      </c>
      <c r="F195" s="37">
        <f t="shared" si="40"/>
        <v>0</v>
      </c>
      <c r="G195" s="38">
        <f t="shared" si="35"/>
        <v>0</v>
      </c>
      <c r="H195" s="39">
        <f t="shared" si="30"/>
        <v>0</v>
      </c>
      <c r="I195" s="37">
        <f t="shared" si="41"/>
        <v>0</v>
      </c>
      <c r="J195" s="37">
        <f t="shared" si="36"/>
        <v>0</v>
      </c>
      <c r="K195" s="40">
        <f t="shared" si="37"/>
        <v>0</v>
      </c>
      <c r="L195" s="53"/>
      <c r="M195" s="57"/>
      <c r="N195" s="41">
        <f t="shared" si="31"/>
        <v>7</v>
      </c>
      <c r="O195" s="11">
        <f t="shared" si="38"/>
        <v>24</v>
      </c>
      <c r="P195" s="12">
        <f t="shared" si="32"/>
        <v>0</v>
      </c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x14ac:dyDescent="0.3">
      <c r="A196" s="47">
        <v>189</v>
      </c>
      <c r="B196" s="34" t="str">
        <f t="shared" si="33"/>
        <v>16-й год 9-й мес</v>
      </c>
      <c r="C196" s="35">
        <f t="shared" si="39"/>
        <v>46944</v>
      </c>
      <c r="D196" s="36">
        <f t="shared" si="29"/>
        <v>0</v>
      </c>
      <c r="E196" s="37">
        <f t="shared" si="34"/>
        <v>0</v>
      </c>
      <c r="F196" s="37">
        <f t="shared" si="40"/>
        <v>0</v>
      </c>
      <c r="G196" s="38">
        <f t="shared" si="35"/>
        <v>0</v>
      </c>
      <c r="H196" s="39">
        <f t="shared" si="30"/>
        <v>0</v>
      </c>
      <c r="I196" s="37">
        <f t="shared" si="41"/>
        <v>0</v>
      </c>
      <c r="J196" s="37">
        <f t="shared" si="36"/>
        <v>0</v>
      </c>
      <c r="K196" s="40">
        <f t="shared" si="37"/>
        <v>0</v>
      </c>
      <c r="L196" s="53"/>
      <c r="M196" s="57"/>
      <c r="N196" s="41">
        <f t="shared" si="31"/>
        <v>7</v>
      </c>
      <c r="O196" s="11">
        <f t="shared" si="38"/>
        <v>24</v>
      </c>
      <c r="P196" s="12">
        <f t="shared" si="32"/>
        <v>0</v>
      </c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x14ac:dyDescent="0.3">
      <c r="A197" s="47">
        <v>190</v>
      </c>
      <c r="B197" s="34" t="str">
        <f t="shared" si="33"/>
        <v>16-й год 10-й мес</v>
      </c>
      <c r="C197" s="35">
        <f t="shared" si="39"/>
        <v>46975</v>
      </c>
      <c r="D197" s="36">
        <f t="shared" si="29"/>
        <v>0</v>
      </c>
      <c r="E197" s="37">
        <f t="shared" si="34"/>
        <v>0</v>
      </c>
      <c r="F197" s="37">
        <f t="shared" si="40"/>
        <v>0</v>
      </c>
      <c r="G197" s="38">
        <f t="shared" si="35"/>
        <v>0</v>
      </c>
      <c r="H197" s="39">
        <f t="shared" si="30"/>
        <v>0</v>
      </c>
      <c r="I197" s="37">
        <f t="shared" si="41"/>
        <v>0</v>
      </c>
      <c r="J197" s="37">
        <f t="shared" si="36"/>
        <v>0</v>
      </c>
      <c r="K197" s="40">
        <f t="shared" si="37"/>
        <v>0</v>
      </c>
      <c r="L197" s="53"/>
      <c r="M197" s="57"/>
      <c r="N197" s="41">
        <f t="shared" si="31"/>
        <v>7</v>
      </c>
      <c r="O197" s="11">
        <f t="shared" si="38"/>
        <v>24</v>
      </c>
      <c r="P197" s="12">
        <f t="shared" si="32"/>
        <v>0</v>
      </c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x14ac:dyDescent="0.3">
      <c r="A198" s="47">
        <v>191</v>
      </c>
      <c r="B198" s="34" t="str">
        <f t="shared" si="33"/>
        <v>16-й год 11-й мес</v>
      </c>
      <c r="C198" s="35">
        <f t="shared" si="39"/>
        <v>47006</v>
      </c>
      <c r="D198" s="36">
        <f t="shared" si="29"/>
        <v>0</v>
      </c>
      <c r="E198" s="37">
        <f t="shared" si="34"/>
        <v>0</v>
      </c>
      <c r="F198" s="37">
        <f t="shared" si="40"/>
        <v>0</v>
      </c>
      <c r="G198" s="38">
        <f t="shared" si="35"/>
        <v>0</v>
      </c>
      <c r="H198" s="39">
        <f t="shared" si="30"/>
        <v>0</v>
      </c>
      <c r="I198" s="37">
        <f t="shared" si="41"/>
        <v>0</v>
      </c>
      <c r="J198" s="37">
        <f t="shared" si="36"/>
        <v>0</v>
      </c>
      <c r="K198" s="40">
        <f t="shared" si="37"/>
        <v>0</v>
      </c>
      <c r="L198" s="53"/>
      <c r="M198" s="57"/>
      <c r="N198" s="41">
        <f t="shared" si="31"/>
        <v>7</v>
      </c>
      <c r="O198" s="11">
        <f t="shared" si="38"/>
        <v>24</v>
      </c>
      <c r="P198" s="12">
        <f t="shared" si="32"/>
        <v>0</v>
      </c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x14ac:dyDescent="0.3">
      <c r="A199" s="48">
        <v>192</v>
      </c>
      <c r="B199" s="34" t="str">
        <f t="shared" si="33"/>
        <v>16-й год 12-й мес</v>
      </c>
      <c r="C199" s="35">
        <f t="shared" si="39"/>
        <v>47036</v>
      </c>
      <c r="D199" s="36">
        <f t="shared" si="29"/>
        <v>0</v>
      </c>
      <c r="E199" s="49">
        <f t="shared" si="34"/>
        <v>0</v>
      </c>
      <c r="F199" s="37">
        <f t="shared" si="40"/>
        <v>0</v>
      </c>
      <c r="G199" s="50">
        <f t="shared" si="35"/>
        <v>0</v>
      </c>
      <c r="H199" s="51">
        <f t="shared" si="30"/>
        <v>0</v>
      </c>
      <c r="I199" s="49">
        <f t="shared" si="41"/>
        <v>0</v>
      </c>
      <c r="J199" s="49">
        <f t="shared" si="36"/>
        <v>0</v>
      </c>
      <c r="K199" s="52">
        <f t="shared" si="37"/>
        <v>0</v>
      </c>
      <c r="L199" s="56"/>
      <c r="M199" s="58"/>
      <c r="N199" s="41">
        <f t="shared" si="31"/>
        <v>7</v>
      </c>
      <c r="O199" s="11">
        <f t="shared" si="38"/>
        <v>24</v>
      </c>
      <c r="P199" s="12">
        <f t="shared" si="32"/>
        <v>0</v>
      </c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x14ac:dyDescent="0.3">
      <c r="A200" s="33">
        <v>193</v>
      </c>
      <c r="B200" s="34" t="str">
        <f t="shared" si="33"/>
        <v>17-й год 1-й мес</v>
      </c>
      <c r="C200" s="35">
        <f t="shared" si="39"/>
        <v>47067</v>
      </c>
      <c r="D200" s="36">
        <f t="shared" ref="D200:D263" si="42">IF(P200*$D$2/100/12/(1-(1+$D$2/100/12)^(-O200))&lt;G199,ROUNDUP(P200*$D$2/100/12/(1-(1+$D$2/100/12)^(-O200)),0),G199+F200)</f>
        <v>0</v>
      </c>
      <c r="E200" s="37">
        <f t="shared" si="34"/>
        <v>0</v>
      </c>
      <c r="F200" s="37">
        <f t="shared" si="40"/>
        <v>0</v>
      </c>
      <c r="G200" s="38">
        <f t="shared" si="35"/>
        <v>0</v>
      </c>
      <c r="H200" s="39">
        <f t="shared" ref="H200:H263" si="43">I200+J200</f>
        <v>0</v>
      </c>
      <c r="I200" s="37">
        <f t="shared" si="41"/>
        <v>0</v>
      </c>
      <c r="J200" s="37">
        <f t="shared" si="36"/>
        <v>0</v>
      </c>
      <c r="K200" s="40">
        <f t="shared" si="37"/>
        <v>0</v>
      </c>
      <c r="L200" s="53"/>
      <c r="M200" s="57"/>
      <c r="N200" s="41">
        <f t="shared" ref="N200:N263" si="44">IF(ISBLANK(L199),VALUE(N199),ROW(L199))</f>
        <v>7</v>
      </c>
      <c r="O200" s="11">
        <f t="shared" si="38"/>
        <v>24</v>
      </c>
      <c r="P200" s="12">
        <f t="shared" ref="P200:P263" si="45">INDEX(G:G,N200,1)</f>
        <v>0</v>
      </c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x14ac:dyDescent="0.3">
      <c r="A201" s="33">
        <v>194</v>
      </c>
      <c r="B201" s="34" t="str">
        <f t="shared" ref="B201:B264" si="46">CONCATENATE(INT((A201-1)/12)+1,"-й год ",A201-1-INT((A201-1)/12)*12+1,"-й мес")</f>
        <v>17-й год 2-й мес</v>
      </c>
      <c r="C201" s="35">
        <f t="shared" si="39"/>
        <v>47097</v>
      </c>
      <c r="D201" s="36">
        <f t="shared" si="42"/>
        <v>0</v>
      </c>
      <c r="E201" s="37">
        <f t="shared" ref="E201:E264" si="47">D201-F201</f>
        <v>0</v>
      </c>
      <c r="F201" s="37">
        <f t="shared" si="40"/>
        <v>0</v>
      </c>
      <c r="G201" s="38">
        <f t="shared" ref="G201:G264" si="48">G200-E201-L201-M201</f>
        <v>0</v>
      </c>
      <c r="H201" s="39">
        <f t="shared" si="43"/>
        <v>0</v>
      </c>
      <c r="I201" s="37">
        <f t="shared" si="41"/>
        <v>0</v>
      </c>
      <c r="J201" s="37">
        <f t="shared" ref="J201:J264" si="49">K200*$D$2/12/100</f>
        <v>0</v>
      </c>
      <c r="K201" s="40">
        <f t="shared" ref="K201:K264" si="50">K200-I201-L201-M201</f>
        <v>0</v>
      </c>
      <c r="L201" s="53"/>
      <c r="M201" s="57"/>
      <c r="N201" s="41">
        <f t="shared" si="44"/>
        <v>7</v>
      </c>
      <c r="O201" s="11">
        <f t="shared" ref="O201:O264" si="51">O200+N200-N201</f>
        <v>24</v>
      </c>
      <c r="P201" s="12">
        <f t="shared" si="45"/>
        <v>0</v>
      </c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x14ac:dyDescent="0.3">
      <c r="A202" s="33">
        <v>195</v>
      </c>
      <c r="B202" s="34" t="str">
        <f t="shared" si="46"/>
        <v>17-й год 3-й мес</v>
      </c>
      <c r="C202" s="35">
        <f t="shared" ref="C202:C265" si="52">DATE(YEAR(C201),MONTH(C201)+1,DAY(C201))</f>
        <v>47128</v>
      </c>
      <c r="D202" s="36">
        <f t="shared" si="42"/>
        <v>0</v>
      </c>
      <c r="E202" s="37">
        <f t="shared" si="47"/>
        <v>0</v>
      </c>
      <c r="F202" s="37">
        <f t="shared" ref="F202:F265" si="53">G201*$D$2*(C202-C201)/(DATE(YEAR(C202)+1,1,1)-DATE(YEAR(C202),1,1))/100</f>
        <v>0</v>
      </c>
      <c r="G202" s="38">
        <f t="shared" si="48"/>
        <v>0</v>
      </c>
      <c r="H202" s="39">
        <f t="shared" si="43"/>
        <v>0</v>
      </c>
      <c r="I202" s="37">
        <f t="shared" ref="I202:I265" si="54">IF($D$1/$D$3&lt;K201,$D$1/$D$3,K201)</f>
        <v>0</v>
      </c>
      <c r="J202" s="37">
        <f t="shared" si="49"/>
        <v>0</v>
      </c>
      <c r="K202" s="40">
        <f t="shared" si="50"/>
        <v>0</v>
      </c>
      <c r="L202" s="53"/>
      <c r="M202" s="57"/>
      <c r="N202" s="41">
        <f t="shared" si="44"/>
        <v>7</v>
      </c>
      <c r="O202" s="11">
        <f t="shared" si="51"/>
        <v>24</v>
      </c>
      <c r="P202" s="12">
        <f t="shared" si="45"/>
        <v>0</v>
      </c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x14ac:dyDescent="0.3">
      <c r="A203" s="33">
        <v>196</v>
      </c>
      <c r="B203" s="34" t="str">
        <f t="shared" si="46"/>
        <v>17-й год 4-й мес</v>
      </c>
      <c r="C203" s="35">
        <f t="shared" si="52"/>
        <v>47159</v>
      </c>
      <c r="D203" s="36">
        <f t="shared" si="42"/>
        <v>0</v>
      </c>
      <c r="E203" s="37">
        <f t="shared" si="47"/>
        <v>0</v>
      </c>
      <c r="F203" s="37">
        <f t="shared" si="53"/>
        <v>0</v>
      </c>
      <c r="G203" s="38">
        <f t="shared" si="48"/>
        <v>0</v>
      </c>
      <c r="H203" s="39">
        <f t="shared" si="43"/>
        <v>0</v>
      </c>
      <c r="I203" s="37">
        <f t="shared" si="54"/>
        <v>0</v>
      </c>
      <c r="J203" s="37">
        <f t="shared" si="49"/>
        <v>0</v>
      </c>
      <c r="K203" s="40">
        <f t="shared" si="50"/>
        <v>0</v>
      </c>
      <c r="L203" s="53"/>
      <c r="M203" s="57"/>
      <c r="N203" s="41">
        <f t="shared" si="44"/>
        <v>7</v>
      </c>
      <c r="O203" s="11">
        <f t="shared" si="51"/>
        <v>24</v>
      </c>
      <c r="P203" s="12">
        <f t="shared" si="45"/>
        <v>0</v>
      </c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x14ac:dyDescent="0.3">
      <c r="A204" s="33">
        <v>197</v>
      </c>
      <c r="B204" s="34" t="str">
        <f t="shared" si="46"/>
        <v>17-й год 5-й мес</v>
      </c>
      <c r="C204" s="35">
        <f t="shared" si="52"/>
        <v>47187</v>
      </c>
      <c r="D204" s="36">
        <f t="shared" si="42"/>
        <v>0</v>
      </c>
      <c r="E204" s="37">
        <f t="shared" si="47"/>
        <v>0</v>
      </c>
      <c r="F204" s="37">
        <f t="shared" si="53"/>
        <v>0</v>
      </c>
      <c r="G204" s="38">
        <f t="shared" si="48"/>
        <v>0</v>
      </c>
      <c r="H204" s="39">
        <f t="shared" si="43"/>
        <v>0</v>
      </c>
      <c r="I204" s="37">
        <f t="shared" si="54"/>
        <v>0</v>
      </c>
      <c r="J204" s="37">
        <f t="shared" si="49"/>
        <v>0</v>
      </c>
      <c r="K204" s="40">
        <f t="shared" si="50"/>
        <v>0</v>
      </c>
      <c r="L204" s="53"/>
      <c r="M204" s="57"/>
      <c r="N204" s="41">
        <f t="shared" si="44"/>
        <v>7</v>
      </c>
      <c r="O204" s="11">
        <f t="shared" si="51"/>
        <v>24</v>
      </c>
      <c r="P204" s="12">
        <f t="shared" si="45"/>
        <v>0</v>
      </c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x14ac:dyDescent="0.3">
      <c r="A205" s="33">
        <v>198</v>
      </c>
      <c r="B205" s="34" t="str">
        <f t="shared" si="46"/>
        <v>17-й год 6-й мес</v>
      </c>
      <c r="C205" s="35">
        <f t="shared" si="52"/>
        <v>47218</v>
      </c>
      <c r="D205" s="36">
        <f t="shared" si="42"/>
        <v>0</v>
      </c>
      <c r="E205" s="37">
        <f t="shared" si="47"/>
        <v>0</v>
      </c>
      <c r="F205" s="37">
        <f t="shared" si="53"/>
        <v>0</v>
      </c>
      <c r="G205" s="38">
        <f t="shared" si="48"/>
        <v>0</v>
      </c>
      <c r="H205" s="39">
        <f t="shared" si="43"/>
        <v>0</v>
      </c>
      <c r="I205" s="37">
        <f t="shared" si="54"/>
        <v>0</v>
      </c>
      <c r="J205" s="37">
        <f t="shared" si="49"/>
        <v>0</v>
      </c>
      <c r="K205" s="40">
        <f t="shared" si="50"/>
        <v>0</v>
      </c>
      <c r="L205" s="53"/>
      <c r="M205" s="57"/>
      <c r="N205" s="41">
        <f t="shared" si="44"/>
        <v>7</v>
      </c>
      <c r="O205" s="11">
        <f t="shared" si="51"/>
        <v>24</v>
      </c>
      <c r="P205" s="12">
        <f t="shared" si="45"/>
        <v>0</v>
      </c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x14ac:dyDescent="0.3">
      <c r="A206" s="33">
        <v>199</v>
      </c>
      <c r="B206" s="34" t="str">
        <f t="shared" si="46"/>
        <v>17-й год 7-й мес</v>
      </c>
      <c r="C206" s="35">
        <f t="shared" si="52"/>
        <v>47248</v>
      </c>
      <c r="D206" s="36">
        <f t="shared" si="42"/>
        <v>0</v>
      </c>
      <c r="E206" s="37">
        <f t="shared" si="47"/>
        <v>0</v>
      </c>
      <c r="F206" s="37">
        <f t="shared" si="53"/>
        <v>0</v>
      </c>
      <c r="G206" s="38">
        <f t="shared" si="48"/>
        <v>0</v>
      </c>
      <c r="H206" s="39">
        <f t="shared" si="43"/>
        <v>0</v>
      </c>
      <c r="I206" s="37">
        <f t="shared" si="54"/>
        <v>0</v>
      </c>
      <c r="J206" s="37">
        <f t="shared" si="49"/>
        <v>0</v>
      </c>
      <c r="K206" s="40">
        <f t="shared" si="50"/>
        <v>0</v>
      </c>
      <c r="L206" s="53"/>
      <c r="M206" s="57"/>
      <c r="N206" s="41">
        <f t="shared" si="44"/>
        <v>7</v>
      </c>
      <c r="O206" s="11">
        <f t="shared" si="51"/>
        <v>24</v>
      </c>
      <c r="P206" s="12">
        <f t="shared" si="45"/>
        <v>0</v>
      </c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x14ac:dyDescent="0.3">
      <c r="A207" s="33">
        <v>200</v>
      </c>
      <c r="B207" s="34" t="str">
        <f t="shared" si="46"/>
        <v>17-й год 8-й мес</v>
      </c>
      <c r="C207" s="35">
        <f t="shared" si="52"/>
        <v>47279</v>
      </c>
      <c r="D207" s="36">
        <f t="shared" si="42"/>
        <v>0</v>
      </c>
      <c r="E207" s="37">
        <f t="shared" si="47"/>
        <v>0</v>
      </c>
      <c r="F207" s="37">
        <f t="shared" si="53"/>
        <v>0</v>
      </c>
      <c r="G207" s="38">
        <f t="shared" si="48"/>
        <v>0</v>
      </c>
      <c r="H207" s="39">
        <f t="shared" si="43"/>
        <v>0</v>
      </c>
      <c r="I207" s="37">
        <f t="shared" si="54"/>
        <v>0</v>
      </c>
      <c r="J207" s="37">
        <f t="shared" si="49"/>
        <v>0</v>
      </c>
      <c r="K207" s="40">
        <f t="shared" si="50"/>
        <v>0</v>
      </c>
      <c r="L207" s="53"/>
      <c r="M207" s="57"/>
      <c r="N207" s="41">
        <f t="shared" si="44"/>
        <v>7</v>
      </c>
      <c r="O207" s="11">
        <f t="shared" si="51"/>
        <v>24</v>
      </c>
      <c r="P207" s="12">
        <f t="shared" si="45"/>
        <v>0</v>
      </c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x14ac:dyDescent="0.3">
      <c r="A208" s="33">
        <v>201</v>
      </c>
      <c r="B208" s="34" t="str">
        <f t="shared" si="46"/>
        <v>17-й год 9-й мес</v>
      </c>
      <c r="C208" s="35">
        <f t="shared" si="52"/>
        <v>47309</v>
      </c>
      <c r="D208" s="36">
        <f t="shared" si="42"/>
        <v>0</v>
      </c>
      <c r="E208" s="37">
        <f t="shared" si="47"/>
        <v>0</v>
      </c>
      <c r="F208" s="37">
        <f t="shared" si="53"/>
        <v>0</v>
      </c>
      <c r="G208" s="38">
        <f t="shared" si="48"/>
        <v>0</v>
      </c>
      <c r="H208" s="39">
        <f t="shared" si="43"/>
        <v>0</v>
      </c>
      <c r="I208" s="37">
        <f t="shared" si="54"/>
        <v>0</v>
      </c>
      <c r="J208" s="37">
        <f t="shared" si="49"/>
        <v>0</v>
      </c>
      <c r="K208" s="40">
        <f t="shared" si="50"/>
        <v>0</v>
      </c>
      <c r="L208" s="53"/>
      <c r="M208" s="57"/>
      <c r="N208" s="41">
        <f t="shared" si="44"/>
        <v>7</v>
      </c>
      <c r="O208" s="11">
        <f t="shared" si="51"/>
        <v>24</v>
      </c>
      <c r="P208" s="12">
        <f t="shared" si="45"/>
        <v>0</v>
      </c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x14ac:dyDescent="0.3">
      <c r="A209" s="33">
        <v>202</v>
      </c>
      <c r="B209" s="34" t="str">
        <f t="shared" si="46"/>
        <v>17-й год 10-й мес</v>
      </c>
      <c r="C209" s="35">
        <f t="shared" si="52"/>
        <v>47340</v>
      </c>
      <c r="D209" s="36">
        <f t="shared" si="42"/>
        <v>0</v>
      </c>
      <c r="E209" s="37">
        <f t="shared" si="47"/>
        <v>0</v>
      </c>
      <c r="F209" s="37">
        <f t="shared" si="53"/>
        <v>0</v>
      </c>
      <c r="G209" s="38">
        <f t="shared" si="48"/>
        <v>0</v>
      </c>
      <c r="H209" s="39">
        <f t="shared" si="43"/>
        <v>0</v>
      </c>
      <c r="I209" s="37">
        <f t="shared" si="54"/>
        <v>0</v>
      </c>
      <c r="J209" s="37">
        <f t="shared" si="49"/>
        <v>0</v>
      </c>
      <c r="K209" s="40">
        <f t="shared" si="50"/>
        <v>0</v>
      </c>
      <c r="L209" s="53"/>
      <c r="M209" s="57"/>
      <c r="N209" s="41">
        <f t="shared" si="44"/>
        <v>7</v>
      </c>
      <c r="O209" s="11">
        <f t="shared" si="51"/>
        <v>24</v>
      </c>
      <c r="P209" s="12">
        <f t="shared" si="45"/>
        <v>0</v>
      </c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x14ac:dyDescent="0.3">
      <c r="A210" s="33">
        <v>203</v>
      </c>
      <c r="B210" s="34" t="str">
        <f t="shared" si="46"/>
        <v>17-й год 11-й мес</v>
      </c>
      <c r="C210" s="35">
        <f t="shared" si="52"/>
        <v>47371</v>
      </c>
      <c r="D210" s="36">
        <f t="shared" si="42"/>
        <v>0</v>
      </c>
      <c r="E210" s="37">
        <f t="shared" si="47"/>
        <v>0</v>
      </c>
      <c r="F210" s="37">
        <f t="shared" si="53"/>
        <v>0</v>
      </c>
      <c r="G210" s="38">
        <f t="shared" si="48"/>
        <v>0</v>
      </c>
      <c r="H210" s="39">
        <f t="shared" si="43"/>
        <v>0</v>
      </c>
      <c r="I210" s="37">
        <f t="shared" si="54"/>
        <v>0</v>
      </c>
      <c r="J210" s="37">
        <f t="shared" si="49"/>
        <v>0</v>
      </c>
      <c r="K210" s="40">
        <f t="shared" si="50"/>
        <v>0</v>
      </c>
      <c r="L210" s="53"/>
      <c r="M210" s="57"/>
      <c r="N210" s="41">
        <f t="shared" si="44"/>
        <v>7</v>
      </c>
      <c r="O210" s="11">
        <f t="shared" si="51"/>
        <v>24</v>
      </c>
      <c r="P210" s="12">
        <f t="shared" si="45"/>
        <v>0</v>
      </c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x14ac:dyDescent="0.3">
      <c r="A211" s="33">
        <v>204</v>
      </c>
      <c r="B211" s="34" t="str">
        <f t="shared" si="46"/>
        <v>17-й год 12-й мес</v>
      </c>
      <c r="C211" s="35">
        <f t="shared" si="52"/>
        <v>47401</v>
      </c>
      <c r="D211" s="36">
        <f t="shared" si="42"/>
        <v>0</v>
      </c>
      <c r="E211" s="37">
        <f t="shared" si="47"/>
        <v>0</v>
      </c>
      <c r="F211" s="37">
        <f t="shared" si="53"/>
        <v>0</v>
      </c>
      <c r="G211" s="38">
        <f t="shared" si="48"/>
        <v>0</v>
      </c>
      <c r="H211" s="39">
        <f t="shared" si="43"/>
        <v>0</v>
      </c>
      <c r="I211" s="37">
        <f t="shared" si="54"/>
        <v>0</v>
      </c>
      <c r="J211" s="37">
        <f t="shared" si="49"/>
        <v>0</v>
      </c>
      <c r="K211" s="40">
        <f t="shared" si="50"/>
        <v>0</v>
      </c>
      <c r="L211" s="53"/>
      <c r="M211" s="57"/>
      <c r="N211" s="41">
        <f t="shared" si="44"/>
        <v>7</v>
      </c>
      <c r="O211" s="11">
        <f t="shared" si="51"/>
        <v>24</v>
      </c>
      <c r="P211" s="12">
        <f t="shared" si="45"/>
        <v>0</v>
      </c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x14ac:dyDescent="0.3">
      <c r="A212" s="42">
        <v>205</v>
      </c>
      <c r="B212" s="34" t="str">
        <f t="shared" si="46"/>
        <v>18-й год 1-й мес</v>
      </c>
      <c r="C212" s="35">
        <f t="shared" si="52"/>
        <v>47432</v>
      </c>
      <c r="D212" s="36">
        <f t="shared" si="42"/>
        <v>0</v>
      </c>
      <c r="E212" s="43">
        <f t="shared" si="47"/>
        <v>0</v>
      </c>
      <c r="F212" s="37">
        <f t="shared" si="53"/>
        <v>0</v>
      </c>
      <c r="G212" s="44">
        <f t="shared" si="48"/>
        <v>0</v>
      </c>
      <c r="H212" s="45">
        <f t="shared" si="43"/>
        <v>0</v>
      </c>
      <c r="I212" s="43">
        <f t="shared" si="54"/>
        <v>0</v>
      </c>
      <c r="J212" s="43">
        <f t="shared" si="49"/>
        <v>0</v>
      </c>
      <c r="K212" s="46">
        <f t="shared" si="50"/>
        <v>0</v>
      </c>
      <c r="L212" s="55"/>
      <c r="M212" s="54"/>
      <c r="N212" s="41">
        <f t="shared" si="44"/>
        <v>7</v>
      </c>
      <c r="O212" s="11">
        <f t="shared" si="51"/>
        <v>24</v>
      </c>
      <c r="P212" s="12">
        <f t="shared" si="45"/>
        <v>0</v>
      </c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x14ac:dyDescent="0.3">
      <c r="A213" s="47">
        <v>206</v>
      </c>
      <c r="B213" s="34" t="str">
        <f t="shared" si="46"/>
        <v>18-й год 2-й мес</v>
      </c>
      <c r="C213" s="35">
        <f t="shared" si="52"/>
        <v>47462</v>
      </c>
      <c r="D213" s="36">
        <f t="shared" si="42"/>
        <v>0</v>
      </c>
      <c r="E213" s="37">
        <f t="shared" si="47"/>
        <v>0</v>
      </c>
      <c r="F213" s="37">
        <f t="shared" si="53"/>
        <v>0</v>
      </c>
      <c r="G213" s="38">
        <f t="shared" si="48"/>
        <v>0</v>
      </c>
      <c r="H213" s="39">
        <f t="shared" si="43"/>
        <v>0</v>
      </c>
      <c r="I213" s="37">
        <f t="shared" si="54"/>
        <v>0</v>
      </c>
      <c r="J213" s="37">
        <f t="shared" si="49"/>
        <v>0</v>
      </c>
      <c r="K213" s="40">
        <f t="shared" si="50"/>
        <v>0</v>
      </c>
      <c r="L213" s="53"/>
      <c r="M213" s="57"/>
      <c r="N213" s="41">
        <f t="shared" si="44"/>
        <v>7</v>
      </c>
      <c r="O213" s="11">
        <f t="shared" si="51"/>
        <v>24</v>
      </c>
      <c r="P213" s="12">
        <f t="shared" si="45"/>
        <v>0</v>
      </c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x14ac:dyDescent="0.3">
      <c r="A214" s="47">
        <v>207</v>
      </c>
      <c r="B214" s="34" t="str">
        <f t="shared" si="46"/>
        <v>18-й год 3-й мес</v>
      </c>
      <c r="C214" s="35">
        <f t="shared" si="52"/>
        <v>47493</v>
      </c>
      <c r="D214" s="36">
        <f t="shared" si="42"/>
        <v>0</v>
      </c>
      <c r="E214" s="37">
        <f t="shared" si="47"/>
        <v>0</v>
      </c>
      <c r="F214" s="37">
        <f t="shared" si="53"/>
        <v>0</v>
      </c>
      <c r="G214" s="38">
        <f t="shared" si="48"/>
        <v>0</v>
      </c>
      <c r="H214" s="39">
        <f t="shared" si="43"/>
        <v>0</v>
      </c>
      <c r="I214" s="37">
        <f t="shared" si="54"/>
        <v>0</v>
      </c>
      <c r="J214" s="37">
        <f t="shared" si="49"/>
        <v>0</v>
      </c>
      <c r="K214" s="40">
        <f t="shared" si="50"/>
        <v>0</v>
      </c>
      <c r="L214" s="53"/>
      <c r="M214" s="57"/>
      <c r="N214" s="41">
        <f t="shared" si="44"/>
        <v>7</v>
      </c>
      <c r="O214" s="11">
        <f t="shared" si="51"/>
        <v>24</v>
      </c>
      <c r="P214" s="12">
        <f t="shared" si="45"/>
        <v>0</v>
      </c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x14ac:dyDescent="0.3">
      <c r="A215" s="47">
        <v>208</v>
      </c>
      <c r="B215" s="34" t="str">
        <f t="shared" si="46"/>
        <v>18-й год 4-й мес</v>
      </c>
      <c r="C215" s="35">
        <f t="shared" si="52"/>
        <v>47524</v>
      </c>
      <c r="D215" s="36">
        <f t="shared" si="42"/>
        <v>0</v>
      </c>
      <c r="E215" s="37">
        <f t="shared" si="47"/>
        <v>0</v>
      </c>
      <c r="F215" s="37">
        <f t="shared" si="53"/>
        <v>0</v>
      </c>
      <c r="G215" s="38">
        <f t="shared" si="48"/>
        <v>0</v>
      </c>
      <c r="H215" s="39">
        <f t="shared" si="43"/>
        <v>0</v>
      </c>
      <c r="I215" s="37">
        <f t="shared" si="54"/>
        <v>0</v>
      </c>
      <c r="J215" s="37">
        <f t="shared" si="49"/>
        <v>0</v>
      </c>
      <c r="K215" s="40">
        <f t="shared" si="50"/>
        <v>0</v>
      </c>
      <c r="L215" s="53"/>
      <c r="M215" s="57"/>
      <c r="N215" s="41">
        <f t="shared" si="44"/>
        <v>7</v>
      </c>
      <c r="O215" s="11">
        <f t="shared" si="51"/>
        <v>24</v>
      </c>
      <c r="P215" s="12">
        <f t="shared" si="45"/>
        <v>0</v>
      </c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x14ac:dyDescent="0.3">
      <c r="A216" s="47">
        <v>209</v>
      </c>
      <c r="B216" s="34" t="str">
        <f t="shared" si="46"/>
        <v>18-й год 5-й мес</v>
      </c>
      <c r="C216" s="35">
        <f t="shared" si="52"/>
        <v>47552</v>
      </c>
      <c r="D216" s="36">
        <f t="shared" si="42"/>
        <v>0</v>
      </c>
      <c r="E216" s="37">
        <f t="shared" si="47"/>
        <v>0</v>
      </c>
      <c r="F216" s="37">
        <f t="shared" si="53"/>
        <v>0</v>
      </c>
      <c r="G216" s="38">
        <f t="shared" si="48"/>
        <v>0</v>
      </c>
      <c r="H216" s="39">
        <f t="shared" si="43"/>
        <v>0</v>
      </c>
      <c r="I216" s="37">
        <f t="shared" si="54"/>
        <v>0</v>
      </c>
      <c r="J216" s="37">
        <f t="shared" si="49"/>
        <v>0</v>
      </c>
      <c r="K216" s="40">
        <f t="shared" si="50"/>
        <v>0</v>
      </c>
      <c r="L216" s="53"/>
      <c r="M216" s="57"/>
      <c r="N216" s="41">
        <f t="shared" si="44"/>
        <v>7</v>
      </c>
      <c r="O216" s="11">
        <f t="shared" si="51"/>
        <v>24</v>
      </c>
      <c r="P216" s="12">
        <f t="shared" si="45"/>
        <v>0</v>
      </c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x14ac:dyDescent="0.3">
      <c r="A217" s="47">
        <v>210</v>
      </c>
      <c r="B217" s="34" t="str">
        <f t="shared" si="46"/>
        <v>18-й год 6-й мес</v>
      </c>
      <c r="C217" s="35">
        <f t="shared" si="52"/>
        <v>47583</v>
      </c>
      <c r="D217" s="36">
        <f t="shared" si="42"/>
        <v>0</v>
      </c>
      <c r="E217" s="37">
        <f t="shared" si="47"/>
        <v>0</v>
      </c>
      <c r="F217" s="37">
        <f t="shared" si="53"/>
        <v>0</v>
      </c>
      <c r="G217" s="38">
        <f t="shared" si="48"/>
        <v>0</v>
      </c>
      <c r="H217" s="39">
        <f t="shared" si="43"/>
        <v>0</v>
      </c>
      <c r="I217" s="37">
        <f t="shared" si="54"/>
        <v>0</v>
      </c>
      <c r="J217" s="37">
        <f t="shared" si="49"/>
        <v>0</v>
      </c>
      <c r="K217" s="40">
        <f t="shared" si="50"/>
        <v>0</v>
      </c>
      <c r="L217" s="53"/>
      <c r="M217" s="57"/>
      <c r="N217" s="41">
        <f t="shared" si="44"/>
        <v>7</v>
      </c>
      <c r="O217" s="11">
        <f t="shared" si="51"/>
        <v>24</v>
      </c>
      <c r="P217" s="12">
        <f t="shared" si="45"/>
        <v>0</v>
      </c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x14ac:dyDescent="0.3">
      <c r="A218" s="47">
        <v>211</v>
      </c>
      <c r="B218" s="34" t="str">
        <f t="shared" si="46"/>
        <v>18-й год 7-й мес</v>
      </c>
      <c r="C218" s="35">
        <f t="shared" si="52"/>
        <v>47613</v>
      </c>
      <c r="D218" s="36">
        <f t="shared" si="42"/>
        <v>0</v>
      </c>
      <c r="E218" s="37">
        <f t="shared" si="47"/>
        <v>0</v>
      </c>
      <c r="F218" s="37">
        <f t="shared" si="53"/>
        <v>0</v>
      </c>
      <c r="G218" s="38">
        <f t="shared" si="48"/>
        <v>0</v>
      </c>
      <c r="H218" s="39">
        <f t="shared" si="43"/>
        <v>0</v>
      </c>
      <c r="I218" s="37">
        <f t="shared" si="54"/>
        <v>0</v>
      </c>
      <c r="J218" s="37">
        <f t="shared" si="49"/>
        <v>0</v>
      </c>
      <c r="K218" s="40">
        <f t="shared" si="50"/>
        <v>0</v>
      </c>
      <c r="L218" s="53"/>
      <c r="M218" s="57"/>
      <c r="N218" s="41">
        <f t="shared" si="44"/>
        <v>7</v>
      </c>
      <c r="O218" s="11">
        <f t="shared" si="51"/>
        <v>24</v>
      </c>
      <c r="P218" s="12">
        <f t="shared" si="45"/>
        <v>0</v>
      </c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x14ac:dyDescent="0.3">
      <c r="A219" s="47">
        <v>212</v>
      </c>
      <c r="B219" s="34" t="str">
        <f t="shared" si="46"/>
        <v>18-й год 8-й мес</v>
      </c>
      <c r="C219" s="35">
        <f t="shared" si="52"/>
        <v>47644</v>
      </c>
      <c r="D219" s="36">
        <f t="shared" si="42"/>
        <v>0</v>
      </c>
      <c r="E219" s="37">
        <f t="shared" si="47"/>
        <v>0</v>
      </c>
      <c r="F219" s="37">
        <f t="shared" si="53"/>
        <v>0</v>
      </c>
      <c r="G219" s="38">
        <f t="shared" si="48"/>
        <v>0</v>
      </c>
      <c r="H219" s="39">
        <f t="shared" si="43"/>
        <v>0</v>
      </c>
      <c r="I219" s="37">
        <f t="shared" si="54"/>
        <v>0</v>
      </c>
      <c r="J219" s="37">
        <f t="shared" si="49"/>
        <v>0</v>
      </c>
      <c r="K219" s="40">
        <f t="shared" si="50"/>
        <v>0</v>
      </c>
      <c r="L219" s="53"/>
      <c r="M219" s="57"/>
      <c r="N219" s="41">
        <f t="shared" si="44"/>
        <v>7</v>
      </c>
      <c r="O219" s="11">
        <f t="shared" si="51"/>
        <v>24</v>
      </c>
      <c r="P219" s="12">
        <f t="shared" si="45"/>
        <v>0</v>
      </c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x14ac:dyDescent="0.3">
      <c r="A220" s="47">
        <v>213</v>
      </c>
      <c r="B220" s="34" t="str">
        <f t="shared" si="46"/>
        <v>18-й год 9-й мес</v>
      </c>
      <c r="C220" s="35">
        <f t="shared" si="52"/>
        <v>47674</v>
      </c>
      <c r="D220" s="36">
        <f t="shared" si="42"/>
        <v>0</v>
      </c>
      <c r="E220" s="37">
        <f t="shared" si="47"/>
        <v>0</v>
      </c>
      <c r="F220" s="37">
        <f t="shared" si="53"/>
        <v>0</v>
      </c>
      <c r="G220" s="38">
        <f t="shared" si="48"/>
        <v>0</v>
      </c>
      <c r="H220" s="39">
        <f t="shared" si="43"/>
        <v>0</v>
      </c>
      <c r="I220" s="37">
        <f t="shared" si="54"/>
        <v>0</v>
      </c>
      <c r="J220" s="37">
        <f t="shared" si="49"/>
        <v>0</v>
      </c>
      <c r="K220" s="40">
        <f t="shared" si="50"/>
        <v>0</v>
      </c>
      <c r="L220" s="53"/>
      <c r="M220" s="57"/>
      <c r="N220" s="41">
        <f t="shared" si="44"/>
        <v>7</v>
      </c>
      <c r="O220" s="11">
        <f t="shared" si="51"/>
        <v>24</v>
      </c>
      <c r="P220" s="12">
        <f t="shared" si="45"/>
        <v>0</v>
      </c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x14ac:dyDescent="0.3">
      <c r="A221" s="47">
        <v>214</v>
      </c>
      <c r="B221" s="34" t="str">
        <f t="shared" si="46"/>
        <v>18-й год 10-й мес</v>
      </c>
      <c r="C221" s="35">
        <f t="shared" si="52"/>
        <v>47705</v>
      </c>
      <c r="D221" s="36">
        <f t="shared" si="42"/>
        <v>0</v>
      </c>
      <c r="E221" s="37">
        <f t="shared" si="47"/>
        <v>0</v>
      </c>
      <c r="F221" s="37">
        <f t="shared" si="53"/>
        <v>0</v>
      </c>
      <c r="G221" s="38">
        <f t="shared" si="48"/>
        <v>0</v>
      </c>
      <c r="H221" s="39">
        <f t="shared" si="43"/>
        <v>0</v>
      </c>
      <c r="I221" s="37">
        <f t="shared" si="54"/>
        <v>0</v>
      </c>
      <c r="J221" s="37">
        <f t="shared" si="49"/>
        <v>0</v>
      </c>
      <c r="K221" s="40">
        <f t="shared" si="50"/>
        <v>0</v>
      </c>
      <c r="L221" s="53"/>
      <c r="M221" s="57"/>
      <c r="N221" s="41">
        <f t="shared" si="44"/>
        <v>7</v>
      </c>
      <c r="O221" s="11">
        <f t="shared" si="51"/>
        <v>24</v>
      </c>
      <c r="P221" s="12">
        <f t="shared" si="45"/>
        <v>0</v>
      </c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x14ac:dyDescent="0.3">
      <c r="A222" s="47">
        <v>215</v>
      </c>
      <c r="B222" s="34" t="str">
        <f t="shared" si="46"/>
        <v>18-й год 11-й мес</v>
      </c>
      <c r="C222" s="35">
        <f t="shared" si="52"/>
        <v>47736</v>
      </c>
      <c r="D222" s="36">
        <f t="shared" si="42"/>
        <v>0</v>
      </c>
      <c r="E222" s="37">
        <f t="shared" si="47"/>
        <v>0</v>
      </c>
      <c r="F222" s="37">
        <f t="shared" si="53"/>
        <v>0</v>
      </c>
      <c r="G222" s="38">
        <f t="shared" si="48"/>
        <v>0</v>
      </c>
      <c r="H222" s="39">
        <f t="shared" si="43"/>
        <v>0</v>
      </c>
      <c r="I222" s="37">
        <f t="shared" si="54"/>
        <v>0</v>
      </c>
      <c r="J222" s="37">
        <f t="shared" si="49"/>
        <v>0</v>
      </c>
      <c r="K222" s="40">
        <f t="shared" si="50"/>
        <v>0</v>
      </c>
      <c r="L222" s="53"/>
      <c r="M222" s="57"/>
      <c r="N222" s="41">
        <f t="shared" si="44"/>
        <v>7</v>
      </c>
      <c r="O222" s="11">
        <f t="shared" si="51"/>
        <v>24</v>
      </c>
      <c r="P222" s="12">
        <f t="shared" si="45"/>
        <v>0</v>
      </c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x14ac:dyDescent="0.3">
      <c r="A223" s="48">
        <v>216</v>
      </c>
      <c r="B223" s="34" t="str">
        <f t="shared" si="46"/>
        <v>18-й год 12-й мес</v>
      </c>
      <c r="C223" s="35">
        <f t="shared" si="52"/>
        <v>47766</v>
      </c>
      <c r="D223" s="36">
        <f t="shared" si="42"/>
        <v>0</v>
      </c>
      <c r="E223" s="49">
        <f t="shared" si="47"/>
        <v>0</v>
      </c>
      <c r="F223" s="37">
        <f t="shared" si="53"/>
        <v>0</v>
      </c>
      <c r="G223" s="50">
        <f t="shared" si="48"/>
        <v>0</v>
      </c>
      <c r="H223" s="51">
        <f t="shared" si="43"/>
        <v>0</v>
      </c>
      <c r="I223" s="49">
        <f t="shared" si="54"/>
        <v>0</v>
      </c>
      <c r="J223" s="49">
        <f t="shared" si="49"/>
        <v>0</v>
      </c>
      <c r="K223" s="52">
        <f t="shared" si="50"/>
        <v>0</v>
      </c>
      <c r="L223" s="56"/>
      <c r="M223" s="58"/>
      <c r="N223" s="41">
        <f t="shared" si="44"/>
        <v>7</v>
      </c>
      <c r="O223" s="11">
        <f t="shared" si="51"/>
        <v>24</v>
      </c>
      <c r="P223" s="12">
        <f t="shared" si="45"/>
        <v>0</v>
      </c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x14ac:dyDescent="0.3">
      <c r="A224" s="33">
        <v>217</v>
      </c>
      <c r="B224" s="34" t="str">
        <f t="shared" si="46"/>
        <v>19-й год 1-й мес</v>
      </c>
      <c r="C224" s="35">
        <f t="shared" si="52"/>
        <v>47797</v>
      </c>
      <c r="D224" s="36">
        <f t="shared" si="42"/>
        <v>0</v>
      </c>
      <c r="E224" s="37">
        <f t="shared" si="47"/>
        <v>0</v>
      </c>
      <c r="F224" s="37">
        <f t="shared" si="53"/>
        <v>0</v>
      </c>
      <c r="G224" s="38">
        <f t="shared" si="48"/>
        <v>0</v>
      </c>
      <c r="H224" s="39">
        <f t="shared" si="43"/>
        <v>0</v>
      </c>
      <c r="I224" s="37">
        <f t="shared" si="54"/>
        <v>0</v>
      </c>
      <c r="J224" s="37">
        <f t="shared" si="49"/>
        <v>0</v>
      </c>
      <c r="K224" s="40">
        <f t="shared" si="50"/>
        <v>0</v>
      </c>
      <c r="L224" s="53"/>
      <c r="M224" s="57"/>
      <c r="N224" s="41">
        <f t="shared" si="44"/>
        <v>7</v>
      </c>
      <c r="O224" s="11">
        <f t="shared" si="51"/>
        <v>24</v>
      </c>
      <c r="P224" s="12">
        <f t="shared" si="45"/>
        <v>0</v>
      </c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x14ac:dyDescent="0.3">
      <c r="A225" s="33">
        <v>218</v>
      </c>
      <c r="B225" s="34" t="str">
        <f t="shared" si="46"/>
        <v>19-й год 2-й мес</v>
      </c>
      <c r="C225" s="35">
        <f t="shared" si="52"/>
        <v>47827</v>
      </c>
      <c r="D225" s="36">
        <f t="shared" si="42"/>
        <v>0</v>
      </c>
      <c r="E225" s="37">
        <f t="shared" si="47"/>
        <v>0</v>
      </c>
      <c r="F225" s="37">
        <f t="shared" si="53"/>
        <v>0</v>
      </c>
      <c r="G225" s="38">
        <f t="shared" si="48"/>
        <v>0</v>
      </c>
      <c r="H225" s="39">
        <f t="shared" si="43"/>
        <v>0</v>
      </c>
      <c r="I225" s="37">
        <f t="shared" si="54"/>
        <v>0</v>
      </c>
      <c r="J225" s="37">
        <f t="shared" si="49"/>
        <v>0</v>
      </c>
      <c r="K225" s="40">
        <f t="shared" si="50"/>
        <v>0</v>
      </c>
      <c r="L225" s="53"/>
      <c r="M225" s="57"/>
      <c r="N225" s="41">
        <f t="shared" si="44"/>
        <v>7</v>
      </c>
      <c r="O225" s="11">
        <f t="shared" si="51"/>
        <v>24</v>
      </c>
      <c r="P225" s="12">
        <f t="shared" si="45"/>
        <v>0</v>
      </c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x14ac:dyDescent="0.3">
      <c r="A226" s="33">
        <v>219</v>
      </c>
      <c r="B226" s="34" t="str">
        <f t="shared" si="46"/>
        <v>19-й год 3-й мес</v>
      </c>
      <c r="C226" s="35">
        <f t="shared" si="52"/>
        <v>47858</v>
      </c>
      <c r="D226" s="36">
        <f t="shared" si="42"/>
        <v>0</v>
      </c>
      <c r="E226" s="37">
        <f t="shared" si="47"/>
        <v>0</v>
      </c>
      <c r="F226" s="37">
        <f t="shared" si="53"/>
        <v>0</v>
      </c>
      <c r="G226" s="38">
        <f t="shared" si="48"/>
        <v>0</v>
      </c>
      <c r="H226" s="39">
        <f t="shared" si="43"/>
        <v>0</v>
      </c>
      <c r="I226" s="37">
        <f t="shared" si="54"/>
        <v>0</v>
      </c>
      <c r="J226" s="37">
        <f t="shared" si="49"/>
        <v>0</v>
      </c>
      <c r="K226" s="40">
        <f t="shared" si="50"/>
        <v>0</v>
      </c>
      <c r="L226" s="53"/>
      <c r="M226" s="57"/>
      <c r="N226" s="41">
        <f t="shared" si="44"/>
        <v>7</v>
      </c>
      <c r="O226" s="11">
        <f t="shared" si="51"/>
        <v>24</v>
      </c>
      <c r="P226" s="12">
        <f t="shared" si="45"/>
        <v>0</v>
      </c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x14ac:dyDescent="0.3">
      <c r="A227" s="33">
        <v>220</v>
      </c>
      <c r="B227" s="34" t="str">
        <f t="shared" si="46"/>
        <v>19-й год 4-й мес</v>
      </c>
      <c r="C227" s="35">
        <f t="shared" si="52"/>
        <v>47889</v>
      </c>
      <c r="D227" s="36">
        <f t="shared" si="42"/>
        <v>0</v>
      </c>
      <c r="E227" s="37">
        <f t="shared" si="47"/>
        <v>0</v>
      </c>
      <c r="F227" s="37">
        <f t="shared" si="53"/>
        <v>0</v>
      </c>
      <c r="G227" s="38">
        <f t="shared" si="48"/>
        <v>0</v>
      </c>
      <c r="H227" s="39">
        <f t="shared" si="43"/>
        <v>0</v>
      </c>
      <c r="I227" s="37">
        <f t="shared" si="54"/>
        <v>0</v>
      </c>
      <c r="J227" s="37">
        <f t="shared" si="49"/>
        <v>0</v>
      </c>
      <c r="K227" s="40">
        <f t="shared" si="50"/>
        <v>0</v>
      </c>
      <c r="L227" s="53"/>
      <c r="M227" s="57"/>
      <c r="N227" s="41">
        <f t="shared" si="44"/>
        <v>7</v>
      </c>
      <c r="O227" s="11">
        <f t="shared" si="51"/>
        <v>24</v>
      </c>
      <c r="P227" s="12">
        <f t="shared" si="45"/>
        <v>0</v>
      </c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x14ac:dyDescent="0.3">
      <c r="A228" s="33">
        <v>221</v>
      </c>
      <c r="B228" s="34" t="str">
        <f t="shared" si="46"/>
        <v>19-й год 5-й мес</v>
      </c>
      <c r="C228" s="35">
        <f t="shared" si="52"/>
        <v>47917</v>
      </c>
      <c r="D228" s="36">
        <f t="shared" si="42"/>
        <v>0</v>
      </c>
      <c r="E228" s="37">
        <f t="shared" si="47"/>
        <v>0</v>
      </c>
      <c r="F228" s="37">
        <f t="shared" si="53"/>
        <v>0</v>
      </c>
      <c r="G228" s="38">
        <f t="shared" si="48"/>
        <v>0</v>
      </c>
      <c r="H228" s="39">
        <f t="shared" si="43"/>
        <v>0</v>
      </c>
      <c r="I228" s="37">
        <f t="shared" si="54"/>
        <v>0</v>
      </c>
      <c r="J228" s="37">
        <f t="shared" si="49"/>
        <v>0</v>
      </c>
      <c r="K228" s="40">
        <f t="shared" si="50"/>
        <v>0</v>
      </c>
      <c r="L228" s="53"/>
      <c r="M228" s="57"/>
      <c r="N228" s="41">
        <f t="shared" si="44"/>
        <v>7</v>
      </c>
      <c r="O228" s="11">
        <f t="shared" si="51"/>
        <v>24</v>
      </c>
      <c r="P228" s="12">
        <f t="shared" si="45"/>
        <v>0</v>
      </c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x14ac:dyDescent="0.3">
      <c r="A229" s="33">
        <v>222</v>
      </c>
      <c r="B229" s="34" t="str">
        <f t="shared" si="46"/>
        <v>19-й год 6-й мес</v>
      </c>
      <c r="C229" s="35">
        <f t="shared" si="52"/>
        <v>47948</v>
      </c>
      <c r="D229" s="36">
        <f t="shared" si="42"/>
        <v>0</v>
      </c>
      <c r="E229" s="37">
        <f t="shared" si="47"/>
        <v>0</v>
      </c>
      <c r="F229" s="37">
        <f t="shared" si="53"/>
        <v>0</v>
      </c>
      <c r="G229" s="38">
        <f t="shared" si="48"/>
        <v>0</v>
      </c>
      <c r="H229" s="39">
        <f t="shared" si="43"/>
        <v>0</v>
      </c>
      <c r="I229" s="37">
        <f t="shared" si="54"/>
        <v>0</v>
      </c>
      <c r="J229" s="37">
        <f t="shared" si="49"/>
        <v>0</v>
      </c>
      <c r="K229" s="40">
        <f t="shared" si="50"/>
        <v>0</v>
      </c>
      <c r="L229" s="53"/>
      <c r="M229" s="57"/>
      <c r="N229" s="41">
        <f t="shared" si="44"/>
        <v>7</v>
      </c>
      <c r="O229" s="11">
        <f t="shared" si="51"/>
        <v>24</v>
      </c>
      <c r="P229" s="12">
        <f t="shared" si="45"/>
        <v>0</v>
      </c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x14ac:dyDescent="0.3">
      <c r="A230" s="33">
        <v>223</v>
      </c>
      <c r="B230" s="34" t="str">
        <f t="shared" si="46"/>
        <v>19-й год 7-й мес</v>
      </c>
      <c r="C230" s="35">
        <f t="shared" si="52"/>
        <v>47978</v>
      </c>
      <c r="D230" s="36">
        <f t="shared" si="42"/>
        <v>0</v>
      </c>
      <c r="E230" s="37">
        <f t="shared" si="47"/>
        <v>0</v>
      </c>
      <c r="F230" s="37">
        <f t="shared" si="53"/>
        <v>0</v>
      </c>
      <c r="G230" s="38">
        <f t="shared" si="48"/>
        <v>0</v>
      </c>
      <c r="H230" s="39">
        <f t="shared" si="43"/>
        <v>0</v>
      </c>
      <c r="I230" s="37">
        <f t="shared" si="54"/>
        <v>0</v>
      </c>
      <c r="J230" s="37">
        <f t="shared" si="49"/>
        <v>0</v>
      </c>
      <c r="K230" s="40">
        <f t="shared" si="50"/>
        <v>0</v>
      </c>
      <c r="L230" s="53"/>
      <c r="M230" s="57"/>
      <c r="N230" s="41">
        <f t="shared" si="44"/>
        <v>7</v>
      </c>
      <c r="O230" s="11">
        <f t="shared" si="51"/>
        <v>24</v>
      </c>
      <c r="P230" s="12">
        <f t="shared" si="45"/>
        <v>0</v>
      </c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x14ac:dyDescent="0.3">
      <c r="A231" s="33">
        <v>224</v>
      </c>
      <c r="B231" s="34" t="str">
        <f t="shared" si="46"/>
        <v>19-й год 8-й мес</v>
      </c>
      <c r="C231" s="35">
        <f t="shared" si="52"/>
        <v>48009</v>
      </c>
      <c r="D231" s="36">
        <f t="shared" si="42"/>
        <v>0</v>
      </c>
      <c r="E231" s="37">
        <f t="shared" si="47"/>
        <v>0</v>
      </c>
      <c r="F231" s="37">
        <f t="shared" si="53"/>
        <v>0</v>
      </c>
      <c r="G231" s="38">
        <f t="shared" si="48"/>
        <v>0</v>
      </c>
      <c r="H231" s="39">
        <f t="shared" si="43"/>
        <v>0</v>
      </c>
      <c r="I231" s="37">
        <f t="shared" si="54"/>
        <v>0</v>
      </c>
      <c r="J231" s="37">
        <f t="shared" si="49"/>
        <v>0</v>
      </c>
      <c r="K231" s="40">
        <f t="shared" si="50"/>
        <v>0</v>
      </c>
      <c r="L231" s="53"/>
      <c r="M231" s="57"/>
      <c r="N231" s="41">
        <f t="shared" si="44"/>
        <v>7</v>
      </c>
      <c r="O231" s="11">
        <f t="shared" si="51"/>
        <v>24</v>
      </c>
      <c r="P231" s="12">
        <f t="shared" si="45"/>
        <v>0</v>
      </c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x14ac:dyDescent="0.3">
      <c r="A232" s="33">
        <v>225</v>
      </c>
      <c r="B232" s="34" t="str">
        <f t="shared" si="46"/>
        <v>19-й год 9-й мес</v>
      </c>
      <c r="C232" s="35">
        <f t="shared" si="52"/>
        <v>48039</v>
      </c>
      <c r="D232" s="36">
        <f t="shared" si="42"/>
        <v>0</v>
      </c>
      <c r="E232" s="37">
        <f t="shared" si="47"/>
        <v>0</v>
      </c>
      <c r="F232" s="37">
        <f t="shared" si="53"/>
        <v>0</v>
      </c>
      <c r="G232" s="38">
        <f t="shared" si="48"/>
        <v>0</v>
      </c>
      <c r="H232" s="39">
        <f t="shared" si="43"/>
        <v>0</v>
      </c>
      <c r="I232" s="37">
        <f t="shared" si="54"/>
        <v>0</v>
      </c>
      <c r="J232" s="37">
        <f t="shared" si="49"/>
        <v>0</v>
      </c>
      <c r="K232" s="40">
        <f t="shared" si="50"/>
        <v>0</v>
      </c>
      <c r="L232" s="53"/>
      <c r="M232" s="57"/>
      <c r="N232" s="41">
        <f t="shared" si="44"/>
        <v>7</v>
      </c>
      <c r="O232" s="11">
        <f t="shared" si="51"/>
        <v>24</v>
      </c>
      <c r="P232" s="12">
        <f t="shared" si="45"/>
        <v>0</v>
      </c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x14ac:dyDescent="0.3">
      <c r="A233" s="33">
        <v>226</v>
      </c>
      <c r="B233" s="34" t="str">
        <f t="shared" si="46"/>
        <v>19-й год 10-й мес</v>
      </c>
      <c r="C233" s="35">
        <f t="shared" si="52"/>
        <v>48070</v>
      </c>
      <c r="D233" s="36">
        <f t="shared" si="42"/>
        <v>0</v>
      </c>
      <c r="E233" s="37">
        <f t="shared" si="47"/>
        <v>0</v>
      </c>
      <c r="F233" s="37">
        <f t="shared" si="53"/>
        <v>0</v>
      </c>
      <c r="G233" s="38">
        <f t="shared" si="48"/>
        <v>0</v>
      </c>
      <c r="H233" s="39">
        <f t="shared" si="43"/>
        <v>0</v>
      </c>
      <c r="I233" s="37">
        <f t="shared" si="54"/>
        <v>0</v>
      </c>
      <c r="J233" s="37">
        <f t="shared" si="49"/>
        <v>0</v>
      </c>
      <c r="K233" s="40">
        <f t="shared" si="50"/>
        <v>0</v>
      </c>
      <c r="L233" s="53"/>
      <c r="M233" s="57"/>
      <c r="N233" s="41">
        <f t="shared" si="44"/>
        <v>7</v>
      </c>
      <c r="O233" s="11">
        <f t="shared" si="51"/>
        <v>24</v>
      </c>
      <c r="P233" s="12">
        <f t="shared" si="45"/>
        <v>0</v>
      </c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x14ac:dyDescent="0.3">
      <c r="A234" s="33">
        <v>227</v>
      </c>
      <c r="B234" s="34" t="str">
        <f t="shared" si="46"/>
        <v>19-й год 11-й мес</v>
      </c>
      <c r="C234" s="35">
        <f t="shared" si="52"/>
        <v>48101</v>
      </c>
      <c r="D234" s="36">
        <f t="shared" si="42"/>
        <v>0</v>
      </c>
      <c r="E234" s="37">
        <f t="shared" si="47"/>
        <v>0</v>
      </c>
      <c r="F234" s="37">
        <f t="shared" si="53"/>
        <v>0</v>
      </c>
      <c r="G234" s="38">
        <f t="shared" si="48"/>
        <v>0</v>
      </c>
      <c r="H234" s="39">
        <f t="shared" si="43"/>
        <v>0</v>
      </c>
      <c r="I234" s="37">
        <f t="shared" si="54"/>
        <v>0</v>
      </c>
      <c r="J234" s="37">
        <f t="shared" si="49"/>
        <v>0</v>
      </c>
      <c r="K234" s="40">
        <f t="shared" si="50"/>
        <v>0</v>
      </c>
      <c r="L234" s="53"/>
      <c r="M234" s="57"/>
      <c r="N234" s="41">
        <f t="shared" si="44"/>
        <v>7</v>
      </c>
      <c r="O234" s="11">
        <f t="shared" si="51"/>
        <v>24</v>
      </c>
      <c r="P234" s="12">
        <f t="shared" si="45"/>
        <v>0</v>
      </c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x14ac:dyDescent="0.3">
      <c r="A235" s="33">
        <v>228</v>
      </c>
      <c r="B235" s="34" t="str">
        <f t="shared" si="46"/>
        <v>19-й год 12-й мес</v>
      </c>
      <c r="C235" s="35">
        <f t="shared" si="52"/>
        <v>48131</v>
      </c>
      <c r="D235" s="36">
        <f t="shared" si="42"/>
        <v>0</v>
      </c>
      <c r="E235" s="37">
        <f t="shared" si="47"/>
        <v>0</v>
      </c>
      <c r="F235" s="37">
        <f t="shared" si="53"/>
        <v>0</v>
      </c>
      <c r="G235" s="38">
        <f t="shared" si="48"/>
        <v>0</v>
      </c>
      <c r="H235" s="39">
        <f t="shared" si="43"/>
        <v>0</v>
      </c>
      <c r="I235" s="37">
        <f t="shared" si="54"/>
        <v>0</v>
      </c>
      <c r="J235" s="37">
        <f t="shared" si="49"/>
        <v>0</v>
      </c>
      <c r="K235" s="40">
        <f t="shared" si="50"/>
        <v>0</v>
      </c>
      <c r="L235" s="53"/>
      <c r="M235" s="57"/>
      <c r="N235" s="41">
        <f t="shared" si="44"/>
        <v>7</v>
      </c>
      <c r="O235" s="11">
        <f t="shared" si="51"/>
        <v>24</v>
      </c>
      <c r="P235" s="12">
        <f t="shared" si="45"/>
        <v>0</v>
      </c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x14ac:dyDescent="0.3">
      <c r="A236" s="42">
        <v>229</v>
      </c>
      <c r="B236" s="34" t="str">
        <f t="shared" si="46"/>
        <v>20-й год 1-й мес</v>
      </c>
      <c r="C236" s="35">
        <f t="shared" si="52"/>
        <v>48162</v>
      </c>
      <c r="D236" s="36">
        <f t="shared" si="42"/>
        <v>0</v>
      </c>
      <c r="E236" s="43">
        <f t="shared" si="47"/>
        <v>0</v>
      </c>
      <c r="F236" s="37">
        <f t="shared" si="53"/>
        <v>0</v>
      </c>
      <c r="G236" s="44">
        <f t="shared" si="48"/>
        <v>0</v>
      </c>
      <c r="H236" s="45">
        <f t="shared" si="43"/>
        <v>0</v>
      </c>
      <c r="I236" s="43">
        <f t="shared" si="54"/>
        <v>0</v>
      </c>
      <c r="J236" s="43">
        <f t="shared" si="49"/>
        <v>0</v>
      </c>
      <c r="K236" s="46">
        <f t="shared" si="50"/>
        <v>0</v>
      </c>
      <c r="L236" s="55"/>
      <c r="M236" s="54"/>
      <c r="N236" s="41">
        <f t="shared" si="44"/>
        <v>7</v>
      </c>
      <c r="O236" s="11">
        <f t="shared" si="51"/>
        <v>24</v>
      </c>
      <c r="P236" s="12">
        <f t="shared" si="45"/>
        <v>0</v>
      </c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x14ac:dyDescent="0.3">
      <c r="A237" s="47">
        <v>230</v>
      </c>
      <c r="B237" s="34" t="str">
        <f t="shared" si="46"/>
        <v>20-й год 2-й мес</v>
      </c>
      <c r="C237" s="35">
        <f t="shared" si="52"/>
        <v>48192</v>
      </c>
      <c r="D237" s="36">
        <f t="shared" si="42"/>
        <v>0</v>
      </c>
      <c r="E237" s="37">
        <f t="shared" si="47"/>
        <v>0</v>
      </c>
      <c r="F237" s="37">
        <f t="shared" si="53"/>
        <v>0</v>
      </c>
      <c r="G237" s="38">
        <f t="shared" si="48"/>
        <v>0</v>
      </c>
      <c r="H237" s="39">
        <f t="shared" si="43"/>
        <v>0</v>
      </c>
      <c r="I237" s="37">
        <f t="shared" si="54"/>
        <v>0</v>
      </c>
      <c r="J237" s="37">
        <f t="shared" si="49"/>
        <v>0</v>
      </c>
      <c r="K237" s="40">
        <f t="shared" si="50"/>
        <v>0</v>
      </c>
      <c r="L237" s="53"/>
      <c r="M237" s="57"/>
      <c r="N237" s="41">
        <f t="shared" si="44"/>
        <v>7</v>
      </c>
      <c r="O237" s="11">
        <f t="shared" si="51"/>
        <v>24</v>
      </c>
      <c r="P237" s="12">
        <f t="shared" si="45"/>
        <v>0</v>
      </c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x14ac:dyDescent="0.3">
      <c r="A238" s="47">
        <v>231</v>
      </c>
      <c r="B238" s="34" t="str">
        <f t="shared" si="46"/>
        <v>20-й год 3-й мес</v>
      </c>
      <c r="C238" s="35">
        <f t="shared" si="52"/>
        <v>48223</v>
      </c>
      <c r="D238" s="36">
        <f t="shared" si="42"/>
        <v>0</v>
      </c>
      <c r="E238" s="37">
        <f t="shared" si="47"/>
        <v>0</v>
      </c>
      <c r="F238" s="37">
        <f t="shared" si="53"/>
        <v>0</v>
      </c>
      <c r="G238" s="38">
        <f t="shared" si="48"/>
        <v>0</v>
      </c>
      <c r="H238" s="39">
        <f t="shared" si="43"/>
        <v>0</v>
      </c>
      <c r="I238" s="37">
        <f t="shared" si="54"/>
        <v>0</v>
      </c>
      <c r="J238" s="37">
        <f t="shared" si="49"/>
        <v>0</v>
      </c>
      <c r="K238" s="40">
        <f t="shared" si="50"/>
        <v>0</v>
      </c>
      <c r="L238" s="53"/>
      <c r="M238" s="57"/>
      <c r="N238" s="41">
        <f t="shared" si="44"/>
        <v>7</v>
      </c>
      <c r="O238" s="11">
        <f t="shared" si="51"/>
        <v>24</v>
      </c>
      <c r="P238" s="12">
        <f t="shared" si="45"/>
        <v>0</v>
      </c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x14ac:dyDescent="0.3">
      <c r="A239" s="47">
        <v>232</v>
      </c>
      <c r="B239" s="34" t="str">
        <f t="shared" si="46"/>
        <v>20-й год 4-й мес</v>
      </c>
      <c r="C239" s="35">
        <f t="shared" si="52"/>
        <v>48254</v>
      </c>
      <c r="D239" s="36">
        <f t="shared" si="42"/>
        <v>0</v>
      </c>
      <c r="E239" s="37">
        <f t="shared" si="47"/>
        <v>0</v>
      </c>
      <c r="F239" s="37">
        <f t="shared" si="53"/>
        <v>0</v>
      </c>
      <c r="G239" s="38">
        <f t="shared" si="48"/>
        <v>0</v>
      </c>
      <c r="H239" s="39">
        <f t="shared" si="43"/>
        <v>0</v>
      </c>
      <c r="I239" s="37">
        <f t="shared" si="54"/>
        <v>0</v>
      </c>
      <c r="J239" s="37">
        <f t="shared" si="49"/>
        <v>0</v>
      </c>
      <c r="K239" s="40">
        <f t="shared" si="50"/>
        <v>0</v>
      </c>
      <c r="L239" s="53"/>
      <c r="M239" s="57"/>
      <c r="N239" s="41">
        <f t="shared" si="44"/>
        <v>7</v>
      </c>
      <c r="O239" s="11">
        <f t="shared" si="51"/>
        <v>24</v>
      </c>
      <c r="P239" s="12">
        <f t="shared" si="45"/>
        <v>0</v>
      </c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x14ac:dyDescent="0.3">
      <c r="A240" s="47">
        <v>233</v>
      </c>
      <c r="B240" s="34" t="str">
        <f t="shared" si="46"/>
        <v>20-й год 5-й мес</v>
      </c>
      <c r="C240" s="35">
        <f t="shared" si="52"/>
        <v>48283</v>
      </c>
      <c r="D240" s="36">
        <f t="shared" si="42"/>
        <v>0</v>
      </c>
      <c r="E240" s="37">
        <f t="shared" si="47"/>
        <v>0</v>
      </c>
      <c r="F240" s="37">
        <f t="shared" si="53"/>
        <v>0</v>
      </c>
      <c r="G240" s="38">
        <f t="shared" si="48"/>
        <v>0</v>
      </c>
      <c r="H240" s="39">
        <f t="shared" si="43"/>
        <v>0</v>
      </c>
      <c r="I240" s="37">
        <f t="shared" si="54"/>
        <v>0</v>
      </c>
      <c r="J240" s="37">
        <f t="shared" si="49"/>
        <v>0</v>
      </c>
      <c r="K240" s="40">
        <f t="shared" si="50"/>
        <v>0</v>
      </c>
      <c r="L240" s="53"/>
      <c r="M240" s="57"/>
      <c r="N240" s="41">
        <f t="shared" si="44"/>
        <v>7</v>
      </c>
      <c r="O240" s="11">
        <f t="shared" si="51"/>
        <v>24</v>
      </c>
      <c r="P240" s="12">
        <f t="shared" si="45"/>
        <v>0</v>
      </c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x14ac:dyDescent="0.3">
      <c r="A241" s="47">
        <v>234</v>
      </c>
      <c r="B241" s="34" t="str">
        <f t="shared" si="46"/>
        <v>20-й год 6-й мес</v>
      </c>
      <c r="C241" s="35">
        <f t="shared" si="52"/>
        <v>48314</v>
      </c>
      <c r="D241" s="36">
        <f t="shared" si="42"/>
        <v>0</v>
      </c>
      <c r="E241" s="37">
        <f t="shared" si="47"/>
        <v>0</v>
      </c>
      <c r="F241" s="37">
        <f t="shared" si="53"/>
        <v>0</v>
      </c>
      <c r="G241" s="38">
        <f t="shared" si="48"/>
        <v>0</v>
      </c>
      <c r="H241" s="39">
        <f t="shared" si="43"/>
        <v>0</v>
      </c>
      <c r="I241" s="37">
        <f t="shared" si="54"/>
        <v>0</v>
      </c>
      <c r="J241" s="37">
        <f t="shared" si="49"/>
        <v>0</v>
      </c>
      <c r="K241" s="40">
        <f t="shared" si="50"/>
        <v>0</v>
      </c>
      <c r="L241" s="53"/>
      <c r="M241" s="57"/>
      <c r="N241" s="41">
        <f t="shared" si="44"/>
        <v>7</v>
      </c>
      <c r="O241" s="11">
        <f t="shared" si="51"/>
        <v>24</v>
      </c>
      <c r="P241" s="12">
        <f t="shared" si="45"/>
        <v>0</v>
      </c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x14ac:dyDescent="0.3">
      <c r="A242" s="47">
        <v>235</v>
      </c>
      <c r="B242" s="34" t="str">
        <f t="shared" si="46"/>
        <v>20-й год 7-й мес</v>
      </c>
      <c r="C242" s="35">
        <f t="shared" si="52"/>
        <v>48344</v>
      </c>
      <c r="D242" s="36">
        <f t="shared" si="42"/>
        <v>0</v>
      </c>
      <c r="E242" s="37">
        <f t="shared" si="47"/>
        <v>0</v>
      </c>
      <c r="F242" s="37">
        <f t="shared" si="53"/>
        <v>0</v>
      </c>
      <c r="G242" s="38">
        <f t="shared" si="48"/>
        <v>0</v>
      </c>
      <c r="H242" s="39">
        <f t="shared" si="43"/>
        <v>0</v>
      </c>
      <c r="I242" s="37">
        <f t="shared" si="54"/>
        <v>0</v>
      </c>
      <c r="J242" s="37">
        <f t="shared" si="49"/>
        <v>0</v>
      </c>
      <c r="K242" s="40">
        <f t="shared" si="50"/>
        <v>0</v>
      </c>
      <c r="L242" s="53"/>
      <c r="M242" s="57"/>
      <c r="N242" s="41">
        <f t="shared" si="44"/>
        <v>7</v>
      </c>
      <c r="O242" s="11">
        <f t="shared" si="51"/>
        <v>24</v>
      </c>
      <c r="P242" s="12">
        <f t="shared" si="45"/>
        <v>0</v>
      </c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x14ac:dyDescent="0.3">
      <c r="A243" s="47">
        <v>236</v>
      </c>
      <c r="B243" s="34" t="str">
        <f t="shared" si="46"/>
        <v>20-й год 8-й мес</v>
      </c>
      <c r="C243" s="35">
        <f t="shared" si="52"/>
        <v>48375</v>
      </c>
      <c r="D243" s="36">
        <f t="shared" si="42"/>
        <v>0</v>
      </c>
      <c r="E243" s="37">
        <f t="shared" si="47"/>
        <v>0</v>
      </c>
      <c r="F243" s="37">
        <f t="shared" si="53"/>
        <v>0</v>
      </c>
      <c r="G243" s="38">
        <f t="shared" si="48"/>
        <v>0</v>
      </c>
      <c r="H243" s="39">
        <f t="shared" si="43"/>
        <v>0</v>
      </c>
      <c r="I243" s="37">
        <f t="shared" si="54"/>
        <v>0</v>
      </c>
      <c r="J243" s="37">
        <f t="shared" si="49"/>
        <v>0</v>
      </c>
      <c r="K243" s="40">
        <f t="shared" si="50"/>
        <v>0</v>
      </c>
      <c r="L243" s="53"/>
      <c r="M243" s="57"/>
      <c r="N243" s="41">
        <f t="shared" si="44"/>
        <v>7</v>
      </c>
      <c r="O243" s="11">
        <f t="shared" si="51"/>
        <v>24</v>
      </c>
      <c r="P243" s="12">
        <f t="shared" si="45"/>
        <v>0</v>
      </c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x14ac:dyDescent="0.3">
      <c r="A244" s="47">
        <v>237</v>
      </c>
      <c r="B244" s="34" t="str">
        <f t="shared" si="46"/>
        <v>20-й год 9-й мес</v>
      </c>
      <c r="C244" s="35">
        <f t="shared" si="52"/>
        <v>48405</v>
      </c>
      <c r="D244" s="36">
        <f t="shared" si="42"/>
        <v>0</v>
      </c>
      <c r="E244" s="37">
        <f t="shared" si="47"/>
        <v>0</v>
      </c>
      <c r="F244" s="37">
        <f t="shared" si="53"/>
        <v>0</v>
      </c>
      <c r="G244" s="38">
        <f t="shared" si="48"/>
        <v>0</v>
      </c>
      <c r="H244" s="39">
        <f t="shared" si="43"/>
        <v>0</v>
      </c>
      <c r="I244" s="37">
        <f t="shared" si="54"/>
        <v>0</v>
      </c>
      <c r="J244" s="37">
        <f t="shared" si="49"/>
        <v>0</v>
      </c>
      <c r="K244" s="40">
        <f t="shared" si="50"/>
        <v>0</v>
      </c>
      <c r="L244" s="53"/>
      <c r="M244" s="57"/>
      <c r="N244" s="41">
        <f t="shared" si="44"/>
        <v>7</v>
      </c>
      <c r="O244" s="11">
        <f t="shared" si="51"/>
        <v>24</v>
      </c>
      <c r="P244" s="12">
        <f t="shared" si="45"/>
        <v>0</v>
      </c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x14ac:dyDescent="0.3">
      <c r="A245" s="47">
        <v>238</v>
      </c>
      <c r="B245" s="34" t="str">
        <f t="shared" si="46"/>
        <v>20-й год 10-й мес</v>
      </c>
      <c r="C245" s="35">
        <f t="shared" si="52"/>
        <v>48436</v>
      </c>
      <c r="D245" s="36">
        <f t="shared" si="42"/>
        <v>0</v>
      </c>
      <c r="E245" s="37">
        <f t="shared" si="47"/>
        <v>0</v>
      </c>
      <c r="F245" s="37">
        <f t="shared" si="53"/>
        <v>0</v>
      </c>
      <c r="G245" s="38">
        <f t="shared" si="48"/>
        <v>0</v>
      </c>
      <c r="H245" s="39">
        <f t="shared" si="43"/>
        <v>0</v>
      </c>
      <c r="I245" s="37">
        <f t="shared" si="54"/>
        <v>0</v>
      </c>
      <c r="J245" s="37">
        <f t="shared" si="49"/>
        <v>0</v>
      </c>
      <c r="K245" s="40">
        <f t="shared" si="50"/>
        <v>0</v>
      </c>
      <c r="L245" s="53"/>
      <c r="M245" s="57"/>
      <c r="N245" s="41">
        <f t="shared" si="44"/>
        <v>7</v>
      </c>
      <c r="O245" s="11">
        <f t="shared" si="51"/>
        <v>24</v>
      </c>
      <c r="P245" s="12">
        <f t="shared" si="45"/>
        <v>0</v>
      </c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x14ac:dyDescent="0.3">
      <c r="A246" s="47">
        <v>239</v>
      </c>
      <c r="B246" s="34" t="str">
        <f t="shared" si="46"/>
        <v>20-й год 11-й мес</v>
      </c>
      <c r="C246" s="35">
        <f t="shared" si="52"/>
        <v>48467</v>
      </c>
      <c r="D246" s="36">
        <f t="shared" si="42"/>
        <v>0</v>
      </c>
      <c r="E246" s="37">
        <f t="shared" si="47"/>
        <v>0</v>
      </c>
      <c r="F246" s="37">
        <f t="shared" si="53"/>
        <v>0</v>
      </c>
      <c r="G246" s="38">
        <f t="shared" si="48"/>
        <v>0</v>
      </c>
      <c r="H246" s="39">
        <f t="shared" si="43"/>
        <v>0</v>
      </c>
      <c r="I246" s="37">
        <f t="shared" si="54"/>
        <v>0</v>
      </c>
      <c r="J246" s="37">
        <f t="shared" si="49"/>
        <v>0</v>
      </c>
      <c r="K246" s="40">
        <f t="shared" si="50"/>
        <v>0</v>
      </c>
      <c r="L246" s="53"/>
      <c r="M246" s="57"/>
      <c r="N246" s="41">
        <f t="shared" si="44"/>
        <v>7</v>
      </c>
      <c r="O246" s="11">
        <f t="shared" si="51"/>
        <v>24</v>
      </c>
      <c r="P246" s="12">
        <f t="shared" si="45"/>
        <v>0</v>
      </c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x14ac:dyDescent="0.3">
      <c r="A247" s="48">
        <v>240</v>
      </c>
      <c r="B247" s="34" t="str">
        <f t="shared" si="46"/>
        <v>20-й год 12-й мес</v>
      </c>
      <c r="C247" s="35">
        <f t="shared" si="52"/>
        <v>48497</v>
      </c>
      <c r="D247" s="36">
        <f t="shared" si="42"/>
        <v>0</v>
      </c>
      <c r="E247" s="49">
        <f t="shared" si="47"/>
        <v>0</v>
      </c>
      <c r="F247" s="37">
        <f t="shared" si="53"/>
        <v>0</v>
      </c>
      <c r="G247" s="50">
        <f t="shared" si="48"/>
        <v>0</v>
      </c>
      <c r="H247" s="51">
        <f t="shared" si="43"/>
        <v>0</v>
      </c>
      <c r="I247" s="49">
        <f t="shared" si="54"/>
        <v>0</v>
      </c>
      <c r="J247" s="49">
        <f t="shared" si="49"/>
        <v>0</v>
      </c>
      <c r="K247" s="52">
        <f t="shared" si="50"/>
        <v>0</v>
      </c>
      <c r="L247" s="56"/>
      <c r="M247" s="58"/>
      <c r="N247" s="41">
        <f t="shared" si="44"/>
        <v>7</v>
      </c>
      <c r="O247" s="11">
        <f t="shared" si="51"/>
        <v>24</v>
      </c>
      <c r="P247" s="12">
        <f t="shared" si="45"/>
        <v>0</v>
      </c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x14ac:dyDescent="0.3">
      <c r="A248" s="33">
        <v>241</v>
      </c>
      <c r="B248" s="34" t="str">
        <f t="shared" si="46"/>
        <v>21-й год 1-й мес</v>
      </c>
      <c r="C248" s="35">
        <f t="shared" si="52"/>
        <v>48528</v>
      </c>
      <c r="D248" s="36">
        <f t="shared" si="42"/>
        <v>0</v>
      </c>
      <c r="E248" s="37">
        <f t="shared" si="47"/>
        <v>0</v>
      </c>
      <c r="F248" s="37">
        <f t="shared" si="53"/>
        <v>0</v>
      </c>
      <c r="G248" s="38">
        <f t="shared" si="48"/>
        <v>0</v>
      </c>
      <c r="H248" s="39">
        <f t="shared" si="43"/>
        <v>0</v>
      </c>
      <c r="I248" s="37">
        <f t="shared" si="54"/>
        <v>0</v>
      </c>
      <c r="J248" s="37">
        <f t="shared" si="49"/>
        <v>0</v>
      </c>
      <c r="K248" s="40">
        <f t="shared" si="50"/>
        <v>0</v>
      </c>
      <c r="L248" s="53"/>
      <c r="M248" s="57"/>
      <c r="N248" s="41">
        <f t="shared" si="44"/>
        <v>7</v>
      </c>
      <c r="O248" s="11">
        <f t="shared" si="51"/>
        <v>24</v>
      </c>
      <c r="P248" s="12">
        <f t="shared" si="45"/>
        <v>0</v>
      </c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x14ac:dyDescent="0.3">
      <c r="A249" s="33">
        <v>242</v>
      </c>
      <c r="B249" s="34" t="str">
        <f t="shared" si="46"/>
        <v>21-й год 2-й мес</v>
      </c>
      <c r="C249" s="35">
        <f t="shared" si="52"/>
        <v>48558</v>
      </c>
      <c r="D249" s="36">
        <f t="shared" si="42"/>
        <v>0</v>
      </c>
      <c r="E249" s="37">
        <f t="shared" si="47"/>
        <v>0</v>
      </c>
      <c r="F249" s="37">
        <f t="shared" si="53"/>
        <v>0</v>
      </c>
      <c r="G249" s="38">
        <f t="shared" si="48"/>
        <v>0</v>
      </c>
      <c r="H249" s="39">
        <f t="shared" si="43"/>
        <v>0</v>
      </c>
      <c r="I249" s="37">
        <f t="shared" si="54"/>
        <v>0</v>
      </c>
      <c r="J249" s="37">
        <f t="shared" si="49"/>
        <v>0</v>
      </c>
      <c r="K249" s="40">
        <f t="shared" si="50"/>
        <v>0</v>
      </c>
      <c r="L249" s="53"/>
      <c r="M249" s="57"/>
      <c r="N249" s="41">
        <f t="shared" si="44"/>
        <v>7</v>
      </c>
      <c r="O249" s="11">
        <f t="shared" si="51"/>
        <v>24</v>
      </c>
      <c r="P249" s="12">
        <f t="shared" si="45"/>
        <v>0</v>
      </c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x14ac:dyDescent="0.3">
      <c r="A250" s="33">
        <v>243</v>
      </c>
      <c r="B250" s="34" t="str">
        <f t="shared" si="46"/>
        <v>21-й год 3-й мес</v>
      </c>
      <c r="C250" s="35">
        <f t="shared" si="52"/>
        <v>48589</v>
      </c>
      <c r="D250" s="36">
        <f t="shared" si="42"/>
        <v>0</v>
      </c>
      <c r="E250" s="37">
        <f t="shared" si="47"/>
        <v>0</v>
      </c>
      <c r="F250" s="37">
        <f t="shared" si="53"/>
        <v>0</v>
      </c>
      <c r="G250" s="38">
        <f t="shared" si="48"/>
        <v>0</v>
      </c>
      <c r="H250" s="39">
        <f t="shared" si="43"/>
        <v>0</v>
      </c>
      <c r="I250" s="37">
        <f t="shared" si="54"/>
        <v>0</v>
      </c>
      <c r="J250" s="37">
        <f t="shared" si="49"/>
        <v>0</v>
      </c>
      <c r="K250" s="40">
        <f t="shared" si="50"/>
        <v>0</v>
      </c>
      <c r="L250" s="53"/>
      <c r="M250" s="57"/>
      <c r="N250" s="41">
        <f t="shared" si="44"/>
        <v>7</v>
      </c>
      <c r="O250" s="11">
        <f t="shared" si="51"/>
        <v>24</v>
      </c>
      <c r="P250" s="12">
        <f t="shared" si="45"/>
        <v>0</v>
      </c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x14ac:dyDescent="0.3">
      <c r="A251" s="33">
        <v>244</v>
      </c>
      <c r="B251" s="34" t="str">
        <f t="shared" si="46"/>
        <v>21-й год 4-й мес</v>
      </c>
      <c r="C251" s="35">
        <f t="shared" si="52"/>
        <v>48620</v>
      </c>
      <c r="D251" s="36">
        <f t="shared" si="42"/>
        <v>0</v>
      </c>
      <c r="E251" s="37">
        <f t="shared" si="47"/>
        <v>0</v>
      </c>
      <c r="F251" s="37">
        <f t="shared" si="53"/>
        <v>0</v>
      </c>
      <c r="G251" s="38">
        <f t="shared" si="48"/>
        <v>0</v>
      </c>
      <c r="H251" s="39">
        <f t="shared" si="43"/>
        <v>0</v>
      </c>
      <c r="I251" s="37">
        <f t="shared" si="54"/>
        <v>0</v>
      </c>
      <c r="J251" s="37">
        <f t="shared" si="49"/>
        <v>0</v>
      </c>
      <c r="K251" s="40">
        <f t="shared" si="50"/>
        <v>0</v>
      </c>
      <c r="L251" s="53"/>
      <c r="M251" s="57"/>
      <c r="N251" s="41">
        <f t="shared" si="44"/>
        <v>7</v>
      </c>
      <c r="O251" s="11">
        <f t="shared" si="51"/>
        <v>24</v>
      </c>
      <c r="P251" s="12">
        <f t="shared" si="45"/>
        <v>0</v>
      </c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x14ac:dyDescent="0.3">
      <c r="A252" s="33">
        <v>245</v>
      </c>
      <c r="B252" s="34" t="str">
        <f t="shared" si="46"/>
        <v>21-й год 5-й мес</v>
      </c>
      <c r="C252" s="35">
        <f t="shared" si="52"/>
        <v>48648</v>
      </c>
      <c r="D252" s="36">
        <f t="shared" si="42"/>
        <v>0</v>
      </c>
      <c r="E252" s="37">
        <f t="shared" si="47"/>
        <v>0</v>
      </c>
      <c r="F252" s="37">
        <f t="shared" si="53"/>
        <v>0</v>
      </c>
      <c r="G252" s="38">
        <f t="shared" si="48"/>
        <v>0</v>
      </c>
      <c r="H252" s="39">
        <f t="shared" si="43"/>
        <v>0</v>
      </c>
      <c r="I252" s="37">
        <f t="shared" si="54"/>
        <v>0</v>
      </c>
      <c r="J252" s="37">
        <f t="shared" si="49"/>
        <v>0</v>
      </c>
      <c r="K252" s="40">
        <f t="shared" si="50"/>
        <v>0</v>
      </c>
      <c r="L252" s="53"/>
      <c r="M252" s="57"/>
      <c r="N252" s="41">
        <f t="shared" si="44"/>
        <v>7</v>
      </c>
      <c r="O252" s="11">
        <f t="shared" si="51"/>
        <v>24</v>
      </c>
      <c r="P252" s="12">
        <f t="shared" si="45"/>
        <v>0</v>
      </c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x14ac:dyDescent="0.3">
      <c r="A253" s="33">
        <v>246</v>
      </c>
      <c r="B253" s="34" t="str">
        <f t="shared" si="46"/>
        <v>21-й год 6-й мес</v>
      </c>
      <c r="C253" s="35">
        <f t="shared" si="52"/>
        <v>48679</v>
      </c>
      <c r="D253" s="36">
        <f t="shared" si="42"/>
        <v>0</v>
      </c>
      <c r="E253" s="37">
        <f t="shared" si="47"/>
        <v>0</v>
      </c>
      <c r="F253" s="37">
        <f t="shared" si="53"/>
        <v>0</v>
      </c>
      <c r="G253" s="38">
        <f t="shared" si="48"/>
        <v>0</v>
      </c>
      <c r="H253" s="39">
        <f t="shared" si="43"/>
        <v>0</v>
      </c>
      <c r="I253" s="37">
        <f t="shared" si="54"/>
        <v>0</v>
      </c>
      <c r="J253" s="37">
        <f t="shared" si="49"/>
        <v>0</v>
      </c>
      <c r="K253" s="40">
        <f t="shared" si="50"/>
        <v>0</v>
      </c>
      <c r="L253" s="53"/>
      <c r="M253" s="57"/>
      <c r="N253" s="41">
        <f t="shared" si="44"/>
        <v>7</v>
      </c>
      <c r="O253" s="11">
        <f t="shared" si="51"/>
        <v>24</v>
      </c>
      <c r="P253" s="12">
        <f t="shared" si="45"/>
        <v>0</v>
      </c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x14ac:dyDescent="0.3">
      <c r="A254" s="33">
        <v>247</v>
      </c>
      <c r="B254" s="34" t="str">
        <f t="shared" si="46"/>
        <v>21-й год 7-й мес</v>
      </c>
      <c r="C254" s="35">
        <f t="shared" si="52"/>
        <v>48709</v>
      </c>
      <c r="D254" s="36">
        <f t="shared" si="42"/>
        <v>0</v>
      </c>
      <c r="E254" s="37">
        <f t="shared" si="47"/>
        <v>0</v>
      </c>
      <c r="F254" s="37">
        <f t="shared" si="53"/>
        <v>0</v>
      </c>
      <c r="G254" s="38">
        <f t="shared" si="48"/>
        <v>0</v>
      </c>
      <c r="H254" s="39">
        <f t="shared" si="43"/>
        <v>0</v>
      </c>
      <c r="I254" s="37">
        <f t="shared" si="54"/>
        <v>0</v>
      </c>
      <c r="J254" s="37">
        <f t="shared" si="49"/>
        <v>0</v>
      </c>
      <c r="K254" s="40">
        <f t="shared" si="50"/>
        <v>0</v>
      </c>
      <c r="L254" s="53"/>
      <c r="M254" s="57"/>
      <c r="N254" s="41">
        <f t="shared" si="44"/>
        <v>7</v>
      </c>
      <c r="O254" s="11">
        <f t="shared" si="51"/>
        <v>24</v>
      </c>
      <c r="P254" s="12">
        <f t="shared" si="45"/>
        <v>0</v>
      </c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x14ac:dyDescent="0.3">
      <c r="A255" s="33">
        <v>248</v>
      </c>
      <c r="B255" s="34" t="str">
        <f t="shared" si="46"/>
        <v>21-й год 8-й мес</v>
      </c>
      <c r="C255" s="35">
        <f t="shared" si="52"/>
        <v>48740</v>
      </c>
      <c r="D255" s="36">
        <f t="shared" si="42"/>
        <v>0</v>
      </c>
      <c r="E255" s="37">
        <f t="shared" si="47"/>
        <v>0</v>
      </c>
      <c r="F255" s="37">
        <f t="shared" si="53"/>
        <v>0</v>
      </c>
      <c r="G255" s="38">
        <f t="shared" si="48"/>
        <v>0</v>
      </c>
      <c r="H255" s="39">
        <f t="shared" si="43"/>
        <v>0</v>
      </c>
      <c r="I255" s="37">
        <f t="shared" si="54"/>
        <v>0</v>
      </c>
      <c r="J255" s="37">
        <f t="shared" si="49"/>
        <v>0</v>
      </c>
      <c r="K255" s="40">
        <f t="shared" si="50"/>
        <v>0</v>
      </c>
      <c r="L255" s="53"/>
      <c r="M255" s="57"/>
      <c r="N255" s="41">
        <f t="shared" si="44"/>
        <v>7</v>
      </c>
      <c r="O255" s="11">
        <f t="shared" si="51"/>
        <v>24</v>
      </c>
      <c r="P255" s="12">
        <f t="shared" si="45"/>
        <v>0</v>
      </c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x14ac:dyDescent="0.3">
      <c r="A256" s="33">
        <v>249</v>
      </c>
      <c r="B256" s="34" t="str">
        <f t="shared" si="46"/>
        <v>21-й год 9-й мес</v>
      </c>
      <c r="C256" s="35">
        <f t="shared" si="52"/>
        <v>48770</v>
      </c>
      <c r="D256" s="36">
        <f t="shared" si="42"/>
        <v>0</v>
      </c>
      <c r="E256" s="37">
        <f t="shared" si="47"/>
        <v>0</v>
      </c>
      <c r="F256" s="37">
        <f t="shared" si="53"/>
        <v>0</v>
      </c>
      <c r="G256" s="38">
        <f t="shared" si="48"/>
        <v>0</v>
      </c>
      <c r="H256" s="39">
        <f t="shared" si="43"/>
        <v>0</v>
      </c>
      <c r="I256" s="37">
        <f t="shared" si="54"/>
        <v>0</v>
      </c>
      <c r="J256" s="37">
        <f t="shared" si="49"/>
        <v>0</v>
      </c>
      <c r="K256" s="40">
        <f t="shared" si="50"/>
        <v>0</v>
      </c>
      <c r="L256" s="53"/>
      <c r="M256" s="57"/>
      <c r="N256" s="41">
        <f t="shared" si="44"/>
        <v>7</v>
      </c>
      <c r="O256" s="11">
        <f t="shared" si="51"/>
        <v>24</v>
      </c>
      <c r="P256" s="12">
        <f t="shared" si="45"/>
        <v>0</v>
      </c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x14ac:dyDescent="0.3">
      <c r="A257" s="33">
        <v>250</v>
      </c>
      <c r="B257" s="34" t="str">
        <f t="shared" si="46"/>
        <v>21-й год 10-й мес</v>
      </c>
      <c r="C257" s="35">
        <f t="shared" si="52"/>
        <v>48801</v>
      </c>
      <c r="D257" s="36">
        <f t="shared" si="42"/>
        <v>0</v>
      </c>
      <c r="E257" s="37">
        <f t="shared" si="47"/>
        <v>0</v>
      </c>
      <c r="F257" s="37">
        <f t="shared" si="53"/>
        <v>0</v>
      </c>
      <c r="G257" s="38">
        <f t="shared" si="48"/>
        <v>0</v>
      </c>
      <c r="H257" s="39">
        <f t="shared" si="43"/>
        <v>0</v>
      </c>
      <c r="I257" s="37">
        <f t="shared" si="54"/>
        <v>0</v>
      </c>
      <c r="J257" s="37">
        <f t="shared" si="49"/>
        <v>0</v>
      </c>
      <c r="K257" s="40">
        <f t="shared" si="50"/>
        <v>0</v>
      </c>
      <c r="L257" s="53"/>
      <c r="M257" s="57"/>
      <c r="N257" s="41">
        <f t="shared" si="44"/>
        <v>7</v>
      </c>
      <c r="O257" s="11">
        <f t="shared" si="51"/>
        <v>24</v>
      </c>
      <c r="P257" s="12">
        <f t="shared" si="45"/>
        <v>0</v>
      </c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x14ac:dyDescent="0.3">
      <c r="A258" s="33">
        <v>251</v>
      </c>
      <c r="B258" s="34" t="str">
        <f t="shared" si="46"/>
        <v>21-й год 11-й мес</v>
      </c>
      <c r="C258" s="35">
        <f t="shared" si="52"/>
        <v>48832</v>
      </c>
      <c r="D258" s="36">
        <f t="shared" si="42"/>
        <v>0</v>
      </c>
      <c r="E258" s="37">
        <f t="shared" si="47"/>
        <v>0</v>
      </c>
      <c r="F258" s="37">
        <f t="shared" si="53"/>
        <v>0</v>
      </c>
      <c r="G258" s="38">
        <f t="shared" si="48"/>
        <v>0</v>
      </c>
      <c r="H258" s="39">
        <f t="shared" si="43"/>
        <v>0</v>
      </c>
      <c r="I258" s="37">
        <f t="shared" si="54"/>
        <v>0</v>
      </c>
      <c r="J258" s="37">
        <f t="shared" si="49"/>
        <v>0</v>
      </c>
      <c r="K258" s="40">
        <f t="shared" si="50"/>
        <v>0</v>
      </c>
      <c r="L258" s="53"/>
      <c r="M258" s="57"/>
      <c r="N258" s="41">
        <f t="shared" si="44"/>
        <v>7</v>
      </c>
      <c r="O258" s="11">
        <f t="shared" si="51"/>
        <v>24</v>
      </c>
      <c r="P258" s="12">
        <f t="shared" si="45"/>
        <v>0</v>
      </c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x14ac:dyDescent="0.3">
      <c r="A259" s="33">
        <v>252</v>
      </c>
      <c r="B259" s="34" t="str">
        <f t="shared" si="46"/>
        <v>21-й год 12-й мес</v>
      </c>
      <c r="C259" s="35">
        <f t="shared" si="52"/>
        <v>48862</v>
      </c>
      <c r="D259" s="36">
        <f t="shared" si="42"/>
        <v>0</v>
      </c>
      <c r="E259" s="37">
        <f t="shared" si="47"/>
        <v>0</v>
      </c>
      <c r="F259" s="37">
        <f t="shared" si="53"/>
        <v>0</v>
      </c>
      <c r="G259" s="38">
        <f t="shared" si="48"/>
        <v>0</v>
      </c>
      <c r="H259" s="39">
        <f t="shared" si="43"/>
        <v>0</v>
      </c>
      <c r="I259" s="37">
        <f t="shared" si="54"/>
        <v>0</v>
      </c>
      <c r="J259" s="37">
        <f t="shared" si="49"/>
        <v>0</v>
      </c>
      <c r="K259" s="40">
        <f t="shared" si="50"/>
        <v>0</v>
      </c>
      <c r="L259" s="53"/>
      <c r="M259" s="57"/>
      <c r="N259" s="41">
        <f t="shared" si="44"/>
        <v>7</v>
      </c>
      <c r="O259" s="11">
        <f t="shared" si="51"/>
        <v>24</v>
      </c>
      <c r="P259" s="12">
        <f t="shared" si="45"/>
        <v>0</v>
      </c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x14ac:dyDescent="0.3">
      <c r="A260" s="42">
        <v>253</v>
      </c>
      <c r="B260" s="34" t="str">
        <f t="shared" si="46"/>
        <v>22-й год 1-й мес</v>
      </c>
      <c r="C260" s="35">
        <f t="shared" si="52"/>
        <v>48893</v>
      </c>
      <c r="D260" s="36">
        <f t="shared" si="42"/>
        <v>0</v>
      </c>
      <c r="E260" s="43">
        <f t="shared" si="47"/>
        <v>0</v>
      </c>
      <c r="F260" s="37">
        <f t="shared" si="53"/>
        <v>0</v>
      </c>
      <c r="G260" s="44">
        <f t="shared" si="48"/>
        <v>0</v>
      </c>
      <c r="H260" s="45">
        <f t="shared" si="43"/>
        <v>0</v>
      </c>
      <c r="I260" s="43">
        <f t="shared" si="54"/>
        <v>0</v>
      </c>
      <c r="J260" s="43">
        <f t="shared" si="49"/>
        <v>0</v>
      </c>
      <c r="K260" s="46">
        <f t="shared" si="50"/>
        <v>0</v>
      </c>
      <c r="L260" s="55"/>
      <c r="M260" s="54"/>
      <c r="N260" s="41">
        <f t="shared" si="44"/>
        <v>7</v>
      </c>
      <c r="O260" s="11">
        <f t="shared" si="51"/>
        <v>24</v>
      </c>
      <c r="P260" s="12">
        <f t="shared" si="45"/>
        <v>0</v>
      </c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x14ac:dyDescent="0.3">
      <c r="A261" s="47">
        <v>254</v>
      </c>
      <c r="B261" s="34" t="str">
        <f t="shared" si="46"/>
        <v>22-й год 2-й мес</v>
      </c>
      <c r="C261" s="35">
        <f t="shared" si="52"/>
        <v>48923</v>
      </c>
      <c r="D261" s="36">
        <f t="shared" si="42"/>
        <v>0</v>
      </c>
      <c r="E261" s="37">
        <f t="shared" si="47"/>
        <v>0</v>
      </c>
      <c r="F261" s="37">
        <f t="shared" si="53"/>
        <v>0</v>
      </c>
      <c r="G261" s="38">
        <f t="shared" si="48"/>
        <v>0</v>
      </c>
      <c r="H261" s="39">
        <f t="shared" si="43"/>
        <v>0</v>
      </c>
      <c r="I261" s="37">
        <f t="shared" si="54"/>
        <v>0</v>
      </c>
      <c r="J261" s="37">
        <f t="shared" si="49"/>
        <v>0</v>
      </c>
      <c r="K261" s="40">
        <f t="shared" si="50"/>
        <v>0</v>
      </c>
      <c r="L261" s="53"/>
      <c r="M261" s="57"/>
      <c r="N261" s="41">
        <f t="shared" si="44"/>
        <v>7</v>
      </c>
      <c r="O261" s="11">
        <f t="shared" si="51"/>
        <v>24</v>
      </c>
      <c r="P261" s="12">
        <f t="shared" si="45"/>
        <v>0</v>
      </c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x14ac:dyDescent="0.3">
      <c r="A262" s="47">
        <v>255</v>
      </c>
      <c r="B262" s="34" t="str">
        <f t="shared" si="46"/>
        <v>22-й год 3-й мес</v>
      </c>
      <c r="C262" s="35">
        <f t="shared" si="52"/>
        <v>48954</v>
      </c>
      <c r="D262" s="36">
        <f t="shared" si="42"/>
        <v>0</v>
      </c>
      <c r="E262" s="37">
        <f t="shared" si="47"/>
        <v>0</v>
      </c>
      <c r="F262" s="37">
        <f t="shared" si="53"/>
        <v>0</v>
      </c>
      <c r="G262" s="38">
        <f t="shared" si="48"/>
        <v>0</v>
      </c>
      <c r="H262" s="39">
        <f t="shared" si="43"/>
        <v>0</v>
      </c>
      <c r="I262" s="37">
        <f t="shared" si="54"/>
        <v>0</v>
      </c>
      <c r="J262" s="37">
        <f t="shared" si="49"/>
        <v>0</v>
      </c>
      <c r="K262" s="40">
        <f t="shared" si="50"/>
        <v>0</v>
      </c>
      <c r="L262" s="53"/>
      <c r="M262" s="57"/>
      <c r="N262" s="41">
        <f t="shared" si="44"/>
        <v>7</v>
      </c>
      <c r="O262" s="11">
        <f t="shared" si="51"/>
        <v>24</v>
      </c>
      <c r="P262" s="12">
        <f t="shared" si="45"/>
        <v>0</v>
      </c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x14ac:dyDescent="0.3">
      <c r="A263" s="47">
        <v>256</v>
      </c>
      <c r="B263" s="34" t="str">
        <f t="shared" si="46"/>
        <v>22-й год 4-й мес</v>
      </c>
      <c r="C263" s="35">
        <f t="shared" si="52"/>
        <v>48985</v>
      </c>
      <c r="D263" s="36">
        <f t="shared" si="42"/>
        <v>0</v>
      </c>
      <c r="E263" s="37">
        <f t="shared" si="47"/>
        <v>0</v>
      </c>
      <c r="F263" s="37">
        <f t="shared" si="53"/>
        <v>0</v>
      </c>
      <c r="G263" s="38">
        <f t="shared" si="48"/>
        <v>0</v>
      </c>
      <c r="H263" s="39">
        <f t="shared" si="43"/>
        <v>0</v>
      </c>
      <c r="I263" s="37">
        <f t="shared" si="54"/>
        <v>0</v>
      </c>
      <c r="J263" s="37">
        <f t="shared" si="49"/>
        <v>0</v>
      </c>
      <c r="K263" s="40">
        <f t="shared" si="50"/>
        <v>0</v>
      </c>
      <c r="L263" s="53"/>
      <c r="M263" s="57"/>
      <c r="N263" s="41">
        <f t="shared" si="44"/>
        <v>7</v>
      </c>
      <c r="O263" s="11">
        <f t="shared" si="51"/>
        <v>24</v>
      </c>
      <c r="P263" s="12">
        <f t="shared" si="45"/>
        <v>0</v>
      </c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x14ac:dyDescent="0.3">
      <c r="A264" s="47">
        <v>257</v>
      </c>
      <c r="B264" s="34" t="str">
        <f t="shared" si="46"/>
        <v>22-й год 5-й мес</v>
      </c>
      <c r="C264" s="35">
        <f t="shared" si="52"/>
        <v>49013</v>
      </c>
      <c r="D264" s="36">
        <f t="shared" ref="D264:D327" si="55">IF(P264*$D$2/100/12/(1-(1+$D$2/100/12)^(-O264))&lt;G263,ROUNDUP(P264*$D$2/100/12/(1-(1+$D$2/100/12)^(-O264)),0),G263+F264)</f>
        <v>0</v>
      </c>
      <c r="E264" s="37">
        <f t="shared" si="47"/>
        <v>0</v>
      </c>
      <c r="F264" s="37">
        <f t="shared" si="53"/>
        <v>0</v>
      </c>
      <c r="G264" s="38">
        <f t="shared" si="48"/>
        <v>0</v>
      </c>
      <c r="H264" s="39">
        <f t="shared" ref="H264:H327" si="56">I264+J264</f>
        <v>0</v>
      </c>
      <c r="I264" s="37">
        <f t="shared" si="54"/>
        <v>0</v>
      </c>
      <c r="J264" s="37">
        <f t="shared" si="49"/>
        <v>0</v>
      </c>
      <c r="K264" s="40">
        <f t="shared" si="50"/>
        <v>0</v>
      </c>
      <c r="L264" s="53"/>
      <c r="M264" s="57"/>
      <c r="N264" s="41">
        <f t="shared" ref="N264:N327" si="57">IF(ISBLANK(L263),VALUE(N263),ROW(L263))</f>
        <v>7</v>
      </c>
      <c r="O264" s="11">
        <f t="shared" si="51"/>
        <v>24</v>
      </c>
      <c r="P264" s="12">
        <f t="shared" ref="P264:P327" si="58">INDEX(G:G,N264,1)</f>
        <v>0</v>
      </c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x14ac:dyDescent="0.3">
      <c r="A265" s="47">
        <v>258</v>
      </c>
      <c r="B265" s="34" t="str">
        <f t="shared" ref="B265:B328" si="59">CONCATENATE(INT((A265-1)/12)+1,"-й год ",A265-1-INT((A265-1)/12)*12+1,"-й мес")</f>
        <v>22-й год 6-й мес</v>
      </c>
      <c r="C265" s="35">
        <f t="shared" si="52"/>
        <v>49044</v>
      </c>
      <c r="D265" s="36">
        <f t="shared" si="55"/>
        <v>0</v>
      </c>
      <c r="E265" s="37">
        <f t="shared" ref="E265:E328" si="60">D265-F265</f>
        <v>0</v>
      </c>
      <c r="F265" s="37">
        <f t="shared" si="53"/>
        <v>0</v>
      </c>
      <c r="G265" s="38">
        <f t="shared" ref="G265:G328" si="61">G264-E265-L265-M265</f>
        <v>0</v>
      </c>
      <c r="H265" s="39">
        <f t="shared" si="56"/>
        <v>0</v>
      </c>
      <c r="I265" s="37">
        <f t="shared" si="54"/>
        <v>0</v>
      </c>
      <c r="J265" s="37">
        <f t="shared" ref="J265:J328" si="62">K264*$D$2/12/100</f>
        <v>0</v>
      </c>
      <c r="K265" s="40">
        <f t="shared" ref="K265:K328" si="63">K264-I265-L265-M265</f>
        <v>0</v>
      </c>
      <c r="L265" s="53"/>
      <c r="M265" s="57"/>
      <c r="N265" s="41">
        <f t="shared" si="57"/>
        <v>7</v>
      </c>
      <c r="O265" s="11">
        <f t="shared" ref="O265:O328" si="64">O264+N264-N265</f>
        <v>24</v>
      </c>
      <c r="P265" s="12">
        <f t="shared" si="58"/>
        <v>0</v>
      </c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x14ac:dyDescent="0.3">
      <c r="A266" s="47">
        <v>259</v>
      </c>
      <c r="B266" s="34" t="str">
        <f t="shared" si="59"/>
        <v>22-й год 7-й мес</v>
      </c>
      <c r="C266" s="35">
        <f t="shared" ref="C266:C329" si="65">DATE(YEAR(C265),MONTH(C265)+1,DAY(C265))</f>
        <v>49074</v>
      </c>
      <c r="D266" s="36">
        <f t="shared" si="55"/>
        <v>0</v>
      </c>
      <c r="E266" s="37">
        <f t="shared" si="60"/>
        <v>0</v>
      </c>
      <c r="F266" s="37">
        <f t="shared" ref="F266:F329" si="66">G265*$D$2*(C266-C265)/(DATE(YEAR(C266)+1,1,1)-DATE(YEAR(C266),1,1))/100</f>
        <v>0</v>
      </c>
      <c r="G266" s="38">
        <f t="shared" si="61"/>
        <v>0</v>
      </c>
      <c r="H266" s="39">
        <f t="shared" si="56"/>
        <v>0</v>
      </c>
      <c r="I266" s="37">
        <f t="shared" ref="I266:I329" si="67">IF($D$1/$D$3&lt;K265,$D$1/$D$3,K265)</f>
        <v>0</v>
      </c>
      <c r="J266" s="37">
        <f t="shared" si="62"/>
        <v>0</v>
      </c>
      <c r="K266" s="40">
        <f t="shared" si="63"/>
        <v>0</v>
      </c>
      <c r="L266" s="53"/>
      <c r="M266" s="57"/>
      <c r="N266" s="41">
        <f t="shared" si="57"/>
        <v>7</v>
      </c>
      <c r="O266" s="11">
        <f t="shared" si="64"/>
        <v>24</v>
      </c>
      <c r="P266" s="12">
        <f t="shared" si="58"/>
        <v>0</v>
      </c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x14ac:dyDescent="0.3">
      <c r="A267" s="47">
        <v>260</v>
      </c>
      <c r="B267" s="34" t="str">
        <f t="shared" si="59"/>
        <v>22-й год 8-й мес</v>
      </c>
      <c r="C267" s="35">
        <f t="shared" si="65"/>
        <v>49105</v>
      </c>
      <c r="D267" s="36">
        <f t="shared" si="55"/>
        <v>0</v>
      </c>
      <c r="E267" s="37">
        <f t="shared" si="60"/>
        <v>0</v>
      </c>
      <c r="F267" s="37">
        <f t="shared" si="66"/>
        <v>0</v>
      </c>
      <c r="G267" s="38">
        <f t="shared" si="61"/>
        <v>0</v>
      </c>
      <c r="H267" s="39">
        <f t="shared" si="56"/>
        <v>0</v>
      </c>
      <c r="I267" s="37">
        <f t="shared" si="67"/>
        <v>0</v>
      </c>
      <c r="J267" s="37">
        <f t="shared" si="62"/>
        <v>0</v>
      </c>
      <c r="K267" s="40">
        <f t="shared" si="63"/>
        <v>0</v>
      </c>
      <c r="L267" s="53"/>
      <c r="M267" s="57"/>
      <c r="N267" s="41">
        <f t="shared" si="57"/>
        <v>7</v>
      </c>
      <c r="O267" s="11">
        <f t="shared" si="64"/>
        <v>24</v>
      </c>
      <c r="P267" s="12">
        <f t="shared" si="58"/>
        <v>0</v>
      </c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x14ac:dyDescent="0.3">
      <c r="A268" s="47">
        <v>261</v>
      </c>
      <c r="B268" s="34" t="str">
        <f t="shared" si="59"/>
        <v>22-й год 9-й мес</v>
      </c>
      <c r="C268" s="35">
        <f t="shared" si="65"/>
        <v>49135</v>
      </c>
      <c r="D268" s="36">
        <f t="shared" si="55"/>
        <v>0</v>
      </c>
      <c r="E268" s="37">
        <f t="shared" si="60"/>
        <v>0</v>
      </c>
      <c r="F268" s="37">
        <f t="shared" si="66"/>
        <v>0</v>
      </c>
      <c r="G268" s="38">
        <f t="shared" si="61"/>
        <v>0</v>
      </c>
      <c r="H268" s="39">
        <f t="shared" si="56"/>
        <v>0</v>
      </c>
      <c r="I268" s="37">
        <f t="shared" si="67"/>
        <v>0</v>
      </c>
      <c r="J268" s="37">
        <f t="shared" si="62"/>
        <v>0</v>
      </c>
      <c r="K268" s="40">
        <f t="shared" si="63"/>
        <v>0</v>
      </c>
      <c r="L268" s="53"/>
      <c r="M268" s="57"/>
      <c r="N268" s="41">
        <f t="shared" si="57"/>
        <v>7</v>
      </c>
      <c r="O268" s="11">
        <f t="shared" si="64"/>
        <v>24</v>
      </c>
      <c r="P268" s="12">
        <f t="shared" si="58"/>
        <v>0</v>
      </c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x14ac:dyDescent="0.3">
      <c r="A269" s="47">
        <v>262</v>
      </c>
      <c r="B269" s="34" t="str">
        <f t="shared" si="59"/>
        <v>22-й год 10-й мес</v>
      </c>
      <c r="C269" s="35">
        <f t="shared" si="65"/>
        <v>49166</v>
      </c>
      <c r="D269" s="36">
        <f t="shared" si="55"/>
        <v>0</v>
      </c>
      <c r="E269" s="37">
        <f t="shared" si="60"/>
        <v>0</v>
      </c>
      <c r="F269" s="37">
        <f t="shared" si="66"/>
        <v>0</v>
      </c>
      <c r="G269" s="38">
        <f t="shared" si="61"/>
        <v>0</v>
      </c>
      <c r="H269" s="39">
        <f t="shared" si="56"/>
        <v>0</v>
      </c>
      <c r="I269" s="37">
        <f t="shared" si="67"/>
        <v>0</v>
      </c>
      <c r="J269" s="37">
        <f t="shared" si="62"/>
        <v>0</v>
      </c>
      <c r="K269" s="40">
        <f t="shared" si="63"/>
        <v>0</v>
      </c>
      <c r="L269" s="53"/>
      <c r="M269" s="57"/>
      <c r="N269" s="41">
        <f t="shared" si="57"/>
        <v>7</v>
      </c>
      <c r="O269" s="11">
        <f t="shared" si="64"/>
        <v>24</v>
      </c>
      <c r="P269" s="12">
        <f t="shared" si="58"/>
        <v>0</v>
      </c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x14ac:dyDescent="0.3">
      <c r="A270" s="47">
        <v>263</v>
      </c>
      <c r="B270" s="34" t="str">
        <f t="shared" si="59"/>
        <v>22-й год 11-й мес</v>
      </c>
      <c r="C270" s="35">
        <f t="shared" si="65"/>
        <v>49197</v>
      </c>
      <c r="D270" s="36">
        <f t="shared" si="55"/>
        <v>0</v>
      </c>
      <c r="E270" s="37">
        <f t="shared" si="60"/>
        <v>0</v>
      </c>
      <c r="F270" s="37">
        <f t="shared" si="66"/>
        <v>0</v>
      </c>
      <c r="G270" s="38">
        <f t="shared" si="61"/>
        <v>0</v>
      </c>
      <c r="H270" s="39">
        <f t="shared" si="56"/>
        <v>0</v>
      </c>
      <c r="I270" s="37">
        <f t="shared" si="67"/>
        <v>0</v>
      </c>
      <c r="J270" s="37">
        <f t="shared" si="62"/>
        <v>0</v>
      </c>
      <c r="K270" s="40">
        <f t="shared" si="63"/>
        <v>0</v>
      </c>
      <c r="L270" s="53"/>
      <c r="M270" s="57"/>
      <c r="N270" s="41">
        <f t="shared" si="57"/>
        <v>7</v>
      </c>
      <c r="O270" s="11">
        <f t="shared" si="64"/>
        <v>24</v>
      </c>
      <c r="P270" s="12">
        <f t="shared" si="58"/>
        <v>0</v>
      </c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x14ac:dyDescent="0.3">
      <c r="A271" s="48">
        <v>264</v>
      </c>
      <c r="B271" s="34" t="str">
        <f t="shared" si="59"/>
        <v>22-й год 12-й мес</v>
      </c>
      <c r="C271" s="35">
        <f t="shared" si="65"/>
        <v>49227</v>
      </c>
      <c r="D271" s="36">
        <f t="shared" si="55"/>
        <v>0</v>
      </c>
      <c r="E271" s="49">
        <f t="shared" si="60"/>
        <v>0</v>
      </c>
      <c r="F271" s="37">
        <f t="shared" si="66"/>
        <v>0</v>
      </c>
      <c r="G271" s="50">
        <f t="shared" si="61"/>
        <v>0</v>
      </c>
      <c r="H271" s="51">
        <f t="shared" si="56"/>
        <v>0</v>
      </c>
      <c r="I271" s="49">
        <f t="shared" si="67"/>
        <v>0</v>
      </c>
      <c r="J271" s="49">
        <f t="shared" si="62"/>
        <v>0</v>
      </c>
      <c r="K271" s="52">
        <f t="shared" si="63"/>
        <v>0</v>
      </c>
      <c r="L271" s="56"/>
      <c r="M271" s="58"/>
      <c r="N271" s="41">
        <f t="shared" si="57"/>
        <v>7</v>
      </c>
      <c r="O271" s="11">
        <f t="shared" si="64"/>
        <v>24</v>
      </c>
      <c r="P271" s="12">
        <f t="shared" si="58"/>
        <v>0</v>
      </c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x14ac:dyDescent="0.3">
      <c r="A272" s="33">
        <v>265</v>
      </c>
      <c r="B272" s="34" t="str">
        <f t="shared" si="59"/>
        <v>23-й год 1-й мес</v>
      </c>
      <c r="C272" s="35">
        <f t="shared" si="65"/>
        <v>49258</v>
      </c>
      <c r="D272" s="36">
        <f t="shared" si="55"/>
        <v>0</v>
      </c>
      <c r="E272" s="37">
        <f t="shared" si="60"/>
        <v>0</v>
      </c>
      <c r="F272" s="37">
        <f t="shared" si="66"/>
        <v>0</v>
      </c>
      <c r="G272" s="38">
        <f t="shared" si="61"/>
        <v>0</v>
      </c>
      <c r="H272" s="39">
        <f t="shared" si="56"/>
        <v>0</v>
      </c>
      <c r="I272" s="37">
        <f t="shared" si="67"/>
        <v>0</v>
      </c>
      <c r="J272" s="37">
        <f t="shared" si="62"/>
        <v>0</v>
      </c>
      <c r="K272" s="40">
        <f t="shared" si="63"/>
        <v>0</v>
      </c>
      <c r="L272" s="53"/>
      <c r="M272" s="57"/>
      <c r="N272" s="41">
        <f t="shared" si="57"/>
        <v>7</v>
      </c>
      <c r="O272" s="11">
        <f t="shared" si="64"/>
        <v>24</v>
      </c>
      <c r="P272" s="12">
        <f t="shared" si="58"/>
        <v>0</v>
      </c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x14ac:dyDescent="0.3">
      <c r="A273" s="33">
        <v>266</v>
      </c>
      <c r="B273" s="34" t="str">
        <f t="shared" si="59"/>
        <v>23-й год 2-й мес</v>
      </c>
      <c r="C273" s="35">
        <f t="shared" si="65"/>
        <v>49288</v>
      </c>
      <c r="D273" s="36">
        <f t="shared" si="55"/>
        <v>0</v>
      </c>
      <c r="E273" s="37">
        <f t="shared" si="60"/>
        <v>0</v>
      </c>
      <c r="F273" s="37">
        <f t="shared" si="66"/>
        <v>0</v>
      </c>
      <c r="G273" s="38">
        <f t="shared" si="61"/>
        <v>0</v>
      </c>
      <c r="H273" s="39">
        <f t="shared" si="56"/>
        <v>0</v>
      </c>
      <c r="I273" s="37">
        <f t="shared" si="67"/>
        <v>0</v>
      </c>
      <c r="J273" s="37">
        <f t="shared" si="62"/>
        <v>0</v>
      </c>
      <c r="K273" s="40">
        <f t="shared" si="63"/>
        <v>0</v>
      </c>
      <c r="L273" s="53"/>
      <c r="M273" s="57"/>
      <c r="N273" s="41">
        <f t="shared" si="57"/>
        <v>7</v>
      </c>
      <c r="O273" s="11">
        <f t="shared" si="64"/>
        <v>24</v>
      </c>
      <c r="P273" s="12">
        <f t="shared" si="58"/>
        <v>0</v>
      </c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x14ac:dyDescent="0.3">
      <c r="A274" s="33">
        <v>267</v>
      </c>
      <c r="B274" s="34" t="str">
        <f t="shared" si="59"/>
        <v>23-й год 3-й мес</v>
      </c>
      <c r="C274" s="35">
        <f t="shared" si="65"/>
        <v>49319</v>
      </c>
      <c r="D274" s="36">
        <f t="shared" si="55"/>
        <v>0</v>
      </c>
      <c r="E274" s="37">
        <f t="shared" si="60"/>
        <v>0</v>
      </c>
      <c r="F274" s="37">
        <f t="shared" si="66"/>
        <v>0</v>
      </c>
      <c r="G274" s="38">
        <f t="shared" si="61"/>
        <v>0</v>
      </c>
      <c r="H274" s="39">
        <f t="shared" si="56"/>
        <v>0</v>
      </c>
      <c r="I274" s="37">
        <f t="shared" si="67"/>
        <v>0</v>
      </c>
      <c r="J274" s="37">
        <f t="shared" si="62"/>
        <v>0</v>
      </c>
      <c r="K274" s="40">
        <f t="shared" si="63"/>
        <v>0</v>
      </c>
      <c r="L274" s="53"/>
      <c r="M274" s="57"/>
      <c r="N274" s="41">
        <f t="shared" si="57"/>
        <v>7</v>
      </c>
      <c r="O274" s="11">
        <f t="shared" si="64"/>
        <v>24</v>
      </c>
      <c r="P274" s="12">
        <f t="shared" si="58"/>
        <v>0</v>
      </c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x14ac:dyDescent="0.3">
      <c r="A275" s="33">
        <v>268</v>
      </c>
      <c r="B275" s="34" t="str">
        <f t="shared" si="59"/>
        <v>23-й год 4-й мес</v>
      </c>
      <c r="C275" s="35">
        <f t="shared" si="65"/>
        <v>49350</v>
      </c>
      <c r="D275" s="36">
        <f t="shared" si="55"/>
        <v>0</v>
      </c>
      <c r="E275" s="37">
        <f t="shared" si="60"/>
        <v>0</v>
      </c>
      <c r="F275" s="37">
        <f t="shared" si="66"/>
        <v>0</v>
      </c>
      <c r="G275" s="38">
        <f t="shared" si="61"/>
        <v>0</v>
      </c>
      <c r="H275" s="39">
        <f t="shared" si="56"/>
        <v>0</v>
      </c>
      <c r="I275" s="37">
        <f t="shared" si="67"/>
        <v>0</v>
      </c>
      <c r="J275" s="37">
        <f t="shared" si="62"/>
        <v>0</v>
      </c>
      <c r="K275" s="40">
        <f t="shared" si="63"/>
        <v>0</v>
      </c>
      <c r="L275" s="53"/>
      <c r="M275" s="57"/>
      <c r="N275" s="41">
        <f t="shared" si="57"/>
        <v>7</v>
      </c>
      <c r="O275" s="11">
        <f t="shared" si="64"/>
        <v>24</v>
      </c>
      <c r="P275" s="12">
        <f t="shared" si="58"/>
        <v>0</v>
      </c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x14ac:dyDescent="0.3">
      <c r="A276" s="33">
        <v>269</v>
      </c>
      <c r="B276" s="34" t="str">
        <f t="shared" si="59"/>
        <v>23-й год 5-й мес</v>
      </c>
      <c r="C276" s="35">
        <f t="shared" si="65"/>
        <v>49378</v>
      </c>
      <c r="D276" s="36">
        <f t="shared" si="55"/>
        <v>0</v>
      </c>
      <c r="E276" s="37">
        <f t="shared" si="60"/>
        <v>0</v>
      </c>
      <c r="F276" s="37">
        <f t="shared" si="66"/>
        <v>0</v>
      </c>
      <c r="G276" s="38">
        <f t="shared" si="61"/>
        <v>0</v>
      </c>
      <c r="H276" s="39">
        <f t="shared" si="56"/>
        <v>0</v>
      </c>
      <c r="I276" s="37">
        <f t="shared" si="67"/>
        <v>0</v>
      </c>
      <c r="J276" s="37">
        <f t="shared" si="62"/>
        <v>0</v>
      </c>
      <c r="K276" s="40">
        <f t="shared" si="63"/>
        <v>0</v>
      </c>
      <c r="L276" s="53"/>
      <c r="M276" s="57"/>
      <c r="N276" s="41">
        <f t="shared" si="57"/>
        <v>7</v>
      </c>
      <c r="O276" s="11">
        <f t="shared" si="64"/>
        <v>24</v>
      </c>
      <c r="P276" s="12">
        <f t="shared" si="58"/>
        <v>0</v>
      </c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x14ac:dyDescent="0.3">
      <c r="A277" s="33">
        <v>270</v>
      </c>
      <c r="B277" s="34" t="str">
        <f t="shared" si="59"/>
        <v>23-й год 6-й мес</v>
      </c>
      <c r="C277" s="35">
        <f t="shared" si="65"/>
        <v>49409</v>
      </c>
      <c r="D277" s="36">
        <f t="shared" si="55"/>
        <v>0</v>
      </c>
      <c r="E277" s="37">
        <f t="shared" si="60"/>
        <v>0</v>
      </c>
      <c r="F277" s="37">
        <f t="shared" si="66"/>
        <v>0</v>
      </c>
      <c r="G277" s="38">
        <f t="shared" si="61"/>
        <v>0</v>
      </c>
      <c r="H277" s="39">
        <f t="shared" si="56"/>
        <v>0</v>
      </c>
      <c r="I277" s="37">
        <f t="shared" si="67"/>
        <v>0</v>
      </c>
      <c r="J277" s="37">
        <f t="shared" si="62"/>
        <v>0</v>
      </c>
      <c r="K277" s="40">
        <f t="shared" si="63"/>
        <v>0</v>
      </c>
      <c r="L277" s="53"/>
      <c r="M277" s="57"/>
      <c r="N277" s="41">
        <f t="shared" si="57"/>
        <v>7</v>
      </c>
      <c r="O277" s="11">
        <f t="shared" si="64"/>
        <v>24</v>
      </c>
      <c r="P277" s="12">
        <f t="shared" si="58"/>
        <v>0</v>
      </c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x14ac:dyDescent="0.3">
      <c r="A278" s="33">
        <v>271</v>
      </c>
      <c r="B278" s="34" t="str">
        <f t="shared" si="59"/>
        <v>23-й год 7-й мес</v>
      </c>
      <c r="C278" s="35">
        <f t="shared" si="65"/>
        <v>49439</v>
      </c>
      <c r="D278" s="36">
        <f t="shared" si="55"/>
        <v>0</v>
      </c>
      <c r="E278" s="37">
        <f t="shared" si="60"/>
        <v>0</v>
      </c>
      <c r="F278" s="37">
        <f t="shared" si="66"/>
        <v>0</v>
      </c>
      <c r="G278" s="38">
        <f t="shared" si="61"/>
        <v>0</v>
      </c>
      <c r="H278" s="39">
        <f t="shared" si="56"/>
        <v>0</v>
      </c>
      <c r="I278" s="37">
        <f t="shared" si="67"/>
        <v>0</v>
      </c>
      <c r="J278" s="37">
        <f t="shared" si="62"/>
        <v>0</v>
      </c>
      <c r="K278" s="40">
        <f t="shared" si="63"/>
        <v>0</v>
      </c>
      <c r="L278" s="53"/>
      <c r="M278" s="57"/>
      <c r="N278" s="41">
        <f t="shared" si="57"/>
        <v>7</v>
      </c>
      <c r="O278" s="11">
        <f t="shared" si="64"/>
        <v>24</v>
      </c>
      <c r="P278" s="12">
        <f t="shared" si="58"/>
        <v>0</v>
      </c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x14ac:dyDescent="0.3">
      <c r="A279" s="33">
        <v>272</v>
      </c>
      <c r="B279" s="34" t="str">
        <f t="shared" si="59"/>
        <v>23-й год 8-й мес</v>
      </c>
      <c r="C279" s="35">
        <f t="shared" si="65"/>
        <v>49470</v>
      </c>
      <c r="D279" s="36">
        <f t="shared" si="55"/>
        <v>0</v>
      </c>
      <c r="E279" s="37">
        <f t="shared" si="60"/>
        <v>0</v>
      </c>
      <c r="F279" s="37">
        <f t="shared" si="66"/>
        <v>0</v>
      </c>
      <c r="G279" s="38">
        <f t="shared" si="61"/>
        <v>0</v>
      </c>
      <c r="H279" s="39">
        <f t="shared" si="56"/>
        <v>0</v>
      </c>
      <c r="I279" s="37">
        <f t="shared" si="67"/>
        <v>0</v>
      </c>
      <c r="J279" s="37">
        <f t="shared" si="62"/>
        <v>0</v>
      </c>
      <c r="K279" s="40">
        <f t="shared" si="63"/>
        <v>0</v>
      </c>
      <c r="L279" s="53"/>
      <c r="M279" s="57"/>
      <c r="N279" s="41">
        <f t="shared" si="57"/>
        <v>7</v>
      </c>
      <c r="O279" s="11">
        <f t="shared" si="64"/>
        <v>24</v>
      </c>
      <c r="P279" s="12">
        <f t="shared" si="58"/>
        <v>0</v>
      </c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x14ac:dyDescent="0.3">
      <c r="A280" s="33">
        <v>273</v>
      </c>
      <c r="B280" s="34" t="str">
        <f t="shared" si="59"/>
        <v>23-й год 9-й мес</v>
      </c>
      <c r="C280" s="35">
        <f t="shared" si="65"/>
        <v>49500</v>
      </c>
      <c r="D280" s="36">
        <f t="shared" si="55"/>
        <v>0</v>
      </c>
      <c r="E280" s="37">
        <f t="shared" si="60"/>
        <v>0</v>
      </c>
      <c r="F280" s="37">
        <f t="shared" si="66"/>
        <v>0</v>
      </c>
      <c r="G280" s="38">
        <f t="shared" si="61"/>
        <v>0</v>
      </c>
      <c r="H280" s="39">
        <f t="shared" si="56"/>
        <v>0</v>
      </c>
      <c r="I280" s="37">
        <f t="shared" si="67"/>
        <v>0</v>
      </c>
      <c r="J280" s="37">
        <f t="shared" si="62"/>
        <v>0</v>
      </c>
      <c r="K280" s="40">
        <f t="shared" si="63"/>
        <v>0</v>
      </c>
      <c r="L280" s="53"/>
      <c r="M280" s="57"/>
      <c r="N280" s="41">
        <f t="shared" si="57"/>
        <v>7</v>
      </c>
      <c r="O280" s="11">
        <f t="shared" si="64"/>
        <v>24</v>
      </c>
      <c r="P280" s="12">
        <f t="shared" si="58"/>
        <v>0</v>
      </c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x14ac:dyDescent="0.3">
      <c r="A281" s="33">
        <v>274</v>
      </c>
      <c r="B281" s="34" t="str">
        <f t="shared" si="59"/>
        <v>23-й год 10-й мес</v>
      </c>
      <c r="C281" s="35">
        <f t="shared" si="65"/>
        <v>49531</v>
      </c>
      <c r="D281" s="36">
        <f t="shared" si="55"/>
        <v>0</v>
      </c>
      <c r="E281" s="37">
        <f t="shared" si="60"/>
        <v>0</v>
      </c>
      <c r="F281" s="37">
        <f t="shared" si="66"/>
        <v>0</v>
      </c>
      <c r="G281" s="38">
        <f t="shared" si="61"/>
        <v>0</v>
      </c>
      <c r="H281" s="39">
        <f t="shared" si="56"/>
        <v>0</v>
      </c>
      <c r="I281" s="37">
        <f t="shared" si="67"/>
        <v>0</v>
      </c>
      <c r="J281" s="37">
        <f t="shared" si="62"/>
        <v>0</v>
      </c>
      <c r="K281" s="40">
        <f t="shared" si="63"/>
        <v>0</v>
      </c>
      <c r="L281" s="53"/>
      <c r="M281" s="57"/>
      <c r="N281" s="41">
        <f t="shared" si="57"/>
        <v>7</v>
      </c>
      <c r="O281" s="11">
        <f t="shared" si="64"/>
        <v>24</v>
      </c>
      <c r="P281" s="12">
        <f t="shared" si="58"/>
        <v>0</v>
      </c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x14ac:dyDescent="0.3">
      <c r="A282" s="33">
        <v>275</v>
      </c>
      <c r="B282" s="34" t="str">
        <f t="shared" si="59"/>
        <v>23-й год 11-й мес</v>
      </c>
      <c r="C282" s="35">
        <f t="shared" si="65"/>
        <v>49562</v>
      </c>
      <c r="D282" s="36">
        <f t="shared" si="55"/>
        <v>0</v>
      </c>
      <c r="E282" s="37">
        <f t="shared" si="60"/>
        <v>0</v>
      </c>
      <c r="F282" s="37">
        <f t="shared" si="66"/>
        <v>0</v>
      </c>
      <c r="G282" s="38">
        <f t="shared" si="61"/>
        <v>0</v>
      </c>
      <c r="H282" s="39">
        <f t="shared" si="56"/>
        <v>0</v>
      </c>
      <c r="I282" s="37">
        <f t="shared" si="67"/>
        <v>0</v>
      </c>
      <c r="J282" s="37">
        <f t="shared" si="62"/>
        <v>0</v>
      </c>
      <c r="K282" s="40">
        <f t="shared" si="63"/>
        <v>0</v>
      </c>
      <c r="L282" s="53"/>
      <c r="M282" s="57"/>
      <c r="N282" s="41">
        <f t="shared" si="57"/>
        <v>7</v>
      </c>
      <c r="O282" s="11">
        <f t="shared" si="64"/>
        <v>24</v>
      </c>
      <c r="P282" s="12">
        <f t="shared" si="58"/>
        <v>0</v>
      </c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x14ac:dyDescent="0.3">
      <c r="A283" s="33">
        <v>276</v>
      </c>
      <c r="B283" s="34" t="str">
        <f t="shared" si="59"/>
        <v>23-й год 12-й мес</v>
      </c>
      <c r="C283" s="35">
        <f t="shared" si="65"/>
        <v>49592</v>
      </c>
      <c r="D283" s="36">
        <f t="shared" si="55"/>
        <v>0</v>
      </c>
      <c r="E283" s="37">
        <f t="shared" si="60"/>
        <v>0</v>
      </c>
      <c r="F283" s="37">
        <f t="shared" si="66"/>
        <v>0</v>
      </c>
      <c r="G283" s="38">
        <f t="shared" si="61"/>
        <v>0</v>
      </c>
      <c r="H283" s="39">
        <f t="shared" si="56"/>
        <v>0</v>
      </c>
      <c r="I283" s="37">
        <f t="shared" si="67"/>
        <v>0</v>
      </c>
      <c r="J283" s="37">
        <f t="shared" si="62"/>
        <v>0</v>
      </c>
      <c r="K283" s="40">
        <f t="shared" si="63"/>
        <v>0</v>
      </c>
      <c r="L283" s="53"/>
      <c r="M283" s="57"/>
      <c r="N283" s="41">
        <f t="shared" si="57"/>
        <v>7</v>
      </c>
      <c r="O283" s="11">
        <f t="shared" si="64"/>
        <v>24</v>
      </c>
      <c r="P283" s="12">
        <f t="shared" si="58"/>
        <v>0</v>
      </c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x14ac:dyDescent="0.3">
      <c r="A284" s="42">
        <v>277</v>
      </c>
      <c r="B284" s="34" t="str">
        <f t="shared" si="59"/>
        <v>24-й год 1-й мес</v>
      </c>
      <c r="C284" s="35">
        <f t="shared" si="65"/>
        <v>49623</v>
      </c>
      <c r="D284" s="36">
        <f t="shared" si="55"/>
        <v>0</v>
      </c>
      <c r="E284" s="43">
        <f t="shared" si="60"/>
        <v>0</v>
      </c>
      <c r="F284" s="37">
        <f t="shared" si="66"/>
        <v>0</v>
      </c>
      <c r="G284" s="44">
        <f t="shared" si="61"/>
        <v>0</v>
      </c>
      <c r="H284" s="45">
        <f t="shared" si="56"/>
        <v>0</v>
      </c>
      <c r="I284" s="43">
        <f t="shared" si="67"/>
        <v>0</v>
      </c>
      <c r="J284" s="43">
        <f t="shared" si="62"/>
        <v>0</v>
      </c>
      <c r="K284" s="46">
        <f t="shared" si="63"/>
        <v>0</v>
      </c>
      <c r="L284" s="55"/>
      <c r="M284" s="54"/>
      <c r="N284" s="41">
        <f t="shared" si="57"/>
        <v>7</v>
      </c>
      <c r="O284" s="11">
        <f t="shared" si="64"/>
        <v>24</v>
      </c>
      <c r="P284" s="12">
        <f t="shared" si="58"/>
        <v>0</v>
      </c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x14ac:dyDescent="0.3">
      <c r="A285" s="47">
        <v>278</v>
      </c>
      <c r="B285" s="34" t="str">
        <f t="shared" si="59"/>
        <v>24-й год 2-й мес</v>
      </c>
      <c r="C285" s="35">
        <f t="shared" si="65"/>
        <v>49653</v>
      </c>
      <c r="D285" s="36">
        <f t="shared" si="55"/>
        <v>0</v>
      </c>
      <c r="E285" s="37">
        <f t="shared" si="60"/>
        <v>0</v>
      </c>
      <c r="F285" s="37">
        <f t="shared" si="66"/>
        <v>0</v>
      </c>
      <c r="G285" s="38">
        <f t="shared" si="61"/>
        <v>0</v>
      </c>
      <c r="H285" s="39">
        <f t="shared" si="56"/>
        <v>0</v>
      </c>
      <c r="I285" s="37">
        <f t="shared" si="67"/>
        <v>0</v>
      </c>
      <c r="J285" s="37">
        <f t="shared" si="62"/>
        <v>0</v>
      </c>
      <c r="K285" s="40">
        <f t="shared" si="63"/>
        <v>0</v>
      </c>
      <c r="L285" s="53"/>
      <c r="M285" s="57"/>
      <c r="N285" s="41">
        <f t="shared" si="57"/>
        <v>7</v>
      </c>
      <c r="O285" s="11">
        <f t="shared" si="64"/>
        <v>24</v>
      </c>
      <c r="P285" s="12">
        <f t="shared" si="58"/>
        <v>0</v>
      </c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x14ac:dyDescent="0.3">
      <c r="A286" s="47">
        <v>279</v>
      </c>
      <c r="B286" s="34" t="str">
        <f t="shared" si="59"/>
        <v>24-й год 3-й мес</v>
      </c>
      <c r="C286" s="35">
        <f t="shared" si="65"/>
        <v>49684</v>
      </c>
      <c r="D286" s="36">
        <f t="shared" si="55"/>
        <v>0</v>
      </c>
      <c r="E286" s="37">
        <f t="shared" si="60"/>
        <v>0</v>
      </c>
      <c r="F286" s="37">
        <f t="shared" si="66"/>
        <v>0</v>
      </c>
      <c r="G286" s="38">
        <f t="shared" si="61"/>
        <v>0</v>
      </c>
      <c r="H286" s="39">
        <f t="shared" si="56"/>
        <v>0</v>
      </c>
      <c r="I286" s="37">
        <f t="shared" si="67"/>
        <v>0</v>
      </c>
      <c r="J286" s="37">
        <f t="shared" si="62"/>
        <v>0</v>
      </c>
      <c r="K286" s="40">
        <f t="shared" si="63"/>
        <v>0</v>
      </c>
      <c r="L286" s="53"/>
      <c r="M286" s="57"/>
      <c r="N286" s="41">
        <f t="shared" si="57"/>
        <v>7</v>
      </c>
      <c r="O286" s="11">
        <f t="shared" si="64"/>
        <v>24</v>
      </c>
      <c r="P286" s="12">
        <f t="shared" si="58"/>
        <v>0</v>
      </c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x14ac:dyDescent="0.3">
      <c r="A287" s="47">
        <v>280</v>
      </c>
      <c r="B287" s="34" t="str">
        <f t="shared" si="59"/>
        <v>24-й год 4-й мес</v>
      </c>
      <c r="C287" s="35">
        <f t="shared" si="65"/>
        <v>49715</v>
      </c>
      <c r="D287" s="36">
        <f t="shared" si="55"/>
        <v>0</v>
      </c>
      <c r="E287" s="37">
        <f t="shared" si="60"/>
        <v>0</v>
      </c>
      <c r="F287" s="37">
        <f t="shared" si="66"/>
        <v>0</v>
      </c>
      <c r="G287" s="38">
        <f t="shared" si="61"/>
        <v>0</v>
      </c>
      <c r="H287" s="39">
        <f t="shared" si="56"/>
        <v>0</v>
      </c>
      <c r="I287" s="37">
        <f t="shared" si="67"/>
        <v>0</v>
      </c>
      <c r="J287" s="37">
        <f t="shared" si="62"/>
        <v>0</v>
      </c>
      <c r="K287" s="40">
        <f t="shared" si="63"/>
        <v>0</v>
      </c>
      <c r="L287" s="53"/>
      <c r="M287" s="57"/>
      <c r="N287" s="41">
        <f t="shared" si="57"/>
        <v>7</v>
      </c>
      <c r="O287" s="11">
        <f t="shared" si="64"/>
        <v>24</v>
      </c>
      <c r="P287" s="12">
        <f t="shared" si="58"/>
        <v>0</v>
      </c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x14ac:dyDescent="0.3">
      <c r="A288" s="47">
        <v>281</v>
      </c>
      <c r="B288" s="34" t="str">
        <f t="shared" si="59"/>
        <v>24-й год 5-й мес</v>
      </c>
      <c r="C288" s="35">
        <f t="shared" si="65"/>
        <v>49744</v>
      </c>
      <c r="D288" s="36">
        <f t="shared" si="55"/>
        <v>0</v>
      </c>
      <c r="E288" s="37">
        <f t="shared" si="60"/>
        <v>0</v>
      </c>
      <c r="F288" s="37">
        <f t="shared" si="66"/>
        <v>0</v>
      </c>
      <c r="G288" s="38">
        <f t="shared" si="61"/>
        <v>0</v>
      </c>
      <c r="H288" s="39">
        <f t="shared" si="56"/>
        <v>0</v>
      </c>
      <c r="I288" s="37">
        <f t="shared" si="67"/>
        <v>0</v>
      </c>
      <c r="J288" s="37">
        <f t="shared" si="62"/>
        <v>0</v>
      </c>
      <c r="K288" s="40">
        <f t="shared" si="63"/>
        <v>0</v>
      </c>
      <c r="L288" s="53"/>
      <c r="M288" s="57"/>
      <c r="N288" s="41">
        <f t="shared" si="57"/>
        <v>7</v>
      </c>
      <c r="O288" s="11">
        <f t="shared" si="64"/>
        <v>24</v>
      </c>
      <c r="P288" s="12">
        <f t="shared" si="58"/>
        <v>0</v>
      </c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x14ac:dyDescent="0.3">
      <c r="A289" s="47">
        <v>282</v>
      </c>
      <c r="B289" s="34" t="str">
        <f t="shared" si="59"/>
        <v>24-й год 6-й мес</v>
      </c>
      <c r="C289" s="35">
        <f t="shared" si="65"/>
        <v>49775</v>
      </c>
      <c r="D289" s="36">
        <f t="shared" si="55"/>
        <v>0</v>
      </c>
      <c r="E289" s="37">
        <f t="shared" si="60"/>
        <v>0</v>
      </c>
      <c r="F289" s="37">
        <f t="shared" si="66"/>
        <v>0</v>
      </c>
      <c r="G289" s="38">
        <f t="shared" si="61"/>
        <v>0</v>
      </c>
      <c r="H289" s="39">
        <f t="shared" si="56"/>
        <v>0</v>
      </c>
      <c r="I289" s="37">
        <f t="shared" si="67"/>
        <v>0</v>
      </c>
      <c r="J289" s="37">
        <f t="shared" si="62"/>
        <v>0</v>
      </c>
      <c r="K289" s="40">
        <f t="shared" si="63"/>
        <v>0</v>
      </c>
      <c r="L289" s="53"/>
      <c r="M289" s="57"/>
      <c r="N289" s="41">
        <f t="shared" si="57"/>
        <v>7</v>
      </c>
      <c r="O289" s="11">
        <f t="shared" si="64"/>
        <v>24</v>
      </c>
      <c r="P289" s="12">
        <f t="shared" si="58"/>
        <v>0</v>
      </c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x14ac:dyDescent="0.3">
      <c r="A290" s="47">
        <v>283</v>
      </c>
      <c r="B290" s="34" t="str">
        <f t="shared" si="59"/>
        <v>24-й год 7-й мес</v>
      </c>
      <c r="C290" s="35">
        <f t="shared" si="65"/>
        <v>49805</v>
      </c>
      <c r="D290" s="36">
        <f t="shared" si="55"/>
        <v>0</v>
      </c>
      <c r="E290" s="37">
        <f t="shared" si="60"/>
        <v>0</v>
      </c>
      <c r="F290" s="37">
        <f t="shared" si="66"/>
        <v>0</v>
      </c>
      <c r="G290" s="38">
        <f t="shared" si="61"/>
        <v>0</v>
      </c>
      <c r="H290" s="39">
        <f t="shared" si="56"/>
        <v>0</v>
      </c>
      <c r="I290" s="37">
        <f t="shared" si="67"/>
        <v>0</v>
      </c>
      <c r="J290" s="37">
        <f t="shared" si="62"/>
        <v>0</v>
      </c>
      <c r="K290" s="40">
        <f t="shared" si="63"/>
        <v>0</v>
      </c>
      <c r="L290" s="53"/>
      <c r="M290" s="57"/>
      <c r="N290" s="41">
        <f t="shared" si="57"/>
        <v>7</v>
      </c>
      <c r="O290" s="11">
        <f t="shared" si="64"/>
        <v>24</v>
      </c>
      <c r="P290" s="12">
        <f t="shared" si="58"/>
        <v>0</v>
      </c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x14ac:dyDescent="0.3">
      <c r="A291" s="47">
        <v>284</v>
      </c>
      <c r="B291" s="34" t="str">
        <f t="shared" si="59"/>
        <v>24-й год 8-й мес</v>
      </c>
      <c r="C291" s="35">
        <f t="shared" si="65"/>
        <v>49836</v>
      </c>
      <c r="D291" s="36">
        <f t="shared" si="55"/>
        <v>0</v>
      </c>
      <c r="E291" s="37">
        <f t="shared" si="60"/>
        <v>0</v>
      </c>
      <c r="F291" s="37">
        <f t="shared" si="66"/>
        <v>0</v>
      </c>
      <c r="G291" s="38">
        <f t="shared" si="61"/>
        <v>0</v>
      </c>
      <c r="H291" s="39">
        <f t="shared" si="56"/>
        <v>0</v>
      </c>
      <c r="I291" s="37">
        <f t="shared" si="67"/>
        <v>0</v>
      </c>
      <c r="J291" s="37">
        <f t="shared" si="62"/>
        <v>0</v>
      </c>
      <c r="K291" s="40">
        <f t="shared" si="63"/>
        <v>0</v>
      </c>
      <c r="L291" s="53"/>
      <c r="M291" s="57"/>
      <c r="N291" s="41">
        <f t="shared" si="57"/>
        <v>7</v>
      </c>
      <c r="O291" s="11">
        <f t="shared" si="64"/>
        <v>24</v>
      </c>
      <c r="P291" s="12">
        <f t="shared" si="58"/>
        <v>0</v>
      </c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x14ac:dyDescent="0.3">
      <c r="A292" s="47">
        <v>285</v>
      </c>
      <c r="B292" s="34" t="str">
        <f t="shared" si="59"/>
        <v>24-й год 9-й мес</v>
      </c>
      <c r="C292" s="35">
        <f t="shared" si="65"/>
        <v>49866</v>
      </c>
      <c r="D292" s="36">
        <f t="shared" si="55"/>
        <v>0</v>
      </c>
      <c r="E292" s="37">
        <f t="shared" si="60"/>
        <v>0</v>
      </c>
      <c r="F292" s="37">
        <f t="shared" si="66"/>
        <v>0</v>
      </c>
      <c r="G292" s="38">
        <f t="shared" si="61"/>
        <v>0</v>
      </c>
      <c r="H292" s="39">
        <f t="shared" si="56"/>
        <v>0</v>
      </c>
      <c r="I292" s="37">
        <f t="shared" si="67"/>
        <v>0</v>
      </c>
      <c r="J292" s="37">
        <f t="shared" si="62"/>
        <v>0</v>
      </c>
      <c r="K292" s="40">
        <f t="shared" si="63"/>
        <v>0</v>
      </c>
      <c r="L292" s="53"/>
      <c r="M292" s="57"/>
      <c r="N292" s="41">
        <f t="shared" si="57"/>
        <v>7</v>
      </c>
      <c r="O292" s="11">
        <f t="shared" si="64"/>
        <v>24</v>
      </c>
      <c r="P292" s="12">
        <f t="shared" si="58"/>
        <v>0</v>
      </c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x14ac:dyDescent="0.3">
      <c r="A293" s="47">
        <v>286</v>
      </c>
      <c r="B293" s="34" t="str">
        <f t="shared" si="59"/>
        <v>24-й год 10-й мес</v>
      </c>
      <c r="C293" s="35">
        <f t="shared" si="65"/>
        <v>49897</v>
      </c>
      <c r="D293" s="36">
        <f t="shared" si="55"/>
        <v>0</v>
      </c>
      <c r="E293" s="37">
        <f t="shared" si="60"/>
        <v>0</v>
      </c>
      <c r="F293" s="37">
        <f t="shared" si="66"/>
        <v>0</v>
      </c>
      <c r="G293" s="38">
        <f t="shared" si="61"/>
        <v>0</v>
      </c>
      <c r="H293" s="39">
        <f t="shared" si="56"/>
        <v>0</v>
      </c>
      <c r="I293" s="37">
        <f t="shared" si="67"/>
        <v>0</v>
      </c>
      <c r="J293" s="37">
        <f t="shared" si="62"/>
        <v>0</v>
      </c>
      <c r="K293" s="40">
        <f t="shared" si="63"/>
        <v>0</v>
      </c>
      <c r="L293" s="53"/>
      <c r="M293" s="57"/>
      <c r="N293" s="41">
        <f t="shared" si="57"/>
        <v>7</v>
      </c>
      <c r="O293" s="11">
        <f t="shared" si="64"/>
        <v>24</v>
      </c>
      <c r="P293" s="12">
        <f t="shared" si="58"/>
        <v>0</v>
      </c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x14ac:dyDescent="0.3">
      <c r="A294" s="47">
        <v>287</v>
      </c>
      <c r="B294" s="34" t="str">
        <f t="shared" si="59"/>
        <v>24-й год 11-й мес</v>
      </c>
      <c r="C294" s="35">
        <f t="shared" si="65"/>
        <v>49928</v>
      </c>
      <c r="D294" s="36">
        <f t="shared" si="55"/>
        <v>0</v>
      </c>
      <c r="E294" s="37">
        <f t="shared" si="60"/>
        <v>0</v>
      </c>
      <c r="F294" s="37">
        <f t="shared" si="66"/>
        <v>0</v>
      </c>
      <c r="G294" s="38">
        <f t="shared" si="61"/>
        <v>0</v>
      </c>
      <c r="H294" s="39">
        <f t="shared" si="56"/>
        <v>0</v>
      </c>
      <c r="I294" s="37">
        <f t="shared" si="67"/>
        <v>0</v>
      </c>
      <c r="J294" s="37">
        <f t="shared" si="62"/>
        <v>0</v>
      </c>
      <c r="K294" s="40">
        <f t="shared" si="63"/>
        <v>0</v>
      </c>
      <c r="L294" s="53"/>
      <c r="M294" s="57"/>
      <c r="N294" s="41">
        <f t="shared" si="57"/>
        <v>7</v>
      </c>
      <c r="O294" s="11">
        <f t="shared" si="64"/>
        <v>24</v>
      </c>
      <c r="P294" s="12">
        <f t="shared" si="58"/>
        <v>0</v>
      </c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x14ac:dyDescent="0.3">
      <c r="A295" s="48">
        <v>288</v>
      </c>
      <c r="B295" s="34" t="str">
        <f t="shared" si="59"/>
        <v>24-й год 12-й мес</v>
      </c>
      <c r="C295" s="35">
        <f t="shared" si="65"/>
        <v>49958</v>
      </c>
      <c r="D295" s="36">
        <f t="shared" si="55"/>
        <v>0</v>
      </c>
      <c r="E295" s="49">
        <f t="shared" si="60"/>
        <v>0</v>
      </c>
      <c r="F295" s="37">
        <f t="shared" si="66"/>
        <v>0</v>
      </c>
      <c r="G295" s="50">
        <f t="shared" si="61"/>
        <v>0</v>
      </c>
      <c r="H295" s="51">
        <f t="shared" si="56"/>
        <v>0</v>
      </c>
      <c r="I295" s="49">
        <f t="shared" si="67"/>
        <v>0</v>
      </c>
      <c r="J295" s="49">
        <f t="shared" si="62"/>
        <v>0</v>
      </c>
      <c r="K295" s="52">
        <f t="shared" si="63"/>
        <v>0</v>
      </c>
      <c r="L295" s="56"/>
      <c r="M295" s="58"/>
      <c r="N295" s="41">
        <f t="shared" si="57"/>
        <v>7</v>
      </c>
      <c r="O295" s="11">
        <f t="shared" si="64"/>
        <v>24</v>
      </c>
      <c r="P295" s="12">
        <f t="shared" si="58"/>
        <v>0</v>
      </c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x14ac:dyDescent="0.3">
      <c r="A296" s="33">
        <v>289</v>
      </c>
      <c r="B296" s="34" t="str">
        <f t="shared" si="59"/>
        <v>25-й год 1-й мес</v>
      </c>
      <c r="C296" s="35">
        <f t="shared" si="65"/>
        <v>49989</v>
      </c>
      <c r="D296" s="36">
        <f t="shared" si="55"/>
        <v>0</v>
      </c>
      <c r="E296" s="37">
        <f t="shared" si="60"/>
        <v>0</v>
      </c>
      <c r="F296" s="37">
        <f t="shared" si="66"/>
        <v>0</v>
      </c>
      <c r="G296" s="38">
        <f t="shared" si="61"/>
        <v>0</v>
      </c>
      <c r="H296" s="39">
        <f t="shared" si="56"/>
        <v>0</v>
      </c>
      <c r="I296" s="37">
        <f t="shared" si="67"/>
        <v>0</v>
      </c>
      <c r="J296" s="37">
        <f t="shared" si="62"/>
        <v>0</v>
      </c>
      <c r="K296" s="40">
        <f t="shared" si="63"/>
        <v>0</v>
      </c>
      <c r="L296" s="53"/>
      <c r="M296" s="57"/>
      <c r="N296" s="41">
        <f t="shared" si="57"/>
        <v>7</v>
      </c>
      <c r="O296" s="11">
        <f t="shared" si="64"/>
        <v>24</v>
      </c>
      <c r="P296" s="12">
        <f t="shared" si="58"/>
        <v>0</v>
      </c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x14ac:dyDescent="0.3">
      <c r="A297" s="33">
        <v>290</v>
      </c>
      <c r="B297" s="34" t="str">
        <f t="shared" si="59"/>
        <v>25-й год 2-й мес</v>
      </c>
      <c r="C297" s="35">
        <f t="shared" si="65"/>
        <v>50019</v>
      </c>
      <c r="D297" s="36">
        <f t="shared" si="55"/>
        <v>0</v>
      </c>
      <c r="E297" s="37">
        <f t="shared" si="60"/>
        <v>0</v>
      </c>
      <c r="F297" s="37">
        <f t="shared" si="66"/>
        <v>0</v>
      </c>
      <c r="G297" s="38">
        <f t="shared" si="61"/>
        <v>0</v>
      </c>
      <c r="H297" s="39">
        <f t="shared" si="56"/>
        <v>0</v>
      </c>
      <c r="I297" s="37">
        <f t="shared" si="67"/>
        <v>0</v>
      </c>
      <c r="J297" s="37">
        <f t="shared" si="62"/>
        <v>0</v>
      </c>
      <c r="K297" s="40">
        <f t="shared" si="63"/>
        <v>0</v>
      </c>
      <c r="L297" s="53"/>
      <c r="M297" s="57"/>
      <c r="N297" s="41">
        <f t="shared" si="57"/>
        <v>7</v>
      </c>
      <c r="O297" s="11">
        <f t="shared" si="64"/>
        <v>24</v>
      </c>
      <c r="P297" s="12">
        <f t="shared" si="58"/>
        <v>0</v>
      </c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x14ac:dyDescent="0.3">
      <c r="A298" s="33">
        <v>291</v>
      </c>
      <c r="B298" s="34" t="str">
        <f t="shared" si="59"/>
        <v>25-й год 3-й мес</v>
      </c>
      <c r="C298" s="35">
        <f t="shared" si="65"/>
        <v>50050</v>
      </c>
      <c r="D298" s="36">
        <f t="shared" si="55"/>
        <v>0</v>
      </c>
      <c r="E298" s="37">
        <f t="shared" si="60"/>
        <v>0</v>
      </c>
      <c r="F298" s="37">
        <f t="shared" si="66"/>
        <v>0</v>
      </c>
      <c r="G298" s="38">
        <f t="shared" si="61"/>
        <v>0</v>
      </c>
      <c r="H298" s="39">
        <f t="shared" si="56"/>
        <v>0</v>
      </c>
      <c r="I298" s="37">
        <f t="shared" si="67"/>
        <v>0</v>
      </c>
      <c r="J298" s="37">
        <f t="shared" si="62"/>
        <v>0</v>
      </c>
      <c r="K298" s="40">
        <f t="shared" si="63"/>
        <v>0</v>
      </c>
      <c r="L298" s="53"/>
      <c r="M298" s="57"/>
      <c r="N298" s="41">
        <f t="shared" si="57"/>
        <v>7</v>
      </c>
      <c r="O298" s="11">
        <f t="shared" si="64"/>
        <v>24</v>
      </c>
      <c r="P298" s="12">
        <f t="shared" si="58"/>
        <v>0</v>
      </c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x14ac:dyDescent="0.3">
      <c r="A299" s="33">
        <v>292</v>
      </c>
      <c r="B299" s="34" t="str">
        <f t="shared" si="59"/>
        <v>25-й год 4-й мес</v>
      </c>
      <c r="C299" s="35">
        <f t="shared" si="65"/>
        <v>50081</v>
      </c>
      <c r="D299" s="36">
        <f t="shared" si="55"/>
        <v>0</v>
      </c>
      <c r="E299" s="37">
        <f t="shared" si="60"/>
        <v>0</v>
      </c>
      <c r="F299" s="37">
        <f t="shared" si="66"/>
        <v>0</v>
      </c>
      <c r="G299" s="38">
        <f t="shared" si="61"/>
        <v>0</v>
      </c>
      <c r="H299" s="39">
        <f t="shared" si="56"/>
        <v>0</v>
      </c>
      <c r="I299" s="37">
        <f t="shared" si="67"/>
        <v>0</v>
      </c>
      <c r="J299" s="37">
        <f t="shared" si="62"/>
        <v>0</v>
      </c>
      <c r="K299" s="40">
        <f t="shared" si="63"/>
        <v>0</v>
      </c>
      <c r="L299" s="53"/>
      <c r="M299" s="57"/>
      <c r="N299" s="41">
        <f t="shared" si="57"/>
        <v>7</v>
      </c>
      <c r="O299" s="11">
        <f t="shared" si="64"/>
        <v>24</v>
      </c>
      <c r="P299" s="12">
        <f t="shared" si="58"/>
        <v>0</v>
      </c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x14ac:dyDescent="0.3">
      <c r="A300" s="33">
        <v>293</v>
      </c>
      <c r="B300" s="34" t="str">
        <f t="shared" si="59"/>
        <v>25-й год 5-й мес</v>
      </c>
      <c r="C300" s="35">
        <f t="shared" si="65"/>
        <v>50109</v>
      </c>
      <c r="D300" s="36">
        <f t="shared" si="55"/>
        <v>0</v>
      </c>
      <c r="E300" s="37">
        <f t="shared" si="60"/>
        <v>0</v>
      </c>
      <c r="F300" s="37">
        <f t="shared" si="66"/>
        <v>0</v>
      </c>
      <c r="G300" s="38">
        <f t="shared" si="61"/>
        <v>0</v>
      </c>
      <c r="H300" s="39">
        <f t="shared" si="56"/>
        <v>0</v>
      </c>
      <c r="I300" s="37">
        <f t="shared" si="67"/>
        <v>0</v>
      </c>
      <c r="J300" s="37">
        <f t="shared" si="62"/>
        <v>0</v>
      </c>
      <c r="K300" s="40">
        <f t="shared" si="63"/>
        <v>0</v>
      </c>
      <c r="L300" s="53"/>
      <c r="M300" s="57"/>
      <c r="N300" s="41">
        <f t="shared" si="57"/>
        <v>7</v>
      </c>
      <c r="O300" s="11">
        <f t="shared" si="64"/>
        <v>24</v>
      </c>
      <c r="P300" s="12">
        <f t="shared" si="58"/>
        <v>0</v>
      </c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x14ac:dyDescent="0.3">
      <c r="A301" s="33">
        <v>294</v>
      </c>
      <c r="B301" s="34" t="str">
        <f t="shared" si="59"/>
        <v>25-й год 6-й мес</v>
      </c>
      <c r="C301" s="35">
        <f t="shared" si="65"/>
        <v>50140</v>
      </c>
      <c r="D301" s="36">
        <f t="shared" si="55"/>
        <v>0</v>
      </c>
      <c r="E301" s="37">
        <f t="shared" si="60"/>
        <v>0</v>
      </c>
      <c r="F301" s="37">
        <f t="shared" si="66"/>
        <v>0</v>
      </c>
      <c r="G301" s="38">
        <f t="shared" si="61"/>
        <v>0</v>
      </c>
      <c r="H301" s="39">
        <f t="shared" si="56"/>
        <v>0</v>
      </c>
      <c r="I301" s="37">
        <f t="shared" si="67"/>
        <v>0</v>
      </c>
      <c r="J301" s="37">
        <f t="shared" si="62"/>
        <v>0</v>
      </c>
      <c r="K301" s="40">
        <f t="shared" si="63"/>
        <v>0</v>
      </c>
      <c r="L301" s="53"/>
      <c r="M301" s="57"/>
      <c r="N301" s="41">
        <f t="shared" si="57"/>
        <v>7</v>
      </c>
      <c r="O301" s="11">
        <f t="shared" si="64"/>
        <v>24</v>
      </c>
      <c r="P301" s="12">
        <f t="shared" si="58"/>
        <v>0</v>
      </c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x14ac:dyDescent="0.3">
      <c r="A302" s="33">
        <v>295</v>
      </c>
      <c r="B302" s="34" t="str">
        <f t="shared" si="59"/>
        <v>25-й год 7-й мес</v>
      </c>
      <c r="C302" s="35">
        <f t="shared" si="65"/>
        <v>50170</v>
      </c>
      <c r="D302" s="36">
        <f t="shared" si="55"/>
        <v>0</v>
      </c>
      <c r="E302" s="37">
        <f t="shared" si="60"/>
        <v>0</v>
      </c>
      <c r="F302" s="37">
        <f t="shared" si="66"/>
        <v>0</v>
      </c>
      <c r="G302" s="38">
        <f t="shared" si="61"/>
        <v>0</v>
      </c>
      <c r="H302" s="39">
        <f t="shared" si="56"/>
        <v>0</v>
      </c>
      <c r="I302" s="37">
        <f t="shared" si="67"/>
        <v>0</v>
      </c>
      <c r="J302" s="37">
        <f t="shared" si="62"/>
        <v>0</v>
      </c>
      <c r="K302" s="40">
        <f t="shared" si="63"/>
        <v>0</v>
      </c>
      <c r="L302" s="53"/>
      <c r="M302" s="57"/>
      <c r="N302" s="41">
        <f t="shared" si="57"/>
        <v>7</v>
      </c>
      <c r="O302" s="11">
        <f t="shared" si="64"/>
        <v>24</v>
      </c>
      <c r="P302" s="12">
        <f t="shared" si="58"/>
        <v>0</v>
      </c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x14ac:dyDescent="0.3">
      <c r="A303" s="33">
        <v>296</v>
      </c>
      <c r="B303" s="34" t="str">
        <f t="shared" si="59"/>
        <v>25-й год 8-й мес</v>
      </c>
      <c r="C303" s="35">
        <f t="shared" si="65"/>
        <v>50201</v>
      </c>
      <c r="D303" s="36">
        <f t="shared" si="55"/>
        <v>0</v>
      </c>
      <c r="E303" s="37">
        <f t="shared" si="60"/>
        <v>0</v>
      </c>
      <c r="F303" s="37">
        <f t="shared" si="66"/>
        <v>0</v>
      </c>
      <c r="G303" s="38">
        <f t="shared" si="61"/>
        <v>0</v>
      </c>
      <c r="H303" s="39">
        <f t="shared" si="56"/>
        <v>0</v>
      </c>
      <c r="I303" s="37">
        <f t="shared" si="67"/>
        <v>0</v>
      </c>
      <c r="J303" s="37">
        <f t="shared" si="62"/>
        <v>0</v>
      </c>
      <c r="K303" s="40">
        <f t="shared" si="63"/>
        <v>0</v>
      </c>
      <c r="L303" s="53"/>
      <c r="M303" s="57"/>
      <c r="N303" s="41">
        <f t="shared" si="57"/>
        <v>7</v>
      </c>
      <c r="O303" s="11">
        <f t="shared" si="64"/>
        <v>24</v>
      </c>
      <c r="P303" s="12">
        <f t="shared" si="58"/>
        <v>0</v>
      </c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x14ac:dyDescent="0.3">
      <c r="A304" s="33">
        <v>297</v>
      </c>
      <c r="B304" s="34" t="str">
        <f t="shared" si="59"/>
        <v>25-й год 9-й мес</v>
      </c>
      <c r="C304" s="35">
        <f t="shared" si="65"/>
        <v>50231</v>
      </c>
      <c r="D304" s="36">
        <f t="shared" si="55"/>
        <v>0</v>
      </c>
      <c r="E304" s="37">
        <f t="shared" si="60"/>
        <v>0</v>
      </c>
      <c r="F304" s="37">
        <f t="shared" si="66"/>
        <v>0</v>
      </c>
      <c r="G304" s="38">
        <f t="shared" si="61"/>
        <v>0</v>
      </c>
      <c r="H304" s="39">
        <f t="shared" si="56"/>
        <v>0</v>
      </c>
      <c r="I304" s="37">
        <f t="shared" si="67"/>
        <v>0</v>
      </c>
      <c r="J304" s="37">
        <f t="shared" si="62"/>
        <v>0</v>
      </c>
      <c r="K304" s="40">
        <f t="shared" si="63"/>
        <v>0</v>
      </c>
      <c r="L304" s="53"/>
      <c r="M304" s="57"/>
      <c r="N304" s="41">
        <f t="shared" si="57"/>
        <v>7</v>
      </c>
      <c r="O304" s="11">
        <f t="shared" si="64"/>
        <v>24</v>
      </c>
      <c r="P304" s="12">
        <f t="shared" si="58"/>
        <v>0</v>
      </c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x14ac:dyDescent="0.3">
      <c r="A305" s="33">
        <v>298</v>
      </c>
      <c r="B305" s="34" t="str">
        <f t="shared" si="59"/>
        <v>25-й год 10-й мес</v>
      </c>
      <c r="C305" s="35">
        <f t="shared" si="65"/>
        <v>50262</v>
      </c>
      <c r="D305" s="36">
        <f t="shared" si="55"/>
        <v>0</v>
      </c>
      <c r="E305" s="37">
        <f t="shared" si="60"/>
        <v>0</v>
      </c>
      <c r="F305" s="37">
        <f t="shared" si="66"/>
        <v>0</v>
      </c>
      <c r="G305" s="38">
        <f t="shared" si="61"/>
        <v>0</v>
      </c>
      <c r="H305" s="39">
        <f t="shared" si="56"/>
        <v>0</v>
      </c>
      <c r="I305" s="37">
        <f t="shared" si="67"/>
        <v>0</v>
      </c>
      <c r="J305" s="37">
        <f t="shared" si="62"/>
        <v>0</v>
      </c>
      <c r="K305" s="40">
        <f t="shared" si="63"/>
        <v>0</v>
      </c>
      <c r="L305" s="53"/>
      <c r="M305" s="57"/>
      <c r="N305" s="41">
        <f t="shared" si="57"/>
        <v>7</v>
      </c>
      <c r="O305" s="11">
        <f t="shared" si="64"/>
        <v>24</v>
      </c>
      <c r="P305" s="12">
        <f t="shared" si="58"/>
        <v>0</v>
      </c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x14ac:dyDescent="0.3">
      <c r="A306" s="33">
        <v>299</v>
      </c>
      <c r="B306" s="34" t="str">
        <f t="shared" si="59"/>
        <v>25-й год 11-й мес</v>
      </c>
      <c r="C306" s="35">
        <f t="shared" si="65"/>
        <v>50293</v>
      </c>
      <c r="D306" s="36">
        <f t="shared" si="55"/>
        <v>0</v>
      </c>
      <c r="E306" s="37">
        <f t="shared" si="60"/>
        <v>0</v>
      </c>
      <c r="F306" s="37">
        <f t="shared" si="66"/>
        <v>0</v>
      </c>
      <c r="G306" s="38">
        <f t="shared" si="61"/>
        <v>0</v>
      </c>
      <c r="H306" s="39">
        <f t="shared" si="56"/>
        <v>0</v>
      </c>
      <c r="I306" s="37">
        <f t="shared" si="67"/>
        <v>0</v>
      </c>
      <c r="J306" s="37">
        <f t="shared" si="62"/>
        <v>0</v>
      </c>
      <c r="K306" s="40">
        <f t="shared" si="63"/>
        <v>0</v>
      </c>
      <c r="L306" s="53"/>
      <c r="M306" s="57"/>
      <c r="N306" s="41">
        <f t="shared" si="57"/>
        <v>7</v>
      </c>
      <c r="O306" s="11">
        <f t="shared" si="64"/>
        <v>24</v>
      </c>
      <c r="P306" s="12">
        <f t="shared" si="58"/>
        <v>0</v>
      </c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x14ac:dyDescent="0.3">
      <c r="A307" s="33">
        <v>300</v>
      </c>
      <c r="B307" s="34" t="str">
        <f t="shared" si="59"/>
        <v>25-й год 12-й мес</v>
      </c>
      <c r="C307" s="35">
        <f t="shared" si="65"/>
        <v>50323</v>
      </c>
      <c r="D307" s="36">
        <f t="shared" si="55"/>
        <v>0</v>
      </c>
      <c r="E307" s="37">
        <f t="shared" si="60"/>
        <v>0</v>
      </c>
      <c r="F307" s="37">
        <f t="shared" si="66"/>
        <v>0</v>
      </c>
      <c r="G307" s="38">
        <f t="shared" si="61"/>
        <v>0</v>
      </c>
      <c r="H307" s="39">
        <f t="shared" si="56"/>
        <v>0</v>
      </c>
      <c r="I307" s="37">
        <f t="shared" si="67"/>
        <v>0</v>
      </c>
      <c r="J307" s="37">
        <f t="shared" si="62"/>
        <v>0</v>
      </c>
      <c r="K307" s="40">
        <f t="shared" si="63"/>
        <v>0</v>
      </c>
      <c r="L307" s="53"/>
      <c r="M307" s="57"/>
      <c r="N307" s="41">
        <f t="shared" si="57"/>
        <v>7</v>
      </c>
      <c r="O307" s="11">
        <f t="shared" si="64"/>
        <v>24</v>
      </c>
      <c r="P307" s="12">
        <f t="shared" si="58"/>
        <v>0</v>
      </c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x14ac:dyDescent="0.3">
      <c r="A308" s="42">
        <v>301</v>
      </c>
      <c r="B308" s="34" t="str">
        <f t="shared" si="59"/>
        <v>26-й год 1-й мес</v>
      </c>
      <c r="C308" s="35">
        <f t="shared" si="65"/>
        <v>50354</v>
      </c>
      <c r="D308" s="36">
        <f t="shared" si="55"/>
        <v>0</v>
      </c>
      <c r="E308" s="43">
        <f t="shared" si="60"/>
        <v>0</v>
      </c>
      <c r="F308" s="37">
        <f t="shared" si="66"/>
        <v>0</v>
      </c>
      <c r="G308" s="44">
        <f t="shared" si="61"/>
        <v>0</v>
      </c>
      <c r="H308" s="45">
        <f t="shared" si="56"/>
        <v>0</v>
      </c>
      <c r="I308" s="43">
        <f t="shared" si="67"/>
        <v>0</v>
      </c>
      <c r="J308" s="43">
        <f t="shared" si="62"/>
        <v>0</v>
      </c>
      <c r="K308" s="46">
        <f t="shared" si="63"/>
        <v>0</v>
      </c>
      <c r="L308" s="55"/>
      <c r="M308" s="54"/>
      <c r="N308" s="41">
        <f t="shared" si="57"/>
        <v>7</v>
      </c>
      <c r="O308" s="11">
        <f t="shared" si="64"/>
        <v>24</v>
      </c>
      <c r="P308" s="12">
        <f t="shared" si="58"/>
        <v>0</v>
      </c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x14ac:dyDescent="0.3">
      <c r="A309" s="47">
        <v>302</v>
      </c>
      <c r="B309" s="34" t="str">
        <f t="shared" si="59"/>
        <v>26-й год 2-й мес</v>
      </c>
      <c r="C309" s="35">
        <f t="shared" si="65"/>
        <v>50384</v>
      </c>
      <c r="D309" s="36">
        <f t="shared" si="55"/>
        <v>0</v>
      </c>
      <c r="E309" s="37">
        <f t="shared" si="60"/>
        <v>0</v>
      </c>
      <c r="F309" s="37">
        <f t="shared" si="66"/>
        <v>0</v>
      </c>
      <c r="G309" s="38">
        <f t="shared" si="61"/>
        <v>0</v>
      </c>
      <c r="H309" s="39">
        <f t="shared" si="56"/>
        <v>0</v>
      </c>
      <c r="I309" s="37">
        <f t="shared" si="67"/>
        <v>0</v>
      </c>
      <c r="J309" s="37">
        <f t="shared" si="62"/>
        <v>0</v>
      </c>
      <c r="K309" s="40">
        <f t="shared" si="63"/>
        <v>0</v>
      </c>
      <c r="L309" s="53"/>
      <c r="M309" s="57"/>
      <c r="N309" s="41">
        <f t="shared" si="57"/>
        <v>7</v>
      </c>
      <c r="O309" s="11">
        <f t="shared" si="64"/>
        <v>24</v>
      </c>
      <c r="P309" s="12">
        <f t="shared" si="58"/>
        <v>0</v>
      </c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x14ac:dyDescent="0.3">
      <c r="A310" s="47">
        <v>303</v>
      </c>
      <c r="B310" s="34" t="str">
        <f t="shared" si="59"/>
        <v>26-й год 3-й мес</v>
      </c>
      <c r="C310" s="35">
        <f t="shared" si="65"/>
        <v>50415</v>
      </c>
      <c r="D310" s="36">
        <f t="shared" si="55"/>
        <v>0</v>
      </c>
      <c r="E310" s="37">
        <f t="shared" si="60"/>
        <v>0</v>
      </c>
      <c r="F310" s="37">
        <f t="shared" si="66"/>
        <v>0</v>
      </c>
      <c r="G310" s="38">
        <f t="shared" si="61"/>
        <v>0</v>
      </c>
      <c r="H310" s="39">
        <f t="shared" si="56"/>
        <v>0</v>
      </c>
      <c r="I310" s="37">
        <f t="shared" si="67"/>
        <v>0</v>
      </c>
      <c r="J310" s="37">
        <f t="shared" si="62"/>
        <v>0</v>
      </c>
      <c r="K310" s="40">
        <f t="shared" si="63"/>
        <v>0</v>
      </c>
      <c r="L310" s="53"/>
      <c r="M310" s="57"/>
      <c r="N310" s="41">
        <f t="shared" si="57"/>
        <v>7</v>
      </c>
      <c r="O310" s="11">
        <f t="shared" si="64"/>
        <v>24</v>
      </c>
      <c r="P310" s="12">
        <f t="shared" si="58"/>
        <v>0</v>
      </c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x14ac:dyDescent="0.3">
      <c r="A311" s="47">
        <v>304</v>
      </c>
      <c r="B311" s="34" t="str">
        <f t="shared" si="59"/>
        <v>26-й год 4-й мес</v>
      </c>
      <c r="C311" s="35">
        <f t="shared" si="65"/>
        <v>50446</v>
      </c>
      <c r="D311" s="36">
        <f t="shared" si="55"/>
        <v>0</v>
      </c>
      <c r="E311" s="37">
        <f t="shared" si="60"/>
        <v>0</v>
      </c>
      <c r="F311" s="37">
        <f t="shared" si="66"/>
        <v>0</v>
      </c>
      <c r="G311" s="38">
        <f t="shared" si="61"/>
        <v>0</v>
      </c>
      <c r="H311" s="39">
        <f t="shared" si="56"/>
        <v>0</v>
      </c>
      <c r="I311" s="37">
        <f t="shared" si="67"/>
        <v>0</v>
      </c>
      <c r="J311" s="37">
        <f t="shared" si="62"/>
        <v>0</v>
      </c>
      <c r="K311" s="40">
        <f t="shared" si="63"/>
        <v>0</v>
      </c>
      <c r="L311" s="53"/>
      <c r="M311" s="57"/>
      <c r="N311" s="41">
        <f t="shared" si="57"/>
        <v>7</v>
      </c>
      <c r="O311" s="11">
        <f t="shared" si="64"/>
        <v>24</v>
      </c>
      <c r="P311" s="12">
        <f t="shared" si="58"/>
        <v>0</v>
      </c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x14ac:dyDescent="0.3">
      <c r="A312" s="47">
        <v>305</v>
      </c>
      <c r="B312" s="34" t="str">
        <f t="shared" si="59"/>
        <v>26-й год 5-й мес</v>
      </c>
      <c r="C312" s="35">
        <f t="shared" si="65"/>
        <v>50474</v>
      </c>
      <c r="D312" s="36">
        <f t="shared" si="55"/>
        <v>0</v>
      </c>
      <c r="E312" s="37">
        <f t="shared" si="60"/>
        <v>0</v>
      </c>
      <c r="F312" s="37">
        <f t="shared" si="66"/>
        <v>0</v>
      </c>
      <c r="G312" s="38">
        <f t="shared" si="61"/>
        <v>0</v>
      </c>
      <c r="H312" s="39">
        <f t="shared" si="56"/>
        <v>0</v>
      </c>
      <c r="I312" s="37">
        <f t="shared" si="67"/>
        <v>0</v>
      </c>
      <c r="J312" s="37">
        <f t="shared" si="62"/>
        <v>0</v>
      </c>
      <c r="K312" s="40">
        <f t="shared" si="63"/>
        <v>0</v>
      </c>
      <c r="L312" s="53"/>
      <c r="M312" s="57"/>
      <c r="N312" s="41">
        <f t="shared" si="57"/>
        <v>7</v>
      </c>
      <c r="O312" s="11">
        <f t="shared" si="64"/>
        <v>24</v>
      </c>
      <c r="P312" s="12">
        <f t="shared" si="58"/>
        <v>0</v>
      </c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x14ac:dyDescent="0.3">
      <c r="A313" s="47">
        <v>306</v>
      </c>
      <c r="B313" s="34" t="str">
        <f t="shared" si="59"/>
        <v>26-й год 6-й мес</v>
      </c>
      <c r="C313" s="35">
        <f t="shared" si="65"/>
        <v>50505</v>
      </c>
      <c r="D313" s="36">
        <f t="shared" si="55"/>
        <v>0</v>
      </c>
      <c r="E313" s="37">
        <f t="shared" si="60"/>
        <v>0</v>
      </c>
      <c r="F313" s="37">
        <f t="shared" si="66"/>
        <v>0</v>
      </c>
      <c r="G313" s="38">
        <f t="shared" si="61"/>
        <v>0</v>
      </c>
      <c r="H313" s="39">
        <f t="shared" si="56"/>
        <v>0</v>
      </c>
      <c r="I313" s="37">
        <f t="shared" si="67"/>
        <v>0</v>
      </c>
      <c r="J313" s="37">
        <f t="shared" si="62"/>
        <v>0</v>
      </c>
      <c r="K313" s="40">
        <f t="shared" si="63"/>
        <v>0</v>
      </c>
      <c r="L313" s="53"/>
      <c r="M313" s="57"/>
      <c r="N313" s="41">
        <f t="shared" si="57"/>
        <v>7</v>
      </c>
      <c r="O313" s="11">
        <f t="shared" si="64"/>
        <v>24</v>
      </c>
      <c r="P313" s="12">
        <f t="shared" si="58"/>
        <v>0</v>
      </c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x14ac:dyDescent="0.3">
      <c r="A314" s="47">
        <v>307</v>
      </c>
      <c r="B314" s="34" t="str">
        <f t="shared" si="59"/>
        <v>26-й год 7-й мес</v>
      </c>
      <c r="C314" s="35">
        <f t="shared" si="65"/>
        <v>50535</v>
      </c>
      <c r="D314" s="36">
        <f t="shared" si="55"/>
        <v>0</v>
      </c>
      <c r="E314" s="37">
        <f t="shared" si="60"/>
        <v>0</v>
      </c>
      <c r="F314" s="37">
        <f t="shared" si="66"/>
        <v>0</v>
      </c>
      <c r="G314" s="38">
        <f t="shared" si="61"/>
        <v>0</v>
      </c>
      <c r="H314" s="39">
        <f t="shared" si="56"/>
        <v>0</v>
      </c>
      <c r="I314" s="37">
        <f t="shared" si="67"/>
        <v>0</v>
      </c>
      <c r="J314" s="37">
        <f t="shared" si="62"/>
        <v>0</v>
      </c>
      <c r="K314" s="40">
        <f t="shared" si="63"/>
        <v>0</v>
      </c>
      <c r="L314" s="53"/>
      <c r="M314" s="57"/>
      <c r="N314" s="41">
        <f t="shared" si="57"/>
        <v>7</v>
      </c>
      <c r="O314" s="11">
        <f t="shared" si="64"/>
        <v>24</v>
      </c>
      <c r="P314" s="12">
        <f t="shared" si="58"/>
        <v>0</v>
      </c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x14ac:dyDescent="0.3">
      <c r="A315" s="47">
        <v>308</v>
      </c>
      <c r="B315" s="34" t="str">
        <f t="shared" si="59"/>
        <v>26-й год 8-й мес</v>
      </c>
      <c r="C315" s="35">
        <f t="shared" si="65"/>
        <v>50566</v>
      </c>
      <c r="D315" s="36">
        <f t="shared" si="55"/>
        <v>0</v>
      </c>
      <c r="E315" s="37">
        <f t="shared" si="60"/>
        <v>0</v>
      </c>
      <c r="F315" s="37">
        <f t="shared" si="66"/>
        <v>0</v>
      </c>
      <c r="G315" s="38">
        <f t="shared" si="61"/>
        <v>0</v>
      </c>
      <c r="H315" s="39">
        <f t="shared" si="56"/>
        <v>0</v>
      </c>
      <c r="I315" s="37">
        <f t="shared" si="67"/>
        <v>0</v>
      </c>
      <c r="J315" s="37">
        <f t="shared" si="62"/>
        <v>0</v>
      </c>
      <c r="K315" s="40">
        <f t="shared" si="63"/>
        <v>0</v>
      </c>
      <c r="L315" s="53"/>
      <c r="M315" s="57"/>
      <c r="N315" s="41">
        <f t="shared" si="57"/>
        <v>7</v>
      </c>
      <c r="O315" s="11">
        <f t="shared" si="64"/>
        <v>24</v>
      </c>
      <c r="P315" s="12">
        <f t="shared" si="58"/>
        <v>0</v>
      </c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x14ac:dyDescent="0.3">
      <c r="A316" s="47">
        <v>309</v>
      </c>
      <c r="B316" s="34" t="str">
        <f t="shared" si="59"/>
        <v>26-й год 9-й мес</v>
      </c>
      <c r="C316" s="35">
        <f t="shared" si="65"/>
        <v>50596</v>
      </c>
      <c r="D316" s="36">
        <f t="shared" si="55"/>
        <v>0</v>
      </c>
      <c r="E316" s="37">
        <f t="shared" si="60"/>
        <v>0</v>
      </c>
      <c r="F316" s="37">
        <f t="shared" si="66"/>
        <v>0</v>
      </c>
      <c r="G316" s="38">
        <f t="shared" si="61"/>
        <v>0</v>
      </c>
      <c r="H316" s="39">
        <f t="shared" si="56"/>
        <v>0</v>
      </c>
      <c r="I316" s="37">
        <f t="shared" si="67"/>
        <v>0</v>
      </c>
      <c r="J316" s="37">
        <f t="shared" si="62"/>
        <v>0</v>
      </c>
      <c r="K316" s="40">
        <f t="shared" si="63"/>
        <v>0</v>
      </c>
      <c r="L316" s="53"/>
      <c r="M316" s="57"/>
      <c r="N316" s="41">
        <f t="shared" si="57"/>
        <v>7</v>
      </c>
      <c r="O316" s="11">
        <f t="shared" si="64"/>
        <v>24</v>
      </c>
      <c r="P316" s="12">
        <f t="shared" si="58"/>
        <v>0</v>
      </c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x14ac:dyDescent="0.3">
      <c r="A317" s="47">
        <v>310</v>
      </c>
      <c r="B317" s="34" t="str">
        <f t="shared" si="59"/>
        <v>26-й год 10-й мес</v>
      </c>
      <c r="C317" s="35">
        <f t="shared" si="65"/>
        <v>50627</v>
      </c>
      <c r="D317" s="36">
        <f t="shared" si="55"/>
        <v>0</v>
      </c>
      <c r="E317" s="37">
        <f t="shared" si="60"/>
        <v>0</v>
      </c>
      <c r="F317" s="37">
        <f t="shared" si="66"/>
        <v>0</v>
      </c>
      <c r="G317" s="38">
        <f t="shared" si="61"/>
        <v>0</v>
      </c>
      <c r="H317" s="39">
        <f t="shared" si="56"/>
        <v>0</v>
      </c>
      <c r="I317" s="37">
        <f t="shared" si="67"/>
        <v>0</v>
      </c>
      <c r="J317" s="37">
        <f t="shared" si="62"/>
        <v>0</v>
      </c>
      <c r="K317" s="40">
        <f t="shared" si="63"/>
        <v>0</v>
      </c>
      <c r="L317" s="53"/>
      <c r="M317" s="57"/>
      <c r="N317" s="41">
        <f t="shared" si="57"/>
        <v>7</v>
      </c>
      <c r="O317" s="11">
        <f t="shared" si="64"/>
        <v>24</v>
      </c>
      <c r="P317" s="12">
        <f t="shared" si="58"/>
        <v>0</v>
      </c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x14ac:dyDescent="0.3">
      <c r="A318" s="47">
        <v>311</v>
      </c>
      <c r="B318" s="34" t="str">
        <f t="shared" si="59"/>
        <v>26-й год 11-й мес</v>
      </c>
      <c r="C318" s="35">
        <f t="shared" si="65"/>
        <v>50658</v>
      </c>
      <c r="D318" s="36">
        <f t="shared" si="55"/>
        <v>0</v>
      </c>
      <c r="E318" s="37">
        <f t="shared" si="60"/>
        <v>0</v>
      </c>
      <c r="F318" s="37">
        <f t="shared" si="66"/>
        <v>0</v>
      </c>
      <c r="G318" s="38">
        <f t="shared" si="61"/>
        <v>0</v>
      </c>
      <c r="H318" s="39">
        <f t="shared" si="56"/>
        <v>0</v>
      </c>
      <c r="I318" s="37">
        <f t="shared" si="67"/>
        <v>0</v>
      </c>
      <c r="J318" s="37">
        <f t="shared" si="62"/>
        <v>0</v>
      </c>
      <c r="K318" s="40">
        <f t="shared" si="63"/>
        <v>0</v>
      </c>
      <c r="L318" s="53"/>
      <c r="M318" s="57"/>
      <c r="N318" s="41">
        <f t="shared" si="57"/>
        <v>7</v>
      </c>
      <c r="O318" s="11">
        <f t="shared" si="64"/>
        <v>24</v>
      </c>
      <c r="P318" s="12">
        <f t="shared" si="58"/>
        <v>0</v>
      </c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x14ac:dyDescent="0.3">
      <c r="A319" s="48">
        <v>312</v>
      </c>
      <c r="B319" s="34" t="str">
        <f t="shared" si="59"/>
        <v>26-й год 12-й мес</v>
      </c>
      <c r="C319" s="35">
        <f t="shared" si="65"/>
        <v>50688</v>
      </c>
      <c r="D319" s="36">
        <f t="shared" si="55"/>
        <v>0</v>
      </c>
      <c r="E319" s="49">
        <f t="shared" si="60"/>
        <v>0</v>
      </c>
      <c r="F319" s="37">
        <f t="shared" si="66"/>
        <v>0</v>
      </c>
      <c r="G319" s="50">
        <f t="shared" si="61"/>
        <v>0</v>
      </c>
      <c r="H319" s="51">
        <f t="shared" si="56"/>
        <v>0</v>
      </c>
      <c r="I319" s="49">
        <f t="shared" si="67"/>
        <v>0</v>
      </c>
      <c r="J319" s="49">
        <f t="shared" si="62"/>
        <v>0</v>
      </c>
      <c r="K319" s="52">
        <f t="shared" si="63"/>
        <v>0</v>
      </c>
      <c r="L319" s="56"/>
      <c r="M319" s="58"/>
      <c r="N319" s="41">
        <f t="shared" si="57"/>
        <v>7</v>
      </c>
      <c r="O319" s="11">
        <f t="shared" si="64"/>
        <v>24</v>
      </c>
      <c r="P319" s="12">
        <f t="shared" si="58"/>
        <v>0</v>
      </c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x14ac:dyDescent="0.3">
      <c r="A320" s="33">
        <v>313</v>
      </c>
      <c r="B320" s="34" t="str">
        <f t="shared" si="59"/>
        <v>27-й год 1-й мес</v>
      </c>
      <c r="C320" s="35">
        <f t="shared" si="65"/>
        <v>50719</v>
      </c>
      <c r="D320" s="36">
        <f t="shared" si="55"/>
        <v>0</v>
      </c>
      <c r="E320" s="37">
        <f t="shared" si="60"/>
        <v>0</v>
      </c>
      <c r="F320" s="37">
        <f t="shared" si="66"/>
        <v>0</v>
      </c>
      <c r="G320" s="38">
        <f t="shared" si="61"/>
        <v>0</v>
      </c>
      <c r="H320" s="39">
        <f t="shared" si="56"/>
        <v>0</v>
      </c>
      <c r="I320" s="37">
        <f t="shared" si="67"/>
        <v>0</v>
      </c>
      <c r="J320" s="37">
        <f t="shared" si="62"/>
        <v>0</v>
      </c>
      <c r="K320" s="40">
        <f t="shared" si="63"/>
        <v>0</v>
      </c>
      <c r="L320" s="53"/>
      <c r="M320" s="57"/>
      <c r="N320" s="41">
        <f t="shared" si="57"/>
        <v>7</v>
      </c>
      <c r="O320" s="11">
        <f t="shared" si="64"/>
        <v>24</v>
      </c>
      <c r="P320" s="12">
        <f t="shared" si="58"/>
        <v>0</v>
      </c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x14ac:dyDescent="0.3">
      <c r="A321" s="33">
        <v>314</v>
      </c>
      <c r="B321" s="34" t="str">
        <f t="shared" si="59"/>
        <v>27-й год 2-й мес</v>
      </c>
      <c r="C321" s="35">
        <f t="shared" si="65"/>
        <v>50749</v>
      </c>
      <c r="D321" s="36">
        <f t="shared" si="55"/>
        <v>0</v>
      </c>
      <c r="E321" s="37">
        <f t="shared" si="60"/>
        <v>0</v>
      </c>
      <c r="F321" s="37">
        <f t="shared" si="66"/>
        <v>0</v>
      </c>
      <c r="G321" s="38">
        <f t="shared" si="61"/>
        <v>0</v>
      </c>
      <c r="H321" s="39">
        <f t="shared" si="56"/>
        <v>0</v>
      </c>
      <c r="I321" s="37">
        <f t="shared" si="67"/>
        <v>0</v>
      </c>
      <c r="J321" s="37">
        <f t="shared" si="62"/>
        <v>0</v>
      </c>
      <c r="K321" s="40">
        <f t="shared" si="63"/>
        <v>0</v>
      </c>
      <c r="L321" s="53"/>
      <c r="M321" s="57"/>
      <c r="N321" s="41">
        <f t="shared" si="57"/>
        <v>7</v>
      </c>
      <c r="O321" s="11">
        <f t="shared" si="64"/>
        <v>24</v>
      </c>
      <c r="P321" s="12">
        <f t="shared" si="58"/>
        <v>0</v>
      </c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x14ac:dyDescent="0.3">
      <c r="A322" s="33">
        <v>315</v>
      </c>
      <c r="B322" s="34" t="str">
        <f t="shared" si="59"/>
        <v>27-й год 3-й мес</v>
      </c>
      <c r="C322" s="35">
        <f t="shared" si="65"/>
        <v>50780</v>
      </c>
      <c r="D322" s="36">
        <f t="shared" si="55"/>
        <v>0</v>
      </c>
      <c r="E322" s="37">
        <f t="shared" si="60"/>
        <v>0</v>
      </c>
      <c r="F322" s="37">
        <f t="shared" si="66"/>
        <v>0</v>
      </c>
      <c r="G322" s="38">
        <f t="shared" si="61"/>
        <v>0</v>
      </c>
      <c r="H322" s="39">
        <f t="shared" si="56"/>
        <v>0</v>
      </c>
      <c r="I322" s="37">
        <f t="shared" si="67"/>
        <v>0</v>
      </c>
      <c r="J322" s="37">
        <f t="shared" si="62"/>
        <v>0</v>
      </c>
      <c r="K322" s="40">
        <f t="shared" si="63"/>
        <v>0</v>
      </c>
      <c r="L322" s="53"/>
      <c r="M322" s="57"/>
      <c r="N322" s="41">
        <f t="shared" si="57"/>
        <v>7</v>
      </c>
      <c r="O322" s="11">
        <f t="shared" si="64"/>
        <v>24</v>
      </c>
      <c r="P322" s="12">
        <f t="shared" si="58"/>
        <v>0</v>
      </c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x14ac:dyDescent="0.3">
      <c r="A323" s="33">
        <v>316</v>
      </c>
      <c r="B323" s="34" t="str">
        <f t="shared" si="59"/>
        <v>27-й год 4-й мес</v>
      </c>
      <c r="C323" s="35">
        <f t="shared" si="65"/>
        <v>50811</v>
      </c>
      <c r="D323" s="36">
        <f t="shared" si="55"/>
        <v>0</v>
      </c>
      <c r="E323" s="37">
        <f t="shared" si="60"/>
        <v>0</v>
      </c>
      <c r="F323" s="37">
        <f t="shared" si="66"/>
        <v>0</v>
      </c>
      <c r="G323" s="38">
        <f t="shared" si="61"/>
        <v>0</v>
      </c>
      <c r="H323" s="39">
        <f t="shared" si="56"/>
        <v>0</v>
      </c>
      <c r="I323" s="37">
        <f t="shared" si="67"/>
        <v>0</v>
      </c>
      <c r="J323" s="37">
        <f t="shared" si="62"/>
        <v>0</v>
      </c>
      <c r="K323" s="40">
        <f t="shared" si="63"/>
        <v>0</v>
      </c>
      <c r="L323" s="53"/>
      <c r="M323" s="57"/>
      <c r="N323" s="41">
        <f t="shared" si="57"/>
        <v>7</v>
      </c>
      <c r="O323" s="11">
        <f t="shared" si="64"/>
        <v>24</v>
      </c>
      <c r="P323" s="12">
        <f t="shared" si="58"/>
        <v>0</v>
      </c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x14ac:dyDescent="0.3">
      <c r="A324" s="33">
        <v>317</v>
      </c>
      <c r="B324" s="34" t="str">
        <f t="shared" si="59"/>
        <v>27-й год 5-й мес</v>
      </c>
      <c r="C324" s="35">
        <f t="shared" si="65"/>
        <v>50839</v>
      </c>
      <c r="D324" s="36">
        <f t="shared" si="55"/>
        <v>0</v>
      </c>
      <c r="E324" s="37">
        <f t="shared" si="60"/>
        <v>0</v>
      </c>
      <c r="F324" s="37">
        <f t="shared" si="66"/>
        <v>0</v>
      </c>
      <c r="G324" s="38">
        <f t="shared" si="61"/>
        <v>0</v>
      </c>
      <c r="H324" s="39">
        <f t="shared" si="56"/>
        <v>0</v>
      </c>
      <c r="I324" s="37">
        <f t="shared" si="67"/>
        <v>0</v>
      </c>
      <c r="J324" s="37">
        <f t="shared" si="62"/>
        <v>0</v>
      </c>
      <c r="K324" s="40">
        <f t="shared" si="63"/>
        <v>0</v>
      </c>
      <c r="L324" s="53"/>
      <c r="M324" s="57"/>
      <c r="N324" s="41">
        <f t="shared" si="57"/>
        <v>7</v>
      </c>
      <c r="O324" s="11">
        <f t="shared" si="64"/>
        <v>24</v>
      </c>
      <c r="P324" s="12">
        <f t="shared" si="58"/>
        <v>0</v>
      </c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x14ac:dyDescent="0.3">
      <c r="A325" s="33">
        <v>318</v>
      </c>
      <c r="B325" s="34" t="str">
        <f t="shared" si="59"/>
        <v>27-й год 6-й мес</v>
      </c>
      <c r="C325" s="35">
        <f t="shared" si="65"/>
        <v>50870</v>
      </c>
      <c r="D325" s="36">
        <f t="shared" si="55"/>
        <v>0</v>
      </c>
      <c r="E325" s="37">
        <f t="shared" si="60"/>
        <v>0</v>
      </c>
      <c r="F325" s="37">
        <f t="shared" si="66"/>
        <v>0</v>
      </c>
      <c r="G325" s="38">
        <f t="shared" si="61"/>
        <v>0</v>
      </c>
      <c r="H325" s="39">
        <f t="shared" si="56"/>
        <v>0</v>
      </c>
      <c r="I325" s="37">
        <f t="shared" si="67"/>
        <v>0</v>
      </c>
      <c r="J325" s="37">
        <f t="shared" si="62"/>
        <v>0</v>
      </c>
      <c r="K325" s="40">
        <f t="shared" si="63"/>
        <v>0</v>
      </c>
      <c r="L325" s="53"/>
      <c r="M325" s="57"/>
      <c r="N325" s="41">
        <f t="shared" si="57"/>
        <v>7</v>
      </c>
      <c r="O325" s="11">
        <f t="shared" si="64"/>
        <v>24</v>
      </c>
      <c r="P325" s="12">
        <f t="shared" si="58"/>
        <v>0</v>
      </c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x14ac:dyDescent="0.3">
      <c r="A326" s="33">
        <v>319</v>
      </c>
      <c r="B326" s="34" t="str">
        <f t="shared" si="59"/>
        <v>27-й год 7-й мес</v>
      </c>
      <c r="C326" s="35">
        <f t="shared" si="65"/>
        <v>50900</v>
      </c>
      <c r="D326" s="36">
        <f t="shared" si="55"/>
        <v>0</v>
      </c>
      <c r="E326" s="37">
        <f t="shared" si="60"/>
        <v>0</v>
      </c>
      <c r="F326" s="37">
        <f t="shared" si="66"/>
        <v>0</v>
      </c>
      <c r="G326" s="38">
        <f t="shared" si="61"/>
        <v>0</v>
      </c>
      <c r="H326" s="39">
        <f t="shared" si="56"/>
        <v>0</v>
      </c>
      <c r="I326" s="37">
        <f t="shared" si="67"/>
        <v>0</v>
      </c>
      <c r="J326" s="37">
        <f t="shared" si="62"/>
        <v>0</v>
      </c>
      <c r="K326" s="40">
        <f t="shared" si="63"/>
        <v>0</v>
      </c>
      <c r="L326" s="53"/>
      <c r="M326" s="57"/>
      <c r="N326" s="41">
        <f t="shared" si="57"/>
        <v>7</v>
      </c>
      <c r="O326" s="11">
        <f t="shared" si="64"/>
        <v>24</v>
      </c>
      <c r="P326" s="12">
        <f t="shared" si="58"/>
        <v>0</v>
      </c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x14ac:dyDescent="0.3">
      <c r="A327" s="33">
        <v>320</v>
      </c>
      <c r="B327" s="34" t="str">
        <f t="shared" si="59"/>
        <v>27-й год 8-й мес</v>
      </c>
      <c r="C327" s="35">
        <f t="shared" si="65"/>
        <v>50931</v>
      </c>
      <c r="D327" s="36">
        <f t="shared" si="55"/>
        <v>0</v>
      </c>
      <c r="E327" s="37">
        <f t="shared" si="60"/>
        <v>0</v>
      </c>
      <c r="F327" s="37">
        <f t="shared" si="66"/>
        <v>0</v>
      </c>
      <c r="G327" s="38">
        <f t="shared" si="61"/>
        <v>0</v>
      </c>
      <c r="H327" s="39">
        <f t="shared" si="56"/>
        <v>0</v>
      </c>
      <c r="I327" s="37">
        <f t="shared" si="67"/>
        <v>0</v>
      </c>
      <c r="J327" s="37">
        <f t="shared" si="62"/>
        <v>0</v>
      </c>
      <c r="K327" s="40">
        <f t="shared" si="63"/>
        <v>0</v>
      </c>
      <c r="L327" s="53"/>
      <c r="M327" s="57"/>
      <c r="N327" s="41">
        <f t="shared" si="57"/>
        <v>7</v>
      </c>
      <c r="O327" s="11">
        <f t="shared" si="64"/>
        <v>24</v>
      </c>
      <c r="P327" s="12">
        <f t="shared" si="58"/>
        <v>0</v>
      </c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x14ac:dyDescent="0.3">
      <c r="A328" s="33">
        <v>321</v>
      </c>
      <c r="B328" s="34" t="str">
        <f t="shared" si="59"/>
        <v>27-й год 9-й мес</v>
      </c>
      <c r="C328" s="35">
        <f t="shared" si="65"/>
        <v>50961</v>
      </c>
      <c r="D328" s="36">
        <f t="shared" ref="D328:D391" si="68">IF(P328*$D$2/100/12/(1-(1+$D$2/100/12)^(-O328))&lt;G327,ROUNDUP(P328*$D$2/100/12/(1-(1+$D$2/100/12)^(-O328)),0),G327+F328)</f>
        <v>0</v>
      </c>
      <c r="E328" s="37">
        <f t="shared" si="60"/>
        <v>0</v>
      </c>
      <c r="F328" s="37">
        <f t="shared" si="66"/>
        <v>0</v>
      </c>
      <c r="G328" s="38">
        <f t="shared" si="61"/>
        <v>0</v>
      </c>
      <c r="H328" s="39">
        <f t="shared" ref="H328:H391" si="69">I328+J328</f>
        <v>0</v>
      </c>
      <c r="I328" s="37">
        <f t="shared" si="67"/>
        <v>0</v>
      </c>
      <c r="J328" s="37">
        <f t="shared" si="62"/>
        <v>0</v>
      </c>
      <c r="K328" s="40">
        <f t="shared" si="63"/>
        <v>0</v>
      </c>
      <c r="L328" s="53"/>
      <c r="M328" s="57"/>
      <c r="N328" s="41">
        <f t="shared" ref="N328:N391" si="70">IF(ISBLANK(L327),VALUE(N327),ROW(L327))</f>
        <v>7</v>
      </c>
      <c r="O328" s="11">
        <f t="shared" si="64"/>
        <v>24</v>
      </c>
      <c r="P328" s="12">
        <f t="shared" ref="P328:P391" si="71">INDEX(G:G,N328,1)</f>
        <v>0</v>
      </c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x14ac:dyDescent="0.3">
      <c r="A329" s="33">
        <v>322</v>
      </c>
      <c r="B329" s="34" t="str">
        <f t="shared" ref="B329:B392" si="72">CONCATENATE(INT((A329-1)/12)+1,"-й год ",A329-1-INT((A329-1)/12)*12+1,"-й мес")</f>
        <v>27-й год 10-й мес</v>
      </c>
      <c r="C329" s="35">
        <f t="shared" si="65"/>
        <v>50992</v>
      </c>
      <c r="D329" s="36">
        <f t="shared" si="68"/>
        <v>0</v>
      </c>
      <c r="E329" s="37">
        <f t="shared" ref="E329:E392" si="73">D329-F329</f>
        <v>0</v>
      </c>
      <c r="F329" s="37">
        <f t="shared" si="66"/>
        <v>0</v>
      </c>
      <c r="G329" s="38">
        <f t="shared" ref="G329:G392" si="74">G328-E329-L329-M329</f>
        <v>0</v>
      </c>
      <c r="H329" s="39">
        <f t="shared" si="69"/>
        <v>0</v>
      </c>
      <c r="I329" s="37">
        <f t="shared" si="67"/>
        <v>0</v>
      </c>
      <c r="J329" s="37">
        <f t="shared" ref="J329:J392" si="75">K328*$D$2/12/100</f>
        <v>0</v>
      </c>
      <c r="K329" s="40">
        <f t="shared" ref="K329:K392" si="76">K328-I329-L329-M329</f>
        <v>0</v>
      </c>
      <c r="L329" s="53"/>
      <c r="M329" s="57"/>
      <c r="N329" s="41">
        <f t="shared" si="70"/>
        <v>7</v>
      </c>
      <c r="O329" s="11">
        <f t="shared" ref="O329:O392" si="77">O328+N328-N329</f>
        <v>24</v>
      </c>
      <c r="P329" s="12">
        <f t="shared" si="71"/>
        <v>0</v>
      </c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x14ac:dyDescent="0.3">
      <c r="A330" s="33">
        <v>323</v>
      </c>
      <c r="B330" s="34" t="str">
        <f t="shared" si="72"/>
        <v>27-й год 11-й мес</v>
      </c>
      <c r="C330" s="35">
        <f t="shared" ref="C330:C393" si="78">DATE(YEAR(C329),MONTH(C329)+1,DAY(C329))</f>
        <v>51023</v>
      </c>
      <c r="D330" s="36">
        <f t="shared" si="68"/>
        <v>0</v>
      </c>
      <c r="E330" s="37">
        <f t="shared" si="73"/>
        <v>0</v>
      </c>
      <c r="F330" s="37">
        <f t="shared" ref="F330:F393" si="79">G329*$D$2*(C330-C329)/(DATE(YEAR(C330)+1,1,1)-DATE(YEAR(C330),1,1))/100</f>
        <v>0</v>
      </c>
      <c r="G330" s="38">
        <f t="shared" si="74"/>
        <v>0</v>
      </c>
      <c r="H330" s="39">
        <f t="shared" si="69"/>
        <v>0</v>
      </c>
      <c r="I330" s="37">
        <f t="shared" ref="I330:I393" si="80">IF($D$1/$D$3&lt;K329,$D$1/$D$3,K329)</f>
        <v>0</v>
      </c>
      <c r="J330" s="37">
        <f t="shared" si="75"/>
        <v>0</v>
      </c>
      <c r="K330" s="40">
        <f t="shared" si="76"/>
        <v>0</v>
      </c>
      <c r="L330" s="53"/>
      <c r="M330" s="57"/>
      <c r="N330" s="41">
        <f t="shared" si="70"/>
        <v>7</v>
      </c>
      <c r="O330" s="11">
        <f t="shared" si="77"/>
        <v>24</v>
      </c>
      <c r="P330" s="12">
        <f t="shared" si="71"/>
        <v>0</v>
      </c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x14ac:dyDescent="0.3">
      <c r="A331" s="33">
        <v>324</v>
      </c>
      <c r="B331" s="34" t="str">
        <f t="shared" si="72"/>
        <v>27-й год 12-й мес</v>
      </c>
      <c r="C331" s="35">
        <f t="shared" si="78"/>
        <v>51053</v>
      </c>
      <c r="D331" s="36">
        <f t="shared" si="68"/>
        <v>0</v>
      </c>
      <c r="E331" s="37">
        <f t="shared" si="73"/>
        <v>0</v>
      </c>
      <c r="F331" s="37">
        <f t="shared" si="79"/>
        <v>0</v>
      </c>
      <c r="G331" s="38">
        <f t="shared" si="74"/>
        <v>0</v>
      </c>
      <c r="H331" s="39">
        <f t="shared" si="69"/>
        <v>0</v>
      </c>
      <c r="I331" s="37">
        <f t="shared" si="80"/>
        <v>0</v>
      </c>
      <c r="J331" s="37">
        <f t="shared" si="75"/>
        <v>0</v>
      </c>
      <c r="K331" s="40">
        <f t="shared" si="76"/>
        <v>0</v>
      </c>
      <c r="L331" s="53"/>
      <c r="M331" s="57"/>
      <c r="N331" s="41">
        <f t="shared" si="70"/>
        <v>7</v>
      </c>
      <c r="O331" s="11">
        <f t="shared" si="77"/>
        <v>24</v>
      </c>
      <c r="P331" s="12">
        <f t="shared" si="71"/>
        <v>0</v>
      </c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x14ac:dyDescent="0.3">
      <c r="A332" s="42">
        <v>325</v>
      </c>
      <c r="B332" s="34" t="str">
        <f t="shared" si="72"/>
        <v>28-й год 1-й мес</v>
      </c>
      <c r="C332" s="35">
        <f t="shared" si="78"/>
        <v>51084</v>
      </c>
      <c r="D332" s="36">
        <f t="shared" si="68"/>
        <v>0</v>
      </c>
      <c r="E332" s="43">
        <f t="shared" si="73"/>
        <v>0</v>
      </c>
      <c r="F332" s="37">
        <f t="shared" si="79"/>
        <v>0</v>
      </c>
      <c r="G332" s="44">
        <f t="shared" si="74"/>
        <v>0</v>
      </c>
      <c r="H332" s="45">
        <f t="shared" si="69"/>
        <v>0</v>
      </c>
      <c r="I332" s="43">
        <f t="shared" si="80"/>
        <v>0</v>
      </c>
      <c r="J332" s="43">
        <f t="shared" si="75"/>
        <v>0</v>
      </c>
      <c r="K332" s="46">
        <f t="shared" si="76"/>
        <v>0</v>
      </c>
      <c r="L332" s="55"/>
      <c r="M332" s="54"/>
      <c r="N332" s="41">
        <f t="shared" si="70"/>
        <v>7</v>
      </c>
      <c r="O332" s="11">
        <f t="shared" si="77"/>
        <v>24</v>
      </c>
      <c r="P332" s="12">
        <f t="shared" si="71"/>
        <v>0</v>
      </c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x14ac:dyDescent="0.3">
      <c r="A333" s="47">
        <v>326</v>
      </c>
      <c r="B333" s="34" t="str">
        <f t="shared" si="72"/>
        <v>28-й год 2-й мес</v>
      </c>
      <c r="C333" s="35">
        <f t="shared" si="78"/>
        <v>51114</v>
      </c>
      <c r="D333" s="36">
        <f t="shared" si="68"/>
        <v>0</v>
      </c>
      <c r="E333" s="37">
        <f t="shared" si="73"/>
        <v>0</v>
      </c>
      <c r="F333" s="37">
        <f t="shared" si="79"/>
        <v>0</v>
      </c>
      <c r="G333" s="38">
        <f t="shared" si="74"/>
        <v>0</v>
      </c>
      <c r="H333" s="39">
        <f t="shared" si="69"/>
        <v>0</v>
      </c>
      <c r="I333" s="37">
        <f t="shared" si="80"/>
        <v>0</v>
      </c>
      <c r="J333" s="37">
        <f t="shared" si="75"/>
        <v>0</v>
      </c>
      <c r="K333" s="40">
        <f t="shared" si="76"/>
        <v>0</v>
      </c>
      <c r="L333" s="53"/>
      <c r="M333" s="57"/>
      <c r="N333" s="41">
        <f t="shared" si="70"/>
        <v>7</v>
      </c>
      <c r="O333" s="11">
        <f t="shared" si="77"/>
        <v>24</v>
      </c>
      <c r="P333" s="12">
        <f t="shared" si="71"/>
        <v>0</v>
      </c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x14ac:dyDescent="0.3">
      <c r="A334" s="47">
        <v>327</v>
      </c>
      <c r="B334" s="34" t="str">
        <f t="shared" si="72"/>
        <v>28-й год 3-й мес</v>
      </c>
      <c r="C334" s="35">
        <f t="shared" si="78"/>
        <v>51145</v>
      </c>
      <c r="D334" s="36">
        <f t="shared" si="68"/>
        <v>0</v>
      </c>
      <c r="E334" s="37">
        <f t="shared" si="73"/>
        <v>0</v>
      </c>
      <c r="F334" s="37">
        <f t="shared" si="79"/>
        <v>0</v>
      </c>
      <c r="G334" s="38">
        <f t="shared" si="74"/>
        <v>0</v>
      </c>
      <c r="H334" s="39">
        <f t="shared" si="69"/>
        <v>0</v>
      </c>
      <c r="I334" s="37">
        <f t="shared" si="80"/>
        <v>0</v>
      </c>
      <c r="J334" s="37">
        <f t="shared" si="75"/>
        <v>0</v>
      </c>
      <c r="K334" s="40">
        <f t="shared" si="76"/>
        <v>0</v>
      </c>
      <c r="L334" s="53"/>
      <c r="M334" s="57"/>
      <c r="N334" s="41">
        <f t="shared" si="70"/>
        <v>7</v>
      </c>
      <c r="O334" s="11">
        <f t="shared" si="77"/>
        <v>24</v>
      </c>
      <c r="P334" s="12">
        <f t="shared" si="71"/>
        <v>0</v>
      </c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x14ac:dyDescent="0.3">
      <c r="A335" s="47">
        <v>328</v>
      </c>
      <c r="B335" s="34" t="str">
        <f t="shared" si="72"/>
        <v>28-й год 4-й мес</v>
      </c>
      <c r="C335" s="35">
        <f t="shared" si="78"/>
        <v>51176</v>
      </c>
      <c r="D335" s="36">
        <f t="shared" si="68"/>
        <v>0</v>
      </c>
      <c r="E335" s="37">
        <f t="shared" si="73"/>
        <v>0</v>
      </c>
      <c r="F335" s="37">
        <f t="shared" si="79"/>
        <v>0</v>
      </c>
      <c r="G335" s="38">
        <f t="shared" si="74"/>
        <v>0</v>
      </c>
      <c r="H335" s="39">
        <f t="shared" si="69"/>
        <v>0</v>
      </c>
      <c r="I335" s="37">
        <f t="shared" si="80"/>
        <v>0</v>
      </c>
      <c r="J335" s="37">
        <f t="shared" si="75"/>
        <v>0</v>
      </c>
      <c r="K335" s="40">
        <f t="shared" si="76"/>
        <v>0</v>
      </c>
      <c r="L335" s="53"/>
      <c r="M335" s="57"/>
      <c r="N335" s="41">
        <f t="shared" si="70"/>
        <v>7</v>
      </c>
      <c r="O335" s="11">
        <f t="shared" si="77"/>
        <v>24</v>
      </c>
      <c r="P335" s="12">
        <f t="shared" si="71"/>
        <v>0</v>
      </c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x14ac:dyDescent="0.3">
      <c r="A336" s="47">
        <v>329</v>
      </c>
      <c r="B336" s="34" t="str">
        <f t="shared" si="72"/>
        <v>28-й год 5-й мес</v>
      </c>
      <c r="C336" s="35">
        <f t="shared" si="78"/>
        <v>51205</v>
      </c>
      <c r="D336" s="36">
        <f t="shared" si="68"/>
        <v>0</v>
      </c>
      <c r="E336" s="37">
        <f t="shared" si="73"/>
        <v>0</v>
      </c>
      <c r="F336" s="37">
        <f t="shared" si="79"/>
        <v>0</v>
      </c>
      <c r="G336" s="38">
        <f t="shared" si="74"/>
        <v>0</v>
      </c>
      <c r="H336" s="39">
        <f t="shared" si="69"/>
        <v>0</v>
      </c>
      <c r="I336" s="37">
        <f t="shared" si="80"/>
        <v>0</v>
      </c>
      <c r="J336" s="37">
        <f t="shared" si="75"/>
        <v>0</v>
      </c>
      <c r="K336" s="40">
        <f t="shared" si="76"/>
        <v>0</v>
      </c>
      <c r="L336" s="53"/>
      <c r="M336" s="57"/>
      <c r="N336" s="41">
        <f t="shared" si="70"/>
        <v>7</v>
      </c>
      <c r="O336" s="11">
        <f t="shared" si="77"/>
        <v>24</v>
      </c>
      <c r="P336" s="12">
        <f t="shared" si="71"/>
        <v>0</v>
      </c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x14ac:dyDescent="0.3">
      <c r="A337" s="47">
        <v>330</v>
      </c>
      <c r="B337" s="34" t="str">
        <f t="shared" si="72"/>
        <v>28-й год 6-й мес</v>
      </c>
      <c r="C337" s="35">
        <f t="shared" si="78"/>
        <v>51236</v>
      </c>
      <c r="D337" s="36">
        <f t="shared" si="68"/>
        <v>0</v>
      </c>
      <c r="E337" s="37">
        <f t="shared" si="73"/>
        <v>0</v>
      </c>
      <c r="F337" s="37">
        <f t="shared" si="79"/>
        <v>0</v>
      </c>
      <c r="G337" s="38">
        <f t="shared" si="74"/>
        <v>0</v>
      </c>
      <c r="H337" s="39">
        <f t="shared" si="69"/>
        <v>0</v>
      </c>
      <c r="I337" s="37">
        <f t="shared" si="80"/>
        <v>0</v>
      </c>
      <c r="J337" s="37">
        <f t="shared" si="75"/>
        <v>0</v>
      </c>
      <c r="K337" s="40">
        <f t="shared" si="76"/>
        <v>0</v>
      </c>
      <c r="L337" s="53"/>
      <c r="M337" s="57"/>
      <c r="N337" s="41">
        <f t="shared" si="70"/>
        <v>7</v>
      </c>
      <c r="O337" s="11">
        <f t="shared" si="77"/>
        <v>24</v>
      </c>
      <c r="P337" s="12">
        <f t="shared" si="71"/>
        <v>0</v>
      </c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x14ac:dyDescent="0.3">
      <c r="A338" s="47">
        <v>331</v>
      </c>
      <c r="B338" s="34" t="str">
        <f t="shared" si="72"/>
        <v>28-й год 7-й мес</v>
      </c>
      <c r="C338" s="35">
        <f t="shared" si="78"/>
        <v>51266</v>
      </c>
      <c r="D338" s="36">
        <f t="shared" si="68"/>
        <v>0</v>
      </c>
      <c r="E338" s="37">
        <f t="shared" si="73"/>
        <v>0</v>
      </c>
      <c r="F338" s="37">
        <f t="shared" si="79"/>
        <v>0</v>
      </c>
      <c r="G338" s="38">
        <f t="shared" si="74"/>
        <v>0</v>
      </c>
      <c r="H338" s="39">
        <f t="shared" si="69"/>
        <v>0</v>
      </c>
      <c r="I338" s="37">
        <f t="shared" si="80"/>
        <v>0</v>
      </c>
      <c r="J338" s="37">
        <f t="shared" si="75"/>
        <v>0</v>
      </c>
      <c r="K338" s="40">
        <f t="shared" si="76"/>
        <v>0</v>
      </c>
      <c r="L338" s="53"/>
      <c r="M338" s="57"/>
      <c r="N338" s="41">
        <f t="shared" si="70"/>
        <v>7</v>
      </c>
      <c r="O338" s="11">
        <f t="shared" si="77"/>
        <v>24</v>
      </c>
      <c r="P338" s="12">
        <f t="shared" si="71"/>
        <v>0</v>
      </c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x14ac:dyDescent="0.3">
      <c r="A339" s="47">
        <v>332</v>
      </c>
      <c r="B339" s="34" t="str">
        <f t="shared" si="72"/>
        <v>28-й год 8-й мес</v>
      </c>
      <c r="C339" s="35">
        <f t="shared" si="78"/>
        <v>51297</v>
      </c>
      <c r="D339" s="36">
        <f t="shared" si="68"/>
        <v>0</v>
      </c>
      <c r="E339" s="37">
        <f t="shared" si="73"/>
        <v>0</v>
      </c>
      <c r="F339" s="37">
        <f t="shared" si="79"/>
        <v>0</v>
      </c>
      <c r="G339" s="38">
        <f t="shared" si="74"/>
        <v>0</v>
      </c>
      <c r="H339" s="39">
        <f t="shared" si="69"/>
        <v>0</v>
      </c>
      <c r="I339" s="37">
        <f t="shared" si="80"/>
        <v>0</v>
      </c>
      <c r="J339" s="37">
        <f t="shared" si="75"/>
        <v>0</v>
      </c>
      <c r="K339" s="40">
        <f t="shared" si="76"/>
        <v>0</v>
      </c>
      <c r="L339" s="53"/>
      <c r="M339" s="57"/>
      <c r="N339" s="41">
        <f t="shared" si="70"/>
        <v>7</v>
      </c>
      <c r="O339" s="11">
        <f t="shared" si="77"/>
        <v>24</v>
      </c>
      <c r="P339" s="12">
        <f t="shared" si="71"/>
        <v>0</v>
      </c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x14ac:dyDescent="0.3">
      <c r="A340" s="47">
        <v>333</v>
      </c>
      <c r="B340" s="34" t="str">
        <f t="shared" si="72"/>
        <v>28-й год 9-й мес</v>
      </c>
      <c r="C340" s="35">
        <f t="shared" si="78"/>
        <v>51327</v>
      </c>
      <c r="D340" s="36">
        <f t="shared" si="68"/>
        <v>0</v>
      </c>
      <c r="E340" s="37">
        <f t="shared" si="73"/>
        <v>0</v>
      </c>
      <c r="F340" s="37">
        <f t="shared" si="79"/>
        <v>0</v>
      </c>
      <c r="G340" s="38">
        <f t="shared" si="74"/>
        <v>0</v>
      </c>
      <c r="H340" s="39">
        <f t="shared" si="69"/>
        <v>0</v>
      </c>
      <c r="I340" s="37">
        <f t="shared" si="80"/>
        <v>0</v>
      </c>
      <c r="J340" s="37">
        <f t="shared" si="75"/>
        <v>0</v>
      </c>
      <c r="K340" s="40">
        <f t="shared" si="76"/>
        <v>0</v>
      </c>
      <c r="L340" s="53"/>
      <c r="M340" s="57"/>
      <c r="N340" s="41">
        <f t="shared" si="70"/>
        <v>7</v>
      </c>
      <c r="O340" s="11">
        <f t="shared" si="77"/>
        <v>24</v>
      </c>
      <c r="P340" s="12">
        <f t="shared" si="71"/>
        <v>0</v>
      </c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x14ac:dyDescent="0.3">
      <c r="A341" s="47">
        <v>334</v>
      </c>
      <c r="B341" s="34" t="str">
        <f t="shared" si="72"/>
        <v>28-й год 10-й мес</v>
      </c>
      <c r="C341" s="35">
        <f t="shared" si="78"/>
        <v>51358</v>
      </c>
      <c r="D341" s="36">
        <f t="shared" si="68"/>
        <v>0</v>
      </c>
      <c r="E341" s="37">
        <f t="shared" si="73"/>
        <v>0</v>
      </c>
      <c r="F341" s="37">
        <f t="shared" si="79"/>
        <v>0</v>
      </c>
      <c r="G341" s="38">
        <f t="shared" si="74"/>
        <v>0</v>
      </c>
      <c r="H341" s="39">
        <f t="shared" si="69"/>
        <v>0</v>
      </c>
      <c r="I341" s="37">
        <f t="shared" si="80"/>
        <v>0</v>
      </c>
      <c r="J341" s="37">
        <f t="shared" si="75"/>
        <v>0</v>
      </c>
      <c r="K341" s="40">
        <f t="shared" si="76"/>
        <v>0</v>
      </c>
      <c r="L341" s="53"/>
      <c r="M341" s="57"/>
      <c r="N341" s="41">
        <f t="shared" si="70"/>
        <v>7</v>
      </c>
      <c r="O341" s="11">
        <f t="shared" si="77"/>
        <v>24</v>
      </c>
      <c r="P341" s="12">
        <f t="shared" si="71"/>
        <v>0</v>
      </c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x14ac:dyDescent="0.3">
      <c r="A342" s="47">
        <v>335</v>
      </c>
      <c r="B342" s="34" t="str">
        <f t="shared" si="72"/>
        <v>28-й год 11-й мес</v>
      </c>
      <c r="C342" s="35">
        <f t="shared" si="78"/>
        <v>51389</v>
      </c>
      <c r="D342" s="36">
        <f t="shared" si="68"/>
        <v>0</v>
      </c>
      <c r="E342" s="37">
        <f t="shared" si="73"/>
        <v>0</v>
      </c>
      <c r="F342" s="37">
        <f t="shared" si="79"/>
        <v>0</v>
      </c>
      <c r="G342" s="38">
        <f t="shared" si="74"/>
        <v>0</v>
      </c>
      <c r="H342" s="39">
        <f t="shared" si="69"/>
        <v>0</v>
      </c>
      <c r="I342" s="37">
        <f t="shared" si="80"/>
        <v>0</v>
      </c>
      <c r="J342" s="37">
        <f t="shared" si="75"/>
        <v>0</v>
      </c>
      <c r="K342" s="40">
        <f t="shared" si="76"/>
        <v>0</v>
      </c>
      <c r="L342" s="53"/>
      <c r="M342" s="57"/>
      <c r="N342" s="41">
        <f t="shared" si="70"/>
        <v>7</v>
      </c>
      <c r="O342" s="11">
        <f t="shared" si="77"/>
        <v>24</v>
      </c>
      <c r="P342" s="12">
        <f t="shared" si="71"/>
        <v>0</v>
      </c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x14ac:dyDescent="0.3">
      <c r="A343" s="48">
        <v>336</v>
      </c>
      <c r="B343" s="34" t="str">
        <f t="shared" si="72"/>
        <v>28-й год 12-й мес</v>
      </c>
      <c r="C343" s="35">
        <f t="shared" si="78"/>
        <v>51419</v>
      </c>
      <c r="D343" s="36">
        <f t="shared" si="68"/>
        <v>0</v>
      </c>
      <c r="E343" s="49">
        <f t="shared" si="73"/>
        <v>0</v>
      </c>
      <c r="F343" s="37">
        <f t="shared" si="79"/>
        <v>0</v>
      </c>
      <c r="G343" s="50">
        <f t="shared" si="74"/>
        <v>0</v>
      </c>
      <c r="H343" s="51">
        <f t="shared" si="69"/>
        <v>0</v>
      </c>
      <c r="I343" s="49">
        <f t="shared" si="80"/>
        <v>0</v>
      </c>
      <c r="J343" s="49">
        <f t="shared" si="75"/>
        <v>0</v>
      </c>
      <c r="K343" s="52">
        <f t="shared" si="76"/>
        <v>0</v>
      </c>
      <c r="L343" s="56"/>
      <c r="M343" s="58"/>
      <c r="N343" s="41">
        <f t="shared" si="70"/>
        <v>7</v>
      </c>
      <c r="O343" s="11">
        <f t="shared" si="77"/>
        <v>24</v>
      </c>
      <c r="P343" s="12">
        <f t="shared" si="71"/>
        <v>0</v>
      </c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x14ac:dyDescent="0.3">
      <c r="A344" s="33">
        <v>337</v>
      </c>
      <c r="B344" s="34" t="str">
        <f t="shared" si="72"/>
        <v>29-й год 1-й мес</v>
      </c>
      <c r="C344" s="35">
        <f t="shared" si="78"/>
        <v>51450</v>
      </c>
      <c r="D344" s="36">
        <f t="shared" si="68"/>
        <v>0</v>
      </c>
      <c r="E344" s="37">
        <f t="shared" si="73"/>
        <v>0</v>
      </c>
      <c r="F344" s="37">
        <f t="shared" si="79"/>
        <v>0</v>
      </c>
      <c r="G344" s="38">
        <f t="shared" si="74"/>
        <v>0</v>
      </c>
      <c r="H344" s="39">
        <f t="shared" si="69"/>
        <v>0</v>
      </c>
      <c r="I344" s="37">
        <f t="shared" si="80"/>
        <v>0</v>
      </c>
      <c r="J344" s="37">
        <f t="shared" si="75"/>
        <v>0</v>
      </c>
      <c r="K344" s="40">
        <f t="shared" si="76"/>
        <v>0</v>
      </c>
      <c r="L344" s="53"/>
      <c r="M344" s="57"/>
      <c r="N344" s="41">
        <f t="shared" si="70"/>
        <v>7</v>
      </c>
      <c r="O344" s="11">
        <f t="shared" si="77"/>
        <v>24</v>
      </c>
      <c r="P344" s="12">
        <f t="shared" si="71"/>
        <v>0</v>
      </c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x14ac:dyDescent="0.3">
      <c r="A345" s="33">
        <v>338</v>
      </c>
      <c r="B345" s="34" t="str">
        <f t="shared" si="72"/>
        <v>29-й год 2-й мес</v>
      </c>
      <c r="C345" s="35">
        <f t="shared" si="78"/>
        <v>51480</v>
      </c>
      <c r="D345" s="36">
        <f t="shared" si="68"/>
        <v>0</v>
      </c>
      <c r="E345" s="37">
        <f t="shared" si="73"/>
        <v>0</v>
      </c>
      <c r="F345" s="37">
        <f t="shared" si="79"/>
        <v>0</v>
      </c>
      <c r="G345" s="38">
        <f t="shared" si="74"/>
        <v>0</v>
      </c>
      <c r="H345" s="39">
        <f t="shared" si="69"/>
        <v>0</v>
      </c>
      <c r="I345" s="37">
        <f t="shared" si="80"/>
        <v>0</v>
      </c>
      <c r="J345" s="37">
        <f t="shared" si="75"/>
        <v>0</v>
      </c>
      <c r="K345" s="40">
        <f t="shared" si="76"/>
        <v>0</v>
      </c>
      <c r="L345" s="53"/>
      <c r="M345" s="57"/>
      <c r="N345" s="41">
        <f t="shared" si="70"/>
        <v>7</v>
      </c>
      <c r="O345" s="11">
        <f t="shared" si="77"/>
        <v>24</v>
      </c>
      <c r="P345" s="12">
        <f t="shared" si="71"/>
        <v>0</v>
      </c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x14ac:dyDescent="0.3">
      <c r="A346" s="33">
        <v>339</v>
      </c>
      <c r="B346" s="34" t="str">
        <f t="shared" si="72"/>
        <v>29-й год 3-й мес</v>
      </c>
      <c r="C346" s="35">
        <f t="shared" si="78"/>
        <v>51511</v>
      </c>
      <c r="D346" s="36">
        <f t="shared" si="68"/>
        <v>0</v>
      </c>
      <c r="E346" s="37">
        <f t="shared" si="73"/>
        <v>0</v>
      </c>
      <c r="F346" s="37">
        <f t="shared" si="79"/>
        <v>0</v>
      </c>
      <c r="G346" s="38">
        <f t="shared" si="74"/>
        <v>0</v>
      </c>
      <c r="H346" s="39">
        <f t="shared" si="69"/>
        <v>0</v>
      </c>
      <c r="I346" s="37">
        <f t="shared" si="80"/>
        <v>0</v>
      </c>
      <c r="J346" s="37">
        <f t="shared" si="75"/>
        <v>0</v>
      </c>
      <c r="K346" s="40">
        <f t="shared" si="76"/>
        <v>0</v>
      </c>
      <c r="L346" s="53"/>
      <c r="M346" s="57"/>
      <c r="N346" s="41">
        <f t="shared" si="70"/>
        <v>7</v>
      </c>
      <c r="O346" s="11">
        <f t="shared" si="77"/>
        <v>24</v>
      </c>
      <c r="P346" s="12">
        <f t="shared" si="71"/>
        <v>0</v>
      </c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x14ac:dyDescent="0.3">
      <c r="A347" s="33">
        <v>340</v>
      </c>
      <c r="B347" s="34" t="str">
        <f t="shared" si="72"/>
        <v>29-й год 4-й мес</v>
      </c>
      <c r="C347" s="35">
        <f t="shared" si="78"/>
        <v>51542</v>
      </c>
      <c r="D347" s="36">
        <f t="shared" si="68"/>
        <v>0</v>
      </c>
      <c r="E347" s="37">
        <f t="shared" si="73"/>
        <v>0</v>
      </c>
      <c r="F347" s="37">
        <f t="shared" si="79"/>
        <v>0</v>
      </c>
      <c r="G347" s="38">
        <f t="shared" si="74"/>
        <v>0</v>
      </c>
      <c r="H347" s="39">
        <f t="shared" si="69"/>
        <v>0</v>
      </c>
      <c r="I347" s="37">
        <f t="shared" si="80"/>
        <v>0</v>
      </c>
      <c r="J347" s="37">
        <f t="shared" si="75"/>
        <v>0</v>
      </c>
      <c r="K347" s="40">
        <f t="shared" si="76"/>
        <v>0</v>
      </c>
      <c r="L347" s="53"/>
      <c r="M347" s="57"/>
      <c r="N347" s="41">
        <f t="shared" si="70"/>
        <v>7</v>
      </c>
      <c r="O347" s="11">
        <f t="shared" si="77"/>
        <v>24</v>
      </c>
      <c r="P347" s="12">
        <f t="shared" si="71"/>
        <v>0</v>
      </c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x14ac:dyDescent="0.3">
      <c r="A348" s="33">
        <v>341</v>
      </c>
      <c r="B348" s="34" t="str">
        <f t="shared" si="72"/>
        <v>29-й год 5-й мес</v>
      </c>
      <c r="C348" s="35">
        <f t="shared" si="78"/>
        <v>51570</v>
      </c>
      <c r="D348" s="36">
        <f t="shared" si="68"/>
        <v>0</v>
      </c>
      <c r="E348" s="37">
        <f t="shared" si="73"/>
        <v>0</v>
      </c>
      <c r="F348" s="37">
        <f t="shared" si="79"/>
        <v>0</v>
      </c>
      <c r="G348" s="38">
        <f t="shared" si="74"/>
        <v>0</v>
      </c>
      <c r="H348" s="39">
        <f t="shared" si="69"/>
        <v>0</v>
      </c>
      <c r="I348" s="37">
        <f t="shared" si="80"/>
        <v>0</v>
      </c>
      <c r="J348" s="37">
        <f t="shared" si="75"/>
        <v>0</v>
      </c>
      <c r="K348" s="40">
        <f t="shared" si="76"/>
        <v>0</v>
      </c>
      <c r="L348" s="53"/>
      <c r="M348" s="57"/>
      <c r="N348" s="41">
        <f t="shared" si="70"/>
        <v>7</v>
      </c>
      <c r="O348" s="11">
        <f t="shared" si="77"/>
        <v>24</v>
      </c>
      <c r="P348" s="12">
        <f t="shared" si="71"/>
        <v>0</v>
      </c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x14ac:dyDescent="0.3">
      <c r="A349" s="33">
        <v>342</v>
      </c>
      <c r="B349" s="34" t="str">
        <f t="shared" si="72"/>
        <v>29-й год 6-й мес</v>
      </c>
      <c r="C349" s="35">
        <f t="shared" si="78"/>
        <v>51601</v>
      </c>
      <c r="D349" s="36">
        <f t="shared" si="68"/>
        <v>0</v>
      </c>
      <c r="E349" s="37">
        <f t="shared" si="73"/>
        <v>0</v>
      </c>
      <c r="F349" s="37">
        <f t="shared" si="79"/>
        <v>0</v>
      </c>
      <c r="G349" s="38">
        <f t="shared" si="74"/>
        <v>0</v>
      </c>
      <c r="H349" s="39">
        <f t="shared" si="69"/>
        <v>0</v>
      </c>
      <c r="I349" s="37">
        <f t="shared" si="80"/>
        <v>0</v>
      </c>
      <c r="J349" s="37">
        <f t="shared" si="75"/>
        <v>0</v>
      </c>
      <c r="K349" s="40">
        <f t="shared" si="76"/>
        <v>0</v>
      </c>
      <c r="L349" s="53"/>
      <c r="M349" s="57"/>
      <c r="N349" s="41">
        <f t="shared" si="70"/>
        <v>7</v>
      </c>
      <c r="O349" s="11">
        <f t="shared" si="77"/>
        <v>24</v>
      </c>
      <c r="P349" s="12">
        <f t="shared" si="71"/>
        <v>0</v>
      </c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x14ac:dyDescent="0.3">
      <c r="A350" s="33">
        <v>343</v>
      </c>
      <c r="B350" s="34" t="str">
        <f t="shared" si="72"/>
        <v>29-й год 7-й мес</v>
      </c>
      <c r="C350" s="35">
        <f t="shared" si="78"/>
        <v>51631</v>
      </c>
      <c r="D350" s="36">
        <f t="shared" si="68"/>
        <v>0</v>
      </c>
      <c r="E350" s="37">
        <f t="shared" si="73"/>
        <v>0</v>
      </c>
      <c r="F350" s="37">
        <f t="shared" si="79"/>
        <v>0</v>
      </c>
      <c r="G350" s="38">
        <f t="shared" si="74"/>
        <v>0</v>
      </c>
      <c r="H350" s="39">
        <f t="shared" si="69"/>
        <v>0</v>
      </c>
      <c r="I350" s="37">
        <f t="shared" si="80"/>
        <v>0</v>
      </c>
      <c r="J350" s="37">
        <f t="shared" si="75"/>
        <v>0</v>
      </c>
      <c r="K350" s="40">
        <f t="shared" si="76"/>
        <v>0</v>
      </c>
      <c r="L350" s="53"/>
      <c r="M350" s="57"/>
      <c r="N350" s="41">
        <f t="shared" si="70"/>
        <v>7</v>
      </c>
      <c r="O350" s="11">
        <f t="shared" si="77"/>
        <v>24</v>
      </c>
      <c r="P350" s="12">
        <f t="shared" si="71"/>
        <v>0</v>
      </c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x14ac:dyDescent="0.3">
      <c r="A351" s="33">
        <v>344</v>
      </c>
      <c r="B351" s="34" t="str">
        <f t="shared" si="72"/>
        <v>29-й год 8-й мес</v>
      </c>
      <c r="C351" s="35">
        <f t="shared" si="78"/>
        <v>51662</v>
      </c>
      <c r="D351" s="36">
        <f t="shared" si="68"/>
        <v>0</v>
      </c>
      <c r="E351" s="37">
        <f t="shared" si="73"/>
        <v>0</v>
      </c>
      <c r="F351" s="37">
        <f t="shared" si="79"/>
        <v>0</v>
      </c>
      <c r="G351" s="38">
        <f t="shared" si="74"/>
        <v>0</v>
      </c>
      <c r="H351" s="39">
        <f t="shared" si="69"/>
        <v>0</v>
      </c>
      <c r="I351" s="37">
        <f t="shared" si="80"/>
        <v>0</v>
      </c>
      <c r="J351" s="37">
        <f t="shared" si="75"/>
        <v>0</v>
      </c>
      <c r="K351" s="40">
        <f t="shared" si="76"/>
        <v>0</v>
      </c>
      <c r="L351" s="53"/>
      <c r="M351" s="57"/>
      <c r="N351" s="41">
        <f t="shared" si="70"/>
        <v>7</v>
      </c>
      <c r="O351" s="11">
        <f t="shared" si="77"/>
        <v>24</v>
      </c>
      <c r="P351" s="12">
        <f t="shared" si="71"/>
        <v>0</v>
      </c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x14ac:dyDescent="0.3">
      <c r="A352" s="33">
        <v>345</v>
      </c>
      <c r="B352" s="34" t="str">
        <f t="shared" si="72"/>
        <v>29-й год 9-й мес</v>
      </c>
      <c r="C352" s="35">
        <f t="shared" si="78"/>
        <v>51692</v>
      </c>
      <c r="D352" s="36">
        <f t="shared" si="68"/>
        <v>0</v>
      </c>
      <c r="E352" s="37">
        <f t="shared" si="73"/>
        <v>0</v>
      </c>
      <c r="F352" s="37">
        <f t="shared" si="79"/>
        <v>0</v>
      </c>
      <c r="G352" s="38">
        <f t="shared" si="74"/>
        <v>0</v>
      </c>
      <c r="H352" s="39">
        <f t="shared" si="69"/>
        <v>0</v>
      </c>
      <c r="I352" s="37">
        <f t="shared" si="80"/>
        <v>0</v>
      </c>
      <c r="J352" s="37">
        <f t="shared" si="75"/>
        <v>0</v>
      </c>
      <c r="K352" s="40">
        <f t="shared" si="76"/>
        <v>0</v>
      </c>
      <c r="L352" s="53"/>
      <c r="M352" s="57"/>
      <c r="N352" s="41">
        <f t="shared" si="70"/>
        <v>7</v>
      </c>
      <c r="O352" s="11">
        <f t="shared" si="77"/>
        <v>24</v>
      </c>
      <c r="P352" s="12">
        <f t="shared" si="71"/>
        <v>0</v>
      </c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x14ac:dyDescent="0.3">
      <c r="A353" s="33">
        <v>346</v>
      </c>
      <c r="B353" s="34" t="str">
        <f t="shared" si="72"/>
        <v>29-й год 10-й мес</v>
      </c>
      <c r="C353" s="35">
        <f t="shared" si="78"/>
        <v>51723</v>
      </c>
      <c r="D353" s="36">
        <f t="shared" si="68"/>
        <v>0</v>
      </c>
      <c r="E353" s="37">
        <f t="shared" si="73"/>
        <v>0</v>
      </c>
      <c r="F353" s="37">
        <f t="shared" si="79"/>
        <v>0</v>
      </c>
      <c r="G353" s="38">
        <f t="shared" si="74"/>
        <v>0</v>
      </c>
      <c r="H353" s="39">
        <f t="shared" si="69"/>
        <v>0</v>
      </c>
      <c r="I353" s="37">
        <f t="shared" si="80"/>
        <v>0</v>
      </c>
      <c r="J353" s="37">
        <f t="shared" si="75"/>
        <v>0</v>
      </c>
      <c r="K353" s="40">
        <f t="shared" si="76"/>
        <v>0</v>
      </c>
      <c r="L353" s="53"/>
      <c r="M353" s="57"/>
      <c r="N353" s="41">
        <f t="shared" si="70"/>
        <v>7</v>
      </c>
      <c r="O353" s="11">
        <f t="shared" si="77"/>
        <v>24</v>
      </c>
      <c r="P353" s="12">
        <f t="shared" si="71"/>
        <v>0</v>
      </c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x14ac:dyDescent="0.3">
      <c r="A354" s="33">
        <v>347</v>
      </c>
      <c r="B354" s="34" t="str">
        <f t="shared" si="72"/>
        <v>29-й год 11-й мес</v>
      </c>
      <c r="C354" s="35">
        <f t="shared" si="78"/>
        <v>51754</v>
      </c>
      <c r="D354" s="36">
        <f t="shared" si="68"/>
        <v>0</v>
      </c>
      <c r="E354" s="37">
        <f t="shared" si="73"/>
        <v>0</v>
      </c>
      <c r="F354" s="37">
        <f t="shared" si="79"/>
        <v>0</v>
      </c>
      <c r="G354" s="38">
        <f t="shared" si="74"/>
        <v>0</v>
      </c>
      <c r="H354" s="39">
        <f t="shared" si="69"/>
        <v>0</v>
      </c>
      <c r="I354" s="37">
        <f t="shared" si="80"/>
        <v>0</v>
      </c>
      <c r="J354" s="37">
        <f t="shared" si="75"/>
        <v>0</v>
      </c>
      <c r="K354" s="40">
        <f t="shared" si="76"/>
        <v>0</v>
      </c>
      <c r="L354" s="53"/>
      <c r="M354" s="57"/>
      <c r="N354" s="41">
        <f t="shared" si="70"/>
        <v>7</v>
      </c>
      <c r="O354" s="11">
        <f t="shared" si="77"/>
        <v>24</v>
      </c>
      <c r="P354" s="12">
        <f t="shared" si="71"/>
        <v>0</v>
      </c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x14ac:dyDescent="0.3">
      <c r="A355" s="33">
        <v>348</v>
      </c>
      <c r="B355" s="34" t="str">
        <f t="shared" si="72"/>
        <v>29-й год 12-й мес</v>
      </c>
      <c r="C355" s="35">
        <f t="shared" si="78"/>
        <v>51784</v>
      </c>
      <c r="D355" s="36">
        <f t="shared" si="68"/>
        <v>0</v>
      </c>
      <c r="E355" s="37">
        <f t="shared" si="73"/>
        <v>0</v>
      </c>
      <c r="F355" s="37">
        <f t="shared" si="79"/>
        <v>0</v>
      </c>
      <c r="G355" s="38">
        <f t="shared" si="74"/>
        <v>0</v>
      </c>
      <c r="H355" s="39">
        <f t="shared" si="69"/>
        <v>0</v>
      </c>
      <c r="I355" s="37">
        <f t="shared" si="80"/>
        <v>0</v>
      </c>
      <c r="J355" s="37">
        <f t="shared" si="75"/>
        <v>0</v>
      </c>
      <c r="K355" s="40">
        <f t="shared" si="76"/>
        <v>0</v>
      </c>
      <c r="L355" s="53"/>
      <c r="M355" s="57"/>
      <c r="N355" s="41">
        <f t="shared" si="70"/>
        <v>7</v>
      </c>
      <c r="O355" s="11">
        <f t="shared" si="77"/>
        <v>24</v>
      </c>
      <c r="P355" s="12">
        <f t="shared" si="71"/>
        <v>0</v>
      </c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x14ac:dyDescent="0.3">
      <c r="A356" s="42">
        <v>349</v>
      </c>
      <c r="B356" s="34" t="str">
        <f t="shared" si="72"/>
        <v>30-й год 1-й мес</v>
      </c>
      <c r="C356" s="35">
        <f t="shared" si="78"/>
        <v>51815</v>
      </c>
      <c r="D356" s="36">
        <f t="shared" si="68"/>
        <v>0</v>
      </c>
      <c r="E356" s="43">
        <f t="shared" si="73"/>
        <v>0</v>
      </c>
      <c r="F356" s="37">
        <f t="shared" si="79"/>
        <v>0</v>
      </c>
      <c r="G356" s="44">
        <f t="shared" si="74"/>
        <v>0</v>
      </c>
      <c r="H356" s="45">
        <f t="shared" si="69"/>
        <v>0</v>
      </c>
      <c r="I356" s="43">
        <f t="shared" si="80"/>
        <v>0</v>
      </c>
      <c r="J356" s="43">
        <f t="shared" si="75"/>
        <v>0</v>
      </c>
      <c r="K356" s="46">
        <f t="shared" si="76"/>
        <v>0</v>
      </c>
      <c r="L356" s="55"/>
      <c r="M356" s="54"/>
      <c r="N356" s="41">
        <f t="shared" si="70"/>
        <v>7</v>
      </c>
      <c r="O356" s="11">
        <f t="shared" si="77"/>
        <v>24</v>
      </c>
      <c r="P356" s="12">
        <f t="shared" si="71"/>
        <v>0</v>
      </c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x14ac:dyDescent="0.3">
      <c r="A357" s="47">
        <v>350</v>
      </c>
      <c r="B357" s="34" t="str">
        <f t="shared" si="72"/>
        <v>30-й год 2-й мес</v>
      </c>
      <c r="C357" s="35">
        <f t="shared" si="78"/>
        <v>51845</v>
      </c>
      <c r="D357" s="36">
        <f t="shared" si="68"/>
        <v>0</v>
      </c>
      <c r="E357" s="37">
        <f t="shared" si="73"/>
        <v>0</v>
      </c>
      <c r="F357" s="37">
        <f t="shared" si="79"/>
        <v>0</v>
      </c>
      <c r="G357" s="38">
        <f t="shared" si="74"/>
        <v>0</v>
      </c>
      <c r="H357" s="39">
        <f t="shared" si="69"/>
        <v>0</v>
      </c>
      <c r="I357" s="37">
        <f t="shared" si="80"/>
        <v>0</v>
      </c>
      <c r="J357" s="37">
        <f t="shared" si="75"/>
        <v>0</v>
      </c>
      <c r="K357" s="40">
        <f t="shared" si="76"/>
        <v>0</v>
      </c>
      <c r="L357" s="53"/>
      <c r="M357" s="57"/>
      <c r="N357" s="41">
        <f t="shared" si="70"/>
        <v>7</v>
      </c>
      <c r="O357" s="11">
        <f t="shared" si="77"/>
        <v>24</v>
      </c>
      <c r="P357" s="12">
        <f t="shared" si="71"/>
        <v>0</v>
      </c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x14ac:dyDescent="0.3">
      <c r="A358" s="47">
        <v>351</v>
      </c>
      <c r="B358" s="34" t="str">
        <f t="shared" si="72"/>
        <v>30-й год 3-й мес</v>
      </c>
      <c r="C358" s="35">
        <f t="shared" si="78"/>
        <v>51876</v>
      </c>
      <c r="D358" s="36">
        <f t="shared" si="68"/>
        <v>0</v>
      </c>
      <c r="E358" s="37">
        <f t="shared" si="73"/>
        <v>0</v>
      </c>
      <c r="F358" s="37">
        <f t="shared" si="79"/>
        <v>0</v>
      </c>
      <c r="G358" s="38">
        <f t="shared" si="74"/>
        <v>0</v>
      </c>
      <c r="H358" s="39">
        <f t="shared" si="69"/>
        <v>0</v>
      </c>
      <c r="I358" s="37">
        <f t="shared" si="80"/>
        <v>0</v>
      </c>
      <c r="J358" s="37">
        <f t="shared" si="75"/>
        <v>0</v>
      </c>
      <c r="K358" s="40">
        <f t="shared" si="76"/>
        <v>0</v>
      </c>
      <c r="L358" s="53"/>
      <c r="M358" s="57"/>
      <c r="N358" s="41">
        <f t="shared" si="70"/>
        <v>7</v>
      </c>
      <c r="O358" s="11">
        <f t="shared" si="77"/>
        <v>24</v>
      </c>
      <c r="P358" s="12">
        <f t="shared" si="71"/>
        <v>0</v>
      </c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x14ac:dyDescent="0.3">
      <c r="A359" s="47">
        <v>352</v>
      </c>
      <c r="B359" s="34" t="str">
        <f t="shared" si="72"/>
        <v>30-й год 4-й мес</v>
      </c>
      <c r="C359" s="35">
        <f t="shared" si="78"/>
        <v>51907</v>
      </c>
      <c r="D359" s="36">
        <f t="shared" si="68"/>
        <v>0</v>
      </c>
      <c r="E359" s="37">
        <f t="shared" si="73"/>
        <v>0</v>
      </c>
      <c r="F359" s="37">
        <f t="shared" si="79"/>
        <v>0</v>
      </c>
      <c r="G359" s="38">
        <f t="shared" si="74"/>
        <v>0</v>
      </c>
      <c r="H359" s="39">
        <f t="shared" si="69"/>
        <v>0</v>
      </c>
      <c r="I359" s="37">
        <f t="shared" si="80"/>
        <v>0</v>
      </c>
      <c r="J359" s="37">
        <f t="shared" si="75"/>
        <v>0</v>
      </c>
      <c r="K359" s="40">
        <f t="shared" si="76"/>
        <v>0</v>
      </c>
      <c r="L359" s="53"/>
      <c r="M359" s="57"/>
      <c r="N359" s="41">
        <f t="shared" si="70"/>
        <v>7</v>
      </c>
      <c r="O359" s="11">
        <f t="shared" si="77"/>
        <v>24</v>
      </c>
      <c r="P359" s="12">
        <f t="shared" si="71"/>
        <v>0</v>
      </c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x14ac:dyDescent="0.3">
      <c r="A360" s="47">
        <v>353</v>
      </c>
      <c r="B360" s="34" t="str">
        <f t="shared" si="72"/>
        <v>30-й год 5-й мес</v>
      </c>
      <c r="C360" s="35">
        <f t="shared" si="78"/>
        <v>51935</v>
      </c>
      <c r="D360" s="36">
        <f t="shared" si="68"/>
        <v>0</v>
      </c>
      <c r="E360" s="37">
        <f t="shared" si="73"/>
        <v>0</v>
      </c>
      <c r="F360" s="37">
        <f t="shared" si="79"/>
        <v>0</v>
      </c>
      <c r="G360" s="38">
        <f t="shared" si="74"/>
        <v>0</v>
      </c>
      <c r="H360" s="39">
        <f t="shared" si="69"/>
        <v>0</v>
      </c>
      <c r="I360" s="37">
        <f t="shared" si="80"/>
        <v>0</v>
      </c>
      <c r="J360" s="37">
        <f t="shared" si="75"/>
        <v>0</v>
      </c>
      <c r="K360" s="40">
        <f t="shared" si="76"/>
        <v>0</v>
      </c>
      <c r="L360" s="53"/>
      <c r="M360" s="57"/>
      <c r="N360" s="41">
        <f t="shared" si="70"/>
        <v>7</v>
      </c>
      <c r="O360" s="11">
        <f t="shared" si="77"/>
        <v>24</v>
      </c>
      <c r="P360" s="12">
        <f t="shared" si="71"/>
        <v>0</v>
      </c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x14ac:dyDescent="0.3">
      <c r="A361" s="47">
        <v>354</v>
      </c>
      <c r="B361" s="34" t="str">
        <f t="shared" si="72"/>
        <v>30-й год 6-й мес</v>
      </c>
      <c r="C361" s="35">
        <f t="shared" si="78"/>
        <v>51966</v>
      </c>
      <c r="D361" s="36">
        <f t="shared" si="68"/>
        <v>0</v>
      </c>
      <c r="E361" s="37">
        <f t="shared" si="73"/>
        <v>0</v>
      </c>
      <c r="F361" s="37">
        <f t="shared" si="79"/>
        <v>0</v>
      </c>
      <c r="G361" s="38">
        <f t="shared" si="74"/>
        <v>0</v>
      </c>
      <c r="H361" s="39">
        <f t="shared" si="69"/>
        <v>0</v>
      </c>
      <c r="I361" s="37">
        <f t="shared" si="80"/>
        <v>0</v>
      </c>
      <c r="J361" s="37">
        <f t="shared" si="75"/>
        <v>0</v>
      </c>
      <c r="K361" s="40">
        <f t="shared" si="76"/>
        <v>0</v>
      </c>
      <c r="L361" s="53"/>
      <c r="M361" s="57"/>
      <c r="N361" s="41">
        <f t="shared" si="70"/>
        <v>7</v>
      </c>
      <c r="O361" s="11">
        <f t="shared" si="77"/>
        <v>24</v>
      </c>
      <c r="P361" s="12">
        <f t="shared" si="71"/>
        <v>0</v>
      </c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x14ac:dyDescent="0.3">
      <c r="A362" s="47">
        <v>355</v>
      </c>
      <c r="B362" s="34" t="str">
        <f t="shared" si="72"/>
        <v>30-й год 7-й мес</v>
      </c>
      <c r="C362" s="35">
        <f t="shared" si="78"/>
        <v>51996</v>
      </c>
      <c r="D362" s="36">
        <f t="shared" si="68"/>
        <v>0</v>
      </c>
      <c r="E362" s="37">
        <f t="shared" si="73"/>
        <v>0</v>
      </c>
      <c r="F362" s="37">
        <f t="shared" si="79"/>
        <v>0</v>
      </c>
      <c r="G362" s="38">
        <f t="shared" si="74"/>
        <v>0</v>
      </c>
      <c r="H362" s="39">
        <f t="shared" si="69"/>
        <v>0</v>
      </c>
      <c r="I362" s="37">
        <f t="shared" si="80"/>
        <v>0</v>
      </c>
      <c r="J362" s="37">
        <f t="shared" si="75"/>
        <v>0</v>
      </c>
      <c r="K362" s="40">
        <f t="shared" si="76"/>
        <v>0</v>
      </c>
      <c r="L362" s="53"/>
      <c r="M362" s="57"/>
      <c r="N362" s="41">
        <f t="shared" si="70"/>
        <v>7</v>
      </c>
      <c r="O362" s="11">
        <f t="shared" si="77"/>
        <v>24</v>
      </c>
      <c r="P362" s="12">
        <f t="shared" si="71"/>
        <v>0</v>
      </c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x14ac:dyDescent="0.3">
      <c r="A363" s="47">
        <v>356</v>
      </c>
      <c r="B363" s="34" t="str">
        <f t="shared" si="72"/>
        <v>30-й год 8-й мес</v>
      </c>
      <c r="C363" s="35">
        <f t="shared" si="78"/>
        <v>52027</v>
      </c>
      <c r="D363" s="36">
        <f t="shared" si="68"/>
        <v>0</v>
      </c>
      <c r="E363" s="37">
        <f t="shared" si="73"/>
        <v>0</v>
      </c>
      <c r="F363" s="37">
        <f t="shared" si="79"/>
        <v>0</v>
      </c>
      <c r="G363" s="38">
        <f t="shared" si="74"/>
        <v>0</v>
      </c>
      <c r="H363" s="39">
        <f t="shared" si="69"/>
        <v>0</v>
      </c>
      <c r="I363" s="37">
        <f t="shared" si="80"/>
        <v>0</v>
      </c>
      <c r="J363" s="37">
        <f t="shared" si="75"/>
        <v>0</v>
      </c>
      <c r="K363" s="40">
        <f t="shared" si="76"/>
        <v>0</v>
      </c>
      <c r="L363" s="53"/>
      <c r="M363" s="57"/>
      <c r="N363" s="41">
        <f t="shared" si="70"/>
        <v>7</v>
      </c>
      <c r="O363" s="11">
        <f t="shared" si="77"/>
        <v>24</v>
      </c>
      <c r="P363" s="12">
        <f t="shared" si="71"/>
        <v>0</v>
      </c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x14ac:dyDescent="0.3">
      <c r="A364" s="47">
        <v>357</v>
      </c>
      <c r="B364" s="34" t="str">
        <f t="shared" si="72"/>
        <v>30-й год 9-й мес</v>
      </c>
      <c r="C364" s="35">
        <f t="shared" si="78"/>
        <v>52057</v>
      </c>
      <c r="D364" s="36">
        <f t="shared" si="68"/>
        <v>0</v>
      </c>
      <c r="E364" s="37">
        <f t="shared" si="73"/>
        <v>0</v>
      </c>
      <c r="F364" s="37">
        <f t="shared" si="79"/>
        <v>0</v>
      </c>
      <c r="G364" s="38">
        <f t="shared" si="74"/>
        <v>0</v>
      </c>
      <c r="H364" s="39">
        <f t="shared" si="69"/>
        <v>0</v>
      </c>
      <c r="I364" s="37">
        <f t="shared" si="80"/>
        <v>0</v>
      </c>
      <c r="J364" s="37">
        <f t="shared" si="75"/>
        <v>0</v>
      </c>
      <c r="K364" s="40">
        <f t="shared" si="76"/>
        <v>0</v>
      </c>
      <c r="L364" s="53"/>
      <c r="M364" s="57"/>
      <c r="N364" s="41">
        <f t="shared" si="70"/>
        <v>7</v>
      </c>
      <c r="O364" s="11">
        <f t="shared" si="77"/>
        <v>24</v>
      </c>
      <c r="P364" s="12">
        <f t="shared" si="71"/>
        <v>0</v>
      </c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x14ac:dyDescent="0.3">
      <c r="A365" s="47">
        <v>358</v>
      </c>
      <c r="B365" s="34" t="str">
        <f t="shared" si="72"/>
        <v>30-й год 10-й мес</v>
      </c>
      <c r="C365" s="35">
        <f t="shared" si="78"/>
        <v>52088</v>
      </c>
      <c r="D365" s="36">
        <f t="shared" si="68"/>
        <v>0</v>
      </c>
      <c r="E365" s="37">
        <f t="shared" si="73"/>
        <v>0</v>
      </c>
      <c r="F365" s="37">
        <f t="shared" si="79"/>
        <v>0</v>
      </c>
      <c r="G365" s="38">
        <f t="shared" si="74"/>
        <v>0</v>
      </c>
      <c r="H365" s="39">
        <f t="shared" si="69"/>
        <v>0</v>
      </c>
      <c r="I365" s="37">
        <f t="shared" si="80"/>
        <v>0</v>
      </c>
      <c r="J365" s="37">
        <f t="shared" si="75"/>
        <v>0</v>
      </c>
      <c r="K365" s="40">
        <f t="shared" si="76"/>
        <v>0</v>
      </c>
      <c r="L365" s="53"/>
      <c r="M365" s="57"/>
      <c r="N365" s="41">
        <f t="shared" si="70"/>
        <v>7</v>
      </c>
      <c r="O365" s="11">
        <f t="shared" si="77"/>
        <v>24</v>
      </c>
      <c r="P365" s="12">
        <f t="shared" si="71"/>
        <v>0</v>
      </c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x14ac:dyDescent="0.3">
      <c r="A366" s="47">
        <v>359</v>
      </c>
      <c r="B366" s="34" t="str">
        <f t="shared" si="72"/>
        <v>30-й год 11-й мес</v>
      </c>
      <c r="C366" s="35">
        <f t="shared" si="78"/>
        <v>52119</v>
      </c>
      <c r="D366" s="36">
        <f t="shared" si="68"/>
        <v>0</v>
      </c>
      <c r="E366" s="37">
        <f t="shared" si="73"/>
        <v>0</v>
      </c>
      <c r="F366" s="37">
        <f t="shared" si="79"/>
        <v>0</v>
      </c>
      <c r="G366" s="38">
        <f t="shared" si="74"/>
        <v>0</v>
      </c>
      <c r="H366" s="39">
        <f t="shared" si="69"/>
        <v>0</v>
      </c>
      <c r="I366" s="37">
        <f t="shared" si="80"/>
        <v>0</v>
      </c>
      <c r="J366" s="37">
        <f t="shared" si="75"/>
        <v>0</v>
      </c>
      <c r="K366" s="40">
        <f t="shared" si="76"/>
        <v>0</v>
      </c>
      <c r="L366" s="53"/>
      <c r="M366" s="57"/>
      <c r="N366" s="41">
        <f t="shared" si="70"/>
        <v>7</v>
      </c>
      <c r="O366" s="11">
        <f t="shared" si="77"/>
        <v>24</v>
      </c>
      <c r="P366" s="12">
        <f t="shared" si="71"/>
        <v>0</v>
      </c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x14ac:dyDescent="0.3">
      <c r="A367" s="48">
        <v>360</v>
      </c>
      <c r="B367" s="34" t="str">
        <f t="shared" si="72"/>
        <v>30-й год 12-й мес</v>
      </c>
      <c r="C367" s="35">
        <f t="shared" si="78"/>
        <v>52149</v>
      </c>
      <c r="D367" s="36">
        <f t="shared" si="68"/>
        <v>0</v>
      </c>
      <c r="E367" s="49">
        <f t="shared" si="73"/>
        <v>0</v>
      </c>
      <c r="F367" s="37">
        <f t="shared" si="79"/>
        <v>0</v>
      </c>
      <c r="G367" s="50">
        <f t="shared" si="74"/>
        <v>0</v>
      </c>
      <c r="H367" s="51">
        <f t="shared" si="69"/>
        <v>0</v>
      </c>
      <c r="I367" s="49">
        <f t="shared" si="80"/>
        <v>0</v>
      </c>
      <c r="J367" s="49">
        <f t="shared" si="75"/>
        <v>0</v>
      </c>
      <c r="K367" s="52">
        <f t="shared" si="76"/>
        <v>0</v>
      </c>
      <c r="L367" s="56"/>
      <c r="M367" s="58"/>
      <c r="N367" s="41">
        <f t="shared" si="70"/>
        <v>7</v>
      </c>
      <c r="O367" s="11">
        <f t="shared" si="77"/>
        <v>24</v>
      </c>
      <c r="P367" s="12">
        <f t="shared" si="71"/>
        <v>0</v>
      </c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x14ac:dyDescent="0.3">
      <c r="A368" s="33">
        <v>361</v>
      </c>
      <c r="B368" s="34" t="str">
        <f t="shared" si="72"/>
        <v>31-й год 1-й мес</v>
      </c>
      <c r="C368" s="35">
        <f t="shared" si="78"/>
        <v>52180</v>
      </c>
      <c r="D368" s="36">
        <f t="shared" si="68"/>
        <v>0</v>
      </c>
      <c r="E368" s="37">
        <f t="shared" si="73"/>
        <v>0</v>
      </c>
      <c r="F368" s="37">
        <f t="shared" si="79"/>
        <v>0</v>
      </c>
      <c r="G368" s="38">
        <f t="shared" si="74"/>
        <v>0</v>
      </c>
      <c r="H368" s="39">
        <f t="shared" si="69"/>
        <v>0</v>
      </c>
      <c r="I368" s="37">
        <f t="shared" si="80"/>
        <v>0</v>
      </c>
      <c r="J368" s="37">
        <f t="shared" si="75"/>
        <v>0</v>
      </c>
      <c r="K368" s="40">
        <f t="shared" si="76"/>
        <v>0</v>
      </c>
      <c r="L368" s="53"/>
      <c r="M368" s="57"/>
      <c r="N368" s="41">
        <f t="shared" si="70"/>
        <v>7</v>
      </c>
      <c r="O368" s="11">
        <f t="shared" si="77"/>
        <v>24</v>
      </c>
      <c r="P368" s="12">
        <f t="shared" si="71"/>
        <v>0</v>
      </c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x14ac:dyDescent="0.3">
      <c r="A369" s="33">
        <v>362</v>
      </c>
      <c r="B369" s="34" t="str">
        <f t="shared" si="72"/>
        <v>31-й год 2-й мес</v>
      </c>
      <c r="C369" s="35">
        <f t="shared" si="78"/>
        <v>52210</v>
      </c>
      <c r="D369" s="36">
        <f t="shared" si="68"/>
        <v>0</v>
      </c>
      <c r="E369" s="37">
        <f t="shared" si="73"/>
        <v>0</v>
      </c>
      <c r="F369" s="37">
        <f t="shared" si="79"/>
        <v>0</v>
      </c>
      <c r="G369" s="38">
        <f t="shared" si="74"/>
        <v>0</v>
      </c>
      <c r="H369" s="39">
        <f t="shared" si="69"/>
        <v>0</v>
      </c>
      <c r="I369" s="37">
        <f t="shared" si="80"/>
        <v>0</v>
      </c>
      <c r="J369" s="37">
        <f t="shared" si="75"/>
        <v>0</v>
      </c>
      <c r="K369" s="40">
        <f t="shared" si="76"/>
        <v>0</v>
      </c>
      <c r="L369" s="53"/>
      <c r="M369" s="57"/>
      <c r="N369" s="41">
        <f t="shared" si="70"/>
        <v>7</v>
      </c>
      <c r="O369" s="11">
        <f t="shared" si="77"/>
        <v>24</v>
      </c>
      <c r="P369" s="12">
        <f t="shared" si="71"/>
        <v>0</v>
      </c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x14ac:dyDescent="0.3">
      <c r="A370" s="33">
        <v>363</v>
      </c>
      <c r="B370" s="34" t="str">
        <f t="shared" si="72"/>
        <v>31-й год 3-й мес</v>
      </c>
      <c r="C370" s="35">
        <f t="shared" si="78"/>
        <v>52241</v>
      </c>
      <c r="D370" s="36">
        <f t="shared" si="68"/>
        <v>0</v>
      </c>
      <c r="E370" s="37">
        <f t="shared" si="73"/>
        <v>0</v>
      </c>
      <c r="F370" s="37">
        <f t="shared" si="79"/>
        <v>0</v>
      </c>
      <c r="G370" s="38">
        <f t="shared" si="74"/>
        <v>0</v>
      </c>
      <c r="H370" s="39">
        <f t="shared" si="69"/>
        <v>0</v>
      </c>
      <c r="I370" s="37">
        <f t="shared" si="80"/>
        <v>0</v>
      </c>
      <c r="J370" s="37">
        <f t="shared" si="75"/>
        <v>0</v>
      </c>
      <c r="K370" s="40">
        <f t="shared" si="76"/>
        <v>0</v>
      </c>
      <c r="L370" s="53"/>
      <c r="M370" s="57"/>
      <c r="N370" s="41">
        <f t="shared" si="70"/>
        <v>7</v>
      </c>
      <c r="O370" s="11">
        <f t="shared" si="77"/>
        <v>24</v>
      </c>
      <c r="P370" s="12">
        <f t="shared" si="71"/>
        <v>0</v>
      </c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x14ac:dyDescent="0.3">
      <c r="A371" s="33">
        <v>364</v>
      </c>
      <c r="B371" s="34" t="str">
        <f t="shared" si="72"/>
        <v>31-й год 4-й мес</v>
      </c>
      <c r="C371" s="35">
        <f t="shared" si="78"/>
        <v>52272</v>
      </c>
      <c r="D371" s="36">
        <f t="shared" si="68"/>
        <v>0</v>
      </c>
      <c r="E371" s="37">
        <f t="shared" si="73"/>
        <v>0</v>
      </c>
      <c r="F371" s="37">
        <f t="shared" si="79"/>
        <v>0</v>
      </c>
      <c r="G371" s="38">
        <f t="shared" si="74"/>
        <v>0</v>
      </c>
      <c r="H371" s="39">
        <f t="shared" si="69"/>
        <v>0</v>
      </c>
      <c r="I371" s="37">
        <f t="shared" si="80"/>
        <v>0</v>
      </c>
      <c r="J371" s="37">
        <f t="shared" si="75"/>
        <v>0</v>
      </c>
      <c r="K371" s="40">
        <f t="shared" si="76"/>
        <v>0</v>
      </c>
      <c r="L371" s="53"/>
      <c r="M371" s="57"/>
      <c r="N371" s="41">
        <f t="shared" si="70"/>
        <v>7</v>
      </c>
      <c r="O371" s="11">
        <f t="shared" si="77"/>
        <v>24</v>
      </c>
      <c r="P371" s="12">
        <f t="shared" si="71"/>
        <v>0</v>
      </c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x14ac:dyDescent="0.3">
      <c r="A372" s="33">
        <v>365</v>
      </c>
      <c r="B372" s="34" t="str">
        <f t="shared" si="72"/>
        <v>31-й год 5-й мес</v>
      </c>
      <c r="C372" s="35">
        <f t="shared" si="78"/>
        <v>52300</v>
      </c>
      <c r="D372" s="36">
        <f t="shared" si="68"/>
        <v>0</v>
      </c>
      <c r="E372" s="37">
        <f t="shared" si="73"/>
        <v>0</v>
      </c>
      <c r="F372" s="37">
        <f t="shared" si="79"/>
        <v>0</v>
      </c>
      <c r="G372" s="38">
        <f t="shared" si="74"/>
        <v>0</v>
      </c>
      <c r="H372" s="39">
        <f t="shared" si="69"/>
        <v>0</v>
      </c>
      <c r="I372" s="37">
        <f t="shared" si="80"/>
        <v>0</v>
      </c>
      <c r="J372" s="37">
        <f t="shared" si="75"/>
        <v>0</v>
      </c>
      <c r="K372" s="40">
        <f t="shared" si="76"/>
        <v>0</v>
      </c>
      <c r="L372" s="53"/>
      <c r="M372" s="57"/>
      <c r="N372" s="41">
        <f t="shared" si="70"/>
        <v>7</v>
      </c>
      <c r="O372" s="11">
        <f t="shared" si="77"/>
        <v>24</v>
      </c>
      <c r="P372" s="12">
        <f t="shared" si="71"/>
        <v>0</v>
      </c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x14ac:dyDescent="0.3">
      <c r="A373" s="33">
        <v>366</v>
      </c>
      <c r="B373" s="34" t="str">
        <f t="shared" si="72"/>
        <v>31-й год 6-й мес</v>
      </c>
      <c r="C373" s="35">
        <f t="shared" si="78"/>
        <v>52331</v>
      </c>
      <c r="D373" s="36">
        <f t="shared" si="68"/>
        <v>0</v>
      </c>
      <c r="E373" s="37">
        <f t="shared" si="73"/>
        <v>0</v>
      </c>
      <c r="F373" s="37">
        <f t="shared" si="79"/>
        <v>0</v>
      </c>
      <c r="G373" s="38">
        <f t="shared" si="74"/>
        <v>0</v>
      </c>
      <c r="H373" s="39">
        <f t="shared" si="69"/>
        <v>0</v>
      </c>
      <c r="I373" s="37">
        <f t="shared" si="80"/>
        <v>0</v>
      </c>
      <c r="J373" s="37">
        <f t="shared" si="75"/>
        <v>0</v>
      </c>
      <c r="K373" s="40">
        <f t="shared" si="76"/>
        <v>0</v>
      </c>
      <c r="L373" s="53"/>
      <c r="M373" s="57"/>
      <c r="N373" s="41">
        <f t="shared" si="70"/>
        <v>7</v>
      </c>
      <c r="O373" s="11">
        <f t="shared" si="77"/>
        <v>24</v>
      </c>
      <c r="P373" s="12">
        <f t="shared" si="71"/>
        <v>0</v>
      </c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x14ac:dyDescent="0.3">
      <c r="A374" s="33">
        <v>367</v>
      </c>
      <c r="B374" s="34" t="str">
        <f t="shared" si="72"/>
        <v>31-й год 7-й мес</v>
      </c>
      <c r="C374" s="35">
        <f t="shared" si="78"/>
        <v>52361</v>
      </c>
      <c r="D374" s="36">
        <f t="shared" si="68"/>
        <v>0</v>
      </c>
      <c r="E374" s="37">
        <f t="shared" si="73"/>
        <v>0</v>
      </c>
      <c r="F374" s="37">
        <f t="shared" si="79"/>
        <v>0</v>
      </c>
      <c r="G374" s="38">
        <f t="shared" si="74"/>
        <v>0</v>
      </c>
      <c r="H374" s="39">
        <f t="shared" si="69"/>
        <v>0</v>
      </c>
      <c r="I374" s="37">
        <f t="shared" si="80"/>
        <v>0</v>
      </c>
      <c r="J374" s="37">
        <f t="shared" si="75"/>
        <v>0</v>
      </c>
      <c r="K374" s="40">
        <f t="shared" si="76"/>
        <v>0</v>
      </c>
      <c r="L374" s="53"/>
      <c r="M374" s="57"/>
      <c r="N374" s="41">
        <f t="shared" si="70"/>
        <v>7</v>
      </c>
      <c r="O374" s="11">
        <f t="shared" si="77"/>
        <v>24</v>
      </c>
      <c r="P374" s="12">
        <f t="shared" si="71"/>
        <v>0</v>
      </c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x14ac:dyDescent="0.3">
      <c r="A375" s="33">
        <v>368</v>
      </c>
      <c r="B375" s="34" t="str">
        <f t="shared" si="72"/>
        <v>31-й год 8-й мес</v>
      </c>
      <c r="C375" s="35">
        <f t="shared" si="78"/>
        <v>52392</v>
      </c>
      <c r="D375" s="36">
        <f t="shared" si="68"/>
        <v>0</v>
      </c>
      <c r="E375" s="37">
        <f t="shared" si="73"/>
        <v>0</v>
      </c>
      <c r="F375" s="37">
        <f t="shared" si="79"/>
        <v>0</v>
      </c>
      <c r="G375" s="38">
        <f t="shared" si="74"/>
        <v>0</v>
      </c>
      <c r="H375" s="39">
        <f t="shared" si="69"/>
        <v>0</v>
      </c>
      <c r="I375" s="37">
        <f t="shared" si="80"/>
        <v>0</v>
      </c>
      <c r="J375" s="37">
        <f t="shared" si="75"/>
        <v>0</v>
      </c>
      <c r="K375" s="40">
        <f t="shared" si="76"/>
        <v>0</v>
      </c>
      <c r="L375" s="53"/>
      <c r="M375" s="57"/>
      <c r="N375" s="41">
        <f t="shared" si="70"/>
        <v>7</v>
      </c>
      <c r="O375" s="11">
        <f t="shared" si="77"/>
        <v>24</v>
      </c>
      <c r="P375" s="12">
        <f t="shared" si="71"/>
        <v>0</v>
      </c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x14ac:dyDescent="0.3">
      <c r="A376" s="33">
        <v>369</v>
      </c>
      <c r="B376" s="34" t="str">
        <f t="shared" si="72"/>
        <v>31-й год 9-й мес</v>
      </c>
      <c r="C376" s="35">
        <f t="shared" si="78"/>
        <v>52422</v>
      </c>
      <c r="D376" s="36">
        <f t="shared" si="68"/>
        <v>0</v>
      </c>
      <c r="E376" s="37">
        <f t="shared" si="73"/>
        <v>0</v>
      </c>
      <c r="F376" s="37">
        <f t="shared" si="79"/>
        <v>0</v>
      </c>
      <c r="G376" s="38">
        <f t="shared" si="74"/>
        <v>0</v>
      </c>
      <c r="H376" s="39">
        <f t="shared" si="69"/>
        <v>0</v>
      </c>
      <c r="I376" s="37">
        <f t="shared" si="80"/>
        <v>0</v>
      </c>
      <c r="J376" s="37">
        <f t="shared" si="75"/>
        <v>0</v>
      </c>
      <c r="K376" s="40">
        <f t="shared" si="76"/>
        <v>0</v>
      </c>
      <c r="L376" s="53"/>
      <c r="M376" s="57"/>
      <c r="N376" s="41">
        <f t="shared" si="70"/>
        <v>7</v>
      </c>
      <c r="O376" s="11">
        <f t="shared" si="77"/>
        <v>24</v>
      </c>
      <c r="P376" s="12">
        <f t="shared" si="71"/>
        <v>0</v>
      </c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x14ac:dyDescent="0.3">
      <c r="A377" s="33">
        <v>370</v>
      </c>
      <c r="B377" s="34" t="str">
        <f t="shared" si="72"/>
        <v>31-й год 10-й мес</v>
      </c>
      <c r="C377" s="35">
        <f t="shared" si="78"/>
        <v>52453</v>
      </c>
      <c r="D377" s="36">
        <f t="shared" si="68"/>
        <v>0</v>
      </c>
      <c r="E377" s="37">
        <f t="shared" si="73"/>
        <v>0</v>
      </c>
      <c r="F377" s="37">
        <f t="shared" si="79"/>
        <v>0</v>
      </c>
      <c r="G377" s="38">
        <f t="shared" si="74"/>
        <v>0</v>
      </c>
      <c r="H377" s="39">
        <f t="shared" si="69"/>
        <v>0</v>
      </c>
      <c r="I377" s="37">
        <f t="shared" si="80"/>
        <v>0</v>
      </c>
      <c r="J377" s="37">
        <f t="shared" si="75"/>
        <v>0</v>
      </c>
      <c r="K377" s="40">
        <f t="shared" si="76"/>
        <v>0</v>
      </c>
      <c r="L377" s="53"/>
      <c r="M377" s="57"/>
      <c r="N377" s="41">
        <f t="shared" si="70"/>
        <v>7</v>
      </c>
      <c r="O377" s="11">
        <f t="shared" si="77"/>
        <v>24</v>
      </c>
      <c r="P377" s="12">
        <f t="shared" si="71"/>
        <v>0</v>
      </c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x14ac:dyDescent="0.3">
      <c r="A378" s="33">
        <v>371</v>
      </c>
      <c r="B378" s="34" t="str">
        <f t="shared" si="72"/>
        <v>31-й год 11-й мес</v>
      </c>
      <c r="C378" s="35">
        <f t="shared" si="78"/>
        <v>52484</v>
      </c>
      <c r="D378" s="36">
        <f t="shared" si="68"/>
        <v>0</v>
      </c>
      <c r="E378" s="37">
        <f t="shared" si="73"/>
        <v>0</v>
      </c>
      <c r="F378" s="37">
        <f t="shared" si="79"/>
        <v>0</v>
      </c>
      <c r="G378" s="38">
        <f t="shared" si="74"/>
        <v>0</v>
      </c>
      <c r="H378" s="39">
        <f t="shared" si="69"/>
        <v>0</v>
      </c>
      <c r="I378" s="37">
        <f t="shared" si="80"/>
        <v>0</v>
      </c>
      <c r="J378" s="37">
        <f t="shared" si="75"/>
        <v>0</v>
      </c>
      <c r="K378" s="40">
        <f t="shared" si="76"/>
        <v>0</v>
      </c>
      <c r="L378" s="53"/>
      <c r="M378" s="57"/>
      <c r="N378" s="41">
        <f t="shared" si="70"/>
        <v>7</v>
      </c>
      <c r="O378" s="11">
        <f t="shared" si="77"/>
        <v>24</v>
      </c>
      <c r="P378" s="12">
        <f t="shared" si="71"/>
        <v>0</v>
      </c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x14ac:dyDescent="0.3">
      <c r="A379" s="33">
        <v>372</v>
      </c>
      <c r="B379" s="34" t="str">
        <f t="shared" si="72"/>
        <v>31-й год 12-й мес</v>
      </c>
      <c r="C379" s="35">
        <f t="shared" si="78"/>
        <v>52514</v>
      </c>
      <c r="D379" s="36">
        <f t="shared" si="68"/>
        <v>0</v>
      </c>
      <c r="E379" s="37">
        <f t="shared" si="73"/>
        <v>0</v>
      </c>
      <c r="F379" s="37">
        <f t="shared" si="79"/>
        <v>0</v>
      </c>
      <c r="G379" s="38">
        <f t="shared" si="74"/>
        <v>0</v>
      </c>
      <c r="H379" s="39">
        <f t="shared" si="69"/>
        <v>0</v>
      </c>
      <c r="I379" s="37">
        <f t="shared" si="80"/>
        <v>0</v>
      </c>
      <c r="J379" s="37">
        <f t="shared" si="75"/>
        <v>0</v>
      </c>
      <c r="K379" s="40">
        <f t="shared" si="76"/>
        <v>0</v>
      </c>
      <c r="L379" s="53"/>
      <c r="M379" s="57"/>
      <c r="N379" s="41">
        <f t="shared" si="70"/>
        <v>7</v>
      </c>
      <c r="O379" s="11">
        <f t="shared" si="77"/>
        <v>24</v>
      </c>
      <c r="P379" s="12">
        <f t="shared" si="71"/>
        <v>0</v>
      </c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x14ac:dyDescent="0.3">
      <c r="A380" s="42">
        <v>373</v>
      </c>
      <c r="B380" s="34" t="str">
        <f t="shared" si="72"/>
        <v>32-й год 1-й мес</v>
      </c>
      <c r="C380" s="35">
        <f t="shared" si="78"/>
        <v>52545</v>
      </c>
      <c r="D380" s="36">
        <f t="shared" si="68"/>
        <v>0</v>
      </c>
      <c r="E380" s="43">
        <f t="shared" si="73"/>
        <v>0</v>
      </c>
      <c r="F380" s="37">
        <f t="shared" si="79"/>
        <v>0</v>
      </c>
      <c r="G380" s="44">
        <f t="shared" si="74"/>
        <v>0</v>
      </c>
      <c r="H380" s="45">
        <f t="shared" si="69"/>
        <v>0</v>
      </c>
      <c r="I380" s="43">
        <f t="shared" si="80"/>
        <v>0</v>
      </c>
      <c r="J380" s="43">
        <f t="shared" si="75"/>
        <v>0</v>
      </c>
      <c r="K380" s="46">
        <f t="shared" si="76"/>
        <v>0</v>
      </c>
      <c r="L380" s="55"/>
      <c r="M380" s="54"/>
      <c r="N380" s="41">
        <f t="shared" si="70"/>
        <v>7</v>
      </c>
      <c r="O380" s="11">
        <f t="shared" si="77"/>
        <v>24</v>
      </c>
      <c r="P380" s="12">
        <f t="shared" si="71"/>
        <v>0</v>
      </c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x14ac:dyDescent="0.3">
      <c r="A381" s="47">
        <v>374</v>
      </c>
      <c r="B381" s="34" t="str">
        <f t="shared" si="72"/>
        <v>32-й год 2-й мес</v>
      </c>
      <c r="C381" s="35">
        <f t="shared" si="78"/>
        <v>52575</v>
      </c>
      <c r="D381" s="36">
        <f t="shared" si="68"/>
        <v>0</v>
      </c>
      <c r="E381" s="37">
        <f t="shared" si="73"/>
        <v>0</v>
      </c>
      <c r="F381" s="37">
        <f t="shared" si="79"/>
        <v>0</v>
      </c>
      <c r="G381" s="38">
        <f t="shared" si="74"/>
        <v>0</v>
      </c>
      <c r="H381" s="39">
        <f t="shared" si="69"/>
        <v>0</v>
      </c>
      <c r="I381" s="37">
        <f t="shared" si="80"/>
        <v>0</v>
      </c>
      <c r="J381" s="37">
        <f t="shared" si="75"/>
        <v>0</v>
      </c>
      <c r="K381" s="40">
        <f t="shared" si="76"/>
        <v>0</v>
      </c>
      <c r="L381" s="53"/>
      <c r="M381" s="57"/>
      <c r="N381" s="41">
        <f t="shared" si="70"/>
        <v>7</v>
      </c>
      <c r="O381" s="11">
        <f t="shared" si="77"/>
        <v>24</v>
      </c>
      <c r="P381" s="12">
        <f t="shared" si="71"/>
        <v>0</v>
      </c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x14ac:dyDescent="0.3">
      <c r="A382" s="47">
        <v>375</v>
      </c>
      <c r="B382" s="34" t="str">
        <f t="shared" si="72"/>
        <v>32-й год 3-й мес</v>
      </c>
      <c r="C382" s="35">
        <f t="shared" si="78"/>
        <v>52606</v>
      </c>
      <c r="D382" s="36">
        <f t="shared" si="68"/>
        <v>0</v>
      </c>
      <c r="E382" s="37">
        <f t="shared" si="73"/>
        <v>0</v>
      </c>
      <c r="F382" s="37">
        <f t="shared" si="79"/>
        <v>0</v>
      </c>
      <c r="G382" s="38">
        <f t="shared" si="74"/>
        <v>0</v>
      </c>
      <c r="H382" s="39">
        <f t="shared" si="69"/>
        <v>0</v>
      </c>
      <c r="I382" s="37">
        <f t="shared" si="80"/>
        <v>0</v>
      </c>
      <c r="J382" s="37">
        <f t="shared" si="75"/>
        <v>0</v>
      </c>
      <c r="K382" s="40">
        <f t="shared" si="76"/>
        <v>0</v>
      </c>
      <c r="L382" s="53"/>
      <c r="M382" s="57"/>
      <c r="N382" s="41">
        <f t="shared" si="70"/>
        <v>7</v>
      </c>
      <c r="O382" s="11">
        <f t="shared" si="77"/>
        <v>24</v>
      </c>
      <c r="P382" s="12">
        <f t="shared" si="71"/>
        <v>0</v>
      </c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x14ac:dyDescent="0.3">
      <c r="A383" s="47">
        <v>376</v>
      </c>
      <c r="B383" s="34" t="str">
        <f t="shared" si="72"/>
        <v>32-й год 4-й мес</v>
      </c>
      <c r="C383" s="35">
        <f t="shared" si="78"/>
        <v>52637</v>
      </c>
      <c r="D383" s="36">
        <f t="shared" si="68"/>
        <v>0</v>
      </c>
      <c r="E383" s="37">
        <f t="shared" si="73"/>
        <v>0</v>
      </c>
      <c r="F383" s="37">
        <f t="shared" si="79"/>
        <v>0</v>
      </c>
      <c r="G383" s="38">
        <f t="shared" si="74"/>
        <v>0</v>
      </c>
      <c r="H383" s="39">
        <f t="shared" si="69"/>
        <v>0</v>
      </c>
      <c r="I383" s="37">
        <f t="shared" si="80"/>
        <v>0</v>
      </c>
      <c r="J383" s="37">
        <f t="shared" si="75"/>
        <v>0</v>
      </c>
      <c r="K383" s="40">
        <f t="shared" si="76"/>
        <v>0</v>
      </c>
      <c r="L383" s="53"/>
      <c r="M383" s="57"/>
      <c r="N383" s="41">
        <f t="shared" si="70"/>
        <v>7</v>
      </c>
      <c r="O383" s="11">
        <f t="shared" si="77"/>
        <v>24</v>
      </c>
      <c r="P383" s="12">
        <f t="shared" si="71"/>
        <v>0</v>
      </c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x14ac:dyDescent="0.3">
      <c r="A384" s="47">
        <v>377</v>
      </c>
      <c r="B384" s="34" t="str">
        <f t="shared" si="72"/>
        <v>32-й год 5-й мес</v>
      </c>
      <c r="C384" s="35">
        <f t="shared" si="78"/>
        <v>52666</v>
      </c>
      <c r="D384" s="36">
        <f t="shared" si="68"/>
        <v>0</v>
      </c>
      <c r="E384" s="37">
        <f t="shared" si="73"/>
        <v>0</v>
      </c>
      <c r="F384" s="37">
        <f t="shared" si="79"/>
        <v>0</v>
      </c>
      <c r="G384" s="38">
        <f t="shared" si="74"/>
        <v>0</v>
      </c>
      <c r="H384" s="39">
        <f t="shared" si="69"/>
        <v>0</v>
      </c>
      <c r="I384" s="37">
        <f t="shared" si="80"/>
        <v>0</v>
      </c>
      <c r="J384" s="37">
        <f t="shared" si="75"/>
        <v>0</v>
      </c>
      <c r="K384" s="40">
        <f t="shared" si="76"/>
        <v>0</v>
      </c>
      <c r="L384" s="53"/>
      <c r="M384" s="57"/>
      <c r="N384" s="41">
        <f t="shared" si="70"/>
        <v>7</v>
      </c>
      <c r="O384" s="11">
        <f t="shared" si="77"/>
        <v>24</v>
      </c>
      <c r="P384" s="12">
        <f t="shared" si="71"/>
        <v>0</v>
      </c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x14ac:dyDescent="0.3">
      <c r="A385" s="47">
        <v>378</v>
      </c>
      <c r="B385" s="34" t="str">
        <f t="shared" si="72"/>
        <v>32-й год 6-й мес</v>
      </c>
      <c r="C385" s="35">
        <f t="shared" si="78"/>
        <v>52697</v>
      </c>
      <c r="D385" s="36">
        <f t="shared" si="68"/>
        <v>0</v>
      </c>
      <c r="E385" s="37">
        <f t="shared" si="73"/>
        <v>0</v>
      </c>
      <c r="F385" s="37">
        <f t="shared" si="79"/>
        <v>0</v>
      </c>
      <c r="G385" s="38">
        <f t="shared" si="74"/>
        <v>0</v>
      </c>
      <c r="H385" s="39">
        <f t="shared" si="69"/>
        <v>0</v>
      </c>
      <c r="I385" s="37">
        <f t="shared" si="80"/>
        <v>0</v>
      </c>
      <c r="J385" s="37">
        <f t="shared" si="75"/>
        <v>0</v>
      </c>
      <c r="K385" s="40">
        <f t="shared" si="76"/>
        <v>0</v>
      </c>
      <c r="L385" s="53"/>
      <c r="M385" s="57"/>
      <c r="N385" s="41">
        <f t="shared" si="70"/>
        <v>7</v>
      </c>
      <c r="O385" s="11">
        <f t="shared" si="77"/>
        <v>24</v>
      </c>
      <c r="P385" s="12">
        <f t="shared" si="71"/>
        <v>0</v>
      </c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x14ac:dyDescent="0.3">
      <c r="A386" s="47">
        <v>379</v>
      </c>
      <c r="B386" s="34" t="str">
        <f t="shared" si="72"/>
        <v>32-й год 7-й мес</v>
      </c>
      <c r="C386" s="35">
        <f t="shared" si="78"/>
        <v>52727</v>
      </c>
      <c r="D386" s="36">
        <f t="shared" si="68"/>
        <v>0</v>
      </c>
      <c r="E386" s="37">
        <f t="shared" si="73"/>
        <v>0</v>
      </c>
      <c r="F386" s="37">
        <f t="shared" si="79"/>
        <v>0</v>
      </c>
      <c r="G386" s="38">
        <f t="shared" si="74"/>
        <v>0</v>
      </c>
      <c r="H386" s="39">
        <f t="shared" si="69"/>
        <v>0</v>
      </c>
      <c r="I386" s="37">
        <f t="shared" si="80"/>
        <v>0</v>
      </c>
      <c r="J386" s="37">
        <f t="shared" si="75"/>
        <v>0</v>
      </c>
      <c r="K386" s="40">
        <f t="shared" si="76"/>
        <v>0</v>
      </c>
      <c r="L386" s="53"/>
      <c r="M386" s="57"/>
      <c r="N386" s="41">
        <f t="shared" si="70"/>
        <v>7</v>
      </c>
      <c r="O386" s="11">
        <f t="shared" si="77"/>
        <v>24</v>
      </c>
      <c r="P386" s="12">
        <f t="shared" si="71"/>
        <v>0</v>
      </c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x14ac:dyDescent="0.3">
      <c r="A387" s="47">
        <v>380</v>
      </c>
      <c r="B387" s="34" t="str">
        <f t="shared" si="72"/>
        <v>32-й год 8-й мес</v>
      </c>
      <c r="C387" s="35">
        <f t="shared" si="78"/>
        <v>52758</v>
      </c>
      <c r="D387" s="36">
        <f t="shared" si="68"/>
        <v>0</v>
      </c>
      <c r="E387" s="37">
        <f t="shared" si="73"/>
        <v>0</v>
      </c>
      <c r="F387" s="37">
        <f t="shared" si="79"/>
        <v>0</v>
      </c>
      <c r="G387" s="38">
        <f t="shared" si="74"/>
        <v>0</v>
      </c>
      <c r="H387" s="39">
        <f t="shared" si="69"/>
        <v>0</v>
      </c>
      <c r="I387" s="37">
        <f t="shared" si="80"/>
        <v>0</v>
      </c>
      <c r="J387" s="37">
        <f t="shared" si="75"/>
        <v>0</v>
      </c>
      <c r="K387" s="40">
        <f t="shared" si="76"/>
        <v>0</v>
      </c>
      <c r="L387" s="53"/>
      <c r="M387" s="57"/>
      <c r="N387" s="41">
        <f t="shared" si="70"/>
        <v>7</v>
      </c>
      <c r="O387" s="11">
        <f t="shared" si="77"/>
        <v>24</v>
      </c>
      <c r="P387" s="12">
        <f t="shared" si="71"/>
        <v>0</v>
      </c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x14ac:dyDescent="0.3">
      <c r="A388" s="47">
        <v>381</v>
      </c>
      <c r="B388" s="34" t="str">
        <f t="shared" si="72"/>
        <v>32-й год 9-й мес</v>
      </c>
      <c r="C388" s="35">
        <f t="shared" si="78"/>
        <v>52788</v>
      </c>
      <c r="D388" s="36">
        <f t="shared" si="68"/>
        <v>0</v>
      </c>
      <c r="E388" s="37">
        <f t="shared" si="73"/>
        <v>0</v>
      </c>
      <c r="F388" s="37">
        <f t="shared" si="79"/>
        <v>0</v>
      </c>
      <c r="G388" s="38">
        <f t="shared" si="74"/>
        <v>0</v>
      </c>
      <c r="H388" s="39">
        <f t="shared" si="69"/>
        <v>0</v>
      </c>
      <c r="I388" s="37">
        <f t="shared" si="80"/>
        <v>0</v>
      </c>
      <c r="J388" s="37">
        <f t="shared" si="75"/>
        <v>0</v>
      </c>
      <c r="K388" s="40">
        <f t="shared" si="76"/>
        <v>0</v>
      </c>
      <c r="L388" s="53"/>
      <c r="M388" s="57"/>
      <c r="N388" s="41">
        <f t="shared" si="70"/>
        <v>7</v>
      </c>
      <c r="O388" s="11">
        <f t="shared" si="77"/>
        <v>24</v>
      </c>
      <c r="P388" s="12">
        <f t="shared" si="71"/>
        <v>0</v>
      </c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x14ac:dyDescent="0.3">
      <c r="A389" s="47">
        <v>382</v>
      </c>
      <c r="B389" s="34" t="str">
        <f t="shared" si="72"/>
        <v>32-й год 10-й мес</v>
      </c>
      <c r="C389" s="35">
        <f t="shared" si="78"/>
        <v>52819</v>
      </c>
      <c r="D389" s="36">
        <f t="shared" si="68"/>
        <v>0</v>
      </c>
      <c r="E389" s="37">
        <f t="shared" si="73"/>
        <v>0</v>
      </c>
      <c r="F389" s="37">
        <f t="shared" si="79"/>
        <v>0</v>
      </c>
      <c r="G389" s="38">
        <f t="shared" si="74"/>
        <v>0</v>
      </c>
      <c r="H389" s="39">
        <f t="shared" si="69"/>
        <v>0</v>
      </c>
      <c r="I389" s="37">
        <f t="shared" si="80"/>
        <v>0</v>
      </c>
      <c r="J389" s="37">
        <f t="shared" si="75"/>
        <v>0</v>
      </c>
      <c r="K389" s="40">
        <f t="shared" si="76"/>
        <v>0</v>
      </c>
      <c r="L389" s="53"/>
      <c r="M389" s="57"/>
      <c r="N389" s="41">
        <f t="shared" si="70"/>
        <v>7</v>
      </c>
      <c r="O389" s="11">
        <f t="shared" si="77"/>
        <v>24</v>
      </c>
      <c r="P389" s="12">
        <f t="shared" si="71"/>
        <v>0</v>
      </c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x14ac:dyDescent="0.3">
      <c r="A390" s="47">
        <v>383</v>
      </c>
      <c r="B390" s="34" t="str">
        <f t="shared" si="72"/>
        <v>32-й год 11-й мес</v>
      </c>
      <c r="C390" s="35">
        <f t="shared" si="78"/>
        <v>52850</v>
      </c>
      <c r="D390" s="36">
        <f t="shared" si="68"/>
        <v>0</v>
      </c>
      <c r="E390" s="37">
        <f t="shared" si="73"/>
        <v>0</v>
      </c>
      <c r="F390" s="37">
        <f t="shared" si="79"/>
        <v>0</v>
      </c>
      <c r="G390" s="38">
        <f t="shared" si="74"/>
        <v>0</v>
      </c>
      <c r="H390" s="39">
        <f t="shared" si="69"/>
        <v>0</v>
      </c>
      <c r="I390" s="37">
        <f t="shared" si="80"/>
        <v>0</v>
      </c>
      <c r="J390" s="37">
        <f t="shared" si="75"/>
        <v>0</v>
      </c>
      <c r="K390" s="40">
        <f t="shared" si="76"/>
        <v>0</v>
      </c>
      <c r="L390" s="53"/>
      <c r="M390" s="57"/>
      <c r="N390" s="41">
        <f t="shared" si="70"/>
        <v>7</v>
      </c>
      <c r="O390" s="11">
        <f t="shared" si="77"/>
        <v>24</v>
      </c>
      <c r="P390" s="12">
        <f t="shared" si="71"/>
        <v>0</v>
      </c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x14ac:dyDescent="0.3">
      <c r="A391" s="48">
        <v>384</v>
      </c>
      <c r="B391" s="34" t="str">
        <f t="shared" si="72"/>
        <v>32-й год 12-й мес</v>
      </c>
      <c r="C391" s="35">
        <f t="shared" si="78"/>
        <v>52880</v>
      </c>
      <c r="D391" s="36">
        <f t="shared" si="68"/>
        <v>0</v>
      </c>
      <c r="E391" s="49">
        <f t="shared" si="73"/>
        <v>0</v>
      </c>
      <c r="F391" s="37">
        <f t="shared" si="79"/>
        <v>0</v>
      </c>
      <c r="G391" s="50">
        <f t="shared" si="74"/>
        <v>0</v>
      </c>
      <c r="H391" s="51">
        <f t="shared" si="69"/>
        <v>0</v>
      </c>
      <c r="I391" s="49">
        <f t="shared" si="80"/>
        <v>0</v>
      </c>
      <c r="J391" s="49">
        <f t="shared" si="75"/>
        <v>0</v>
      </c>
      <c r="K391" s="52">
        <f t="shared" si="76"/>
        <v>0</v>
      </c>
      <c r="L391" s="56"/>
      <c r="M391" s="58"/>
      <c r="N391" s="41">
        <f t="shared" si="70"/>
        <v>7</v>
      </c>
      <c r="O391" s="11">
        <f t="shared" si="77"/>
        <v>24</v>
      </c>
      <c r="P391" s="12">
        <f t="shared" si="71"/>
        <v>0</v>
      </c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x14ac:dyDescent="0.3">
      <c r="A392" s="33">
        <v>385</v>
      </c>
      <c r="B392" s="34" t="str">
        <f t="shared" si="72"/>
        <v>33-й год 1-й мес</v>
      </c>
      <c r="C392" s="35">
        <f t="shared" si="78"/>
        <v>52911</v>
      </c>
      <c r="D392" s="36">
        <f t="shared" ref="D392:D455" si="81">IF(P392*$D$2/100/12/(1-(1+$D$2/100/12)^(-O392))&lt;G391,ROUNDUP(P392*$D$2/100/12/(1-(1+$D$2/100/12)^(-O392)),0),G391+F392)</f>
        <v>0</v>
      </c>
      <c r="E392" s="37">
        <f t="shared" si="73"/>
        <v>0</v>
      </c>
      <c r="F392" s="37">
        <f t="shared" si="79"/>
        <v>0</v>
      </c>
      <c r="G392" s="38">
        <f t="shared" si="74"/>
        <v>0</v>
      </c>
      <c r="H392" s="39">
        <f t="shared" ref="H392:H455" si="82">I392+J392</f>
        <v>0</v>
      </c>
      <c r="I392" s="37">
        <f t="shared" si="80"/>
        <v>0</v>
      </c>
      <c r="J392" s="37">
        <f t="shared" si="75"/>
        <v>0</v>
      </c>
      <c r="K392" s="40">
        <f t="shared" si="76"/>
        <v>0</v>
      </c>
      <c r="L392" s="53"/>
      <c r="M392" s="57"/>
      <c r="N392" s="41">
        <f t="shared" ref="N392:N455" si="83">IF(ISBLANK(L391),VALUE(N391),ROW(L391))</f>
        <v>7</v>
      </c>
      <c r="O392" s="11">
        <f t="shared" si="77"/>
        <v>24</v>
      </c>
      <c r="P392" s="12">
        <f t="shared" ref="P392:P455" si="84">INDEX(G:G,N392,1)</f>
        <v>0</v>
      </c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x14ac:dyDescent="0.3">
      <c r="A393" s="33">
        <v>386</v>
      </c>
      <c r="B393" s="34" t="str">
        <f t="shared" ref="B393:B456" si="85">CONCATENATE(INT((A393-1)/12)+1,"-й год ",A393-1-INT((A393-1)/12)*12+1,"-й мес")</f>
        <v>33-й год 2-й мес</v>
      </c>
      <c r="C393" s="35">
        <f t="shared" si="78"/>
        <v>52941</v>
      </c>
      <c r="D393" s="36">
        <f t="shared" si="81"/>
        <v>0</v>
      </c>
      <c r="E393" s="37">
        <f t="shared" ref="E393:E456" si="86">D393-F393</f>
        <v>0</v>
      </c>
      <c r="F393" s="37">
        <f t="shared" si="79"/>
        <v>0</v>
      </c>
      <c r="G393" s="38">
        <f t="shared" ref="G393:G456" si="87">G392-E393-L393-M393</f>
        <v>0</v>
      </c>
      <c r="H393" s="39">
        <f t="shared" si="82"/>
        <v>0</v>
      </c>
      <c r="I393" s="37">
        <f t="shared" si="80"/>
        <v>0</v>
      </c>
      <c r="J393" s="37">
        <f t="shared" ref="J393:J456" si="88">K392*$D$2/12/100</f>
        <v>0</v>
      </c>
      <c r="K393" s="40">
        <f t="shared" ref="K393:K456" si="89">K392-I393-L393-M393</f>
        <v>0</v>
      </c>
      <c r="L393" s="53"/>
      <c r="M393" s="57"/>
      <c r="N393" s="41">
        <f t="shared" si="83"/>
        <v>7</v>
      </c>
      <c r="O393" s="11">
        <f t="shared" ref="O393:O456" si="90">O392+N392-N393</f>
        <v>24</v>
      </c>
      <c r="P393" s="12">
        <f t="shared" si="84"/>
        <v>0</v>
      </c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x14ac:dyDescent="0.3">
      <c r="A394" s="33">
        <v>387</v>
      </c>
      <c r="B394" s="34" t="str">
        <f t="shared" si="85"/>
        <v>33-й год 3-й мес</v>
      </c>
      <c r="C394" s="35">
        <f t="shared" ref="C394:C457" si="91">DATE(YEAR(C393),MONTH(C393)+1,DAY(C393))</f>
        <v>52972</v>
      </c>
      <c r="D394" s="36">
        <f t="shared" si="81"/>
        <v>0</v>
      </c>
      <c r="E394" s="37">
        <f t="shared" si="86"/>
        <v>0</v>
      </c>
      <c r="F394" s="37">
        <f t="shared" ref="F394:F457" si="92">G393*$D$2*(C394-C393)/(DATE(YEAR(C394)+1,1,1)-DATE(YEAR(C394),1,1))/100</f>
        <v>0</v>
      </c>
      <c r="G394" s="38">
        <f t="shared" si="87"/>
        <v>0</v>
      </c>
      <c r="H394" s="39">
        <f t="shared" si="82"/>
        <v>0</v>
      </c>
      <c r="I394" s="37">
        <f t="shared" ref="I394:I457" si="93">IF($D$1/$D$3&lt;K393,$D$1/$D$3,K393)</f>
        <v>0</v>
      </c>
      <c r="J394" s="37">
        <f t="shared" si="88"/>
        <v>0</v>
      </c>
      <c r="K394" s="40">
        <f t="shared" si="89"/>
        <v>0</v>
      </c>
      <c r="L394" s="53"/>
      <c r="M394" s="57"/>
      <c r="N394" s="41">
        <f t="shared" si="83"/>
        <v>7</v>
      </c>
      <c r="O394" s="11">
        <f t="shared" si="90"/>
        <v>24</v>
      </c>
      <c r="P394" s="12">
        <f t="shared" si="84"/>
        <v>0</v>
      </c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x14ac:dyDescent="0.3">
      <c r="A395" s="33">
        <v>388</v>
      </c>
      <c r="B395" s="34" t="str">
        <f t="shared" si="85"/>
        <v>33-й год 4-й мес</v>
      </c>
      <c r="C395" s="35">
        <f t="shared" si="91"/>
        <v>53003</v>
      </c>
      <c r="D395" s="36">
        <f t="shared" si="81"/>
        <v>0</v>
      </c>
      <c r="E395" s="37">
        <f t="shared" si="86"/>
        <v>0</v>
      </c>
      <c r="F395" s="37">
        <f t="shared" si="92"/>
        <v>0</v>
      </c>
      <c r="G395" s="38">
        <f t="shared" si="87"/>
        <v>0</v>
      </c>
      <c r="H395" s="39">
        <f t="shared" si="82"/>
        <v>0</v>
      </c>
      <c r="I395" s="37">
        <f t="shared" si="93"/>
        <v>0</v>
      </c>
      <c r="J395" s="37">
        <f t="shared" si="88"/>
        <v>0</v>
      </c>
      <c r="K395" s="40">
        <f t="shared" si="89"/>
        <v>0</v>
      </c>
      <c r="L395" s="53"/>
      <c r="M395" s="57"/>
      <c r="N395" s="41">
        <f t="shared" si="83"/>
        <v>7</v>
      </c>
      <c r="O395" s="11">
        <f t="shared" si="90"/>
        <v>24</v>
      </c>
      <c r="P395" s="12">
        <f t="shared" si="84"/>
        <v>0</v>
      </c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x14ac:dyDescent="0.3">
      <c r="A396" s="33">
        <v>389</v>
      </c>
      <c r="B396" s="34" t="str">
        <f t="shared" si="85"/>
        <v>33-й год 5-й мес</v>
      </c>
      <c r="C396" s="35">
        <f t="shared" si="91"/>
        <v>53031</v>
      </c>
      <c r="D396" s="36">
        <f t="shared" si="81"/>
        <v>0</v>
      </c>
      <c r="E396" s="37">
        <f t="shared" si="86"/>
        <v>0</v>
      </c>
      <c r="F396" s="37">
        <f t="shared" si="92"/>
        <v>0</v>
      </c>
      <c r="G396" s="38">
        <f t="shared" si="87"/>
        <v>0</v>
      </c>
      <c r="H396" s="39">
        <f t="shared" si="82"/>
        <v>0</v>
      </c>
      <c r="I396" s="37">
        <f t="shared" si="93"/>
        <v>0</v>
      </c>
      <c r="J396" s="37">
        <f t="shared" si="88"/>
        <v>0</v>
      </c>
      <c r="K396" s="40">
        <f t="shared" si="89"/>
        <v>0</v>
      </c>
      <c r="L396" s="53"/>
      <c r="M396" s="57"/>
      <c r="N396" s="41">
        <f t="shared" si="83"/>
        <v>7</v>
      </c>
      <c r="O396" s="11">
        <f t="shared" si="90"/>
        <v>24</v>
      </c>
      <c r="P396" s="12">
        <f t="shared" si="84"/>
        <v>0</v>
      </c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x14ac:dyDescent="0.3">
      <c r="A397" s="33">
        <v>390</v>
      </c>
      <c r="B397" s="34" t="str">
        <f t="shared" si="85"/>
        <v>33-й год 6-й мес</v>
      </c>
      <c r="C397" s="35">
        <f t="shared" si="91"/>
        <v>53062</v>
      </c>
      <c r="D397" s="36">
        <f t="shared" si="81"/>
        <v>0</v>
      </c>
      <c r="E397" s="37">
        <f t="shared" si="86"/>
        <v>0</v>
      </c>
      <c r="F397" s="37">
        <f t="shared" si="92"/>
        <v>0</v>
      </c>
      <c r="G397" s="38">
        <f t="shared" si="87"/>
        <v>0</v>
      </c>
      <c r="H397" s="39">
        <f t="shared" si="82"/>
        <v>0</v>
      </c>
      <c r="I397" s="37">
        <f t="shared" si="93"/>
        <v>0</v>
      </c>
      <c r="J397" s="37">
        <f t="shared" si="88"/>
        <v>0</v>
      </c>
      <c r="K397" s="40">
        <f t="shared" si="89"/>
        <v>0</v>
      </c>
      <c r="L397" s="53"/>
      <c r="M397" s="57"/>
      <c r="N397" s="41">
        <f t="shared" si="83"/>
        <v>7</v>
      </c>
      <c r="O397" s="11">
        <f t="shared" si="90"/>
        <v>24</v>
      </c>
      <c r="P397" s="12">
        <f t="shared" si="84"/>
        <v>0</v>
      </c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x14ac:dyDescent="0.3">
      <c r="A398" s="33">
        <v>391</v>
      </c>
      <c r="B398" s="34" t="str">
        <f t="shared" si="85"/>
        <v>33-й год 7-й мес</v>
      </c>
      <c r="C398" s="35">
        <f t="shared" si="91"/>
        <v>53092</v>
      </c>
      <c r="D398" s="36">
        <f t="shared" si="81"/>
        <v>0</v>
      </c>
      <c r="E398" s="37">
        <f t="shared" si="86"/>
        <v>0</v>
      </c>
      <c r="F398" s="37">
        <f t="shared" si="92"/>
        <v>0</v>
      </c>
      <c r="G398" s="38">
        <f t="shared" si="87"/>
        <v>0</v>
      </c>
      <c r="H398" s="39">
        <f t="shared" si="82"/>
        <v>0</v>
      </c>
      <c r="I398" s="37">
        <f t="shared" si="93"/>
        <v>0</v>
      </c>
      <c r="J398" s="37">
        <f t="shared" si="88"/>
        <v>0</v>
      </c>
      <c r="K398" s="40">
        <f t="shared" si="89"/>
        <v>0</v>
      </c>
      <c r="L398" s="53"/>
      <c r="M398" s="57"/>
      <c r="N398" s="41">
        <f t="shared" si="83"/>
        <v>7</v>
      </c>
      <c r="O398" s="11">
        <f t="shared" si="90"/>
        <v>24</v>
      </c>
      <c r="P398" s="12">
        <f t="shared" si="84"/>
        <v>0</v>
      </c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x14ac:dyDescent="0.3">
      <c r="A399" s="33">
        <v>392</v>
      </c>
      <c r="B399" s="34" t="str">
        <f t="shared" si="85"/>
        <v>33-й год 8-й мес</v>
      </c>
      <c r="C399" s="35">
        <f t="shared" si="91"/>
        <v>53123</v>
      </c>
      <c r="D399" s="36">
        <f t="shared" si="81"/>
        <v>0</v>
      </c>
      <c r="E399" s="37">
        <f t="shared" si="86"/>
        <v>0</v>
      </c>
      <c r="F399" s="37">
        <f t="shared" si="92"/>
        <v>0</v>
      </c>
      <c r="G399" s="38">
        <f t="shared" si="87"/>
        <v>0</v>
      </c>
      <c r="H399" s="39">
        <f t="shared" si="82"/>
        <v>0</v>
      </c>
      <c r="I399" s="37">
        <f t="shared" si="93"/>
        <v>0</v>
      </c>
      <c r="J399" s="37">
        <f t="shared" si="88"/>
        <v>0</v>
      </c>
      <c r="K399" s="40">
        <f t="shared" si="89"/>
        <v>0</v>
      </c>
      <c r="L399" s="53"/>
      <c r="M399" s="57"/>
      <c r="N399" s="41">
        <f t="shared" si="83"/>
        <v>7</v>
      </c>
      <c r="O399" s="11">
        <f t="shared" si="90"/>
        <v>24</v>
      </c>
      <c r="P399" s="12">
        <f t="shared" si="84"/>
        <v>0</v>
      </c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x14ac:dyDescent="0.3">
      <c r="A400" s="33">
        <v>393</v>
      </c>
      <c r="B400" s="34" t="str">
        <f t="shared" si="85"/>
        <v>33-й год 9-й мес</v>
      </c>
      <c r="C400" s="35">
        <f t="shared" si="91"/>
        <v>53153</v>
      </c>
      <c r="D400" s="36">
        <f t="shared" si="81"/>
        <v>0</v>
      </c>
      <c r="E400" s="37">
        <f t="shared" si="86"/>
        <v>0</v>
      </c>
      <c r="F400" s="37">
        <f t="shared" si="92"/>
        <v>0</v>
      </c>
      <c r="G400" s="38">
        <f t="shared" si="87"/>
        <v>0</v>
      </c>
      <c r="H400" s="39">
        <f t="shared" si="82"/>
        <v>0</v>
      </c>
      <c r="I400" s="37">
        <f t="shared" si="93"/>
        <v>0</v>
      </c>
      <c r="J400" s="37">
        <f t="shared" si="88"/>
        <v>0</v>
      </c>
      <c r="K400" s="40">
        <f t="shared" si="89"/>
        <v>0</v>
      </c>
      <c r="L400" s="53"/>
      <c r="M400" s="57"/>
      <c r="N400" s="41">
        <f t="shared" si="83"/>
        <v>7</v>
      </c>
      <c r="O400" s="11">
        <f t="shared" si="90"/>
        <v>24</v>
      </c>
      <c r="P400" s="12">
        <f t="shared" si="84"/>
        <v>0</v>
      </c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x14ac:dyDescent="0.3">
      <c r="A401" s="33">
        <v>394</v>
      </c>
      <c r="B401" s="34" t="str">
        <f t="shared" si="85"/>
        <v>33-й год 10-й мес</v>
      </c>
      <c r="C401" s="35">
        <f t="shared" si="91"/>
        <v>53184</v>
      </c>
      <c r="D401" s="36">
        <f t="shared" si="81"/>
        <v>0</v>
      </c>
      <c r="E401" s="37">
        <f t="shared" si="86"/>
        <v>0</v>
      </c>
      <c r="F401" s="37">
        <f t="shared" si="92"/>
        <v>0</v>
      </c>
      <c r="G401" s="38">
        <f t="shared" si="87"/>
        <v>0</v>
      </c>
      <c r="H401" s="39">
        <f t="shared" si="82"/>
        <v>0</v>
      </c>
      <c r="I401" s="37">
        <f t="shared" si="93"/>
        <v>0</v>
      </c>
      <c r="J401" s="37">
        <f t="shared" si="88"/>
        <v>0</v>
      </c>
      <c r="K401" s="40">
        <f t="shared" si="89"/>
        <v>0</v>
      </c>
      <c r="L401" s="53"/>
      <c r="M401" s="57"/>
      <c r="N401" s="41">
        <f t="shared" si="83"/>
        <v>7</v>
      </c>
      <c r="O401" s="11">
        <f t="shared" si="90"/>
        <v>24</v>
      </c>
      <c r="P401" s="12">
        <f t="shared" si="84"/>
        <v>0</v>
      </c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x14ac:dyDescent="0.3">
      <c r="A402" s="33">
        <v>395</v>
      </c>
      <c r="B402" s="34" t="str">
        <f t="shared" si="85"/>
        <v>33-й год 11-й мес</v>
      </c>
      <c r="C402" s="35">
        <f t="shared" si="91"/>
        <v>53215</v>
      </c>
      <c r="D402" s="36">
        <f t="shared" si="81"/>
        <v>0</v>
      </c>
      <c r="E402" s="37">
        <f t="shared" si="86"/>
        <v>0</v>
      </c>
      <c r="F402" s="37">
        <f t="shared" si="92"/>
        <v>0</v>
      </c>
      <c r="G402" s="38">
        <f t="shared" si="87"/>
        <v>0</v>
      </c>
      <c r="H402" s="39">
        <f t="shared" si="82"/>
        <v>0</v>
      </c>
      <c r="I402" s="37">
        <f t="shared" si="93"/>
        <v>0</v>
      </c>
      <c r="J402" s="37">
        <f t="shared" si="88"/>
        <v>0</v>
      </c>
      <c r="K402" s="40">
        <f t="shared" si="89"/>
        <v>0</v>
      </c>
      <c r="L402" s="53"/>
      <c r="M402" s="57"/>
      <c r="N402" s="41">
        <f t="shared" si="83"/>
        <v>7</v>
      </c>
      <c r="O402" s="11">
        <f t="shared" si="90"/>
        <v>24</v>
      </c>
      <c r="P402" s="12">
        <f t="shared" si="84"/>
        <v>0</v>
      </c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x14ac:dyDescent="0.3">
      <c r="A403" s="33">
        <v>396</v>
      </c>
      <c r="B403" s="34" t="str">
        <f t="shared" si="85"/>
        <v>33-й год 12-й мес</v>
      </c>
      <c r="C403" s="35">
        <f t="shared" si="91"/>
        <v>53245</v>
      </c>
      <c r="D403" s="36">
        <f t="shared" si="81"/>
        <v>0</v>
      </c>
      <c r="E403" s="37">
        <f t="shared" si="86"/>
        <v>0</v>
      </c>
      <c r="F403" s="37">
        <f t="shared" si="92"/>
        <v>0</v>
      </c>
      <c r="G403" s="38">
        <f t="shared" si="87"/>
        <v>0</v>
      </c>
      <c r="H403" s="39">
        <f t="shared" si="82"/>
        <v>0</v>
      </c>
      <c r="I403" s="37">
        <f t="shared" si="93"/>
        <v>0</v>
      </c>
      <c r="J403" s="37">
        <f t="shared" si="88"/>
        <v>0</v>
      </c>
      <c r="K403" s="40">
        <f t="shared" si="89"/>
        <v>0</v>
      </c>
      <c r="L403" s="53"/>
      <c r="M403" s="57"/>
      <c r="N403" s="41">
        <f t="shared" si="83"/>
        <v>7</v>
      </c>
      <c r="O403" s="11">
        <f t="shared" si="90"/>
        <v>24</v>
      </c>
      <c r="P403" s="12">
        <f t="shared" si="84"/>
        <v>0</v>
      </c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x14ac:dyDescent="0.3">
      <c r="A404" s="42">
        <v>397</v>
      </c>
      <c r="B404" s="34" t="str">
        <f t="shared" si="85"/>
        <v>34-й год 1-й мес</v>
      </c>
      <c r="C404" s="35">
        <f t="shared" si="91"/>
        <v>53276</v>
      </c>
      <c r="D404" s="36">
        <f t="shared" si="81"/>
        <v>0</v>
      </c>
      <c r="E404" s="43">
        <f t="shared" si="86"/>
        <v>0</v>
      </c>
      <c r="F404" s="37">
        <f t="shared" si="92"/>
        <v>0</v>
      </c>
      <c r="G404" s="44">
        <f t="shared" si="87"/>
        <v>0</v>
      </c>
      <c r="H404" s="45">
        <f t="shared" si="82"/>
        <v>0</v>
      </c>
      <c r="I404" s="43">
        <f t="shared" si="93"/>
        <v>0</v>
      </c>
      <c r="J404" s="43">
        <f t="shared" si="88"/>
        <v>0</v>
      </c>
      <c r="K404" s="46">
        <f t="shared" si="89"/>
        <v>0</v>
      </c>
      <c r="L404" s="55"/>
      <c r="M404" s="54"/>
      <c r="N404" s="41">
        <f t="shared" si="83"/>
        <v>7</v>
      </c>
      <c r="O404" s="11">
        <f t="shared" si="90"/>
        <v>24</v>
      </c>
      <c r="P404" s="12">
        <f t="shared" si="84"/>
        <v>0</v>
      </c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x14ac:dyDescent="0.3">
      <c r="A405" s="47">
        <v>398</v>
      </c>
      <c r="B405" s="34" t="str">
        <f t="shared" si="85"/>
        <v>34-й год 2-й мес</v>
      </c>
      <c r="C405" s="35">
        <f t="shared" si="91"/>
        <v>53306</v>
      </c>
      <c r="D405" s="36">
        <f t="shared" si="81"/>
        <v>0</v>
      </c>
      <c r="E405" s="37">
        <f t="shared" si="86"/>
        <v>0</v>
      </c>
      <c r="F405" s="37">
        <f t="shared" si="92"/>
        <v>0</v>
      </c>
      <c r="G405" s="38">
        <f t="shared" si="87"/>
        <v>0</v>
      </c>
      <c r="H405" s="39">
        <f t="shared" si="82"/>
        <v>0</v>
      </c>
      <c r="I405" s="37">
        <f t="shared" si="93"/>
        <v>0</v>
      </c>
      <c r="J405" s="37">
        <f t="shared" si="88"/>
        <v>0</v>
      </c>
      <c r="K405" s="40">
        <f t="shared" si="89"/>
        <v>0</v>
      </c>
      <c r="L405" s="53"/>
      <c r="M405" s="57"/>
      <c r="N405" s="41">
        <f t="shared" si="83"/>
        <v>7</v>
      </c>
      <c r="O405" s="11">
        <f t="shared" si="90"/>
        <v>24</v>
      </c>
      <c r="P405" s="12">
        <f t="shared" si="84"/>
        <v>0</v>
      </c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x14ac:dyDescent="0.3">
      <c r="A406" s="47">
        <v>399</v>
      </c>
      <c r="B406" s="34" t="str">
        <f t="shared" si="85"/>
        <v>34-й год 3-й мес</v>
      </c>
      <c r="C406" s="35">
        <f t="shared" si="91"/>
        <v>53337</v>
      </c>
      <c r="D406" s="36">
        <f t="shared" si="81"/>
        <v>0</v>
      </c>
      <c r="E406" s="37">
        <f t="shared" si="86"/>
        <v>0</v>
      </c>
      <c r="F406" s="37">
        <f t="shared" si="92"/>
        <v>0</v>
      </c>
      <c r="G406" s="38">
        <f t="shared" si="87"/>
        <v>0</v>
      </c>
      <c r="H406" s="39">
        <f t="shared" si="82"/>
        <v>0</v>
      </c>
      <c r="I406" s="37">
        <f t="shared" si="93"/>
        <v>0</v>
      </c>
      <c r="J406" s="37">
        <f t="shared" si="88"/>
        <v>0</v>
      </c>
      <c r="K406" s="40">
        <f t="shared" si="89"/>
        <v>0</v>
      </c>
      <c r="L406" s="53"/>
      <c r="M406" s="57"/>
      <c r="N406" s="41">
        <f t="shared" si="83"/>
        <v>7</v>
      </c>
      <c r="O406" s="11">
        <f t="shared" si="90"/>
        <v>24</v>
      </c>
      <c r="P406" s="12">
        <f t="shared" si="84"/>
        <v>0</v>
      </c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x14ac:dyDescent="0.3">
      <c r="A407" s="47">
        <v>400</v>
      </c>
      <c r="B407" s="34" t="str">
        <f t="shared" si="85"/>
        <v>34-й год 4-й мес</v>
      </c>
      <c r="C407" s="35">
        <f t="shared" si="91"/>
        <v>53368</v>
      </c>
      <c r="D407" s="36">
        <f t="shared" si="81"/>
        <v>0</v>
      </c>
      <c r="E407" s="37">
        <f t="shared" si="86"/>
        <v>0</v>
      </c>
      <c r="F407" s="37">
        <f t="shared" si="92"/>
        <v>0</v>
      </c>
      <c r="G407" s="38">
        <f t="shared" si="87"/>
        <v>0</v>
      </c>
      <c r="H407" s="39">
        <f t="shared" si="82"/>
        <v>0</v>
      </c>
      <c r="I407" s="37">
        <f t="shared" si="93"/>
        <v>0</v>
      </c>
      <c r="J407" s="37">
        <f t="shared" si="88"/>
        <v>0</v>
      </c>
      <c r="K407" s="40">
        <f t="shared" si="89"/>
        <v>0</v>
      </c>
      <c r="L407" s="53"/>
      <c r="M407" s="57"/>
      <c r="N407" s="41">
        <f t="shared" si="83"/>
        <v>7</v>
      </c>
      <c r="O407" s="11">
        <f t="shared" si="90"/>
        <v>24</v>
      </c>
      <c r="P407" s="12">
        <f t="shared" si="84"/>
        <v>0</v>
      </c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x14ac:dyDescent="0.3">
      <c r="A408" s="47">
        <v>401</v>
      </c>
      <c r="B408" s="34" t="str">
        <f t="shared" si="85"/>
        <v>34-й год 5-й мес</v>
      </c>
      <c r="C408" s="35">
        <f t="shared" si="91"/>
        <v>53396</v>
      </c>
      <c r="D408" s="36">
        <f t="shared" si="81"/>
        <v>0</v>
      </c>
      <c r="E408" s="37">
        <f t="shared" si="86"/>
        <v>0</v>
      </c>
      <c r="F408" s="37">
        <f t="shared" si="92"/>
        <v>0</v>
      </c>
      <c r="G408" s="38">
        <f t="shared" si="87"/>
        <v>0</v>
      </c>
      <c r="H408" s="39">
        <f t="shared" si="82"/>
        <v>0</v>
      </c>
      <c r="I408" s="37">
        <f t="shared" si="93"/>
        <v>0</v>
      </c>
      <c r="J408" s="37">
        <f t="shared" si="88"/>
        <v>0</v>
      </c>
      <c r="K408" s="40">
        <f t="shared" si="89"/>
        <v>0</v>
      </c>
      <c r="L408" s="53"/>
      <c r="M408" s="57"/>
      <c r="N408" s="41">
        <f t="shared" si="83"/>
        <v>7</v>
      </c>
      <c r="O408" s="11">
        <f t="shared" si="90"/>
        <v>24</v>
      </c>
      <c r="P408" s="12">
        <f t="shared" si="84"/>
        <v>0</v>
      </c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x14ac:dyDescent="0.3">
      <c r="A409" s="47">
        <v>402</v>
      </c>
      <c r="B409" s="34" t="str">
        <f t="shared" si="85"/>
        <v>34-й год 6-й мес</v>
      </c>
      <c r="C409" s="35">
        <f t="shared" si="91"/>
        <v>53427</v>
      </c>
      <c r="D409" s="36">
        <f t="shared" si="81"/>
        <v>0</v>
      </c>
      <c r="E409" s="37">
        <f t="shared" si="86"/>
        <v>0</v>
      </c>
      <c r="F409" s="37">
        <f t="shared" si="92"/>
        <v>0</v>
      </c>
      <c r="G409" s="38">
        <f t="shared" si="87"/>
        <v>0</v>
      </c>
      <c r="H409" s="39">
        <f t="shared" si="82"/>
        <v>0</v>
      </c>
      <c r="I409" s="37">
        <f t="shared" si="93"/>
        <v>0</v>
      </c>
      <c r="J409" s="37">
        <f t="shared" si="88"/>
        <v>0</v>
      </c>
      <c r="K409" s="40">
        <f t="shared" si="89"/>
        <v>0</v>
      </c>
      <c r="L409" s="53"/>
      <c r="M409" s="57"/>
      <c r="N409" s="41">
        <f t="shared" si="83"/>
        <v>7</v>
      </c>
      <c r="O409" s="11">
        <f t="shared" si="90"/>
        <v>24</v>
      </c>
      <c r="P409" s="12">
        <f t="shared" si="84"/>
        <v>0</v>
      </c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x14ac:dyDescent="0.3">
      <c r="A410" s="47">
        <v>403</v>
      </c>
      <c r="B410" s="34" t="str">
        <f t="shared" si="85"/>
        <v>34-й год 7-й мес</v>
      </c>
      <c r="C410" s="35">
        <f t="shared" si="91"/>
        <v>53457</v>
      </c>
      <c r="D410" s="36">
        <f t="shared" si="81"/>
        <v>0</v>
      </c>
      <c r="E410" s="37">
        <f t="shared" si="86"/>
        <v>0</v>
      </c>
      <c r="F410" s="37">
        <f t="shared" si="92"/>
        <v>0</v>
      </c>
      <c r="G410" s="38">
        <f t="shared" si="87"/>
        <v>0</v>
      </c>
      <c r="H410" s="39">
        <f t="shared" si="82"/>
        <v>0</v>
      </c>
      <c r="I410" s="37">
        <f t="shared" si="93"/>
        <v>0</v>
      </c>
      <c r="J410" s="37">
        <f t="shared" si="88"/>
        <v>0</v>
      </c>
      <c r="K410" s="40">
        <f t="shared" si="89"/>
        <v>0</v>
      </c>
      <c r="L410" s="53"/>
      <c r="M410" s="57"/>
      <c r="N410" s="41">
        <f t="shared" si="83"/>
        <v>7</v>
      </c>
      <c r="O410" s="11">
        <f t="shared" si="90"/>
        <v>24</v>
      </c>
      <c r="P410" s="12">
        <f t="shared" si="84"/>
        <v>0</v>
      </c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x14ac:dyDescent="0.3">
      <c r="A411" s="47">
        <v>404</v>
      </c>
      <c r="B411" s="34" t="str">
        <f t="shared" si="85"/>
        <v>34-й год 8-й мес</v>
      </c>
      <c r="C411" s="35">
        <f t="shared" si="91"/>
        <v>53488</v>
      </c>
      <c r="D411" s="36">
        <f t="shared" si="81"/>
        <v>0</v>
      </c>
      <c r="E411" s="37">
        <f t="shared" si="86"/>
        <v>0</v>
      </c>
      <c r="F411" s="37">
        <f t="shared" si="92"/>
        <v>0</v>
      </c>
      <c r="G411" s="38">
        <f t="shared" si="87"/>
        <v>0</v>
      </c>
      <c r="H411" s="39">
        <f t="shared" si="82"/>
        <v>0</v>
      </c>
      <c r="I411" s="37">
        <f t="shared" si="93"/>
        <v>0</v>
      </c>
      <c r="J411" s="37">
        <f t="shared" si="88"/>
        <v>0</v>
      </c>
      <c r="K411" s="40">
        <f t="shared" si="89"/>
        <v>0</v>
      </c>
      <c r="L411" s="53"/>
      <c r="M411" s="57"/>
      <c r="N411" s="41">
        <f t="shared" si="83"/>
        <v>7</v>
      </c>
      <c r="O411" s="11">
        <f t="shared" si="90"/>
        <v>24</v>
      </c>
      <c r="P411" s="12">
        <f t="shared" si="84"/>
        <v>0</v>
      </c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x14ac:dyDescent="0.3">
      <c r="A412" s="47">
        <v>405</v>
      </c>
      <c r="B412" s="34" t="str">
        <f t="shared" si="85"/>
        <v>34-й год 9-й мес</v>
      </c>
      <c r="C412" s="35">
        <f t="shared" si="91"/>
        <v>53518</v>
      </c>
      <c r="D412" s="36">
        <f t="shared" si="81"/>
        <v>0</v>
      </c>
      <c r="E412" s="37">
        <f t="shared" si="86"/>
        <v>0</v>
      </c>
      <c r="F412" s="37">
        <f t="shared" si="92"/>
        <v>0</v>
      </c>
      <c r="G412" s="38">
        <f t="shared" si="87"/>
        <v>0</v>
      </c>
      <c r="H412" s="39">
        <f t="shared" si="82"/>
        <v>0</v>
      </c>
      <c r="I412" s="37">
        <f t="shared" si="93"/>
        <v>0</v>
      </c>
      <c r="J412" s="37">
        <f t="shared" si="88"/>
        <v>0</v>
      </c>
      <c r="K412" s="40">
        <f t="shared" si="89"/>
        <v>0</v>
      </c>
      <c r="L412" s="53"/>
      <c r="M412" s="57"/>
      <c r="N412" s="41">
        <f t="shared" si="83"/>
        <v>7</v>
      </c>
      <c r="O412" s="11">
        <f t="shared" si="90"/>
        <v>24</v>
      </c>
      <c r="P412" s="12">
        <f t="shared" si="84"/>
        <v>0</v>
      </c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x14ac:dyDescent="0.3">
      <c r="A413" s="47">
        <v>406</v>
      </c>
      <c r="B413" s="34" t="str">
        <f t="shared" si="85"/>
        <v>34-й год 10-й мес</v>
      </c>
      <c r="C413" s="35">
        <f t="shared" si="91"/>
        <v>53549</v>
      </c>
      <c r="D413" s="36">
        <f t="shared" si="81"/>
        <v>0</v>
      </c>
      <c r="E413" s="37">
        <f t="shared" si="86"/>
        <v>0</v>
      </c>
      <c r="F413" s="37">
        <f t="shared" si="92"/>
        <v>0</v>
      </c>
      <c r="G413" s="38">
        <f t="shared" si="87"/>
        <v>0</v>
      </c>
      <c r="H413" s="39">
        <f t="shared" si="82"/>
        <v>0</v>
      </c>
      <c r="I413" s="37">
        <f t="shared" si="93"/>
        <v>0</v>
      </c>
      <c r="J413" s="37">
        <f t="shared" si="88"/>
        <v>0</v>
      </c>
      <c r="K413" s="40">
        <f t="shared" si="89"/>
        <v>0</v>
      </c>
      <c r="L413" s="53"/>
      <c r="M413" s="57"/>
      <c r="N413" s="41">
        <f t="shared" si="83"/>
        <v>7</v>
      </c>
      <c r="O413" s="11">
        <f t="shared" si="90"/>
        <v>24</v>
      </c>
      <c r="P413" s="12">
        <f t="shared" si="84"/>
        <v>0</v>
      </c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x14ac:dyDescent="0.3">
      <c r="A414" s="47">
        <v>407</v>
      </c>
      <c r="B414" s="34" t="str">
        <f t="shared" si="85"/>
        <v>34-й год 11-й мес</v>
      </c>
      <c r="C414" s="35">
        <f t="shared" si="91"/>
        <v>53580</v>
      </c>
      <c r="D414" s="36">
        <f t="shared" si="81"/>
        <v>0</v>
      </c>
      <c r="E414" s="37">
        <f t="shared" si="86"/>
        <v>0</v>
      </c>
      <c r="F414" s="37">
        <f t="shared" si="92"/>
        <v>0</v>
      </c>
      <c r="G414" s="38">
        <f t="shared" si="87"/>
        <v>0</v>
      </c>
      <c r="H414" s="39">
        <f t="shared" si="82"/>
        <v>0</v>
      </c>
      <c r="I414" s="37">
        <f t="shared" si="93"/>
        <v>0</v>
      </c>
      <c r="J414" s="37">
        <f t="shared" si="88"/>
        <v>0</v>
      </c>
      <c r="K414" s="40">
        <f t="shared" si="89"/>
        <v>0</v>
      </c>
      <c r="L414" s="53"/>
      <c r="M414" s="57"/>
      <c r="N414" s="41">
        <f t="shared" si="83"/>
        <v>7</v>
      </c>
      <c r="O414" s="11">
        <f t="shared" si="90"/>
        <v>24</v>
      </c>
      <c r="P414" s="12">
        <f t="shared" si="84"/>
        <v>0</v>
      </c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x14ac:dyDescent="0.3">
      <c r="A415" s="48">
        <v>408</v>
      </c>
      <c r="B415" s="34" t="str">
        <f t="shared" si="85"/>
        <v>34-й год 12-й мес</v>
      </c>
      <c r="C415" s="35">
        <f t="shared" si="91"/>
        <v>53610</v>
      </c>
      <c r="D415" s="36">
        <f t="shared" si="81"/>
        <v>0</v>
      </c>
      <c r="E415" s="49">
        <f t="shared" si="86"/>
        <v>0</v>
      </c>
      <c r="F415" s="37">
        <f t="shared" si="92"/>
        <v>0</v>
      </c>
      <c r="G415" s="50">
        <f t="shared" si="87"/>
        <v>0</v>
      </c>
      <c r="H415" s="51">
        <f t="shared" si="82"/>
        <v>0</v>
      </c>
      <c r="I415" s="49">
        <f t="shared" si="93"/>
        <v>0</v>
      </c>
      <c r="J415" s="49">
        <f t="shared" si="88"/>
        <v>0</v>
      </c>
      <c r="K415" s="52">
        <f t="shared" si="89"/>
        <v>0</v>
      </c>
      <c r="L415" s="56"/>
      <c r="M415" s="58"/>
      <c r="N415" s="41">
        <f t="shared" si="83"/>
        <v>7</v>
      </c>
      <c r="O415" s="11">
        <f t="shared" si="90"/>
        <v>24</v>
      </c>
      <c r="P415" s="12">
        <f t="shared" si="84"/>
        <v>0</v>
      </c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x14ac:dyDescent="0.3">
      <c r="A416" s="33">
        <v>409</v>
      </c>
      <c r="B416" s="34" t="str">
        <f t="shared" si="85"/>
        <v>35-й год 1-й мес</v>
      </c>
      <c r="C416" s="35">
        <f t="shared" si="91"/>
        <v>53641</v>
      </c>
      <c r="D416" s="36">
        <f t="shared" si="81"/>
        <v>0</v>
      </c>
      <c r="E416" s="37">
        <f t="shared" si="86"/>
        <v>0</v>
      </c>
      <c r="F416" s="37">
        <f t="shared" si="92"/>
        <v>0</v>
      </c>
      <c r="G416" s="38">
        <f t="shared" si="87"/>
        <v>0</v>
      </c>
      <c r="H416" s="39">
        <f t="shared" si="82"/>
        <v>0</v>
      </c>
      <c r="I416" s="37">
        <f t="shared" si="93"/>
        <v>0</v>
      </c>
      <c r="J416" s="37">
        <f t="shared" si="88"/>
        <v>0</v>
      </c>
      <c r="K416" s="40">
        <f t="shared" si="89"/>
        <v>0</v>
      </c>
      <c r="L416" s="53"/>
      <c r="M416" s="57"/>
      <c r="N416" s="41">
        <f t="shared" si="83"/>
        <v>7</v>
      </c>
      <c r="O416" s="11">
        <f t="shared" si="90"/>
        <v>24</v>
      </c>
      <c r="P416" s="12">
        <f t="shared" si="84"/>
        <v>0</v>
      </c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x14ac:dyDescent="0.3">
      <c r="A417" s="33">
        <v>410</v>
      </c>
      <c r="B417" s="34" t="str">
        <f t="shared" si="85"/>
        <v>35-й год 2-й мес</v>
      </c>
      <c r="C417" s="35">
        <f t="shared" si="91"/>
        <v>53671</v>
      </c>
      <c r="D417" s="36">
        <f t="shared" si="81"/>
        <v>0</v>
      </c>
      <c r="E417" s="37">
        <f t="shared" si="86"/>
        <v>0</v>
      </c>
      <c r="F417" s="37">
        <f t="shared" si="92"/>
        <v>0</v>
      </c>
      <c r="G417" s="38">
        <f t="shared" si="87"/>
        <v>0</v>
      </c>
      <c r="H417" s="39">
        <f t="shared" si="82"/>
        <v>0</v>
      </c>
      <c r="I417" s="37">
        <f t="shared" si="93"/>
        <v>0</v>
      </c>
      <c r="J417" s="37">
        <f t="shared" si="88"/>
        <v>0</v>
      </c>
      <c r="K417" s="40">
        <f t="shared" si="89"/>
        <v>0</v>
      </c>
      <c r="L417" s="53"/>
      <c r="M417" s="57"/>
      <c r="N417" s="41">
        <f t="shared" si="83"/>
        <v>7</v>
      </c>
      <c r="O417" s="11">
        <f t="shared" si="90"/>
        <v>24</v>
      </c>
      <c r="P417" s="12">
        <f t="shared" si="84"/>
        <v>0</v>
      </c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x14ac:dyDescent="0.3">
      <c r="A418" s="33">
        <v>411</v>
      </c>
      <c r="B418" s="34" t="str">
        <f t="shared" si="85"/>
        <v>35-й год 3-й мес</v>
      </c>
      <c r="C418" s="35">
        <f t="shared" si="91"/>
        <v>53702</v>
      </c>
      <c r="D418" s="36">
        <f t="shared" si="81"/>
        <v>0</v>
      </c>
      <c r="E418" s="37">
        <f t="shared" si="86"/>
        <v>0</v>
      </c>
      <c r="F418" s="37">
        <f t="shared" si="92"/>
        <v>0</v>
      </c>
      <c r="G418" s="38">
        <f t="shared" si="87"/>
        <v>0</v>
      </c>
      <c r="H418" s="39">
        <f t="shared" si="82"/>
        <v>0</v>
      </c>
      <c r="I418" s="37">
        <f t="shared" si="93"/>
        <v>0</v>
      </c>
      <c r="J418" s="37">
        <f t="shared" si="88"/>
        <v>0</v>
      </c>
      <c r="K418" s="40">
        <f t="shared" si="89"/>
        <v>0</v>
      </c>
      <c r="L418" s="53"/>
      <c r="M418" s="57"/>
      <c r="N418" s="41">
        <f t="shared" si="83"/>
        <v>7</v>
      </c>
      <c r="O418" s="11">
        <f t="shared" si="90"/>
        <v>24</v>
      </c>
      <c r="P418" s="12">
        <f t="shared" si="84"/>
        <v>0</v>
      </c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x14ac:dyDescent="0.3">
      <c r="A419" s="33">
        <v>412</v>
      </c>
      <c r="B419" s="34" t="str">
        <f t="shared" si="85"/>
        <v>35-й год 4-й мес</v>
      </c>
      <c r="C419" s="35">
        <f t="shared" si="91"/>
        <v>53733</v>
      </c>
      <c r="D419" s="36">
        <f t="shared" si="81"/>
        <v>0</v>
      </c>
      <c r="E419" s="37">
        <f t="shared" si="86"/>
        <v>0</v>
      </c>
      <c r="F419" s="37">
        <f t="shared" si="92"/>
        <v>0</v>
      </c>
      <c r="G419" s="38">
        <f t="shared" si="87"/>
        <v>0</v>
      </c>
      <c r="H419" s="39">
        <f t="shared" si="82"/>
        <v>0</v>
      </c>
      <c r="I419" s="37">
        <f t="shared" si="93"/>
        <v>0</v>
      </c>
      <c r="J419" s="37">
        <f t="shared" si="88"/>
        <v>0</v>
      </c>
      <c r="K419" s="40">
        <f t="shared" si="89"/>
        <v>0</v>
      </c>
      <c r="L419" s="53"/>
      <c r="M419" s="57"/>
      <c r="N419" s="41">
        <f t="shared" si="83"/>
        <v>7</v>
      </c>
      <c r="O419" s="11">
        <f t="shared" si="90"/>
        <v>24</v>
      </c>
      <c r="P419" s="12">
        <f t="shared" si="84"/>
        <v>0</v>
      </c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x14ac:dyDescent="0.3">
      <c r="A420" s="33">
        <v>413</v>
      </c>
      <c r="B420" s="34" t="str">
        <f t="shared" si="85"/>
        <v>35-й год 5-й мес</v>
      </c>
      <c r="C420" s="35">
        <f t="shared" si="91"/>
        <v>53761</v>
      </c>
      <c r="D420" s="36">
        <f t="shared" si="81"/>
        <v>0</v>
      </c>
      <c r="E420" s="37">
        <f t="shared" si="86"/>
        <v>0</v>
      </c>
      <c r="F420" s="37">
        <f t="shared" si="92"/>
        <v>0</v>
      </c>
      <c r="G420" s="38">
        <f t="shared" si="87"/>
        <v>0</v>
      </c>
      <c r="H420" s="39">
        <f t="shared" si="82"/>
        <v>0</v>
      </c>
      <c r="I420" s="37">
        <f t="shared" si="93"/>
        <v>0</v>
      </c>
      <c r="J420" s="37">
        <f t="shared" si="88"/>
        <v>0</v>
      </c>
      <c r="K420" s="40">
        <f t="shared" si="89"/>
        <v>0</v>
      </c>
      <c r="L420" s="53"/>
      <c r="M420" s="57"/>
      <c r="N420" s="41">
        <f t="shared" si="83"/>
        <v>7</v>
      </c>
      <c r="O420" s="11">
        <f t="shared" si="90"/>
        <v>24</v>
      </c>
      <c r="P420" s="12">
        <f t="shared" si="84"/>
        <v>0</v>
      </c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x14ac:dyDescent="0.3">
      <c r="A421" s="33">
        <v>414</v>
      </c>
      <c r="B421" s="34" t="str">
        <f t="shared" si="85"/>
        <v>35-й год 6-й мес</v>
      </c>
      <c r="C421" s="35">
        <f t="shared" si="91"/>
        <v>53792</v>
      </c>
      <c r="D421" s="36">
        <f t="shared" si="81"/>
        <v>0</v>
      </c>
      <c r="E421" s="37">
        <f t="shared" si="86"/>
        <v>0</v>
      </c>
      <c r="F421" s="37">
        <f t="shared" si="92"/>
        <v>0</v>
      </c>
      <c r="G421" s="38">
        <f t="shared" si="87"/>
        <v>0</v>
      </c>
      <c r="H421" s="39">
        <f t="shared" si="82"/>
        <v>0</v>
      </c>
      <c r="I421" s="37">
        <f t="shared" si="93"/>
        <v>0</v>
      </c>
      <c r="J421" s="37">
        <f t="shared" si="88"/>
        <v>0</v>
      </c>
      <c r="K421" s="40">
        <f t="shared" si="89"/>
        <v>0</v>
      </c>
      <c r="L421" s="53"/>
      <c r="M421" s="57"/>
      <c r="N421" s="41">
        <f t="shared" si="83"/>
        <v>7</v>
      </c>
      <c r="O421" s="11">
        <f t="shared" si="90"/>
        <v>24</v>
      </c>
      <c r="P421" s="12">
        <f t="shared" si="84"/>
        <v>0</v>
      </c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x14ac:dyDescent="0.3">
      <c r="A422" s="33">
        <v>415</v>
      </c>
      <c r="B422" s="34" t="str">
        <f t="shared" si="85"/>
        <v>35-й год 7-й мес</v>
      </c>
      <c r="C422" s="35">
        <f t="shared" si="91"/>
        <v>53822</v>
      </c>
      <c r="D422" s="36">
        <f t="shared" si="81"/>
        <v>0</v>
      </c>
      <c r="E422" s="37">
        <f t="shared" si="86"/>
        <v>0</v>
      </c>
      <c r="F422" s="37">
        <f t="shared" si="92"/>
        <v>0</v>
      </c>
      <c r="G422" s="38">
        <f t="shared" si="87"/>
        <v>0</v>
      </c>
      <c r="H422" s="39">
        <f t="shared" si="82"/>
        <v>0</v>
      </c>
      <c r="I422" s="37">
        <f t="shared" si="93"/>
        <v>0</v>
      </c>
      <c r="J422" s="37">
        <f t="shared" si="88"/>
        <v>0</v>
      </c>
      <c r="K422" s="40">
        <f t="shared" si="89"/>
        <v>0</v>
      </c>
      <c r="L422" s="53"/>
      <c r="M422" s="57"/>
      <c r="N422" s="41">
        <f t="shared" si="83"/>
        <v>7</v>
      </c>
      <c r="O422" s="11">
        <f t="shared" si="90"/>
        <v>24</v>
      </c>
      <c r="P422" s="12">
        <f t="shared" si="84"/>
        <v>0</v>
      </c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x14ac:dyDescent="0.3">
      <c r="A423" s="33">
        <v>416</v>
      </c>
      <c r="B423" s="34" t="str">
        <f t="shared" si="85"/>
        <v>35-й год 8-й мес</v>
      </c>
      <c r="C423" s="35">
        <f t="shared" si="91"/>
        <v>53853</v>
      </c>
      <c r="D423" s="36">
        <f t="shared" si="81"/>
        <v>0</v>
      </c>
      <c r="E423" s="37">
        <f t="shared" si="86"/>
        <v>0</v>
      </c>
      <c r="F423" s="37">
        <f t="shared" si="92"/>
        <v>0</v>
      </c>
      <c r="G423" s="38">
        <f t="shared" si="87"/>
        <v>0</v>
      </c>
      <c r="H423" s="39">
        <f t="shared" si="82"/>
        <v>0</v>
      </c>
      <c r="I423" s="37">
        <f t="shared" si="93"/>
        <v>0</v>
      </c>
      <c r="J423" s="37">
        <f t="shared" si="88"/>
        <v>0</v>
      </c>
      <c r="K423" s="40">
        <f t="shared" si="89"/>
        <v>0</v>
      </c>
      <c r="L423" s="53"/>
      <c r="M423" s="57"/>
      <c r="N423" s="41">
        <f t="shared" si="83"/>
        <v>7</v>
      </c>
      <c r="O423" s="11">
        <f t="shared" si="90"/>
        <v>24</v>
      </c>
      <c r="P423" s="12">
        <f t="shared" si="84"/>
        <v>0</v>
      </c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x14ac:dyDescent="0.3">
      <c r="A424" s="33">
        <v>417</v>
      </c>
      <c r="B424" s="34" t="str">
        <f t="shared" si="85"/>
        <v>35-й год 9-й мес</v>
      </c>
      <c r="C424" s="35">
        <f t="shared" si="91"/>
        <v>53883</v>
      </c>
      <c r="D424" s="36">
        <f t="shared" si="81"/>
        <v>0</v>
      </c>
      <c r="E424" s="37">
        <f t="shared" si="86"/>
        <v>0</v>
      </c>
      <c r="F424" s="37">
        <f t="shared" si="92"/>
        <v>0</v>
      </c>
      <c r="G424" s="38">
        <f t="shared" si="87"/>
        <v>0</v>
      </c>
      <c r="H424" s="39">
        <f t="shared" si="82"/>
        <v>0</v>
      </c>
      <c r="I424" s="37">
        <f t="shared" si="93"/>
        <v>0</v>
      </c>
      <c r="J424" s="37">
        <f t="shared" si="88"/>
        <v>0</v>
      </c>
      <c r="K424" s="40">
        <f t="shared" si="89"/>
        <v>0</v>
      </c>
      <c r="L424" s="53"/>
      <c r="M424" s="57"/>
      <c r="N424" s="41">
        <f t="shared" si="83"/>
        <v>7</v>
      </c>
      <c r="O424" s="11">
        <f t="shared" si="90"/>
        <v>24</v>
      </c>
      <c r="P424" s="12">
        <f t="shared" si="84"/>
        <v>0</v>
      </c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x14ac:dyDescent="0.3">
      <c r="A425" s="33">
        <v>418</v>
      </c>
      <c r="B425" s="34" t="str">
        <f t="shared" si="85"/>
        <v>35-й год 10-й мес</v>
      </c>
      <c r="C425" s="35">
        <f t="shared" si="91"/>
        <v>53914</v>
      </c>
      <c r="D425" s="36">
        <f t="shared" si="81"/>
        <v>0</v>
      </c>
      <c r="E425" s="37">
        <f t="shared" si="86"/>
        <v>0</v>
      </c>
      <c r="F425" s="37">
        <f t="shared" si="92"/>
        <v>0</v>
      </c>
      <c r="G425" s="38">
        <f t="shared" si="87"/>
        <v>0</v>
      </c>
      <c r="H425" s="39">
        <f t="shared" si="82"/>
        <v>0</v>
      </c>
      <c r="I425" s="37">
        <f t="shared" si="93"/>
        <v>0</v>
      </c>
      <c r="J425" s="37">
        <f t="shared" si="88"/>
        <v>0</v>
      </c>
      <c r="K425" s="40">
        <f t="shared" si="89"/>
        <v>0</v>
      </c>
      <c r="L425" s="53"/>
      <c r="M425" s="57"/>
      <c r="N425" s="41">
        <f t="shared" si="83"/>
        <v>7</v>
      </c>
      <c r="O425" s="11">
        <f t="shared" si="90"/>
        <v>24</v>
      </c>
      <c r="P425" s="12">
        <f t="shared" si="84"/>
        <v>0</v>
      </c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x14ac:dyDescent="0.3">
      <c r="A426" s="33">
        <v>419</v>
      </c>
      <c r="B426" s="34" t="str">
        <f t="shared" si="85"/>
        <v>35-й год 11-й мес</v>
      </c>
      <c r="C426" s="35">
        <f t="shared" si="91"/>
        <v>53945</v>
      </c>
      <c r="D426" s="36">
        <f t="shared" si="81"/>
        <v>0</v>
      </c>
      <c r="E426" s="37">
        <f t="shared" si="86"/>
        <v>0</v>
      </c>
      <c r="F426" s="37">
        <f t="shared" si="92"/>
        <v>0</v>
      </c>
      <c r="G426" s="38">
        <f t="shared" si="87"/>
        <v>0</v>
      </c>
      <c r="H426" s="39">
        <f t="shared" si="82"/>
        <v>0</v>
      </c>
      <c r="I426" s="37">
        <f t="shared" si="93"/>
        <v>0</v>
      </c>
      <c r="J426" s="37">
        <f t="shared" si="88"/>
        <v>0</v>
      </c>
      <c r="K426" s="40">
        <f t="shared" si="89"/>
        <v>0</v>
      </c>
      <c r="L426" s="53"/>
      <c r="M426" s="57"/>
      <c r="N426" s="41">
        <f t="shared" si="83"/>
        <v>7</v>
      </c>
      <c r="O426" s="11">
        <f t="shared" si="90"/>
        <v>24</v>
      </c>
      <c r="P426" s="12">
        <f t="shared" si="84"/>
        <v>0</v>
      </c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x14ac:dyDescent="0.3">
      <c r="A427" s="33">
        <v>420</v>
      </c>
      <c r="B427" s="34" t="str">
        <f t="shared" si="85"/>
        <v>35-й год 12-й мес</v>
      </c>
      <c r="C427" s="35">
        <f t="shared" si="91"/>
        <v>53975</v>
      </c>
      <c r="D427" s="36">
        <f t="shared" si="81"/>
        <v>0</v>
      </c>
      <c r="E427" s="37">
        <f t="shared" si="86"/>
        <v>0</v>
      </c>
      <c r="F427" s="37">
        <f t="shared" si="92"/>
        <v>0</v>
      </c>
      <c r="G427" s="38">
        <f t="shared" si="87"/>
        <v>0</v>
      </c>
      <c r="H427" s="39">
        <f t="shared" si="82"/>
        <v>0</v>
      </c>
      <c r="I427" s="37">
        <f t="shared" si="93"/>
        <v>0</v>
      </c>
      <c r="J427" s="37">
        <f t="shared" si="88"/>
        <v>0</v>
      </c>
      <c r="K427" s="40">
        <f t="shared" si="89"/>
        <v>0</v>
      </c>
      <c r="L427" s="53"/>
      <c r="M427" s="57"/>
      <c r="N427" s="41">
        <f t="shared" si="83"/>
        <v>7</v>
      </c>
      <c r="O427" s="11">
        <f t="shared" si="90"/>
        <v>24</v>
      </c>
      <c r="P427" s="12">
        <f t="shared" si="84"/>
        <v>0</v>
      </c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x14ac:dyDescent="0.3">
      <c r="A428" s="42">
        <v>421</v>
      </c>
      <c r="B428" s="34" t="str">
        <f t="shared" si="85"/>
        <v>36-й год 1-й мес</v>
      </c>
      <c r="C428" s="35">
        <f t="shared" si="91"/>
        <v>54006</v>
      </c>
      <c r="D428" s="36">
        <f t="shared" si="81"/>
        <v>0</v>
      </c>
      <c r="E428" s="43">
        <f t="shared" si="86"/>
        <v>0</v>
      </c>
      <c r="F428" s="37">
        <f t="shared" si="92"/>
        <v>0</v>
      </c>
      <c r="G428" s="44">
        <f t="shared" si="87"/>
        <v>0</v>
      </c>
      <c r="H428" s="45">
        <f t="shared" si="82"/>
        <v>0</v>
      </c>
      <c r="I428" s="43">
        <f t="shared" si="93"/>
        <v>0</v>
      </c>
      <c r="J428" s="43">
        <f t="shared" si="88"/>
        <v>0</v>
      </c>
      <c r="K428" s="46">
        <f t="shared" si="89"/>
        <v>0</v>
      </c>
      <c r="L428" s="55"/>
      <c r="M428" s="54"/>
      <c r="N428" s="41">
        <f t="shared" si="83"/>
        <v>7</v>
      </c>
      <c r="O428" s="11">
        <f t="shared" si="90"/>
        <v>24</v>
      </c>
      <c r="P428" s="12">
        <f t="shared" si="84"/>
        <v>0</v>
      </c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x14ac:dyDescent="0.3">
      <c r="A429" s="47">
        <v>422</v>
      </c>
      <c r="B429" s="34" t="str">
        <f t="shared" si="85"/>
        <v>36-й год 2-й мес</v>
      </c>
      <c r="C429" s="35">
        <f t="shared" si="91"/>
        <v>54036</v>
      </c>
      <c r="D429" s="36">
        <f t="shared" si="81"/>
        <v>0</v>
      </c>
      <c r="E429" s="37">
        <f t="shared" si="86"/>
        <v>0</v>
      </c>
      <c r="F429" s="37">
        <f t="shared" si="92"/>
        <v>0</v>
      </c>
      <c r="G429" s="38">
        <f t="shared" si="87"/>
        <v>0</v>
      </c>
      <c r="H429" s="39">
        <f t="shared" si="82"/>
        <v>0</v>
      </c>
      <c r="I429" s="37">
        <f t="shared" si="93"/>
        <v>0</v>
      </c>
      <c r="J429" s="37">
        <f t="shared" si="88"/>
        <v>0</v>
      </c>
      <c r="K429" s="40">
        <f t="shared" si="89"/>
        <v>0</v>
      </c>
      <c r="L429" s="53"/>
      <c r="M429" s="57"/>
      <c r="N429" s="41">
        <f t="shared" si="83"/>
        <v>7</v>
      </c>
      <c r="O429" s="11">
        <f t="shared" si="90"/>
        <v>24</v>
      </c>
      <c r="P429" s="12">
        <f t="shared" si="84"/>
        <v>0</v>
      </c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x14ac:dyDescent="0.3">
      <c r="A430" s="47">
        <v>423</v>
      </c>
      <c r="B430" s="34" t="str">
        <f t="shared" si="85"/>
        <v>36-й год 3-й мес</v>
      </c>
      <c r="C430" s="35">
        <f t="shared" si="91"/>
        <v>54067</v>
      </c>
      <c r="D430" s="36">
        <f t="shared" si="81"/>
        <v>0</v>
      </c>
      <c r="E430" s="37">
        <f t="shared" si="86"/>
        <v>0</v>
      </c>
      <c r="F430" s="37">
        <f t="shared" si="92"/>
        <v>0</v>
      </c>
      <c r="G430" s="38">
        <f t="shared" si="87"/>
        <v>0</v>
      </c>
      <c r="H430" s="39">
        <f t="shared" si="82"/>
        <v>0</v>
      </c>
      <c r="I430" s="37">
        <f t="shared" si="93"/>
        <v>0</v>
      </c>
      <c r="J430" s="37">
        <f t="shared" si="88"/>
        <v>0</v>
      </c>
      <c r="K430" s="40">
        <f t="shared" si="89"/>
        <v>0</v>
      </c>
      <c r="L430" s="53"/>
      <c r="M430" s="57"/>
      <c r="N430" s="41">
        <f t="shared" si="83"/>
        <v>7</v>
      </c>
      <c r="O430" s="11">
        <f t="shared" si="90"/>
        <v>24</v>
      </c>
      <c r="P430" s="12">
        <f t="shared" si="84"/>
        <v>0</v>
      </c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x14ac:dyDescent="0.3">
      <c r="A431" s="47">
        <v>424</v>
      </c>
      <c r="B431" s="34" t="str">
        <f t="shared" si="85"/>
        <v>36-й год 4-й мес</v>
      </c>
      <c r="C431" s="35">
        <f t="shared" si="91"/>
        <v>54098</v>
      </c>
      <c r="D431" s="36">
        <f t="shared" si="81"/>
        <v>0</v>
      </c>
      <c r="E431" s="37">
        <f t="shared" si="86"/>
        <v>0</v>
      </c>
      <c r="F431" s="37">
        <f t="shared" si="92"/>
        <v>0</v>
      </c>
      <c r="G431" s="38">
        <f t="shared" si="87"/>
        <v>0</v>
      </c>
      <c r="H431" s="39">
        <f t="shared" si="82"/>
        <v>0</v>
      </c>
      <c r="I431" s="37">
        <f t="shared" si="93"/>
        <v>0</v>
      </c>
      <c r="J431" s="37">
        <f t="shared" si="88"/>
        <v>0</v>
      </c>
      <c r="K431" s="40">
        <f t="shared" si="89"/>
        <v>0</v>
      </c>
      <c r="L431" s="53"/>
      <c r="M431" s="57"/>
      <c r="N431" s="41">
        <f t="shared" si="83"/>
        <v>7</v>
      </c>
      <c r="O431" s="11">
        <f t="shared" si="90"/>
        <v>24</v>
      </c>
      <c r="P431" s="12">
        <f t="shared" si="84"/>
        <v>0</v>
      </c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x14ac:dyDescent="0.3">
      <c r="A432" s="47">
        <v>425</v>
      </c>
      <c r="B432" s="34" t="str">
        <f t="shared" si="85"/>
        <v>36-й год 5-й мес</v>
      </c>
      <c r="C432" s="35">
        <f t="shared" si="91"/>
        <v>54127</v>
      </c>
      <c r="D432" s="36">
        <f t="shared" si="81"/>
        <v>0</v>
      </c>
      <c r="E432" s="37">
        <f t="shared" si="86"/>
        <v>0</v>
      </c>
      <c r="F432" s="37">
        <f t="shared" si="92"/>
        <v>0</v>
      </c>
      <c r="G432" s="38">
        <f t="shared" si="87"/>
        <v>0</v>
      </c>
      <c r="H432" s="39">
        <f t="shared" si="82"/>
        <v>0</v>
      </c>
      <c r="I432" s="37">
        <f t="shared" si="93"/>
        <v>0</v>
      </c>
      <c r="J432" s="37">
        <f t="shared" si="88"/>
        <v>0</v>
      </c>
      <c r="K432" s="40">
        <f t="shared" si="89"/>
        <v>0</v>
      </c>
      <c r="L432" s="53"/>
      <c r="M432" s="57"/>
      <c r="N432" s="41">
        <f t="shared" si="83"/>
        <v>7</v>
      </c>
      <c r="O432" s="11">
        <f t="shared" si="90"/>
        <v>24</v>
      </c>
      <c r="P432" s="12">
        <f t="shared" si="84"/>
        <v>0</v>
      </c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x14ac:dyDescent="0.3">
      <c r="A433" s="47">
        <v>426</v>
      </c>
      <c r="B433" s="34" t="str">
        <f t="shared" si="85"/>
        <v>36-й год 6-й мес</v>
      </c>
      <c r="C433" s="35">
        <f t="shared" si="91"/>
        <v>54158</v>
      </c>
      <c r="D433" s="36">
        <f t="shared" si="81"/>
        <v>0</v>
      </c>
      <c r="E433" s="37">
        <f t="shared" si="86"/>
        <v>0</v>
      </c>
      <c r="F433" s="37">
        <f t="shared" si="92"/>
        <v>0</v>
      </c>
      <c r="G433" s="38">
        <f t="shared" si="87"/>
        <v>0</v>
      </c>
      <c r="H433" s="39">
        <f t="shared" si="82"/>
        <v>0</v>
      </c>
      <c r="I433" s="37">
        <f t="shared" si="93"/>
        <v>0</v>
      </c>
      <c r="J433" s="37">
        <f t="shared" si="88"/>
        <v>0</v>
      </c>
      <c r="K433" s="40">
        <f t="shared" si="89"/>
        <v>0</v>
      </c>
      <c r="L433" s="53"/>
      <c r="M433" s="57"/>
      <c r="N433" s="41">
        <f t="shared" si="83"/>
        <v>7</v>
      </c>
      <c r="O433" s="11">
        <f t="shared" si="90"/>
        <v>24</v>
      </c>
      <c r="P433" s="12">
        <f t="shared" si="84"/>
        <v>0</v>
      </c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x14ac:dyDescent="0.3">
      <c r="A434" s="47">
        <v>427</v>
      </c>
      <c r="B434" s="34" t="str">
        <f t="shared" si="85"/>
        <v>36-й год 7-й мес</v>
      </c>
      <c r="C434" s="35">
        <f t="shared" si="91"/>
        <v>54188</v>
      </c>
      <c r="D434" s="36">
        <f t="shared" si="81"/>
        <v>0</v>
      </c>
      <c r="E434" s="37">
        <f t="shared" si="86"/>
        <v>0</v>
      </c>
      <c r="F434" s="37">
        <f t="shared" si="92"/>
        <v>0</v>
      </c>
      <c r="G434" s="38">
        <f t="shared" si="87"/>
        <v>0</v>
      </c>
      <c r="H434" s="39">
        <f t="shared" si="82"/>
        <v>0</v>
      </c>
      <c r="I434" s="37">
        <f t="shared" si="93"/>
        <v>0</v>
      </c>
      <c r="J434" s="37">
        <f t="shared" si="88"/>
        <v>0</v>
      </c>
      <c r="K434" s="40">
        <f t="shared" si="89"/>
        <v>0</v>
      </c>
      <c r="L434" s="53"/>
      <c r="M434" s="57"/>
      <c r="N434" s="41">
        <f t="shared" si="83"/>
        <v>7</v>
      </c>
      <c r="O434" s="11">
        <f t="shared" si="90"/>
        <v>24</v>
      </c>
      <c r="P434" s="12">
        <f t="shared" si="84"/>
        <v>0</v>
      </c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x14ac:dyDescent="0.3">
      <c r="A435" s="47">
        <v>428</v>
      </c>
      <c r="B435" s="34" t="str">
        <f t="shared" si="85"/>
        <v>36-й год 8-й мес</v>
      </c>
      <c r="C435" s="35">
        <f t="shared" si="91"/>
        <v>54219</v>
      </c>
      <c r="D435" s="36">
        <f t="shared" si="81"/>
        <v>0</v>
      </c>
      <c r="E435" s="37">
        <f t="shared" si="86"/>
        <v>0</v>
      </c>
      <c r="F435" s="37">
        <f t="shared" si="92"/>
        <v>0</v>
      </c>
      <c r="G435" s="38">
        <f t="shared" si="87"/>
        <v>0</v>
      </c>
      <c r="H435" s="39">
        <f t="shared" si="82"/>
        <v>0</v>
      </c>
      <c r="I435" s="37">
        <f t="shared" si="93"/>
        <v>0</v>
      </c>
      <c r="J435" s="37">
        <f t="shared" si="88"/>
        <v>0</v>
      </c>
      <c r="K435" s="40">
        <f t="shared" si="89"/>
        <v>0</v>
      </c>
      <c r="L435" s="53"/>
      <c r="M435" s="57"/>
      <c r="N435" s="41">
        <f t="shared" si="83"/>
        <v>7</v>
      </c>
      <c r="O435" s="11">
        <f t="shared" si="90"/>
        <v>24</v>
      </c>
      <c r="P435" s="12">
        <f t="shared" si="84"/>
        <v>0</v>
      </c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x14ac:dyDescent="0.3">
      <c r="A436" s="47">
        <v>429</v>
      </c>
      <c r="B436" s="34" t="str">
        <f t="shared" si="85"/>
        <v>36-й год 9-й мес</v>
      </c>
      <c r="C436" s="35">
        <f t="shared" si="91"/>
        <v>54249</v>
      </c>
      <c r="D436" s="36">
        <f t="shared" si="81"/>
        <v>0</v>
      </c>
      <c r="E436" s="37">
        <f t="shared" si="86"/>
        <v>0</v>
      </c>
      <c r="F436" s="37">
        <f t="shared" si="92"/>
        <v>0</v>
      </c>
      <c r="G436" s="38">
        <f t="shared" si="87"/>
        <v>0</v>
      </c>
      <c r="H436" s="39">
        <f t="shared" si="82"/>
        <v>0</v>
      </c>
      <c r="I436" s="37">
        <f t="shared" si="93"/>
        <v>0</v>
      </c>
      <c r="J436" s="37">
        <f t="shared" si="88"/>
        <v>0</v>
      </c>
      <c r="K436" s="40">
        <f t="shared" si="89"/>
        <v>0</v>
      </c>
      <c r="L436" s="53"/>
      <c r="M436" s="57"/>
      <c r="N436" s="41">
        <f t="shared" si="83"/>
        <v>7</v>
      </c>
      <c r="O436" s="11">
        <f t="shared" si="90"/>
        <v>24</v>
      </c>
      <c r="P436" s="12">
        <f t="shared" si="84"/>
        <v>0</v>
      </c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x14ac:dyDescent="0.3">
      <c r="A437" s="47">
        <v>430</v>
      </c>
      <c r="B437" s="34" t="str">
        <f t="shared" si="85"/>
        <v>36-й год 10-й мес</v>
      </c>
      <c r="C437" s="35">
        <f t="shared" si="91"/>
        <v>54280</v>
      </c>
      <c r="D437" s="36">
        <f t="shared" si="81"/>
        <v>0</v>
      </c>
      <c r="E437" s="37">
        <f t="shared" si="86"/>
        <v>0</v>
      </c>
      <c r="F437" s="37">
        <f t="shared" si="92"/>
        <v>0</v>
      </c>
      <c r="G437" s="38">
        <f t="shared" si="87"/>
        <v>0</v>
      </c>
      <c r="H437" s="39">
        <f t="shared" si="82"/>
        <v>0</v>
      </c>
      <c r="I437" s="37">
        <f t="shared" si="93"/>
        <v>0</v>
      </c>
      <c r="J437" s="37">
        <f t="shared" si="88"/>
        <v>0</v>
      </c>
      <c r="K437" s="40">
        <f t="shared" si="89"/>
        <v>0</v>
      </c>
      <c r="L437" s="53"/>
      <c r="M437" s="57"/>
      <c r="N437" s="41">
        <f t="shared" si="83"/>
        <v>7</v>
      </c>
      <c r="O437" s="11">
        <f t="shared" si="90"/>
        <v>24</v>
      </c>
      <c r="P437" s="12">
        <f t="shared" si="84"/>
        <v>0</v>
      </c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x14ac:dyDescent="0.3">
      <c r="A438" s="47">
        <v>431</v>
      </c>
      <c r="B438" s="34" t="str">
        <f t="shared" si="85"/>
        <v>36-й год 11-й мес</v>
      </c>
      <c r="C438" s="35">
        <f t="shared" si="91"/>
        <v>54311</v>
      </c>
      <c r="D438" s="36">
        <f t="shared" si="81"/>
        <v>0</v>
      </c>
      <c r="E438" s="37">
        <f t="shared" si="86"/>
        <v>0</v>
      </c>
      <c r="F438" s="37">
        <f t="shared" si="92"/>
        <v>0</v>
      </c>
      <c r="G438" s="38">
        <f t="shared" si="87"/>
        <v>0</v>
      </c>
      <c r="H438" s="39">
        <f t="shared" si="82"/>
        <v>0</v>
      </c>
      <c r="I438" s="37">
        <f t="shared" si="93"/>
        <v>0</v>
      </c>
      <c r="J438" s="37">
        <f t="shared" si="88"/>
        <v>0</v>
      </c>
      <c r="K438" s="40">
        <f t="shared" si="89"/>
        <v>0</v>
      </c>
      <c r="L438" s="53"/>
      <c r="M438" s="57"/>
      <c r="N438" s="41">
        <f t="shared" si="83"/>
        <v>7</v>
      </c>
      <c r="O438" s="11">
        <f t="shared" si="90"/>
        <v>24</v>
      </c>
      <c r="P438" s="12">
        <f t="shared" si="84"/>
        <v>0</v>
      </c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x14ac:dyDescent="0.3">
      <c r="A439" s="48">
        <v>432</v>
      </c>
      <c r="B439" s="34" t="str">
        <f t="shared" si="85"/>
        <v>36-й год 12-й мес</v>
      </c>
      <c r="C439" s="35">
        <f t="shared" si="91"/>
        <v>54341</v>
      </c>
      <c r="D439" s="36">
        <f t="shared" si="81"/>
        <v>0</v>
      </c>
      <c r="E439" s="49">
        <f t="shared" si="86"/>
        <v>0</v>
      </c>
      <c r="F439" s="37">
        <f t="shared" si="92"/>
        <v>0</v>
      </c>
      <c r="G439" s="50">
        <f t="shared" si="87"/>
        <v>0</v>
      </c>
      <c r="H439" s="51">
        <f t="shared" si="82"/>
        <v>0</v>
      </c>
      <c r="I439" s="49">
        <f t="shared" si="93"/>
        <v>0</v>
      </c>
      <c r="J439" s="49">
        <f t="shared" si="88"/>
        <v>0</v>
      </c>
      <c r="K439" s="52">
        <f t="shared" si="89"/>
        <v>0</v>
      </c>
      <c r="L439" s="56"/>
      <c r="M439" s="58"/>
      <c r="N439" s="41">
        <f t="shared" si="83"/>
        <v>7</v>
      </c>
      <c r="O439" s="11">
        <f t="shared" si="90"/>
        <v>24</v>
      </c>
      <c r="P439" s="12">
        <f t="shared" si="84"/>
        <v>0</v>
      </c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x14ac:dyDescent="0.3">
      <c r="A440" s="33">
        <v>433</v>
      </c>
      <c r="B440" s="34" t="str">
        <f t="shared" si="85"/>
        <v>37-й год 1-й мес</v>
      </c>
      <c r="C440" s="35">
        <f t="shared" si="91"/>
        <v>54372</v>
      </c>
      <c r="D440" s="36">
        <f t="shared" si="81"/>
        <v>0</v>
      </c>
      <c r="E440" s="37">
        <f t="shared" si="86"/>
        <v>0</v>
      </c>
      <c r="F440" s="37">
        <f t="shared" si="92"/>
        <v>0</v>
      </c>
      <c r="G440" s="38">
        <f t="shared" si="87"/>
        <v>0</v>
      </c>
      <c r="H440" s="39">
        <f t="shared" si="82"/>
        <v>0</v>
      </c>
      <c r="I440" s="37">
        <f t="shared" si="93"/>
        <v>0</v>
      </c>
      <c r="J440" s="37">
        <f t="shared" si="88"/>
        <v>0</v>
      </c>
      <c r="K440" s="40">
        <f t="shared" si="89"/>
        <v>0</v>
      </c>
      <c r="L440" s="53"/>
      <c r="M440" s="57"/>
      <c r="N440" s="41">
        <f t="shared" si="83"/>
        <v>7</v>
      </c>
      <c r="O440" s="11">
        <f t="shared" si="90"/>
        <v>24</v>
      </c>
      <c r="P440" s="12">
        <f t="shared" si="84"/>
        <v>0</v>
      </c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x14ac:dyDescent="0.3">
      <c r="A441" s="33">
        <v>434</v>
      </c>
      <c r="B441" s="34" t="str">
        <f t="shared" si="85"/>
        <v>37-й год 2-й мес</v>
      </c>
      <c r="C441" s="35">
        <f t="shared" si="91"/>
        <v>54402</v>
      </c>
      <c r="D441" s="36">
        <f t="shared" si="81"/>
        <v>0</v>
      </c>
      <c r="E441" s="37">
        <f t="shared" si="86"/>
        <v>0</v>
      </c>
      <c r="F441" s="37">
        <f t="shared" si="92"/>
        <v>0</v>
      </c>
      <c r="G441" s="38">
        <f t="shared" si="87"/>
        <v>0</v>
      </c>
      <c r="H441" s="39">
        <f t="shared" si="82"/>
        <v>0</v>
      </c>
      <c r="I441" s="37">
        <f t="shared" si="93"/>
        <v>0</v>
      </c>
      <c r="J441" s="37">
        <f t="shared" si="88"/>
        <v>0</v>
      </c>
      <c r="K441" s="40">
        <f t="shared" si="89"/>
        <v>0</v>
      </c>
      <c r="L441" s="53"/>
      <c r="M441" s="57"/>
      <c r="N441" s="41">
        <f t="shared" si="83"/>
        <v>7</v>
      </c>
      <c r="O441" s="11">
        <f t="shared" si="90"/>
        <v>24</v>
      </c>
      <c r="P441" s="12">
        <f t="shared" si="84"/>
        <v>0</v>
      </c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x14ac:dyDescent="0.3">
      <c r="A442" s="33">
        <v>435</v>
      </c>
      <c r="B442" s="34" t="str">
        <f t="shared" si="85"/>
        <v>37-й год 3-й мес</v>
      </c>
      <c r="C442" s="35">
        <f t="shared" si="91"/>
        <v>54433</v>
      </c>
      <c r="D442" s="36">
        <f t="shared" si="81"/>
        <v>0</v>
      </c>
      <c r="E442" s="37">
        <f t="shared" si="86"/>
        <v>0</v>
      </c>
      <c r="F442" s="37">
        <f t="shared" si="92"/>
        <v>0</v>
      </c>
      <c r="G442" s="38">
        <f t="shared" si="87"/>
        <v>0</v>
      </c>
      <c r="H442" s="39">
        <f t="shared" si="82"/>
        <v>0</v>
      </c>
      <c r="I442" s="37">
        <f t="shared" si="93"/>
        <v>0</v>
      </c>
      <c r="J442" s="37">
        <f t="shared" si="88"/>
        <v>0</v>
      </c>
      <c r="K442" s="40">
        <f t="shared" si="89"/>
        <v>0</v>
      </c>
      <c r="L442" s="53"/>
      <c r="M442" s="57"/>
      <c r="N442" s="41">
        <f t="shared" si="83"/>
        <v>7</v>
      </c>
      <c r="O442" s="11">
        <f t="shared" si="90"/>
        <v>24</v>
      </c>
      <c r="P442" s="12">
        <f t="shared" si="84"/>
        <v>0</v>
      </c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x14ac:dyDescent="0.3">
      <c r="A443" s="33">
        <v>436</v>
      </c>
      <c r="B443" s="34" t="str">
        <f t="shared" si="85"/>
        <v>37-й год 4-й мес</v>
      </c>
      <c r="C443" s="35">
        <f t="shared" si="91"/>
        <v>54464</v>
      </c>
      <c r="D443" s="36">
        <f t="shared" si="81"/>
        <v>0</v>
      </c>
      <c r="E443" s="37">
        <f t="shared" si="86"/>
        <v>0</v>
      </c>
      <c r="F443" s="37">
        <f t="shared" si="92"/>
        <v>0</v>
      </c>
      <c r="G443" s="38">
        <f t="shared" si="87"/>
        <v>0</v>
      </c>
      <c r="H443" s="39">
        <f t="shared" si="82"/>
        <v>0</v>
      </c>
      <c r="I443" s="37">
        <f t="shared" si="93"/>
        <v>0</v>
      </c>
      <c r="J443" s="37">
        <f t="shared" si="88"/>
        <v>0</v>
      </c>
      <c r="K443" s="40">
        <f t="shared" si="89"/>
        <v>0</v>
      </c>
      <c r="L443" s="53"/>
      <c r="M443" s="57"/>
      <c r="N443" s="41">
        <f t="shared" si="83"/>
        <v>7</v>
      </c>
      <c r="O443" s="11">
        <f t="shared" si="90"/>
        <v>24</v>
      </c>
      <c r="P443" s="12">
        <f t="shared" si="84"/>
        <v>0</v>
      </c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x14ac:dyDescent="0.3">
      <c r="A444" s="33">
        <v>437</v>
      </c>
      <c r="B444" s="34" t="str">
        <f t="shared" si="85"/>
        <v>37-й год 5-й мес</v>
      </c>
      <c r="C444" s="35">
        <f t="shared" si="91"/>
        <v>54492</v>
      </c>
      <c r="D444" s="36">
        <f t="shared" si="81"/>
        <v>0</v>
      </c>
      <c r="E444" s="37">
        <f t="shared" si="86"/>
        <v>0</v>
      </c>
      <c r="F444" s="37">
        <f t="shared" si="92"/>
        <v>0</v>
      </c>
      <c r="G444" s="38">
        <f t="shared" si="87"/>
        <v>0</v>
      </c>
      <c r="H444" s="39">
        <f t="shared" si="82"/>
        <v>0</v>
      </c>
      <c r="I444" s="37">
        <f t="shared" si="93"/>
        <v>0</v>
      </c>
      <c r="J444" s="37">
        <f t="shared" si="88"/>
        <v>0</v>
      </c>
      <c r="K444" s="40">
        <f t="shared" si="89"/>
        <v>0</v>
      </c>
      <c r="L444" s="53"/>
      <c r="M444" s="57"/>
      <c r="N444" s="41">
        <f t="shared" si="83"/>
        <v>7</v>
      </c>
      <c r="O444" s="11">
        <f t="shared" si="90"/>
        <v>24</v>
      </c>
      <c r="P444" s="12">
        <f t="shared" si="84"/>
        <v>0</v>
      </c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x14ac:dyDescent="0.3">
      <c r="A445" s="33">
        <v>438</v>
      </c>
      <c r="B445" s="34" t="str">
        <f t="shared" si="85"/>
        <v>37-й год 6-й мес</v>
      </c>
      <c r="C445" s="35">
        <f t="shared" si="91"/>
        <v>54523</v>
      </c>
      <c r="D445" s="36">
        <f t="shared" si="81"/>
        <v>0</v>
      </c>
      <c r="E445" s="37">
        <f t="shared" si="86"/>
        <v>0</v>
      </c>
      <c r="F445" s="37">
        <f t="shared" si="92"/>
        <v>0</v>
      </c>
      <c r="G445" s="38">
        <f t="shared" si="87"/>
        <v>0</v>
      </c>
      <c r="H445" s="39">
        <f t="shared" si="82"/>
        <v>0</v>
      </c>
      <c r="I445" s="37">
        <f t="shared" si="93"/>
        <v>0</v>
      </c>
      <c r="J445" s="37">
        <f t="shared" si="88"/>
        <v>0</v>
      </c>
      <c r="K445" s="40">
        <f t="shared" si="89"/>
        <v>0</v>
      </c>
      <c r="L445" s="53"/>
      <c r="M445" s="57"/>
      <c r="N445" s="41">
        <f t="shared" si="83"/>
        <v>7</v>
      </c>
      <c r="O445" s="11">
        <f t="shared" si="90"/>
        <v>24</v>
      </c>
      <c r="P445" s="12">
        <f t="shared" si="84"/>
        <v>0</v>
      </c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x14ac:dyDescent="0.3">
      <c r="A446" s="33">
        <v>439</v>
      </c>
      <c r="B446" s="34" t="str">
        <f t="shared" si="85"/>
        <v>37-й год 7-й мес</v>
      </c>
      <c r="C446" s="35">
        <f t="shared" si="91"/>
        <v>54553</v>
      </c>
      <c r="D446" s="36">
        <f t="shared" si="81"/>
        <v>0</v>
      </c>
      <c r="E446" s="37">
        <f t="shared" si="86"/>
        <v>0</v>
      </c>
      <c r="F446" s="37">
        <f t="shared" si="92"/>
        <v>0</v>
      </c>
      <c r="G446" s="38">
        <f t="shared" si="87"/>
        <v>0</v>
      </c>
      <c r="H446" s="39">
        <f t="shared" si="82"/>
        <v>0</v>
      </c>
      <c r="I446" s="37">
        <f t="shared" si="93"/>
        <v>0</v>
      </c>
      <c r="J446" s="37">
        <f t="shared" si="88"/>
        <v>0</v>
      </c>
      <c r="K446" s="40">
        <f t="shared" si="89"/>
        <v>0</v>
      </c>
      <c r="L446" s="53"/>
      <c r="M446" s="57"/>
      <c r="N446" s="41">
        <f t="shared" si="83"/>
        <v>7</v>
      </c>
      <c r="O446" s="11">
        <f t="shared" si="90"/>
        <v>24</v>
      </c>
      <c r="P446" s="12">
        <f t="shared" si="84"/>
        <v>0</v>
      </c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x14ac:dyDescent="0.3">
      <c r="A447" s="33">
        <v>440</v>
      </c>
      <c r="B447" s="34" t="str">
        <f t="shared" si="85"/>
        <v>37-й год 8-й мес</v>
      </c>
      <c r="C447" s="35">
        <f t="shared" si="91"/>
        <v>54584</v>
      </c>
      <c r="D447" s="36">
        <f t="shared" si="81"/>
        <v>0</v>
      </c>
      <c r="E447" s="37">
        <f t="shared" si="86"/>
        <v>0</v>
      </c>
      <c r="F447" s="37">
        <f t="shared" si="92"/>
        <v>0</v>
      </c>
      <c r="G447" s="38">
        <f t="shared" si="87"/>
        <v>0</v>
      </c>
      <c r="H447" s="39">
        <f t="shared" si="82"/>
        <v>0</v>
      </c>
      <c r="I447" s="37">
        <f t="shared" si="93"/>
        <v>0</v>
      </c>
      <c r="J447" s="37">
        <f t="shared" si="88"/>
        <v>0</v>
      </c>
      <c r="K447" s="40">
        <f t="shared" si="89"/>
        <v>0</v>
      </c>
      <c r="L447" s="53"/>
      <c r="M447" s="57"/>
      <c r="N447" s="41">
        <f t="shared" si="83"/>
        <v>7</v>
      </c>
      <c r="O447" s="11">
        <f t="shared" si="90"/>
        <v>24</v>
      </c>
      <c r="P447" s="12">
        <f t="shared" si="84"/>
        <v>0</v>
      </c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x14ac:dyDescent="0.3">
      <c r="A448" s="33">
        <v>441</v>
      </c>
      <c r="B448" s="34" t="str">
        <f t="shared" si="85"/>
        <v>37-й год 9-й мес</v>
      </c>
      <c r="C448" s="35">
        <f t="shared" si="91"/>
        <v>54614</v>
      </c>
      <c r="D448" s="36">
        <f t="shared" si="81"/>
        <v>0</v>
      </c>
      <c r="E448" s="37">
        <f t="shared" si="86"/>
        <v>0</v>
      </c>
      <c r="F448" s="37">
        <f t="shared" si="92"/>
        <v>0</v>
      </c>
      <c r="G448" s="38">
        <f t="shared" si="87"/>
        <v>0</v>
      </c>
      <c r="H448" s="39">
        <f t="shared" si="82"/>
        <v>0</v>
      </c>
      <c r="I448" s="37">
        <f t="shared" si="93"/>
        <v>0</v>
      </c>
      <c r="J448" s="37">
        <f t="shared" si="88"/>
        <v>0</v>
      </c>
      <c r="K448" s="40">
        <f t="shared" si="89"/>
        <v>0</v>
      </c>
      <c r="L448" s="53"/>
      <c r="M448" s="57"/>
      <c r="N448" s="41">
        <f t="shared" si="83"/>
        <v>7</v>
      </c>
      <c r="O448" s="11">
        <f t="shared" si="90"/>
        <v>24</v>
      </c>
      <c r="P448" s="12">
        <f t="shared" si="84"/>
        <v>0</v>
      </c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x14ac:dyDescent="0.3">
      <c r="A449" s="33">
        <v>442</v>
      </c>
      <c r="B449" s="34" t="str">
        <f t="shared" si="85"/>
        <v>37-й год 10-й мес</v>
      </c>
      <c r="C449" s="35">
        <f t="shared" si="91"/>
        <v>54645</v>
      </c>
      <c r="D449" s="36">
        <f t="shared" si="81"/>
        <v>0</v>
      </c>
      <c r="E449" s="37">
        <f t="shared" si="86"/>
        <v>0</v>
      </c>
      <c r="F449" s="37">
        <f t="shared" si="92"/>
        <v>0</v>
      </c>
      <c r="G449" s="38">
        <f t="shared" si="87"/>
        <v>0</v>
      </c>
      <c r="H449" s="39">
        <f t="shared" si="82"/>
        <v>0</v>
      </c>
      <c r="I449" s="37">
        <f t="shared" si="93"/>
        <v>0</v>
      </c>
      <c r="J449" s="37">
        <f t="shared" si="88"/>
        <v>0</v>
      </c>
      <c r="K449" s="40">
        <f t="shared" si="89"/>
        <v>0</v>
      </c>
      <c r="L449" s="53"/>
      <c r="M449" s="57"/>
      <c r="N449" s="41">
        <f t="shared" si="83"/>
        <v>7</v>
      </c>
      <c r="O449" s="11">
        <f t="shared" si="90"/>
        <v>24</v>
      </c>
      <c r="P449" s="12">
        <f t="shared" si="84"/>
        <v>0</v>
      </c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x14ac:dyDescent="0.3">
      <c r="A450" s="33">
        <v>443</v>
      </c>
      <c r="B450" s="34" t="str">
        <f t="shared" si="85"/>
        <v>37-й год 11-й мес</v>
      </c>
      <c r="C450" s="35">
        <f t="shared" si="91"/>
        <v>54676</v>
      </c>
      <c r="D450" s="36">
        <f t="shared" si="81"/>
        <v>0</v>
      </c>
      <c r="E450" s="37">
        <f t="shared" si="86"/>
        <v>0</v>
      </c>
      <c r="F450" s="37">
        <f t="shared" si="92"/>
        <v>0</v>
      </c>
      <c r="G450" s="38">
        <f t="shared" si="87"/>
        <v>0</v>
      </c>
      <c r="H450" s="39">
        <f t="shared" si="82"/>
        <v>0</v>
      </c>
      <c r="I450" s="37">
        <f t="shared" si="93"/>
        <v>0</v>
      </c>
      <c r="J450" s="37">
        <f t="shared" si="88"/>
        <v>0</v>
      </c>
      <c r="K450" s="40">
        <f t="shared" si="89"/>
        <v>0</v>
      </c>
      <c r="L450" s="53"/>
      <c r="M450" s="57"/>
      <c r="N450" s="41">
        <f t="shared" si="83"/>
        <v>7</v>
      </c>
      <c r="O450" s="11">
        <f t="shared" si="90"/>
        <v>24</v>
      </c>
      <c r="P450" s="12">
        <f t="shared" si="84"/>
        <v>0</v>
      </c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x14ac:dyDescent="0.3">
      <c r="A451" s="33">
        <v>444</v>
      </c>
      <c r="B451" s="34" t="str">
        <f t="shared" si="85"/>
        <v>37-й год 12-й мес</v>
      </c>
      <c r="C451" s="35">
        <f t="shared" si="91"/>
        <v>54706</v>
      </c>
      <c r="D451" s="36">
        <f t="shared" si="81"/>
        <v>0</v>
      </c>
      <c r="E451" s="37">
        <f t="shared" si="86"/>
        <v>0</v>
      </c>
      <c r="F451" s="37">
        <f t="shared" si="92"/>
        <v>0</v>
      </c>
      <c r="G451" s="38">
        <f t="shared" si="87"/>
        <v>0</v>
      </c>
      <c r="H451" s="39">
        <f t="shared" si="82"/>
        <v>0</v>
      </c>
      <c r="I451" s="37">
        <f t="shared" si="93"/>
        <v>0</v>
      </c>
      <c r="J451" s="37">
        <f t="shared" si="88"/>
        <v>0</v>
      </c>
      <c r="K451" s="40">
        <f t="shared" si="89"/>
        <v>0</v>
      </c>
      <c r="L451" s="53"/>
      <c r="M451" s="57"/>
      <c r="N451" s="41">
        <f t="shared" si="83"/>
        <v>7</v>
      </c>
      <c r="O451" s="11">
        <f t="shared" si="90"/>
        <v>24</v>
      </c>
      <c r="P451" s="12">
        <f t="shared" si="84"/>
        <v>0</v>
      </c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x14ac:dyDescent="0.3">
      <c r="A452" s="42">
        <v>445</v>
      </c>
      <c r="B452" s="34" t="str">
        <f t="shared" si="85"/>
        <v>38-й год 1-й мес</v>
      </c>
      <c r="C452" s="35">
        <f t="shared" si="91"/>
        <v>54737</v>
      </c>
      <c r="D452" s="36">
        <f t="shared" si="81"/>
        <v>0</v>
      </c>
      <c r="E452" s="43">
        <f t="shared" si="86"/>
        <v>0</v>
      </c>
      <c r="F452" s="37">
        <f t="shared" si="92"/>
        <v>0</v>
      </c>
      <c r="G452" s="44">
        <f t="shared" si="87"/>
        <v>0</v>
      </c>
      <c r="H452" s="45">
        <f t="shared" si="82"/>
        <v>0</v>
      </c>
      <c r="I452" s="43">
        <f t="shared" si="93"/>
        <v>0</v>
      </c>
      <c r="J452" s="43">
        <f t="shared" si="88"/>
        <v>0</v>
      </c>
      <c r="K452" s="46">
        <f t="shared" si="89"/>
        <v>0</v>
      </c>
      <c r="L452" s="55"/>
      <c r="M452" s="54"/>
      <c r="N452" s="41">
        <f t="shared" si="83"/>
        <v>7</v>
      </c>
      <c r="O452" s="11">
        <f t="shared" si="90"/>
        <v>24</v>
      </c>
      <c r="P452" s="12">
        <f t="shared" si="84"/>
        <v>0</v>
      </c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x14ac:dyDescent="0.3">
      <c r="A453" s="47">
        <v>446</v>
      </c>
      <c r="B453" s="34" t="str">
        <f t="shared" si="85"/>
        <v>38-й год 2-й мес</v>
      </c>
      <c r="C453" s="35">
        <f t="shared" si="91"/>
        <v>54767</v>
      </c>
      <c r="D453" s="36">
        <f t="shared" si="81"/>
        <v>0</v>
      </c>
      <c r="E453" s="37">
        <f t="shared" si="86"/>
        <v>0</v>
      </c>
      <c r="F453" s="37">
        <f t="shared" si="92"/>
        <v>0</v>
      </c>
      <c r="G453" s="38">
        <f t="shared" si="87"/>
        <v>0</v>
      </c>
      <c r="H453" s="39">
        <f t="shared" si="82"/>
        <v>0</v>
      </c>
      <c r="I453" s="37">
        <f t="shared" si="93"/>
        <v>0</v>
      </c>
      <c r="J453" s="37">
        <f t="shared" si="88"/>
        <v>0</v>
      </c>
      <c r="K453" s="40">
        <f t="shared" si="89"/>
        <v>0</v>
      </c>
      <c r="L453" s="53"/>
      <c r="M453" s="57"/>
      <c r="N453" s="41">
        <f t="shared" si="83"/>
        <v>7</v>
      </c>
      <c r="O453" s="11">
        <f t="shared" si="90"/>
        <v>24</v>
      </c>
      <c r="P453" s="12">
        <f t="shared" si="84"/>
        <v>0</v>
      </c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x14ac:dyDescent="0.3">
      <c r="A454" s="47">
        <v>447</v>
      </c>
      <c r="B454" s="34" t="str">
        <f t="shared" si="85"/>
        <v>38-й год 3-й мес</v>
      </c>
      <c r="C454" s="35">
        <f t="shared" si="91"/>
        <v>54798</v>
      </c>
      <c r="D454" s="36">
        <f t="shared" si="81"/>
        <v>0</v>
      </c>
      <c r="E454" s="37">
        <f t="shared" si="86"/>
        <v>0</v>
      </c>
      <c r="F454" s="37">
        <f t="shared" si="92"/>
        <v>0</v>
      </c>
      <c r="G454" s="38">
        <f t="shared" si="87"/>
        <v>0</v>
      </c>
      <c r="H454" s="39">
        <f t="shared" si="82"/>
        <v>0</v>
      </c>
      <c r="I454" s="37">
        <f t="shared" si="93"/>
        <v>0</v>
      </c>
      <c r="J454" s="37">
        <f t="shared" si="88"/>
        <v>0</v>
      </c>
      <c r="K454" s="40">
        <f t="shared" si="89"/>
        <v>0</v>
      </c>
      <c r="L454" s="53"/>
      <c r="M454" s="57"/>
      <c r="N454" s="41">
        <f t="shared" si="83"/>
        <v>7</v>
      </c>
      <c r="O454" s="11">
        <f t="shared" si="90"/>
        <v>24</v>
      </c>
      <c r="P454" s="12">
        <f t="shared" si="84"/>
        <v>0</v>
      </c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x14ac:dyDescent="0.3">
      <c r="A455" s="47">
        <v>448</v>
      </c>
      <c r="B455" s="34" t="str">
        <f t="shared" si="85"/>
        <v>38-й год 4-й мес</v>
      </c>
      <c r="C455" s="35">
        <f t="shared" si="91"/>
        <v>54829</v>
      </c>
      <c r="D455" s="36">
        <f t="shared" si="81"/>
        <v>0</v>
      </c>
      <c r="E455" s="37">
        <f t="shared" si="86"/>
        <v>0</v>
      </c>
      <c r="F455" s="37">
        <f t="shared" si="92"/>
        <v>0</v>
      </c>
      <c r="G455" s="38">
        <f t="shared" si="87"/>
        <v>0</v>
      </c>
      <c r="H455" s="39">
        <f t="shared" si="82"/>
        <v>0</v>
      </c>
      <c r="I455" s="37">
        <f t="shared" si="93"/>
        <v>0</v>
      </c>
      <c r="J455" s="37">
        <f t="shared" si="88"/>
        <v>0</v>
      </c>
      <c r="K455" s="40">
        <f t="shared" si="89"/>
        <v>0</v>
      </c>
      <c r="L455" s="53"/>
      <c r="M455" s="57"/>
      <c r="N455" s="41">
        <f t="shared" si="83"/>
        <v>7</v>
      </c>
      <c r="O455" s="11">
        <f t="shared" si="90"/>
        <v>24</v>
      </c>
      <c r="P455" s="12">
        <f t="shared" si="84"/>
        <v>0</v>
      </c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x14ac:dyDescent="0.3">
      <c r="A456" s="47">
        <v>449</v>
      </c>
      <c r="B456" s="34" t="str">
        <f t="shared" si="85"/>
        <v>38-й год 5-й мес</v>
      </c>
      <c r="C456" s="35">
        <f t="shared" si="91"/>
        <v>54857</v>
      </c>
      <c r="D456" s="36">
        <f t="shared" ref="D456:D519" si="94">IF(P456*$D$2/100/12/(1-(1+$D$2/100/12)^(-O456))&lt;G455,ROUNDUP(P456*$D$2/100/12/(1-(1+$D$2/100/12)^(-O456)),0),G455+F456)</f>
        <v>0</v>
      </c>
      <c r="E456" s="37">
        <f t="shared" si="86"/>
        <v>0</v>
      </c>
      <c r="F456" s="37">
        <f t="shared" si="92"/>
        <v>0</v>
      </c>
      <c r="G456" s="38">
        <f t="shared" si="87"/>
        <v>0</v>
      </c>
      <c r="H456" s="39">
        <f t="shared" ref="H456:H519" si="95">I456+J456</f>
        <v>0</v>
      </c>
      <c r="I456" s="37">
        <f t="shared" si="93"/>
        <v>0</v>
      </c>
      <c r="J456" s="37">
        <f t="shared" si="88"/>
        <v>0</v>
      </c>
      <c r="K456" s="40">
        <f t="shared" si="89"/>
        <v>0</v>
      </c>
      <c r="L456" s="53"/>
      <c r="M456" s="57"/>
      <c r="N456" s="41">
        <f t="shared" ref="N456:N519" si="96">IF(ISBLANK(L455),VALUE(N455),ROW(L455))</f>
        <v>7</v>
      </c>
      <c r="O456" s="11">
        <f t="shared" si="90"/>
        <v>24</v>
      </c>
      <c r="P456" s="12">
        <f t="shared" ref="P456:P519" si="97">INDEX(G:G,N456,1)</f>
        <v>0</v>
      </c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x14ac:dyDescent="0.3">
      <c r="A457" s="47">
        <v>450</v>
      </c>
      <c r="B457" s="34" t="str">
        <f t="shared" ref="B457:B519" si="98">CONCATENATE(INT((A457-1)/12)+1,"-й год ",A457-1-INT((A457-1)/12)*12+1,"-й мес")</f>
        <v>38-й год 6-й мес</v>
      </c>
      <c r="C457" s="35">
        <f t="shared" si="91"/>
        <v>54888</v>
      </c>
      <c r="D457" s="36">
        <f t="shared" si="94"/>
        <v>0</v>
      </c>
      <c r="E457" s="37">
        <f t="shared" ref="E457:E520" si="99">D457-F457</f>
        <v>0</v>
      </c>
      <c r="F457" s="37">
        <f t="shared" si="92"/>
        <v>0</v>
      </c>
      <c r="G457" s="38">
        <f t="shared" ref="G457:G520" si="100">G456-E457-L457-M457</f>
        <v>0</v>
      </c>
      <c r="H457" s="39">
        <f t="shared" si="95"/>
        <v>0</v>
      </c>
      <c r="I457" s="37">
        <f t="shared" si="93"/>
        <v>0</v>
      </c>
      <c r="J457" s="37">
        <f t="shared" ref="J457:J520" si="101">K456*$D$2/12/100</f>
        <v>0</v>
      </c>
      <c r="K457" s="40">
        <f t="shared" ref="K457:K520" si="102">K456-I457-L457-M457</f>
        <v>0</v>
      </c>
      <c r="L457" s="53"/>
      <c r="M457" s="57"/>
      <c r="N457" s="41">
        <f t="shared" si="96"/>
        <v>7</v>
      </c>
      <c r="O457" s="11">
        <f t="shared" ref="O457:O520" si="103">O456+N456-N457</f>
        <v>24</v>
      </c>
      <c r="P457" s="12">
        <f t="shared" si="97"/>
        <v>0</v>
      </c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x14ac:dyDescent="0.3">
      <c r="A458" s="47">
        <v>451</v>
      </c>
      <c r="B458" s="34" t="str">
        <f t="shared" si="98"/>
        <v>38-й год 7-й мес</v>
      </c>
      <c r="C458" s="35">
        <f t="shared" ref="C458:C521" si="104">DATE(YEAR(C457),MONTH(C457)+1,DAY(C457))</f>
        <v>54918</v>
      </c>
      <c r="D458" s="36">
        <f t="shared" si="94"/>
        <v>0</v>
      </c>
      <c r="E458" s="37">
        <f t="shared" si="99"/>
        <v>0</v>
      </c>
      <c r="F458" s="37">
        <f t="shared" ref="F458:F521" si="105">G457*$D$2*(C458-C457)/(DATE(YEAR(C458)+1,1,1)-DATE(YEAR(C458),1,1))/100</f>
        <v>0</v>
      </c>
      <c r="G458" s="38">
        <f t="shared" si="100"/>
        <v>0</v>
      </c>
      <c r="H458" s="39">
        <f t="shared" si="95"/>
        <v>0</v>
      </c>
      <c r="I458" s="37">
        <f t="shared" ref="I458:I521" si="106">IF($D$1/$D$3&lt;K457,$D$1/$D$3,K457)</f>
        <v>0</v>
      </c>
      <c r="J458" s="37">
        <f t="shared" si="101"/>
        <v>0</v>
      </c>
      <c r="K458" s="40">
        <f t="shared" si="102"/>
        <v>0</v>
      </c>
      <c r="L458" s="53"/>
      <c r="M458" s="57"/>
      <c r="N458" s="41">
        <f t="shared" si="96"/>
        <v>7</v>
      </c>
      <c r="O458" s="11">
        <f t="shared" si="103"/>
        <v>24</v>
      </c>
      <c r="P458" s="12">
        <f t="shared" si="97"/>
        <v>0</v>
      </c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x14ac:dyDescent="0.3">
      <c r="A459" s="47">
        <v>452</v>
      </c>
      <c r="B459" s="34" t="str">
        <f t="shared" si="98"/>
        <v>38-й год 8-й мес</v>
      </c>
      <c r="C459" s="35">
        <f t="shared" si="104"/>
        <v>54949</v>
      </c>
      <c r="D459" s="36">
        <f t="shared" si="94"/>
        <v>0</v>
      </c>
      <c r="E459" s="37">
        <f t="shared" si="99"/>
        <v>0</v>
      </c>
      <c r="F459" s="37">
        <f t="shared" si="105"/>
        <v>0</v>
      </c>
      <c r="G459" s="38">
        <f t="shared" si="100"/>
        <v>0</v>
      </c>
      <c r="H459" s="39">
        <f t="shared" si="95"/>
        <v>0</v>
      </c>
      <c r="I459" s="37">
        <f t="shared" si="106"/>
        <v>0</v>
      </c>
      <c r="J459" s="37">
        <f t="shared" si="101"/>
        <v>0</v>
      </c>
      <c r="K459" s="40">
        <f t="shared" si="102"/>
        <v>0</v>
      </c>
      <c r="L459" s="53"/>
      <c r="M459" s="57"/>
      <c r="N459" s="41">
        <f t="shared" si="96"/>
        <v>7</v>
      </c>
      <c r="O459" s="11">
        <f t="shared" si="103"/>
        <v>24</v>
      </c>
      <c r="P459" s="12">
        <f t="shared" si="97"/>
        <v>0</v>
      </c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x14ac:dyDescent="0.3">
      <c r="A460" s="47">
        <v>453</v>
      </c>
      <c r="B460" s="34" t="str">
        <f t="shared" si="98"/>
        <v>38-й год 9-й мес</v>
      </c>
      <c r="C460" s="35">
        <f t="shared" si="104"/>
        <v>54979</v>
      </c>
      <c r="D460" s="36">
        <f t="shared" si="94"/>
        <v>0</v>
      </c>
      <c r="E460" s="37">
        <f t="shared" si="99"/>
        <v>0</v>
      </c>
      <c r="F460" s="37">
        <f t="shared" si="105"/>
        <v>0</v>
      </c>
      <c r="G460" s="38">
        <f t="shared" si="100"/>
        <v>0</v>
      </c>
      <c r="H460" s="39">
        <f t="shared" si="95"/>
        <v>0</v>
      </c>
      <c r="I460" s="37">
        <f t="shared" si="106"/>
        <v>0</v>
      </c>
      <c r="J460" s="37">
        <f t="shared" si="101"/>
        <v>0</v>
      </c>
      <c r="K460" s="40">
        <f t="shared" si="102"/>
        <v>0</v>
      </c>
      <c r="L460" s="53"/>
      <c r="M460" s="57"/>
      <c r="N460" s="41">
        <f t="shared" si="96"/>
        <v>7</v>
      </c>
      <c r="O460" s="11">
        <f t="shared" si="103"/>
        <v>24</v>
      </c>
      <c r="P460" s="12">
        <f t="shared" si="97"/>
        <v>0</v>
      </c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x14ac:dyDescent="0.3">
      <c r="A461" s="47">
        <v>454</v>
      </c>
      <c r="B461" s="34" t="str">
        <f t="shared" si="98"/>
        <v>38-й год 10-й мес</v>
      </c>
      <c r="C461" s="35">
        <f t="shared" si="104"/>
        <v>55010</v>
      </c>
      <c r="D461" s="36">
        <f t="shared" si="94"/>
        <v>0</v>
      </c>
      <c r="E461" s="37">
        <f t="shared" si="99"/>
        <v>0</v>
      </c>
      <c r="F461" s="37">
        <f t="shared" si="105"/>
        <v>0</v>
      </c>
      <c r="G461" s="38">
        <f t="shared" si="100"/>
        <v>0</v>
      </c>
      <c r="H461" s="39">
        <f t="shared" si="95"/>
        <v>0</v>
      </c>
      <c r="I461" s="37">
        <f t="shared" si="106"/>
        <v>0</v>
      </c>
      <c r="J461" s="37">
        <f t="shared" si="101"/>
        <v>0</v>
      </c>
      <c r="K461" s="40">
        <f t="shared" si="102"/>
        <v>0</v>
      </c>
      <c r="L461" s="53"/>
      <c r="M461" s="57"/>
      <c r="N461" s="41">
        <f t="shared" si="96"/>
        <v>7</v>
      </c>
      <c r="O461" s="11">
        <f t="shared" si="103"/>
        <v>24</v>
      </c>
      <c r="P461" s="12">
        <f t="shared" si="97"/>
        <v>0</v>
      </c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x14ac:dyDescent="0.3">
      <c r="A462" s="47">
        <v>455</v>
      </c>
      <c r="B462" s="34" t="str">
        <f t="shared" si="98"/>
        <v>38-й год 11-й мес</v>
      </c>
      <c r="C462" s="35">
        <f t="shared" si="104"/>
        <v>55041</v>
      </c>
      <c r="D462" s="36">
        <f t="shared" si="94"/>
        <v>0</v>
      </c>
      <c r="E462" s="37">
        <f t="shared" si="99"/>
        <v>0</v>
      </c>
      <c r="F462" s="37">
        <f t="shared" si="105"/>
        <v>0</v>
      </c>
      <c r="G462" s="38">
        <f t="shared" si="100"/>
        <v>0</v>
      </c>
      <c r="H462" s="39">
        <f t="shared" si="95"/>
        <v>0</v>
      </c>
      <c r="I462" s="37">
        <f t="shared" si="106"/>
        <v>0</v>
      </c>
      <c r="J462" s="37">
        <f t="shared" si="101"/>
        <v>0</v>
      </c>
      <c r="K462" s="40">
        <f t="shared" si="102"/>
        <v>0</v>
      </c>
      <c r="L462" s="53"/>
      <c r="M462" s="57"/>
      <c r="N462" s="41">
        <f t="shared" si="96"/>
        <v>7</v>
      </c>
      <c r="O462" s="11">
        <f t="shared" si="103"/>
        <v>24</v>
      </c>
      <c r="P462" s="12">
        <f t="shared" si="97"/>
        <v>0</v>
      </c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x14ac:dyDescent="0.3">
      <c r="A463" s="48">
        <v>456</v>
      </c>
      <c r="B463" s="34" t="str">
        <f t="shared" si="98"/>
        <v>38-й год 12-й мес</v>
      </c>
      <c r="C463" s="35">
        <f t="shared" si="104"/>
        <v>55071</v>
      </c>
      <c r="D463" s="36">
        <f t="shared" si="94"/>
        <v>0</v>
      </c>
      <c r="E463" s="49">
        <f t="shared" si="99"/>
        <v>0</v>
      </c>
      <c r="F463" s="37">
        <f t="shared" si="105"/>
        <v>0</v>
      </c>
      <c r="G463" s="50">
        <f t="shared" si="100"/>
        <v>0</v>
      </c>
      <c r="H463" s="51">
        <f t="shared" si="95"/>
        <v>0</v>
      </c>
      <c r="I463" s="49">
        <f t="shared" si="106"/>
        <v>0</v>
      </c>
      <c r="J463" s="49">
        <f t="shared" si="101"/>
        <v>0</v>
      </c>
      <c r="K463" s="52">
        <f t="shared" si="102"/>
        <v>0</v>
      </c>
      <c r="L463" s="56"/>
      <c r="M463" s="58"/>
      <c r="N463" s="41">
        <f t="shared" si="96"/>
        <v>7</v>
      </c>
      <c r="O463" s="11">
        <f t="shared" si="103"/>
        <v>24</v>
      </c>
      <c r="P463" s="12">
        <f t="shared" si="97"/>
        <v>0</v>
      </c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x14ac:dyDescent="0.3">
      <c r="A464" s="33">
        <v>457</v>
      </c>
      <c r="B464" s="34" t="str">
        <f t="shared" si="98"/>
        <v>39-й год 1-й мес</v>
      </c>
      <c r="C464" s="35">
        <f t="shared" si="104"/>
        <v>55102</v>
      </c>
      <c r="D464" s="36">
        <f t="shared" si="94"/>
        <v>0</v>
      </c>
      <c r="E464" s="37">
        <f t="shared" si="99"/>
        <v>0</v>
      </c>
      <c r="F464" s="37">
        <f t="shared" si="105"/>
        <v>0</v>
      </c>
      <c r="G464" s="38">
        <f t="shared" si="100"/>
        <v>0</v>
      </c>
      <c r="H464" s="39">
        <f t="shared" si="95"/>
        <v>0</v>
      </c>
      <c r="I464" s="37">
        <f t="shared" si="106"/>
        <v>0</v>
      </c>
      <c r="J464" s="37">
        <f t="shared" si="101"/>
        <v>0</v>
      </c>
      <c r="K464" s="40">
        <f t="shared" si="102"/>
        <v>0</v>
      </c>
      <c r="L464" s="53"/>
      <c r="M464" s="57"/>
      <c r="N464" s="41">
        <f t="shared" si="96"/>
        <v>7</v>
      </c>
      <c r="O464" s="11">
        <f t="shared" si="103"/>
        <v>24</v>
      </c>
      <c r="P464" s="12">
        <f t="shared" si="97"/>
        <v>0</v>
      </c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x14ac:dyDescent="0.3">
      <c r="A465" s="33">
        <v>458</v>
      </c>
      <c r="B465" s="34" t="str">
        <f t="shared" si="98"/>
        <v>39-й год 2-й мес</v>
      </c>
      <c r="C465" s="35">
        <f t="shared" si="104"/>
        <v>55132</v>
      </c>
      <c r="D465" s="36">
        <f t="shared" si="94"/>
        <v>0</v>
      </c>
      <c r="E465" s="37">
        <f t="shared" si="99"/>
        <v>0</v>
      </c>
      <c r="F465" s="37">
        <f t="shared" si="105"/>
        <v>0</v>
      </c>
      <c r="G465" s="38">
        <f t="shared" si="100"/>
        <v>0</v>
      </c>
      <c r="H465" s="39">
        <f t="shared" si="95"/>
        <v>0</v>
      </c>
      <c r="I465" s="37">
        <f t="shared" si="106"/>
        <v>0</v>
      </c>
      <c r="J465" s="37">
        <f t="shared" si="101"/>
        <v>0</v>
      </c>
      <c r="K465" s="40">
        <f t="shared" si="102"/>
        <v>0</v>
      </c>
      <c r="L465" s="53"/>
      <c r="M465" s="57"/>
      <c r="N465" s="41">
        <f t="shared" si="96"/>
        <v>7</v>
      </c>
      <c r="O465" s="11">
        <f t="shared" si="103"/>
        <v>24</v>
      </c>
      <c r="P465" s="12">
        <f t="shared" si="97"/>
        <v>0</v>
      </c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x14ac:dyDescent="0.3">
      <c r="A466" s="33">
        <v>459</v>
      </c>
      <c r="B466" s="34" t="str">
        <f t="shared" si="98"/>
        <v>39-й год 3-й мес</v>
      </c>
      <c r="C466" s="35">
        <f t="shared" si="104"/>
        <v>55163</v>
      </c>
      <c r="D466" s="36">
        <f t="shared" si="94"/>
        <v>0</v>
      </c>
      <c r="E466" s="37">
        <f t="shared" si="99"/>
        <v>0</v>
      </c>
      <c r="F466" s="37">
        <f t="shared" si="105"/>
        <v>0</v>
      </c>
      <c r="G466" s="38">
        <f t="shared" si="100"/>
        <v>0</v>
      </c>
      <c r="H466" s="39">
        <f t="shared" si="95"/>
        <v>0</v>
      </c>
      <c r="I466" s="37">
        <f t="shared" si="106"/>
        <v>0</v>
      </c>
      <c r="J466" s="37">
        <f t="shared" si="101"/>
        <v>0</v>
      </c>
      <c r="K466" s="40">
        <f t="shared" si="102"/>
        <v>0</v>
      </c>
      <c r="L466" s="53"/>
      <c r="M466" s="57"/>
      <c r="N466" s="41">
        <f t="shared" si="96"/>
        <v>7</v>
      </c>
      <c r="O466" s="11">
        <f t="shared" si="103"/>
        <v>24</v>
      </c>
      <c r="P466" s="12">
        <f t="shared" si="97"/>
        <v>0</v>
      </c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x14ac:dyDescent="0.3">
      <c r="A467" s="33">
        <v>460</v>
      </c>
      <c r="B467" s="34" t="str">
        <f t="shared" si="98"/>
        <v>39-й год 4-й мес</v>
      </c>
      <c r="C467" s="35">
        <f t="shared" si="104"/>
        <v>55194</v>
      </c>
      <c r="D467" s="36">
        <f t="shared" si="94"/>
        <v>0</v>
      </c>
      <c r="E467" s="37">
        <f t="shared" si="99"/>
        <v>0</v>
      </c>
      <c r="F467" s="37">
        <f t="shared" si="105"/>
        <v>0</v>
      </c>
      <c r="G467" s="38">
        <f t="shared" si="100"/>
        <v>0</v>
      </c>
      <c r="H467" s="39">
        <f t="shared" si="95"/>
        <v>0</v>
      </c>
      <c r="I467" s="37">
        <f t="shared" si="106"/>
        <v>0</v>
      </c>
      <c r="J467" s="37">
        <f t="shared" si="101"/>
        <v>0</v>
      </c>
      <c r="K467" s="40">
        <f t="shared" si="102"/>
        <v>0</v>
      </c>
      <c r="L467" s="53"/>
      <c r="M467" s="57"/>
      <c r="N467" s="41">
        <f t="shared" si="96"/>
        <v>7</v>
      </c>
      <c r="O467" s="11">
        <f t="shared" si="103"/>
        <v>24</v>
      </c>
      <c r="P467" s="12">
        <f t="shared" si="97"/>
        <v>0</v>
      </c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x14ac:dyDescent="0.3">
      <c r="A468" s="33">
        <v>461</v>
      </c>
      <c r="B468" s="34" t="str">
        <f t="shared" si="98"/>
        <v>39-й год 5-й мес</v>
      </c>
      <c r="C468" s="35">
        <f t="shared" si="104"/>
        <v>55222</v>
      </c>
      <c r="D468" s="36">
        <f t="shared" si="94"/>
        <v>0</v>
      </c>
      <c r="E468" s="37">
        <f t="shared" si="99"/>
        <v>0</v>
      </c>
      <c r="F468" s="37">
        <f t="shared" si="105"/>
        <v>0</v>
      </c>
      <c r="G468" s="38">
        <f t="shared" si="100"/>
        <v>0</v>
      </c>
      <c r="H468" s="39">
        <f t="shared" si="95"/>
        <v>0</v>
      </c>
      <c r="I468" s="37">
        <f t="shared" si="106"/>
        <v>0</v>
      </c>
      <c r="J468" s="37">
        <f t="shared" si="101"/>
        <v>0</v>
      </c>
      <c r="K468" s="40">
        <f t="shared" si="102"/>
        <v>0</v>
      </c>
      <c r="L468" s="53"/>
      <c r="M468" s="57"/>
      <c r="N468" s="41">
        <f t="shared" si="96"/>
        <v>7</v>
      </c>
      <c r="O468" s="11">
        <f t="shared" si="103"/>
        <v>24</v>
      </c>
      <c r="P468" s="12">
        <f t="shared" si="97"/>
        <v>0</v>
      </c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x14ac:dyDescent="0.3">
      <c r="A469" s="33">
        <v>462</v>
      </c>
      <c r="B469" s="34" t="str">
        <f t="shared" si="98"/>
        <v>39-й год 6-й мес</v>
      </c>
      <c r="C469" s="35">
        <f t="shared" si="104"/>
        <v>55253</v>
      </c>
      <c r="D469" s="36">
        <f t="shared" si="94"/>
        <v>0</v>
      </c>
      <c r="E469" s="37">
        <f t="shared" si="99"/>
        <v>0</v>
      </c>
      <c r="F469" s="37">
        <f t="shared" si="105"/>
        <v>0</v>
      </c>
      <c r="G469" s="38">
        <f t="shared" si="100"/>
        <v>0</v>
      </c>
      <c r="H469" s="39">
        <f t="shared" si="95"/>
        <v>0</v>
      </c>
      <c r="I469" s="37">
        <f t="shared" si="106"/>
        <v>0</v>
      </c>
      <c r="J469" s="37">
        <f t="shared" si="101"/>
        <v>0</v>
      </c>
      <c r="K469" s="40">
        <f t="shared" si="102"/>
        <v>0</v>
      </c>
      <c r="L469" s="53"/>
      <c r="M469" s="57"/>
      <c r="N469" s="41">
        <f t="shared" si="96"/>
        <v>7</v>
      </c>
      <c r="O469" s="11">
        <f t="shared" si="103"/>
        <v>24</v>
      </c>
      <c r="P469" s="12">
        <f t="shared" si="97"/>
        <v>0</v>
      </c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x14ac:dyDescent="0.3">
      <c r="A470" s="33">
        <v>463</v>
      </c>
      <c r="B470" s="34" t="str">
        <f t="shared" si="98"/>
        <v>39-й год 7-й мес</v>
      </c>
      <c r="C470" s="35">
        <f t="shared" si="104"/>
        <v>55283</v>
      </c>
      <c r="D470" s="36">
        <f t="shared" si="94"/>
        <v>0</v>
      </c>
      <c r="E470" s="37">
        <f t="shared" si="99"/>
        <v>0</v>
      </c>
      <c r="F470" s="37">
        <f t="shared" si="105"/>
        <v>0</v>
      </c>
      <c r="G470" s="38">
        <f t="shared" si="100"/>
        <v>0</v>
      </c>
      <c r="H470" s="39">
        <f t="shared" si="95"/>
        <v>0</v>
      </c>
      <c r="I470" s="37">
        <f t="shared" si="106"/>
        <v>0</v>
      </c>
      <c r="J470" s="37">
        <f t="shared" si="101"/>
        <v>0</v>
      </c>
      <c r="K470" s="40">
        <f t="shared" si="102"/>
        <v>0</v>
      </c>
      <c r="L470" s="53"/>
      <c r="M470" s="57"/>
      <c r="N470" s="41">
        <f t="shared" si="96"/>
        <v>7</v>
      </c>
      <c r="O470" s="11">
        <f t="shared" si="103"/>
        <v>24</v>
      </c>
      <c r="P470" s="12">
        <f t="shared" si="97"/>
        <v>0</v>
      </c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x14ac:dyDescent="0.3">
      <c r="A471" s="33">
        <v>464</v>
      </c>
      <c r="B471" s="34" t="str">
        <f t="shared" si="98"/>
        <v>39-й год 8-й мес</v>
      </c>
      <c r="C471" s="35">
        <f t="shared" si="104"/>
        <v>55314</v>
      </c>
      <c r="D471" s="36">
        <f t="shared" si="94"/>
        <v>0</v>
      </c>
      <c r="E471" s="37">
        <f t="shared" si="99"/>
        <v>0</v>
      </c>
      <c r="F471" s="37">
        <f t="shared" si="105"/>
        <v>0</v>
      </c>
      <c r="G471" s="38">
        <f t="shared" si="100"/>
        <v>0</v>
      </c>
      <c r="H471" s="39">
        <f t="shared" si="95"/>
        <v>0</v>
      </c>
      <c r="I471" s="37">
        <f t="shared" si="106"/>
        <v>0</v>
      </c>
      <c r="J471" s="37">
        <f t="shared" si="101"/>
        <v>0</v>
      </c>
      <c r="K471" s="40">
        <f t="shared" si="102"/>
        <v>0</v>
      </c>
      <c r="L471" s="53"/>
      <c r="M471" s="57"/>
      <c r="N471" s="41">
        <f t="shared" si="96"/>
        <v>7</v>
      </c>
      <c r="O471" s="11">
        <f t="shared" si="103"/>
        <v>24</v>
      </c>
      <c r="P471" s="12">
        <f t="shared" si="97"/>
        <v>0</v>
      </c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x14ac:dyDescent="0.3">
      <c r="A472" s="33">
        <v>465</v>
      </c>
      <c r="B472" s="34" t="str">
        <f t="shared" si="98"/>
        <v>39-й год 9-й мес</v>
      </c>
      <c r="C472" s="35">
        <f t="shared" si="104"/>
        <v>55344</v>
      </c>
      <c r="D472" s="36">
        <f t="shared" si="94"/>
        <v>0</v>
      </c>
      <c r="E472" s="37">
        <f t="shared" si="99"/>
        <v>0</v>
      </c>
      <c r="F472" s="37">
        <f t="shared" si="105"/>
        <v>0</v>
      </c>
      <c r="G472" s="38">
        <f t="shared" si="100"/>
        <v>0</v>
      </c>
      <c r="H472" s="39">
        <f t="shared" si="95"/>
        <v>0</v>
      </c>
      <c r="I472" s="37">
        <f t="shared" si="106"/>
        <v>0</v>
      </c>
      <c r="J472" s="37">
        <f t="shared" si="101"/>
        <v>0</v>
      </c>
      <c r="K472" s="40">
        <f t="shared" si="102"/>
        <v>0</v>
      </c>
      <c r="L472" s="53"/>
      <c r="M472" s="57"/>
      <c r="N472" s="41">
        <f t="shared" si="96"/>
        <v>7</v>
      </c>
      <c r="O472" s="11">
        <f t="shared" si="103"/>
        <v>24</v>
      </c>
      <c r="P472" s="12">
        <f t="shared" si="97"/>
        <v>0</v>
      </c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x14ac:dyDescent="0.3">
      <c r="A473" s="33">
        <v>466</v>
      </c>
      <c r="B473" s="34" t="str">
        <f t="shared" si="98"/>
        <v>39-й год 10-й мес</v>
      </c>
      <c r="C473" s="35">
        <f t="shared" si="104"/>
        <v>55375</v>
      </c>
      <c r="D473" s="36">
        <f t="shared" si="94"/>
        <v>0</v>
      </c>
      <c r="E473" s="37">
        <f t="shared" si="99"/>
        <v>0</v>
      </c>
      <c r="F473" s="37">
        <f t="shared" si="105"/>
        <v>0</v>
      </c>
      <c r="G473" s="38">
        <f t="shared" si="100"/>
        <v>0</v>
      </c>
      <c r="H473" s="39">
        <f t="shared" si="95"/>
        <v>0</v>
      </c>
      <c r="I473" s="37">
        <f t="shared" si="106"/>
        <v>0</v>
      </c>
      <c r="J473" s="37">
        <f t="shared" si="101"/>
        <v>0</v>
      </c>
      <c r="K473" s="40">
        <f t="shared" si="102"/>
        <v>0</v>
      </c>
      <c r="L473" s="53"/>
      <c r="M473" s="57"/>
      <c r="N473" s="41">
        <f t="shared" si="96"/>
        <v>7</v>
      </c>
      <c r="O473" s="11">
        <f t="shared" si="103"/>
        <v>24</v>
      </c>
      <c r="P473" s="12">
        <f t="shared" si="97"/>
        <v>0</v>
      </c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x14ac:dyDescent="0.3">
      <c r="A474" s="33">
        <v>467</v>
      </c>
      <c r="B474" s="34" t="str">
        <f t="shared" si="98"/>
        <v>39-й год 11-й мес</v>
      </c>
      <c r="C474" s="35">
        <f t="shared" si="104"/>
        <v>55406</v>
      </c>
      <c r="D474" s="36">
        <f t="shared" si="94"/>
        <v>0</v>
      </c>
      <c r="E474" s="37">
        <f t="shared" si="99"/>
        <v>0</v>
      </c>
      <c r="F474" s="37">
        <f t="shared" si="105"/>
        <v>0</v>
      </c>
      <c r="G474" s="38">
        <f t="shared" si="100"/>
        <v>0</v>
      </c>
      <c r="H474" s="39">
        <f t="shared" si="95"/>
        <v>0</v>
      </c>
      <c r="I474" s="37">
        <f t="shared" si="106"/>
        <v>0</v>
      </c>
      <c r="J474" s="37">
        <f t="shared" si="101"/>
        <v>0</v>
      </c>
      <c r="K474" s="40">
        <f t="shared" si="102"/>
        <v>0</v>
      </c>
      <c r="L474" s="53"/>
      <c r="M474" s="57"/>
      <c r="N474" s="41">
        <f t="shared" si="96"/>
        <v>7</v>
      </c>
      <c r="O474" s="11">
        <f t="shared" si="103"/>
        <v>24</v>
      </c>
      <c r="P474" s="12">
        <f t="shared" si="97"/>
        <v>0</v>
      </c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x14ac:dyDescent="0.3">
      <c r="A475" s="33">
        <v>468</v>
      </c>
      <c r="B475" s="34" t="str">
        <f t="shared" si="98"/>
        <v>39-й год 12-й мес</v>
      </c>
      <c r="C475" s="35">
        <f t="shared" si="104"/>
        <v>55436</v>
      </c>
      <c r="D475" s="36">
        <f t="shared" si="94"/>
        <v>0</v>
      </c>
      <c r="E475" s="37">
        <f t="shared" si="99"/>
        <v>0</v>
      </c>
      <c r="F475" s="37">
        <f t="shared" si="105"/>
        <v>0</v>
      </c>
      <c r="G475" s="38">
        <f t="shared" si="100"/>
        <v>0</v>
      </c>
      <c r="H475" s="39">
        <f t="shared" si="95"/>
        <v>0</v>
      </c>
      <c r="I475" s="37">
        <f t="shared" si="106"/>
        <v>0</v>
      </c>
      <c r="J475" s="37">
        <f t="shared" si="101"/>
        <v>0</v>
      </c>
      <c r="K475" s="40">
        <f t="shared" si="102"/>
        <v>0</v>
      </c>
      <c r="L475" s="53"/>
      <c r="M475" s="57"/>
      <c r="N475" s="41">
        <f t="shared" si="96"/>
        <v>7</v>
      </c>
      <c r="O475" s="11">
        <f t="shared" si="103"/>
        <v>24</v>
      </c>
      <c r="P475" s="12">
        <f t="shared" si="97"/>
        <v>0</v>
      </c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x14ac:dyDescent="0.3">
      <c r="A476" s="42">
        <v>469</v>
      </c>
      <c r="B476" s="34" t="str">
        <f t="shared" si="98"/>
        <v>40-й год 1-й мес</v>
      </c>
      <c r="C476" s="35">
        <f t="shared" si="104"/>
        <v>55467</v>
      </c>
      <c r="D476" s="36">
        <f t="shared" si="94"/>
        <v>0</v>
      </c>
      <c r="E476" s="43">
        <f t="shared" si="99"/>
        <v>0</v>
      </c>
      <c r="F476" s="37">
        <f t="shared" si="105"/>
        <v>0</v>
      </c>
      <c r="G476" s="44">
        <f t="shared" si="100"/>
        <v>0</v>
      </c>
      <c r="H476" s="45">
        <f t="shared" si="95"/>
        <v>0</v>
      </c>
      <c r="I476" s="43">
        <f t="shared" si="106"/>
        <v>0</v>
      </c>
      <c r="J476" s="43">
        <f t="shared" si="101"/>
        <v>0</v>
      </c>
      <c r="K476" s="46">
        <f t="shared" si="102"/>
        <v>0</v>
      </c>
      <c r="L476" s="55"/>
      <c r="M476" s="54"/>
      <c r="N476" s="41">
        <f t="shared" si="96"/>
        <v>7</v>
      </c>
      <c r="O476" s="11">
        <f t="shared" si="103"/>
        <v>24</v>
      </c>
      <c r="P476" s="12">
        <f t="shared" si="97"/>
        <v>0</v>
      </c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x14ac:dyDescent="0.3">
      <c r="A477" s="47">
        <v>470</v>
      </c>
      <c r="B477" s="34" t="str">
        <f t="shared" si="98"/>
        <v>40-й год 2-й мес</v>
      </c>
      <c r="C477" s="35">
        <f t="shared" si="104"/>
        <v>55497</v>
      </c>
      <c r="D477" s="36">
        <f t="shared" si="94"/>
        <v>0</v>
      </c>
      <c r="E477" s="37">
        <f t="shared" si="99"/>
        <v>0</v>
      </c>
      <c r="F477" s="37">
        <f t="shared" si="105"/>
        <v>0</v>
      </c>
      <c r="G477" s="38">
        <f t="shared" si="100"/>
        <v>0</v>
      </c>
      <c r="H477" s="39">
        <f t="shared" si="95"/>
        <v>0</v>
      </c>
      <c r="I477" s="37">
        <f t="shared" si="106"/>
        <v>0</v>
      </c>
      <c r="J477" s="37">
        <f t="shared" si="101"/>
        <v>0</v>
      </c>
      <c r="K477" s="40">
        <f t="shared" si="102"/>
        <v>0</v>
      </c>
      <c r="L477" s="53"/>
      <c r="M477" s="57"/>
      <c r="N477" s="41">
        <f t="shared" si="96"/>
        <v>7</v>
      </c>
      <c r="O477" s="11">
        <f t="shared" si="103"/>
        <v>24</v>
      </c>
      <c r="P477" s="12">
        <f t="shared" si="97"/>
        <v>0</v>
      </c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x14ac:dyDescent="0.3">
      <c r="A478" s="47">
        <v>471</v>
      </c>
      <c r="B478" s="34" t="str">
        <f t="shared" si="98"/>
        <v>40-й год 3-й мес</v>
      </c>
      <c r="C478" s="35">
        <f t="shared" si="104"/>
        <v>55528</v>
      </c>
      <c r="D478" s="36">
        <f t="shared" si="94"/>
        <v>0</v>
      </c>
      <c r="E478" s="37">
        <f t="shared" si="99"/>
        <v>0</v>
      </c>
      <c r="F478" s="37">
        <f t="shared" si="105"/>
        <v>0</v>
      </c>
      <c r="G478" s="38">
        <f t="shared" si="100"/>
        <v>0</v>
      </c>
      <c r="H478" s="39">
        <f t="shared" si="95"/>
        <v>0</v>
      </c>
      <c r="I478" s="37">
        <f t="shared" si="106"/>
        <v>0</v>
      </c>
      <c r="J478" s="37">
        <f t="shared" si="101"/>
        <v>0</v>
      </c>
      <c r="K478" s="40">
        <f t="shared" si="102"/>
        <v>0</v>
      </c>
      <c r="L478" s="53"/>
      <c r="M478" s="57"/>
      <c r="N478" s="41">
        <f t="shared" si="96"/>
        <v>7</v>
      </c>
      <c r="O478" s="11">
        <f t="shared" si="103"/>
        <v>24</v>
      </c>
      <c r="P478" s="12">
        <f t="shared" si="97"/>
        <v>0</v>
      </c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x14ac:dyDescent="0.3">
      <c r="A479" s="47">
        <v>472</v>
      </c>
      <c r="B479" s="34" t="str">
        <f t="shared" si="98"/>
        <v>40-й год 4-й мес</v>
      </c>
      <c r="C479" s="35">
        <f t="shared" si="104"/>
        <v>55559</v>
      </c>
      <c r="D479" s="36">
        <f t="shared" si="94"/>
        <v>0</v>
      </c>
      <c r="E479" s="37">
        <f t="shared" si="99"/>
        <v>0</v>
      </c>
      <c r="F479" s="37">
        <f t="shared" si="105"/>
        <v>0</v>
      </c>
      <c r="G479" s="38">
        <f t="shared" si="100"/>
        <v>0</v>
      </c>
      <c r="H479" s="39">
        <f t="shared" si="95"/>
        <v>0</v>
      </c>
      <c r="I479" s="37">
        <f t="shared" si="106"/>
        <v>0</v>
      </c>
      <c r="J479" s="37">
        <f t="shared" si="101"/>
        <v>0</v>
      </c>
      <c r="K479" s="40">
        <f t="shared" si="102"/>
        <v>0</v>
      </c>
      <c r="L479" s="53"/>
      <c r="M479" s="57"/>
      <c r="N479" s="41">
        <f t="shared" si="96"/>
        <v>7</v>
      </c>
      <c r="O479" s="11">
        <f t="shared" si="103"/>
        <v>24</v>
      </c>
      <c r="P479" s="12">
        <f t="shared" si="97"/>
        <v>0</v>
      </c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x14ac:dyDescent="0.3">
      <c r="A480" s="47">
        <v>473</v>
      </c>
      <c r="B480" s="34" t="str">
        <f t="shared" si="98"/>
        <v>40-й год 5-й мес</v>
      </c>
      <c r="C480" s="35">
        <f t="shared" si="104"/>
        <v>55588</v>
      </c>
      <c r="D480" s="36">
        <f t="shared" si="94"/>
        <v>0</v>
      </c>
      <c r="E480" s="37">
        <f t="shared" si="99"/>
        <v>0</v>
      </c>
      <c r="F480" s="37">
        <f t="shared" si="105"/>
        <v>0</v>
      </c>
      <c r="G480" s="38">
        <f t="shared" si="100"/>
        <v>0</v>
      </c>
      <c r="H480" s="39">
        <f t="shared" si="95"/>
        <v>0</v>
      </c>
      <c r="I480" s="37">
        <f t="shared" si="106"/>
        <v>0</v>
      </c>
      <c r="J480" s="37">
        <f t="shared" si="101"/>
        <v>0</v>
      </c>
      <c r="K480" s="40">
        <f t="shared" si="102"/>
        <v>0</v>
      </c>
      <c r="L480" s="53"/>
      <c r="M480" s="57"/>
      <c r="N480" s="41">
        <f t="shared" si="96"/>
        <v>7</v>
      </c>
      <c r="O480" s="11">
        <f t="shared" si="103"/>
        <v>24</v>
      </c>
      <c r="P480" s="12">
        <f t="shared" si="97"/>
        <v>0</v>
      </c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x14ac:dyDescent="0.3">
      <c r="A481" s="47">
        <v>474</v>
      </c>
      <c r="B481" s="34" t="str">
        <f t="shared" si="98"/>
        <v>40-й год 6-й мес</v>
      </c>
      <c r="C481" s="35">
        <f t="shared" si="104"/>
        <v>55619</v>
      </c>
      <c r="D481" s="36">
        <f t="shared" si="94"/>
        <v>0</v>
      </c>
      <c r="E481" s="37">
        <f t="shared" si="99"/>
        <v>0</v>
      </c>
      <c r="F481" s="37">
        <f t="shared" si="105"/>
        <v>0</v>
      </c>
      <c r="G481" s="38">
        <f t="shared" si="100"/>
        <v>0</v>
      </c>
      <c r="H481" s="39">
        <f t="shared" si="95"/>
        <v>0</v>
      </c>
      <c r="I481" s="37">
        <f t="shared" si="106"/>
        <v>0</v>
      </c>
      <c r="J481" s="37">
        <f t="shared" si="101"/>
        <v>0</v>
      </c>
      <c r="K481" s="40">
        <f t="shared" si="102"/>
        <v>0</v>
      </c>
      <c r="L481" s="53"/>
      <c r="M481" s="57"/>
      <c r="N481" s="41">
        <f t="shared" si="96"/>
        <v>7</v>
      </c>
      <c r="O481" s="11">
        <f t="shared" si="103"/>
        <v>24</v>
      </c>
      <c r="P481" s="12">
        <f t="shared" si="97"/>
        <v>0</v>
      </c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x14ac:dyDescent="0.3">
      <c r="A482" s="47">
        <v>475</v>
      </c>
      <c r="B482" s="34" t="str">
        <f t="shared" si="98"/>
        <v>40-й год 7-й мес</v>
      </c>
      <c r="C482" s="35">
        <f t="shared" si="104"/>
        <v>55649</v>
      </c>
      <c r="D482" s="36">
        <f t="shared" si="94"/>
        <v>0</v>
      </c>
      <c r="E482" s="37">
        <f t="shared" si="99"/>
        <v>0</v>
      </c>
      <c r="F482" s="37">
        <f t="shared" si="105"/>
        <v>0</v>
      </c>
      <c r="G482" s="38">
        <f t="shared" si="100"/>
        <v>0</v>
      </c>
      <c r="H482" s="39">
        <f t="shared" si="95"/>
        <v>0</v>
      </c>
      <c r="I482" s="37">
        <f t="shared" si="106"/>
        <v>0</v>
      </c>
      <c r="J482" s="37">
        <f t="shared" si="101"/>
        <v>0</v>
      </c>
      <c r="K482" s="40">
        <f t="shared" si="102"/>
        <v>0</v>
      </c>
      <c r="L482" s="53"/>
      <c r="M482" s="57"/>
      <c r="N482" s="41">
        <f t="shared" si="96"/>
        <v>7</v>
      </c>
      <c r="O482" s="11">
        <f t="shared" si="103"/>
        <v>24</v>
      </c>
      <c r="P482" s="12">
        <f t="shared" si="97"/>
        <v>0</v>
      </c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x14ac:dyDescent="0.3">
      <c r="A483" s="47">
        <v>476</v>
      </c>
      <c r="B483" s="34" t="str">
        <f t="shared" si="98"/>
        <v>40-й год 8-й мес</v>
      </c>
      <c r="C483" s="35">
        <f t="shared" si="104"/>
        <v>55680</v>
      </c>
      <c r="D483" s="36">
        <f t="shared" si="94"/>
        <v>0</v>
      </c>
      <c r="E483" s="37">
        <f t="shared" si="99"/>
        <v>0</v>
      </c>
      <c r="F483" s="37">
        <f t="shared" si="105"/>
        <v>0</v>
      </c>
      <c r="G483" s="38">
        <f t="shared" si="100"/>
        <v>0</v>
      </c>
      <c r="H483" s="39">
        <f t="shared" si="95"/>
        <v>0</v>
      </c>
      <c r="I483" s="37">
        <f t="shared" si="106"/>
        <v>0</v>
      </c>
      <c r="J483" s="37">
        <f t="shared" si="101"/>
        <v>0</v>
      </c>
      <c r="K483" s="40">
        <f t="shared" si="102"/>
        <v>0</v>
      </c>
      <c r="L483" s="53"/>
      <c r="M483" s="57"/>
      <c r="N483" s="41">
        <f t="shared" si="96"/>
        <v>7</v>
      </c>
      <c r="O483" s="11">
        <f t="shared" si="103"/>
        <v>24</v>
      </c>
      <c r="P483" s="12">
        <f t="shared" si="97"/>
        <v>0</v>
      </c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x14ac:dyDescent="0.3">
      <c r="A484" s="47">
        <v>477</v>
      </c>
      <c r="B484" s="34" t="str">
        <f t="shared" si="98"/>
        <v>40-й год 9-й мес</v>
      </c>
      <c r="C484" s="35">
        <f t="shared" si="104"/>
        <v>55710</v>
      </c>
      <c r="D484" s="36">
        <f t="shared" si="94"/>
        <v>0</v>
      </c>
      <c r="E484" s="37">
        <f t="shared" si="99"/>
        <v>0</v>
      </c>
      <c r="F484" s="37">
        <f t="shared" si="105"/>
        <v>0</v>
      </c>
      <c r="G484" s="38">
        <f t="shared" si="100"/>
        <v>0</v>
      </c>
      <c r="H484" s="39">
        <f t="shared" si="95"/>
        <v>0</v>
      </c>
      <c r="I484" s="37">
        <f t="shared" si="106"/>
        <v>0</v>
      </c>
      <c r="J484" s="37">
        <f t="shared" si="101"/>
        <v>0</v>
      </c>
      <c r="K484" s="40">
        <f t="shared" si="102"/>
        <v>0</v>
      </c>
      <c r="L484" s="53"/>
      <c r="M484" s="57"/>
      <c r="N484" s="41">
        <f t="shared" si="96"/>
        <v>7</v>
      </c>
      <c r="O484" s="11">
        <f t="shared" si="103"/>
        <v>24</v>
      </c>
      <c r="P484" s="12">
        <f t="shared" si="97"/>
        <v>0</v>
      </c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x14ac:dyDescent="0.3">
      <c r="A485" s="47">
        <v>478</v>
      </c>
      <c r="B485" s="34" t="str">
        <f t="shared" si="98"/>
        <v>40-й год 10-й мес</v>
      </c>
      <c r="C485" s="35">
        <f t="shared" si="104"/>
        <v>55741</v>
      </c>
      <c r="D485" s="36">
        <f t="shared" si="94"/>
        <v>0</v>
      </c>
      <c r="E485" s="37">
        <f t="shared" si="99"/>
        <v>0</v>
      </c>
      <c r="F485" s="37">
        <f t="shared" si="105"/>
        <v>0</v>
      </c>
      <c r="G485" s="38">
        <f t="shared" si="100"/>
        <v>0</v>
      </c>
      <c r="H485" s="39">
        <f t="shared" si="95"/>
        <v>0</v>
      </c>
      <c r="I485" s="37">
        <f t="shared" si="106"/>
        <v>0</v>
      </c>
      <c r="J485" s="37">
        <f t="shared" si="101"/>
        <v>0</v>
      </c>
      <c r="K485" s="40">
        <f t="shared" si="102"/>
        <v>0</v>
      </c>
      <c r="L485" s="53"/>
      <c r="M485" s="57"/>
      <c r="N485" s="41">
        <f t="shared" si="96"/>
        <v>7</v>
      </c>
      <c r="O485" s="11">
        <f t="shared" si="103"/>
        <v>24</v>
      </c>
      <c r="P485" s="12">
        <f t="shared" si="97"/>
        <v>0</v>
      </c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x14ac:dyDescent="0.3">
      <c r="A486" s="47">
        <v>479</v>
      </c>
      <c r="B486" s="34" t="str">
        <f t="shared" si="98"/>
        <v>40-й год 11-й мес</v>
      </c>
      <c r="C486" s="35">
        <f t="shared" si="104"/>
        <v>55772</v>
      </c>
      <c r="D486" s="36">
        <f t="shared" si="94"/>
        <v>0</v>
      </c>
      <c r="E486" s="37">
        <f t="shared" si="99"/>
        <v>0</v>
      </c>
      <c r="F486" s="37">
        <f t="shared" si="105"/>
        <v>0</v>
      </c>
      <c r="G486" s="38">
        <f t="shared" si="100"/>
        <v>0</v>
      </c>
      <c r="H486" s="39">
        <f t="shared" si="95"/>
        <v>0</v>
      </c>
      <c r="I486" s="37">
        <f t="shared" si="106"/>
        <v>0</v>
      </c>
      <c r="J486" s="37">
        <f t="shared" si="101"/>
        <v>0</v>
      </c>
      <c r="K486" s="40">
        <f t="shared" si="102"/>
        <v>0</v>
      </c>
      <c r="L486" s="53"/>
      <c r="M486" s="57"/>
      <c r="N486" s="41">
        <f t="shared" si="96"/>
        <v>7</v>
      </c>
      <c r="O486" s="11">
        <f t="shared" si="103"/>
        <v>24</v>
      </c>
      <c r="P486" s="12">
        <f t="shared" si="97"/>
        <v>0</v>
      </c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x14ac:dyDescent="0.3">
      <c r="A487" s="48">
        <v>480</v>
      </c>
      <c r="B487" s="34" t="str">
        <f t="shared" si="98"/>
        <v>40-й год 12-й мес</v>
      </c>
      <c r="C487" s="35">
        <f t="shared" si="104"/>
        <v>55802</v>
      </c>
      <c r="D487" s="36">
        <f t="shared" si="94"/>
        <v>0</v>
      </c>
      <c r="E487" s="49">
        <f t="shared" si="99"/>
        <v>0</v>
      </c>
      <c r="F487" s="37">
        <f t="shared" si="105"/>
        <v>0</v>
      </c>
      <c r="G487" s="50">
        <f t="shared" si="100"/>
        <v>0</v>
      </c>
      <c r="H487" s="51">
        <f t="shared" si="95"/>
        <v>0</v>
      </c>
      <c r="I487" s="49">
        <f t="shared" si="106"/>
        <v>0</v>
      </c>
      <c r="J487" s="49">
        <f t="shared" si="101"/>
        <v>0</v>
      </c>
      <c r="K487" s="52">
        <f t="shared" si="102"/>
        <v>0</v>
      </c>
      <c r="L487" s="56"/>
      <c r="M487" s="58"/>
      <c r="N487" s="41">
        <f t="shared" si="96"/>
        <v>7</v>
      </c>
      <c r="O487" s="11">
        <f t="shared" si="103"/>
        <v>24</v>
      </c>
      <c r="P487" s="12">
        <f t="shared" si="97"/>
        <v>0</v>
      </c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x14ac:dyDescent="0.3">
      <c r="A488" s="33">
        <v>481</v>
      </c>
      <c r="B488" s="34" t="str">
        <f t="shared" si="98"/>
        <v>41-й год 1-й мес</v>
      </c>
      <c r="C488" s="35">
        <f t="shared" si="104"/>
        <v>55833</v>
      </c>
      <c r="D488" s="36">
        <f t="shared" si="94"/>
        <v>0</v>
      </c>
      <c r="E488" s="37">
        <f t="shared" si="99"/>
        <v>0</v>
      </c>
      <c r="F488" s="37">
        <f t="shared" si="105"/>
        <v>0</v>
      </c>
      <c r="G488" s="38">
        <f t="shared" si="100"/>
        <v>0</v>
      </c>
      <c r="H488" s="39">
        <f t="shared" si="95"/>
        <v>0</v>
      </c>
      <c r="I488" s="37">
        <f t="shared" si="106"/>
        <v>0</v>
      </c>
      <c r="J488" s="37">
        <f t="shared" si="101"/>
        <v>0</v>
      </c>
      <c r="K488" s="40">
        <f t="shared" si="102"/>
        <v>0</v>
      </c>
      <c r="L488" s="53"/>
      <c r="M488" s="57"/>
      <c r="N488" s="41">
        <f t="shared" si="96"/>
        <v>7</v>
      </c>
      <c r="O488" s="11">
        <f t="shared" si="103"/>
        <v>24</v>
      </c>
      <c r="P488" s="12">
        <f t="shared" si="97"/>
        <v>0</v>
      </c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x14ac:dyDescent="0.3">
      <c r="A489" s="33">
        <v>482</v>
      </c>
      <c r="B489" s="34" t="str">
        <f t="shared" si="98"/>
        <v>41-й год 2-й мес</v>
      </c>
      <c r="C489" s="35">
        <f t="shared" si="104"/>
        <v>55863</v>
      </c>
      <c r="D489" s="36">
        <f t="shared" si="94"/>
        <v>0</v>
      </c>
      <c r="E489" s="37">
        <f t="shared" si="99"/>
        <v>0</v>
      </c>
      <c r="F489" s="37">
        <f t="shared" si="105"/>
        <v>0</v>
      </c>
      <c r="G489" s="38">
        <f t="shared" si="100"/>
        <v>0</v>
      </c>
      <c r="H489" s="39">
        <f t="shared" si="95"/>
        <v>0</v>
      </c>
      <c r="I489" s="37">
        <f t="shared" si="106"/>
        <v>0</v>
      </c>
      <c r="J489" s="37">
        <f t="shared" si="101"/>
        <v>0</v>
      </c>
      <c r="K489" s="40">
        <f t="shared" si="102"/>
        <v>0</v>
      </c>
      <c r="L489" s="53"/>
      <c r="M489" s="57"/>
      <c r="N489" s="41">
        <f t="shared" si="96"/>
        <v>7</v>
      </c>
      <c r="O489" s="11">
        <f t="shared" si="103"/>
        <v>24</v>
      </c>
      <c r="P489" s="12">
        <f t="shared" si="97"/>
        <v>0</v>
      </c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x14ac:dyDescent="0.3">
      <c r="A490" s="33">
        <v>483</v>
      </c>
      <c r="B490" s="34" t="str">
        <f t="shared" si="98"/>
        <v>41-й год 3-й мес</v>
      </c>
      <c r="C490" s="35">
        <f t="shared" si="104"/>
        <v>55894</v>
      </c>
      <c r="D490" s="36">
        <f t="shared" si="94"/>
        <v>0</v>
      </c>
      <c r="E490" s="37">
        <f t="shared" si="99"/>
        <v>0</v>
      </c>
      <c r="F490" s="37">
        <f t="shared" si="105"/>
        <v>0</v>
      </c>
      <c r="G490" s="38">
        <f t="shared" si="100"/>
        <v>0</v>
      </c>
      <c r="H490" s="39">
        <f t="shared" si="95"/>
        <v>0</v>
      </c>
      <c r="I490" s="37">
        <f t="shared" si="106"/>
        <v>0</v>
      </c>
      <c r="J490" s="37">
        <f t="shared" si="101"/>
        <v>0</v>
      </c>
      <c r="K490" s="40">
        <f t="shared" si="102"/>
        <v>0</v>
      </c>
      <c r="L490" s="53"/>
      <c r="M490" s="57"/>
      <c r="N490" s="41">
        <f t="shared" si="96"/>
        <v>7</v>
      </c>
      <c r="O490" s="11">
        <f t="shared" si="103"/>
        <v>24</v>
      </c>
      <c r="P490" s="12">
        <f t="shared" si="97"/>
        <v>0</v>
      </c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x14ac:dyDescent="0.3">
      <c r="A491" s="33">
        <v>484</v>
      </c>
      <c r="B491" s="34" t="str">
        <f t="shared" si="98"/>
        <v>41-й год 4-й мес</v>
      </c>
      <c r="C491" s="35">
        <f t="shared" si="104"/>
        <v>55925</v>
      </c>
      <c r="D491" s="36">
        <f t="shared" si="94"/>
        <v>0</v>
      </c>
      <c r="E491" s="37">
        <f t="shared" si="99"/>
        <v>0</v>
      </c>
      <c r="F491" s="37">
        <f t="shared" si="105"/>
        <v>0</v>
      </c>
      <c r="G491" s="38">
        <f t="shared" si="100"/>
        <v>0</v>
      </c>
      <c r="H491" s="39">
        <f t="shared" si="95"/>
        <v>0</v>
      </c>
      <c r="I491" s="37">
        <f t="shared" si="106"/>
        <v>0</v>
      </c>
      <c r="J491" s="37">
        <f t="shared" si="101"/>
        <v>0</v>
      </c>
      <c r="K491" s="40">
        <f t="shared" si="102"/>
        <v>0</v>
      </c>
      <c r="L491" s="53"/>
      <c r="M491" s="57"/>
      <c r="N491" s="41">
        <f t="shared" si="96"/>
        <v>7</v>
      </c>
      <c r="O491" s="11">
        <f t="shared" si="103"/>
        <v>24</v>
      </c>
      <c r="P491" s="12">
        <f t="shared" si="97"/>
        <v>0</v>
      </c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x14ac:dyDescent="0.3">
      <c r="A492" s="33">
        <v>485</v>
      </c>
      <c r="B492" s="34" t="str">
        <f t="shared" si="98"/>
        <v>41-й год 5-й мес</v>
      </c>
      <c r="C492" s="35">
        <f t="shared" si="104"/>
        <v>55953</v>
      </c>
      <c r="D492" s="36">
        <f t="shared" si="94"/>
        <v>0</v>
      </c>
      <c r="E492" s="37">
        <f t="shared" si="99"/>
        <v>0</v>
      </c>
      <c r="F492" s="37">
        <f t="shared" si="105"/>
        <v>0</v>
      </c>
      <c r="G492" s="38">
        <f t="shared" si="100"/>
        <v>0</v>
      </c>
      <c r="H492" s="39">
        <f t="shared" si="95"/>
        <v>0</v>
      </c>
      <c r="I492" s="37">
        <f t="shared" si="106"/>
        <v>0</v>
      </c>
      <c r="J492" s="37">
        <f t="shared" si="101"/>
        <v>0</v>
      </c>
      <c r="K492" s="40">
        <f t="shared" si="102"/>
        <v>0</v>
      </c>
      <c r="L492" s="53"/>
      <c r="M492" s="57"/>
      <c r="N492" s="41">
        <f t="shared" si="96"/>
        <v>7</v>
      </c>
      <c r="O492" s="11">
        <f t="shared" si="103"/>
        <v>24</v>
      </c>
      <c r="P492" s="12">
        <f t="shared" si="97"/>
        <v>0</v>
      </c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x14ac:dyDescent="0.3">
      <c r="A493" s="33">
        <v>486</v>
      </c>
      <c r="B493" s="34" t="str">
        <f t="shared" si="98"/>
        <v>41-й год 6-й мес</v>
      </c>
      <c r="C493" s="35">
        <f t="shared" si="104"/>
        <v>55984</v>
      </c>
      <c r="D493" s="36">
        <f t="shared" si="94"/>
        <v>0</v>
      </c>
      <c r="E493" s="37">
        <f t="shared" si="99"/>
        <v>0</v>
      </c>
      <c r="F493" s="37">
        <f t="shared" si="105"/>
        <v>0</v>
      </c>
      <c r="G493" s="38">
        <f t="shared" si="100"/>
        <v>0</v>
      </c>
      <c r="H493" s="39">
        <f t="shared" si="95"/>
        <v>0</v>
      </c>
      <c r="I493" s="37">
        <f t="shared" si="106"/>
        <v>0</v>
      </c>
      <c r="J493" s="37">
        <f t="shared" si="101"/>
        <v>0</v>
      </c>
      <c r="K493" s="40">
        <f t="shared" si="102"/>
        <v>0</v>
      </c>
      <c r="L493" s="53"/>
      <c r="M493" s="57"/>
      <c r="N493" s="41">
        <f t="shared" si="96"/>
        <v>7</v>
      </c>
      <c r="O493" s="11">
        <f t="shared" si="103"/>
        <v>24</v>
      </c>
      <c r="P493" s="12">
        <f t="shared" si="97"/>
        <v>0</v>
      </c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x14ac:dyDescent="0.3">
      <c r="A494" s="33">
        <v>487</v>
      </c>
      <c r="B494" s="34" t="str">
        <f t="shared" si="98"/>
        <v>41-й год 7-й мес</v>
      </c>
      <c r="C494" s="35">
        <f t="shared" si="104"/>
        <v>56014</v>
      </c>
      <c r="D494" s="36">
        <f t="shared" si="94"/>
        <v>0</v>
      </c>
      <c r="E494" s="37">
        <f t="shared" si="99"/>
        <v>0</v>
      </c>
      <c r="F494" s="37">
        <f t="shared" si="105"/>
        <v>0</v>
      </c>
      <c r="G494" s="38">
        <f t="shared" si="100"/>
        <v>0</v>
      </c>
      <c r="H494" s="39">
        <f t="shared" si="95"/>
        <v>0</v>
      </c>
      <c r="I494" s="37">
        <f t="shared" si="106"/>
        <v>0</v>
      </c>
      <c r="J494" s="37">
        <f t="shared" si="101"/>
        <v>0</v>
      </c>
      <c r="K494" s="40">
        <f t="shared" si="102"/>
        <v>0</v>
      </c>
      <c r="L494" s="53"/>
      <c r="M494" s="57"/>
      <c r="N494" s="41">
        <f t="shared" si="96"/>
        <v>7</v>
      </c>
      <c r="O494" s="11">
        <f t="shared" si="103"/>
        <v>24</v>
      </c>
      <c r="P494" s="12">
        <f t="shared" si="97"/>
        <v>0</v>
      </c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x14ac:dyDescent="0.3">
      <c r="A495" s="33">
        <v>488</v>
      </c>
      <c r="B495" s="34" t="str">
        <f t="shared" si="98"/>
        <v>41-й год 8-й мес</v>
      </c>
      <c r="C495" s="35">
        <f t="shared" si="104"/>
        <v>56045</v>
      </c>
      <c r="D495" s="36">
        <f t="shared" si="94"/>
        <v>0</v>
      </c>
      <c r="E495" s="37">
        <f t="shared" si="99"/>
        <v>0</v>
      </c>
      <c r="F495" s="37">
        <f t="shared" si="105"/>
        <v>0</v>
      </c>
      <c r="G495" s="38">
        <f t="shared" si="100"/>
        <v>0</v>
      </c>
      <c r="H495" s="39">
        <f t="shared" si="95"/>
        <v>0</v>
      </c>
      <c r="I495" s="37">
        <f t="shared" si="106"/>
        <v>0</v>
      </c>
      <c r="J495" s="37">
        <f t="shared" si="101"/>
        <v>0</v>
      </c>
      <c r="K495" s="40">
        <f t="shared" si="102"/>
        <v>0</v>
      </c>
      <c r="L495" s="53"/>
      <c r="M495" s="57"/>
      <c r="N495" s="41">
        <f t="shared" si="96"/>
        <v>7</v>
      </c>
      <c r="O495" s="11">
        <f t="shared" si="103"/>
        <v>24</v>
      </c>
      <c r="P495" s="12">
        <f t="shared" si="97"/>
        <v>0</v>
      </c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x14ac:dyDescent="0.3">
      <c r="A496" s="33">
        <v>489</v>
      </c>
      <c r="B496" s="34" t="str">
        <f t="shared" si="98"/>
        <v>41-й год 9-й мес</v>
      </c>
      <c r="C496" s="35">
        <f t="shared" si="104"/>
        <v>56075</v>
      </c>
      <c r="D496" s="36">
        <f t="shared" si="94"/>
        <v>0</v>
      </c>
      <c r="E496" s="37">
        <f t="shared" si="99"/>
        <v>0</v>
      </c>
      <c r="F496" s="37">
        <f t="shared" si="105"/>
        <v>0</v>
      </c>
      <c r="G496" s="38">
        <f t="shared" si="100"/>
        <v>0</v>
      </c>
      <c r="H496" s="39">
        <f t="shared" si="95"/>
        <v>0</v>
      </c>
      <c r="I496" s="37">
        <f t="shared" si="106"/>
        <v>0</v>
      </c>
      <c r="J496" s="37">
        <f t="shared" si="101"/>
        <v>0</v>
      </c>
      <c r="K496" s="40">
        <f t="shared" si="102"/>
        <v>0</v>
      </c>
      <c r="L496" s="53"/>
      <c r="M496" s="57"/>
      <c r="N496" s="41">
        <f t="shared" si="96"/>
        <v>7</v>
      </c>
      <c r="O496" s="11">
        <f t="shared" si="103"/>
        <v>24</v>
      </c>
      <c r="P496" s="12">
        <f t="shared" si="97"/>
        <v>0</v>
      </c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x14ac:dyDescent="0.3">
      <c r="A497" s="33">
        <v>490</v>
      </c>
      <c r="B497" s="34" t="str">
        <f t="shared" si="98"/>
        <v>41-й год 10-й мес</v>
      </c>
      <c r="C497" s="35">
        <f t="shared" si="104"/>
        <v>56106</v>
      </c>
      <c r="D497" s="36">
        <f t="shared" si="94"/>
        <v>0</v>
      </c>
      <c r="E497" s="37">
        <f t="shared" si="99"/>
        <v>0</v>
      </c>
      <c r="F497" s="37">
        <f t="shared" si="105"/>
        <v>0</v>
      </c>
      <c r="G497" s="38">
        <f t="shared" si="100"/>
        <v>0</v>
      </c>
      <c r="H497" s="39">
        <f t="shared" si="95"/>
        <v>0</v>
      </c>
      <c r="I497" s="37">
        <f t="shared" si="106"/>
        <v>0</v>
      </c>
      <c r="J497" s="37">
        <f t="shared" si="101"/>
        <v>0</v>
      </c>
      <c r="K497" s="40">
        <f t="shared" si="102"/>
        <v>0</v>
      </c>
      <c r="L497" s="53"/>
      <c r="M497" s="57"/>
      <c r="N497" s="41">
        <f t="shared" si="96"/>
        <v>7</v>
      </c>
      <c r="O497" s="11">
        <f t="shared" si="103"/>
        <v>24</v>
      </c>
      <c r="P497" s="12">
        <f t="shared" si="97"/>
        <v>0</v>
      </c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x14ac:dyDescent="0.3">
      <c r="A498" s="33">
        <v>491</v>
      </c>
      <c r="B498" s="34" t="str">
        <f t="shared" si="98"/>
        <v>41-й год 11-й мес</v>
      </c>
      <c r="C498" s="35">
        <f t="shared" si="104"/>
        <v>56137</v>
      </c>
      <c r="D498" s="36">
        <f t="shared" si="94"/>
        <v>0</v>
      </c>
      <c r="E498" s="37">
        <f t="shared" si="99"/>
        <v>0</v>
      </c>
      <c r="F498" s="37">
        <f t="shared" si="105"/>
        <v>0</v>
      </c>
      <c r="G498" s="38">
        <f t="shared" si="100"/>
        <v>0</v>
      </c>
      <c r="H498" s="39">
        <f t="shared" si="95"/>
        <v>0</v>
      </c>
      <c r="I498" s="37">
        <f t="shared" si="106"/>
        <v>0</v>
      </c>
      <c r="J498" s="37">
        <f t="shared" si="101"/>
        <v>0</v>
      </c>
      <c r="K498" s="40">
        <f t="shared" si="102"/>
        <v>0</v>
      </c>
      <c r="L498" s="53"/>
      <c r="M498" s="57"/>
      <c r="N498" s="41">
        <f t="shared" si="96"/>
        <v>7</v>
      </c>
      <c r="O498" s="11">
        <f t="shared" si="103"/>
        <v>24</v>
      </c>
      <c r="P498" s="12">
        <f t="shared" si="97"/>
        <v>0</v>
      </c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x14ac:dyDescent="0.3">
      <c r="A499" s="33">
        <v>492</v>
      </c>
      <c r="B499" s="34" t="str">
        <f t="shared" si="98"/>
        <v>41-й год 12-й мес</v>
      </c>
      <c r="C499" s="35">
        <f t="shared" si="104"/>
        <v>56167</v>
      </c>
      <c r="D499" s="36">
        <f t="shared" si="94"/>
        <v>0</v>
      </c>
      <c r="E499" s="37">
        <f t="shared" si="99"/>
        <v>0</v>
      </c>
      <c r="F499" s="37">
        <f t="shared" si="105"/>
        <v>0</v>
      </c>
      <c r="G499" s="38">
        <f t="shared" si="100"/>
        <v>0</v>
      </c>
      <c r="H499" s="39">
        <f t="shared" si="95"/>
        <v>0</v>
      </c>
      <c r="I499" s="37">
        <f t="shared" si="106"/>
        <v>0</v>
      </c>
      <c r="J499" s="37">
        <f t="shared" si="101"/>
        <v>0</v>
      </c>
      <c r="K499" s="40">
        <f t="shared" si="102"/>
        <v>0</v>
      </c>
      <c r="L499" s="53"/>
      <c r="M499" s="57"/>
      <c r="N499" s="41">
        <f t="shared" si="96"/>
        <v>7</v>
      </c>
      <c r="O499" s="11">
        <f t="shared" si="103"/>
        <v>24</v>
      </c>
      <c r="P499" s="12">
        <f t="shared" si="97"/>
        <v>0</v>
      </c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x14ac:dyDescent="0.3">
      <c r="A500" s="42">
        <v>493</v>
      </c>
      <c r="B500" s="34" t="str">
        <f t="shared" si="98"/>
        <v>42-й год 1-й мес</v>
      </c>
      <c r="C500" s="35">
        <f t="shared" si="104"/>
        <v>56198</v>
      </c>
      <c r="D500" s="36">
        <f t="shared" si="94"/>
        <v>0</v>
      </c>
      <c r="E500" s="43">
        <f t="shared" si="99"/>
        <v>0</v>
      </c>
      <c r="F500" s="37">
        <f t="shared" si="105"/>
        <v>0</v>
      </c>
      <c r="G500" s="44">
        <f t="shared" si="100"/>
        <v>0</v>
      </c>
      <c r="H500" s="45">
        <f t="shared" si="95"/>
        <v>0</v>
      </c>
      <c r="I500" s="43">
        <f t="shared" si="106"/>
        <v>0</v>
      </c>
      <c r="J500" s="43">
        <f t="shared" si="101"/>
        <v>0</v>
      </c>
      <c r="K500" s="46">
        <f t="shared" si="102"/>
        <v>0</v>
      </c>
      <c r="L500" s="55"/>
      <c r="M500" s="54"/>
      <c r="N500" s="41">
        <f t="shared" si="96"/>
        <v>7</v>
      </c>
      <c r="O500" s="11">
        <f t="shared" si="103"/>
        <v>24</v>
      </c>
      <c r="P500" s="12">
        <f t="shared" si="97"/>
        <v>0</v>
      </c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x14ac:dyDescent="0.3">
      <c r="A501" s="47">
        <v>494</v>
      </c>
      <c r="B501" s="34" t="str">
        <f t="shared" si="98"/>
        <v>42-й год 2-й мес</v>
      </c>
      <c r="C501" s="35">
        <f t="shared" si="104"/>
        <v>56228</v>
      </c>
      <c r="D501" s="36">
        <f t="shared" si="94"/>
        <v>0</v>
      </c>
      <c r="E501" s="37">
        <f t="shared" si="99"/>
        <v>0</v>
      </c>
      <c r="F501" s="37">
        <f t="shared" si="105"/>
        <v>0</v>
      </c>
      <c r="G501" s="38">
        <f t="shared" si="100"/>
        <v>0</v>
      </c>
      <c r="H501" s="39">
        <f t="shared" si="95"/>
        <v>0</v>
      </c>
      <c r="I501" s="37">
        <f t="shared" si="106"/>
        <v>0</v>
      </c>
      <c r="J501" s="37">
        <f t="shared" si="101"/>
        <v>0</v>
      </c>
      <c r="K501" s="40">
        <f t="shared" si="102"/>
        <v>0</v>
      </c>
      <c r="L501" s="53"/>
      <c r="M501" s="57"/>
      <c r="N501" s="41">
        <f t="shared" si="96"/>
        <v>7</v>
      </c>
      <c r="O501" s="11">
        <f t="shared" si="103"/>
        <v>24</v>
      </c>
      <c r="P501" s="12">
        <f t="shared" si="97"/>
        <v>0</v>
      </c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x14ac:dyDescent="0.3">
      <c r="A502" s="47">
        <v>495</v>
      </c>
      <c r="B502" s="34" t="str">
        <f t="shared" si="98"/>
        <v>42-й год 3-й мес</v>
      </c>
      <c r="C502" s="35">
        <f t="shared" si="104"/>
        <v>56259</v>
      </c>
      <c r="D502" s="36">
        <f t="shared" si="94"/>
        <v>0</v>
      </c>
      <c r="E502" s="37">
        <f t="shared" si="99"/>
        <v>0</v>
      </c>
      <c r="F502" s="37">
        <f t="shared" si="105"/>
        <v>0</v>
      </c>
      <c r="G502" s="38">
        <f t="shared" si="100"/>
        <v>0</v>
      </c>
      <c r="H502" s="39">
        <f t="shared" si="95"/>
        <v>0</v>
      </c>
      <c r="I502" s="37">
        <f t="shared" si="106"/>
        <v>0</v>
      </c>
      <c r="J502" s="37">
        <f t="shared" si="101"/>
        <v>0</v>
      </c>
      <c r="K502" s="40">
        <f t="shared" si="102"/>
        <v>0</v>
      </c>
      <c r="L502" s="53"/>
      <c r="M502" s="57"/>
      <c r="N502" s="41">
        <f t="shared" si="96"/>
        <v>7</v>
      </c>
      <c r="O502" s="11">
        <f t="shared" si="103"/>
        <v>24</v>
      </c>
      <c r="P502" s="12">
        <f t="shared" si="97"/>
        <v>0</v>
      </c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x14ac:dyDescent="0.3">
      <c r="A503" s="47">
        <v>496</v>
      </c>
      <c r="B503" s="34" t="str">
        <f t="shared" si="98"/>
        <v>42-й год 4-й мес</v>
      </c>
      <c r="C503" s="35">
        <f t="shared" si="104"/>
        <v>56290</v>
      </c>
      <c r="D503" s="36">
        <f t="shared" si="94"/>
        <v>0</v>
      </c>
      <c r="E503" s="37">
        <f t="shared" si="99"/>
        <v>0</v>
      </c>
      <c r="F503" s="37">
        <f t="shared" si="105"/>
        <v>0</v>
      </c>
      <c r="G503" s="38">
        <f t="shared" si="100"/>
        <v>0</v>
      </c>
      <c r="H503" s="39">
        <f t="shared" si="95"/>
        <v>0</v>
      </c>
      <c r="I503" s="37">
        <f t="shared" si="106"/>
        <v>0</v>
      </c>
      <c r="J503" s="37">
        <f t="shared" si="101"/>
        <v>0</v>
      </c>
      <c r="K503" s="40">
        <f t="shared" si="102"/>
        <v>0</v>
      </c>
      <c r="L503" s="53"/>
      <c r="M503" s="57"/>
      <c r="N503" s="41">
        <f t="shared" si="96"/>
        <v>7</v>
      </c>
      <c r="O503" s="11">
        <f t="shared" si="103"/>
        <v>24</v>
      </c>
      <c r="P503" s="12">
        <f t="shared" si="97"/>
        <v>0</v>
      </c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x14ac:dyDescent="0.3">
      <c r="A504" s="47">
        <v>497</v>
      </c>
      <c r="B504" s="34" t="str">
        <f t="shared" si="98"/>
        <v>42-й год 5-й мес</v>
      </c>
      <c r="C504" s="35">
        <f t="shared" si="104"/>
        <v>56318</v>
      </c>
      <c r="D504" s="36">
        <f t="shared" si="94"/>
        <v>0</v>
      </c>
      <c r="E504" s="37">
        <f t="shared" si="99"/>
        <v>0</v>
      </c>
      <c r="F504" s="37">
        <f t="shared" si="105"/>
        <v>0</v>
      </c>
      <c r="G504" s="38">
        <f t="shared" si="100"/>
        <v>0</v>
      </c>
      <c r="H504" s="39">
        <f t="shared" si="95"/>
        <v>0</v>
      </c>
      <c r="I504" s="37">
        <f t="shared" si="106"/>
        <v>0</v>
      </c>
      <c r="J504" s="37">
        <f t="shared" si="101"/>
        <v>0</v>
      </c>
      <c r="K504" s="40">
        <f t="shared" si="102"/>
        <v>0</v>
      </c>
      <c r="L504" s="53"/>
      <c r="M504" s="57"/>
      <c r="N504" s="41">
        <f t="shared" si="96"/>
        <v>7</v>
      </c>
      <c r="O504" s="11">
        <f t="shared" si="103"/>
        <v>24</v>
      </c>
      <c r="P504" s="12">
        <f t="shared" si="97"/>
        <v>0</v>
      </c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x14ac:dyDescent="0.3">
      <c r="A505" s="47">
        <v>498</v>
      </c>
      <c r="B505" s="34" t="str">
        <f t="shared" si="98"/>
        <v>42-й год 6-й мес</v>
      </c>
      <c r="C505" s="35">
        <f t="shared" si="104"/>
        <v>56349</v>
      </c>
      <c r="D505" s="36">
        <f t="shared" si="94"/>
        <v>0</v>
      </c>
      <c r="E505" s="37">
        <f t="shared" si="99"/>
        <v>0</v>
      </c>
      <c r="F505" s="37">
        <f t="shared" si="105"/>
        <v>0</v>
      </c>
      <c r="G505" s="38">
        <f t="shared" si="100"/>
        <v>0</v>
      </c>
      <c r="H505" s="39">
        <f t="shared" si="95"/>
        <v>0</v>
      </c>
      <c r="I505" s="37">
        <f t="shared" si="106"/>
        <v>0</v>
      </c>
      <c r="J505" s="37">
        <f t="shared" si="101"/>
        <v>0</v>
      </c>
      <c r="K505" s="40">
        <f t="shared" si="102"/>
        <v>0</v>
      </c>
      <c r="L505" s="53"/>
      <c r="M505" s="57"/>
      <c r="N505" s="41">
        <f t="shared" si="96"/>
        <v>7</v>
      </c>
      <c r="O505" s="11">
        <f t="shared" si="103"/>
        <v>24</v>
      </c>
      <c r="P505" s="12">
        <f t="shared" si="97"/>
        <v>0</v>
      </c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x14ac:dyDescent="0.3">
      <c r="A506" s="47">
        <v>499</v>
      </c>
      <c r="B506" s="34" t="str">
        <f t="shared" si="98"/>
        <v>42-й год 7-й мес</v>
      </c>
      <c r="C506" s="35">
        <f t="shared" si="104"/>
        <v>56379</v>
      </c>
      <c r="D506" s="36">
        <f t="shared" si="94"/>
        <v>0</v>
      </c>
      <c r="E506" s="37">
        <f t="shared" si="99"/>
        <v>0</v>
      </c>
      <c r="F506" s="37">
        <f t="shared" si="105"/>
        <v>0</v>
      </c>
      <c r="G506" s="38">
        <f t="shared" si="100"/>
        <v>0</v>
      </c>
      <c r="H506" s="39">
        <f t="shared" si="95"/>
        <v>0</v>
      </c>
      <c r="I506" s="37">
        <f t="shared" si="106"/>
        <v>0</v>
      </c>
      <c r="J506" s="37">
        <f t="shared" si="101"/>
        <v>0</v>
      </c>
      <c r="K506" s="40">
        <f t="shared" si="102"/>
        <v>0</v>
      </c>
      <c r="L506" s="53"/>
      <c r="M506" s="57"/>
      <c r="N506" s="41">
        <f t="shared" si="96"/>
        <v>7</v>
      </c>
      <c r="O506" s="11">
        <f t="shared" si="103"/>
        <v>24</v>
      </c>
      <c r="P506" s="12">
        <f t="shared" si="97"/>
        <v>0</v>
      </c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x14ac:dyDescent="0.3">
      <c r="A507" s="47">
        <v>500</v>
      </c>
      <c r="B507" s="34" t="str">
        <f t="shared" si="98"/>
        <v>42-й год 8-й мес</v>
      </c>
      <c r="C507" s="35">
        <f t="shared" si="104"/>
        <v>56410</v>
      </c>
      <c r="D507" s="36">
        <f t="shared" si="94"/>
        <v>0</v>
      </c>
      <c r="E507" s="37">
        <f t="shared" si="99"/>
        <v>0</v>
      </c>
      <c r="F507" s="37">
        <f t="shared" si="105"/>
        <v>0</v>
      </c>
      <c r="G507" s="38">
        <f t="shared" si="100"/>
        <v>0</v>
      </c>
      <c r="H507" s="39">
        <f t="shared" si="95"/>
        <v>0</v>
      </c>
      <c r="I507" s="37">
        <f t="shared" si="106"/>
        <v>0</v>
      </c>
      <c r="J507" s="37">
        <f t="shared" si="101"/>
        <v>0</v>
      </c>
      <c r="K507" s="40">
        <f t="shared" si="102"/>
        <v>0</v>
      </c>
      <c r="L507" s="53"/>
      <c r="M507" s="57"/>
      <c r="N507" s="41">
        <f t="shared" si="96"/>
        <v>7</v>
      </c>
      <c r="O507" s="11">
        <f t="shared" si="103"/>
        <v>24</v>
      </c>
      <c r="P507" s="12">
        <f t="shared" si="97"/>
        <v>0</v>
      </c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x14ac:dyDescent="0.3">
      <c r="A508" s="47">
        <v>501</v>
      </c>
      <c r="B508" s="34" t="str">
        <f t="shared" si="98"/>
        <v>42-й год 9-й мес</v>
      </c>
      <c r="C508" s="35">
        <f t="shared" si="104"/>
        <v>56440</v>
      </c>
      <c r="D508" s="36">
        <f t="shared" si="94"/>
        <v>0</v>
      </c>
      <c r="E508" s="37">
        <f t="shared" si="99"/>
        <v>0</v>
      </c>
      <c r="F508" s="37">
        <f t="shared" si="105"/>
        <v>0</v>
      </c>
      <c r="G508" s="38">
        <f t="shared" si="100"/>
        <v>0</v>
      </c>
      <c r="H508" s="39">
        <f t="shared" si="95"/>
        <v>0</v>
      </c>
      <c r="I508" s="37">
        <f t="shared" si="106"/>
        <v>0</v>
      </c>
      <c r="J508" s="37">
        <f t="shared" si="101"/>
        <v>0</v>
      </c>
      <c r="K508" s="40">
        <f t="shared" si="102"/>
        <v>0</v>
      </c>
      <c r="L508" s="53"/>
      <c r="M508" s="57"/>
      <c r="N508" s="41">
        <f t="shared" si="96"/>
        <v>7</v>
      </c>
      <c r="O508" s="11">
        <f t="shared" si="103"/>
        <v>24</v>
      </c>
      <c r="P508" s="12">
        <f t="shared" si="97"/>
        <v>0</v>
      </c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x14ac:dyDescent="0.3">
      <c r="A509" s="47">
        <v>502</v>
      </c>
      <c r="B509" s="34" t="str">
        <f t="shared" si="98"/>
        <v>42-й год 10-й мес</v>
      </c>
      <c r="C509" s="35">
        <f t="shared" si="104"/>
        <v>56471</v>
      </c>
      <c r="D509" s="36">
        <f t="shared" si="94"/>
        <v>0</v>
      </c>
      <c r="E509" s="37">
        <f t="shared" si="99"/>
        <v>0</v>
      </c>
      <c r="F509" s="37">
        <f t="shared" si="105"/>
        <v>0</v>
      </c>
      <c r="G509" s="38">
        <f t="shared" si="100"/>
        <v>0</v>
      </c>
      <c r="H509" s="39">
        <f t="shared" si="95"/>
        <v>0</v>
      </c>
      <c r="I509" s="37">
        <f t="shared" si="106"/>
        <v>0</v>
      </c>
      <c r="J509" s="37">
        <f t="shared" si="101"/>
        <v>0</v>
      </c>
      <c r="K509" s="40">
        <f t="shared" si="102"/>
        <v>0</v>
      </c>
      <c r="L509" s="53"/>
      <c r="M509" s="57"/>
      <c r="N509" s="41">
        <f t="shared" si="96"/>
        <v>7</v>
      </c>
      <c r="O509" s="11">
        <f t="shared" si="103"/>
        <v>24</v>
      </c>
      <c r="P509" s="12">
        <f t="shared" si="97"/>
        <v>0</v>
      </c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x14ac:dyDescent="0.3">
      <c r="A510" s="47">
        <v>503</v>
      </c>
      <c r="B510" s="34" t="str">
        <f t="shared" si="98"/>
        <v>42-й год 11-й мес</v>
      </c>
      <c r="C510" s="35">
        <f t="shared" si="104"/>
        <v>56502</v>
      </c>
      <c r="D510" s="36">
        <f t="shared" si="94"/>
        <v>0</v>
      </c>
      <c r="E510" s="37">
        <f t="shared" si="99"/>
        <v>0</v>
      </c>
      <c r="F510" s="37">
        <f t="shared" si="105"/>
        <v>0</v>
      </c>
      <c r="G510" s="38">
        <f t="shared" si="100"/>
        <v>0</v>
      </c>
      <c r="H510" s="39">
        <f t="shared" si="95"/>
        <v>0</v>
      </c>
      <c r="I510" s="37">
        <f t="shared" si="106"/>
        <v>0</v>
      </c>
      <c r="J510" s="37">
        <f t="shared" si="101"/>
        <v>0</v>
      </c>
      <c r="K510" s="40">
        <f t="shared" si="102"/>
        <v>0</v>
      </c>
      <c r="L510" s="53"/>
      <c r="M510" s="57"/>
      <c r="N510" s="41">
        <f t="shared" si="96"/>
        <v>7</v>
      </c>
      <c r="O510" s="11">
        <f t="shared" si="103"/>
        <v>24</v>
      </c>
      <c r="P510" s="12">
        <f t="shared" si="97"/>
        <v>0</v>
      </c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x14ac:dyDescent="0.3">
      <c r="A511" s="48">
        <v>504</v>
      </c>
      <c r="B511" s="34" t="str">
        <f t="shared" si="98"/>
        <v>42-й год 12-й мес</v>
      </c>
      <c r="C511" s="35">
        <f t="shared" si="104"/>
        <v>56532</v>
      </c>
      <c r="D511" s="36">
        <f t="shared" si="94"/>
        <v>0</v>
      </c>
      <c r="E511" s="49">
        <f t="shared" si="99"/>
        <v>0</v>
      </c>
      <c r="F511" s="37">
        <f t="shared" si="105"/>
        <v>0</v>
      </c>
      <c r="G511" s="50">
        <f t="shared" si="100"/>
        <v>0</v>
      </c>
      <c r="H511" s="51">
        <f t="shared" si="95"/>
        <v>0</v>
      </c>
      <c r="I511" s="49">
        <f t="shared" si="106"/>
        <v>0</v>
      </c>
      <c r="J511" s="49">
        <f t="shared" si="101"/>
        <v>0</v>
      </c>
      <c r="K511" s="52">
        <f t="shared" si="102"/>
        <v>0</v>
      </c>
      <c r="L511" s="56"/>
      <c r="M511" s="58"/>
      <c r="N511" s="41">
        <f t="shared" si="96"/>
        <v>7</v>
      </c>
      <c r="O511" s="11">
        <f t="shared" si="103"/>
        <v>24</v>
      </c>
      <c r="P511" s="12">
        <f t="shared" si="97"/>
        <v>0</v>
      </c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x14ac:dyDescent="0.3">
      <c r="A512" s="33">
        <v>505</v>
      </c>
      <c r="B512" s="34" t="str">
        <f t="shared" si="98"/>
        <v>43-й год 1-й мес</v>
      </c>
      <c r="C512" s="35">
        <f t="shared" si="104"/>
        <v>56563</v>
      </c>
      <c r="D512" s="36">
        <f t="shared" si="94"/>
        <v>0</v>
      </c>
      <c r="E512" s="37">
        <f t="shared" si="99"/>
        <v>0</v>
      </c>
      <c r="F512" s="37">
        <f t="shared" si="105"/>
        <v>0</v>
      </c>
      <c r="G512" s="38">
        <f t="shared" si="100"/>
        <v>0</v>
      </c>
      <c r="H512" s="39">
        <f t="shared" si="95"/>
        <v>0</v>
      </c>
      <c r="I512" s="37">
        <f t="shared" si="106"/>
        <v>0</v>
      </c>
      <c r="J512" s="37">
        <f t="shared" si="101"/>
        <v>0</v>
      </c>
      <c r="K512" s="40">
        <f t="shared" si="102"/>
        <v>0</v>
      </c>
      <c r="L512" s="53"/>
      <c r="M512" s="57"/>
      <c r="N512" s="41">
        <f t="shared" si="96"/>
        <v>7</v>
      </c>
      <c r="O512" s="11">
        <f t="shared" si="103"/>
        <v>24</v>
      </c>
      <c r="P512" s="12">
        <f t="shared" si="97"/>
        <v>0</v>
      </c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x14ac:dyDescent="0.3">
      <c r="A513" s="33">
        <v>506</v>
      </c>
      <c r="B513" s="34" t="str">
        <f t="shared" si="98"/>
        <v>43-й год 2-й мес</v>
      </c>
      <c r="C513" s="35">
        <f t="shared" si="104"/>
        <v>56593</v>
      </c>
      <c r="D513" s="36">
        <f t="shared" si="94"/>
        <v>0</v>
      </c>
      <c r="E513" s="37">
        <f t="shared" si="99"/>
        <v>0</v>
      </c>
      <c r="F513" s="37">
        <f t="shared" si="105"/>
        <v>0</v>
      </c>
      <c r="G513" s="38">
        <f t="shared" si="100"/>
        <v>0</v>
      </c>
      <c r="H513" s="39">
        <f t="shared" si="95"/>
        <v>0</v>
      </c>
      <c r="I513" s="37">
        <f t="shared" si="106"/>
        <v>0</v>
      </c>
      <c r="J513" s="37">
        <f t="shared" si="101"/>
        <v>0</v>
      </c>
      <c r="K513" s="40">
        <f t="shared" si="102"/>
        <v>0</v>
      </c>
      <c r="L513" s="53"/>
      <c r="M513" s="57"/>
      <c r="N513" s="41">
        <f t="shared" si="96"/>
        <v>7</v>
      </c>
      <c r="O513" s="11">
        <f t="shared" si="103"/>
        <v>24</v>
      </c>
      <c r="P513" s="12">
        <f t="shared" si="97"/>
        <v>0</v>
      </c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x14ac:dyDescent="0.3">
      <c r="A514" s="33">
        <v>507</v>
      </c>
      <c r="B514" s="34" t="str">
        <f t="shared" si="98"/>
        <v>43-й год 3-й мес</v>
      </c>
      <c r="C514" s="35">
        <f t="shared" si="104"/>
        <v>56624</v>
      </c>
      <c r="D514" s="36">
        <f t="shared" si="94"/>
        <v>0</v>
      </c>
      <c r="E514" s="37">
        <f t="shared" si="99"/>
        <v>0</v>
      </c>
      <c r="F514" s="37">
        <f t="shared" si="105"/>
        <v>0</v>
      </c>
      <c r="G514" s="38">
        <f t="shared" si="100"/>
        <v>0</v>
      </c>
      <c r="H514" s="39">
        <f t="shared" si="95"/>
        <v>0</v>
      </c>
      <c r="I514" s="37">
        <f t="shared" si="106"/>
        <v>0</v>
      </c>
      <c r="J514" s="37">
        <f t="shared" si="101"/>
        <v>0</v>
      </c>
      <c r="K514" s="40">
        <f t="shared" si="102"/>
        <v>0</v>
      </c>
      <c r="L514" s="53"/>
      <c r="M514" s="57"/>
      <c r="N514" s="41">
        <f t="shared" si="96"/>
        <v>7</v>
      </c>
      <c r="O514" s="11">
        <f t="shared" si="103"/>
        <v>24</v>
      </c>
      <c r="P514" s="12">
        <f t="shared" si="97"/>
        <v>0</v>
      </c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x14ac:dyDescent="0.3">
      <c r="A515" s="33">
        <v>508</v>
      </c>
      <c r="B515" s="34" t="str">
        <f t="shared" si="98"/>
        <v>43-й год 4-й мес</v>
      </c>
      <c r="C515" s="35">
        <f t="shared" si="104"/>
        <v>56655</v>
      </c>
      <c r="D515" s="36">
        <f t="shared" si="94"/>
        <v>0</v>
      </c>
      <c r="E515" s="37">
        <f t="shared" si="99"/>
        <v>0</v>
      </c>
      <c r="F515" s="37">
        <f t="shared" si="105"/>
        <v>0</v>
      </c>
      <c r="G515" s="38">
        <f t="shared" si="100"/>
        <v>0</v>
      </c>
      <c r="H515" s="39">
        <f t="shared" si="95"/>
        <v>0</v>
      </c>
      <c r="I515" s="37">
        <f t="shared" si="106"/>
        <v>0</v>
      </c>
      <c r="J515" s="37">
        <f t="shared" si="101"/>
        <v>0</v>
      </c>
      <c r="K515" s="40">
        <f t="shared" si="102"/>
        <v>0</v>
      </c>
      <c r="L515" s="53"/>
      <c r="M515" s="57"/>
      <c r="N515" s="41">
        <f t="shared" si="96"/>
        <v>7</v>
      </c>
      <c r="O515" s="11">
        <f t="shared" si="103"/>
        <v>24</v>
      </c>
      <c r="P515" s="12">
        <f t="shared" si="97"/>
        <v>0</v>
      </c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x14ac:dyDescent="0.3">
      <c r="A516" s="33">
        <v>509</v>
      </c>
      <c r="B516" s="34" t="str">
        <f t="shared" si="98"/>
        <v>43-й год 5-й мес</v>
      </c>
      <c r="C516" s="35">
        <f t="shared" si="104"/>
        <v>56683</v>
      </c>
      <c r="D516" s="36">
        <f t="shared" si="94"/>
        <v>0</v>
      </c>
      <c r="E516" s="37">
        <f t="shared" si="99"/>
        <v>0</v>
      </c>
      <c r="F516" s="37">
        <f t="shared" si="105"/>
        <v>0</v>
      </c>
      <c r="G516" s="38">
        <f t="shared" si="100"/>
        <v>0</v>
      </c>
      <c r="H516" s="39">
        <f t="shared" si="95"/>
        <v>0</v>
      </c>
      <c r="I516" s="37">
        <f t="shared" si="106"/>
        <v>0</v>
      </c>
      <c r="J516" s="37">
        <f t="shared" si="101"/>
        <v>0</v>
      </c>
      <c r="K516" s="40">
        <f t="shared" si="102"/>
        <v>0</v>
      </c>
      <c r="L516" s="53"/>
      <c r="M516" s="57"/>
      <c r="N516" s="41">
        <f t="shared" si="96"/>
        <v>7</v>
      </c>
      <c r="O516" s="11">
        <f t="shared" si="103"/>
        <v>24</v>
      </c>
      <c r="P516" s="12">
        <f t="shared" si="97"/>
        <v>0</v>
      </c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x14ac:dyDescent="0.3">
      <c r="A517" s="33">
        <v>510</v>
      </c>
      <c r="B517" s="34" t="str">
        <f t="shared" si="98"/>
        <v>43-й год 6-й мес</v>
      </c>
      <c r="C517" s="35">
        <f t="shared" si="104"/>
        <v>56714</v>
      </c>
      <c r="D517" s="36">
        <f t="shared" si="94"/>
        <v>0</v>
      </c>
      <c r="E517" s="37">
        <f t="shared" si="99"/>
        <v>0</v>
      </c>
      <c r="F517" s="37">
        <f t="shared" si="105"/>
        <v>0</v>
      </c>
      <c r="G517" s="38">
        <f t="shared" si="100"/>
        <v>0</v>
      </c>
      <c r="H517" s="39">
        <f t="shared" si="95"/>
        <v>0</v>
      </c>
      <c r="I517" s="37">
        <f t="shared" si="106"/>
        <v>0</v>
      </c>
      <c r="J517" s="37">
        <f t="shared" si="101"/>
        <v>0</v>
      </c>
      <c r="K517" s="40">
        <f t="shared" si="102"/>
        <v>0</v>
      </c>
      <c r="L517" s="53"/>
      <c r="M517" s="57"/>
      <c r="N517" s="41">
        <f t="shared" si="96"/>
        <v>7</v>
      </c>
      <c r="O517" s="11">
        <f t="shared" si="103"/>
        <v>24</v>
      </c>
      <c r="P517" s="12">
        <f t="shared" si="97"/>
        <v>0</v>
      </c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x14ac:dyDescent="0.3">
      <c r="A518" s="33">
        <v>511</v>
      </c>
      <c r="B518" s="34" t="str">
        <f t="shared" si="98"/>
        <v>43-й год 7-й мес</v>
      </c>
      <c r="C518" s="35">
        <f t="shared" si="104"/>
        <v>56744</v>
      </c>
      <c r="D518" s="36">
        <f t="shared" si="94"/>
        <v>0</v>
      </c>
      <c r="E518" s="37">
        <f t="shared" si="99"/>
        <v>0</v>
      </c>
      <c r="F518" s="37">
        <f t="shared" si="105"/>
        <v>0</v>
      </c>
      <c r="G518" s="38">
        <f t="shared" si="100"/>
        <v>0</v>
      </c>
      <c r="H518" s="39">
        <f t="shared" si="95"/>
        <v>0</v>
      </c>
      <c r="I518" s="37">
        <f t="shared" si="106"/>
        <v>0</v>
      </c>
      <c r="J518" s="37">
        <f t="shared" si="101"/>
        <v>0</v>
      </c>
      <c r="K518" s="40">
        <f t="shared" si="102"/>
        <v>0</v>
      </c>
      <c r="L518" s="53"/>
      <c r="M518" s="57"/>
      <c r="N518" s="41">
        <f t="shared" si="96"/>
        <v>7</v>
      </c>
      <c r="O518" s="11">
        <f t="shared" si="103"/>
        <v>24</v>
      </c>
      <c r="P518" s="12">
        <f t="shared" si="97"/>
        <v>0</v>
      </c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x14ac:dyDescent="0.3">
      <c r="A519" s="33">
        <v>512</v>
      </c>
      <c r="B519" s="34" t="str">
        <f t="shared" si="98"/>
        <v>43-й год 8-й мес</v>
      </c>
      <c r="C519" s="35">
        <f t="shared" si="104"/>
        <v>56775</v>
      </c>
      <c r="D519" s="36">
        <f t="shared" si="94"/>
        <v>0</v>
      </c>
      <c r="E519" s="37">
        <f t="shared" si="99"/>
        <v>0</v>
      </c>
      <c r="F519" s="37">
        <f t="shared" si="105"/>
        <v>0</v>
      </c>
      <c r="G519" s="38">
        <f t="shared" si="100"/>
        <v>0</v>
      </c>
      <c r="H519" s="39">
        <f t="shared" si="95"/>
        <v>0</v>
      </c>
      <c r="I519" s="37">
        <f t="shared" si="106"/>
        <v>0</v>
      </c>
      <c r="J519" s="37">
        <f t="shared" si="101"/>
        <v>0</v>
      </c>
      <c r="K519" s="40">
        <f t="shared" si="102"/>
        <v>0</v>
      </c>
      <c r="L519" s="53"/>
      <c r="M519" s="57"/>
      <c r="N519" s="41">
        <f t="shared" si="96"/>
        <v>7</v>
      </c>
      <c r="O519" s="11">
        <f t="shared" si="103"/>
        <v>24</v>
      </c>
      <c r="P519" s="12">
        <f t="shared" si="97"/>
        <v>0</v>
      </c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x14ac:dyDescent="0.3">
      <c r="A520" s="33">
        <v>513</v>
      </c>
      <c r="B520" s="59"/>
      <c r="C520" s="35">
        <f t="shared" si="104"/>
        <v>56805</v>
      </c>
      <c r="D520" s="36">
        <f t="shared" ref="D520:D583" si="107">IF(P520*$D$2/100/12/(1-(1+$D$2/100/12)^(-O520))&lt;G519,ROUNDUP(P520*$D$2/100/12/(1-(1+$D$2/100/12)^(-O520)),0),G519+F520)</f>
        <v>0</v>
      </c>
      <c r="E520" s="37">
        <f t="shared" si="99"/>
        <v>0</v>
      </c>
      <c r="F520" s="37">
        <f t="shared" si="105"/>
        <v>0</v>
      </c>
      <c r="G520" s="38">
        <f t="shared" si="100"/>
        <v>0</v>
      </c>
      <c r="H520" s="39">
        <f t="shared" ref="H520:H583" si="108">I520+J520</f>
        <v>0</v>
      </c>
      <c r="I520" s="37">
        <f t="shared" si="106"/>
        <v>0</v>
      </c>
      <c r="J520" s="37">
        <f t="shared" si="101"/>
        <v>0</v>
      </c>
      <c r="K520" s="40">
        <f t="shared" si="102"/>
        <v>0</v>
      </c>
      <c r="L520" s="53"/>
      <c r="M520" s="57"/>
      <c r="N520" s="41">
        <f t="shared" ref="N520:N583" si="109">IF(ISBLANK(L519),VALUE(N519),ROW(L519))</f>
        <v>7</v>
      </c>
      <c r="O520" s="11">
        <f t="shared" si="103"/>
        <v>24</v>
      </c>
      <c r="P520" s="12">
        <f t="shared" ref="P520:P583" si="110">INDEX(G:G,N520,1)</f>
        <v>0</v>
      </c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x14ac:dyDescent="0.3">
      <c r="A521" s="33">
        <v>514</v>
      </c>
      <c r="B521" s="59"/>
      <c r="C521" s="35">
        <f t="shared" si="104"/>
        <v>56836</v>
      </c>
      <c r="D521" s="36">
        <f t="shared" si="107"/>
        <v>0</v>
      </c>
      <c r="E521" s="37">
        <f t="shared" ref="E521:E584" si="111">D521-F521</f>
        <v>0</v>
      </c>
      <c r="F521" s="37">
        <f t="shared" si="105"/>
        <v>0</v>
      </c>
      <c r="G521" s="38">
        <f t="shared" ref="G521:G584" si="112">G520-E521-L521-M521</f>
        <v>0</v>
      </c>
      <c r="H521" s="39">
        <f t="shared" si="108"/>
        <v>0</v>
      </c>
      <c r="I521" s="37">
        <f t="shared" si="106"/>
        <v>0</v>
      </c>
      <c r="J521" s="37">
        <f t="shared" ref="J521:J584" si="113">K520*$D$2/12/100</f>
        <v>0</v>
      </c>
      <c r="K521" s="40">
        <f t="shared" ref="K521:K584" si="114">K520-I521-L521-M521</f>
        <v>0</v>
      </c>
      <c r="L521" s="53"/>
      <c r="M521" s="57"/>
      <c r="N521" s="41">
        <f t="shared" si="109"/>
        <v>7</v>
      </c>
      <c r="O521" s="11">
        <f t="shared" ref="O521:O584" si="115">O520+N520-N521</f>
        <v>24</v>
      </c>
      <c r="P521" s="12">
        <f t="shared" si="110"/>
        <v>0</v>
      </c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x14ac:dyDescent="0.3">
      <c r="A522" s="33">
        <v>515</v>
      </c>
      <c r="B522" s="59"/>
      <c r="C522" s="35">
        <f t="shared" ref="C522:C585" si="116">DATE(YEAR(C521),MONTH(C521)+1,DAY(C521))</f>
        <v>56867</v>
      </c>
      <c r="D522" s="36">
        <f t="shared" si="107"/>
        <v>0</v>
      </c>
      <c r="E522" s="37">
        <f t="shared" si="111"/>
        <v>0</v>
      </c>
      <c r="F522" s="37">
        <f t="shared" ref="F522:F585" si="117">G521*$D$2*(C522-C521)/(DATE(YEAR(C522)+1,1,1)-DATE(YEAR(C522),1,1))/100</f>
        <v>0</v>
      </c>
      <c r="G522" s="38">
        <f t="shared" si="112"/>
        <v>0</v>
      </c>
      <c r="H522" s="39">
        <f t="shared" si="108"/>
        <v>0</v>
      </c>
      <c r="I522" s="37">
        <f t="shared" ref="I522:I585" si="118">IF($D$1/$D$3&lt;K521,$D$1/$D$3,K521)</f>
        <v>0</v>
      </c>
      <c r="J522" s="37">
        <f t="shared" si="113"/>
        <v>0</v>
      </c>
      <c r="K522" s="40">
        <f t="shared" si="114"/>
        <v>0</v>
      </c>
      <c r="L522" s="53"/>
      <c r="M522" s="57"/>
      <c r="N522" s="41">
        <f t="shared" si="109"/>
        <v>7</v>
      </c>
      <c r="O522" s="11">
        <f t="shared" si="115"/>
        <v>24</v>
      </c>
      <c r="P522" s="12">
        <f t="shared" si="110"/>
        <v>0</v>
      </c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x14ac:dyDescent="0.3">
      <c r="A523" s="33">
        <v>516</v>
      </c>
      <c r="B523" s="59"/>
      <c r="C523" s="35">
        <f t="shared" si="116"/>
        <v>56897</v>
      </c>
      <c r="D523" s="36">
        <f t="shared" si="107"/>
        <v>0</v>
      </c>
      <c r="E523" s="37">
        <f t="shared" si="111"/>
        <v>0</v>
      </c>
      <c r="F523" s="37">
        <f t="shared" si="117"/>
        <v>0</v>
      </c>
      <c r="G523" s="38">
        <f t="shared" si="112"/>
        <v>0</v>
      </c>
      <c r="H523" s="39">
        <f t="shared" si="108"/>
        <v>0</v>
      </c>
      <c r="I523" s="37">
        <f t="shared" si="118"/>
        <v>0</v>
      </c>
      <c r="J523" s="37">
        <f t="shared" si="113"/>
        <v>0</v>
      </c>
      <c r="K523" s="40">
        <f t="shared" si="114"/>
        <v>0</v>
      </c>
      <c r="L523" s="53"/>
      <c r="M523" s="57"/>
      <c r="N523" s="41">
        <f t="shared" si="109"/>
        <v>7</v>
      </c>
      <c r="O523" s="11">
        <f t="shared" si="115"/>
        <v>24</v>
      </c>
      <c r="P523" s="12">
        <f t="shared" si="110"/>
        <v>0</v>
      </c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x14ac:dyDescent="0.3">
      <c r="A524" s="42">
        <v>517</v>
      </c>
      <c r="B524" s="60"/>
      <c r="C524" s="35">
        <f t="shared" si="116"/>
        <v>56928</v>
      </c>
      <c r="D524" s="36">
        <f t="shared" si="107"/>
        <v>0</v>
      </c>
      <c r="E524" s="43">
        <f t="shared" si="111"/>
        <v>0</v>
      </c>
      <c r="F524" s="37">
        <f t="shared" si="117"/>
        <v>0</v>
      </c>
      <c r="G524" s="44">
        <f t="shared" si="112"/>
        <v>0</v>
      </c>
      <c r="H524" s="45">
        <f t="shared" si="108"/>
        <v>0</v>
      </c>
      <c r="I524" s="43">
        <f t="shared" si="118"/>
        <v>0</v>
      </c>
      <c r="J524" s="43">
        <f t="shared" si="113"/>
        <v>0</v>
      </c>
      <c r="K524" s="46">
        <f t="shared" si="114"/>
        <v>0</v>
      </c>
      <c r="L524" s="55"/>
      <c r="M524" s="54"/>
      <c r="N524" s="41">
        <f t="shared" si="109"/>
        <v>7</v>
      </c>
      <c r="O524" s="11">
        <f t="shared" si="115"/>
        <v>24</v>
      </c>
      <c r="P524" s="12">
        <f t="shared" si="110"/>
        <v>0</v>
      </c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x14ac:dyDescent="0.3">
      <c r="A525" s="47">
        <v>518</v>
      </c>
      <c r="B525" s="60"/>
      <c r="C525" s="35">
        <f t="shared" si="116"/>
        <v>56958</v>
      </c>
      <c r="D525" s="36">
        <f t="shared" si="107"/>
        <v>0</v>
      </c>
      <c r="E525" s="37">
        <f t="shared" si="111"/>
        <v>0</v>
      </c>
      <c r="F525" s="37">
        <f t="shared" si="117"/>
        <v>0</v>
      </c>
      <c r="G525" s="38">
        <f t="shared" si="112"/>
        <v>0</v>
      </c>
      <c r="H525" s="39">
        <f t="shared" si="108"/>
        <v>0</v>
      </c>
      <c r="I525" s="37">
        <f t="shared" si="118"/>
        <v>0</v>
      </c>
      <c r="J525" s="37">
        <f t="shared" si="113"/>
        <v>0</v>
      </c>
      <c r="K525" s="40">
        <f t="shared" si="114"/>
        <v>0</v>
      </c>
      <c r="L525" s="53"/>
      <c r="M525" s="57"/>
      <c r="N525" s="41">
        <f t="shared" si="109"/>
        <v>7</v>
      </c>
      <c r="O525" s="11">
        <f t="shared" si="115"/>
        <v>24</v>
      </c>
      <c r="P525" s="12">
        <f t="shared" si="110"/>
        <v>0</v>
      </c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x14ac:dyDescent="0.3">
      <c r="A526" s="47">
        <v>519</v>
      </c>
      <c r="B526" s="60"/>
      <c r="C526" s="35">
        <f t="shared" si="116"/>
        <v>56989</v>
      </c>
      <c r="D526" s="36">
        <f t="shared" si="107"/>
        <v>0</v>
      </c>
      <c r="E526" s="37">
        <f t="shared" si="111"/>
        <v>0</v>
      </c>
      <c r="F526" s="37">
        <f t="shared" si="117"/>
        <v>0</v>
      </c>
      <c r="G526" s="38">
        <f t="shared" si="112"/>
        <v>0</v>
      </c>
      <c r="H526" s="39">
        <f t="shared" si="108"/>
        <v>0</v>
      </c>
      <c r="I526" s="37">
        <f t="shared" si="118"/>
        <v>0</v>
      </c>
      <c r="J526" s="37">
        <f t="shared" si="113"/>
        <v>0</v>
      </c>
      <c r="K526" s="40">
        <f t="shared" si="114"/>
        <v>0</v>
      </c>
      <c r="L526" s="53"/>
      <c r="M526" s="57"/>
      <c r="N526" s="41">
        <f t="shared" si="109"/>
        <v>7</v>
      </c>
      <c r="O526" s="11">
        <f t="shared" si="115"/>
        <v>24</v>
      </c>
      <c r="P526" s="12">
        <f t="shared" si="110"/>
        <v>0</v>
      </c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x14ac:dyDescent="0.3">
      <c r="A527" s="47">
        <v>520</v>
      </c>
      <c r="B527" s="60"/>
      <c r="C527" s="35">
        <f t="shared" si="116"/>
        <v>57020</v>
      </c>
      <c r="D527" s="36">
        <f t="shared" si="107"/>
        <v>0</v>
      </c>
      <c r="E527" s="37">
        <f t="shared" si="111"/>
        <v>0</v>
      </c>
      <c r="F527" s="37">
        <f t="shared" si="117"/>
        <v>0</v>
      </c>
      <c r="G527" s="38">
        <f t="shared" si="112"/>
        <v>0</v>
      </c>
      <c r="H527" s="39">
        <f t="shared" si="108"/>
        <v>0</v>
      </c>
      <c r="I527" s="37">
        <f t="shared" si="118"/>
        <v>0</v>
      </c>
      <c r="J527" s="37">
        <f t="shared" si="113"/>
        <v>0</v>
      </c>
      <c r="K527" s="40">
        <f t="shared" si="114"/>
        <v>0</v>
      </c>
      <c r="L527" s="53"/>
      <c r="M527" s="57"/>
      <c r="N527" s="41">
        <f t="shared" si="109"/>
        <v>7</v>
      </c>
      <c r="O527" s="11">
        <f t="shared" si="115"/>
        <v>24</v>
      </c>
      <c r="P527" s="12">
        <f t="shared" si="110"/>
        <v>0</v>
      </c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x14ac:dyDescent="0.3">
      <c r="A528" s="47">
        <v>521</v>
      </c>
      <c r="B528" s="60"/>
      <c r="C528" s="35">
        <f t="shared" si="116"/>
        <v>57049</v>
      </c>
      <c r="D528" s="36">
        <f t="shared" si="107"/>
        <v>0</v>
      </c>
      <c r="E528" s="37">
        <f t="shared" si="111"/>
        <v>0</v>
      </c>
      <c r="F528" s="37">
        <f t="shared" si="117"/>
        <v>0</v>
      </c>
      <c r="G528" s="38">
        <f t="shared" si="112"/>
        <v>0</v>
      </c>
      <c r="H528" s="39">
        <f t="shared" si="108"/>
        <v>0</v>
      </c>
      <c r="I528" s="37">
        <f t="shared" si="118"/>
        <v>0</v>
      </c>
      <c r="J528" s="37">
        <f t="shared" si="113"/>
        <v>0</v>
      </c>
      <c r="K528" s="40">
        <f t="shared" si="114"/>
        <v>0</v>
      </c>
      <c r="L528" s="53"/>
      <c r="M528" s="57"/>
      <c r="N528" s="41">
        <f t="shared" si="109"/>
        <v>7</v>
      </c>
      <c r="O528" s="11">
        <f t="shared" si="115"/>
        <v>24</v>
      </c>
      <c r="P528" s="12">
        <f t="shared" si="110"/>
        <v>0</v>
      </c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x14ac:dyDescent="0.3">
      <c r="A529" s="47">
        <v>522</v>
      </c>
      <c r="B529" s="60"/>
      <c r="C529" s="35">
        <f t="shared" si="116"/>
        <v>57080</v>
      </c>
      <c r="D529" s="36">
        <f t="shared" si="107"/>
        <v>0</v>
      </c>
      <c r="E529" s="37">
        <f t="shared" si="111"/>
        <v>0</v>
      </c>
      <c r="F529" s="37">
        <f t="shared" si="117"/>
        <v>0</v>
      </c>
      <c r="G529" s="38">
        <f t="shared" si="112"/>
        <v>0</v>
      </c>
      <c r="H529" s="39">
        <f t="shared" si="108"/>
        <v>0</v>
      </c>
      <c r="I529" s="37">
        <f t="shared" si="118"/>
        <v>0</v>
      </c>
      <c r="J529" s="37">
        <f t="shared" si="113"/>
        <v>0</v>
      </c>
      <c r="K529" s="40">
        <f t="shared" si="114"/>
        <v>0</v>
      </c>
      <c r="L529" s="53"/>
      <c r="M529" s="57"/>
      <c r="N529" s="41">
        <f t="shared" si="109"/>
        <v>7</v>
      </c>
      <c r="O529" s="11">
        <f t="shared" si="115"/>
        <v>24</v>
      </c>
      <c r="P529" s="12">
        <f t="shared" si="110"/>
        <v>0</v>
      </c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x14ac:dyDescent="0.3">
      <c r="A530" s="47">
        <v>523</v>
      </c>
      <c r="B530" s="60"/>
      <c r="C530" s="35">
        <f t="shared" si="116"/>
        <v>57110</v>
      </c>
      <c r="D530" s="36">
        <f t="shared" si="107"/>
        <v>0</v>
      </c>
      <c r="E530" s="37">
        <f t="shared" si="111"/>
        <v>0</v>
      </c>
      <c r="F530" s="37">
        <f t="shared" si="117"/>
        <v>0</v>
      </c>
      <c r="G530" s="38">
        <f t="shared" si="112"/>
        <v>0</v>
      </c>
      <c r="H530" s="39">
        <f t="shared" si="108"/>
        <v>0</v>
      </c>
      <c r="I530" s="37">
        <f t="shared" si="118"/>
        <v>0</v>
      </c>
      <c r="J530" s="37">
        <f t="shared" si="113"/>
        <v>0</v>
      </c>
      <c r="K530" s="40">
        <f t="shared" si="114"/>
        <v>0</v>
      </c>
      <c r="L530" s="53"/>
      <c r="M530" s="57"/>
      <c r="N530" s="41">
        <f t="shared" si="109"/>
        <v>7</v>
      </c>
      <c r="O530" s="11">
        <f t="shared" si="115"/>
        <v>24</v>
      </c>
      <c r="P530" s="12">
        <f t="shared" si="110"/>
        <v>0</v>
      </c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x14ac:dyDescent="0.3">
      <c r="A531" s="47">
        <v>524</v>
      </c>
      <c r="B531" s="60"/>
      <c r="C531" s="35">
        <f t="shared" si="116"/>
        <v>57141</v>
      </c>
      <c r="D531" s="36">
        <f t="shared" si="107"/>
        <v>0</v>
      </c>
      <c r="E531" s="37">
        <f t="shared" si="111"/>
        <v>0</v>
      </c>
      <c r="F531" s="37">
        <f t="shared" si="117"/>
        <v>0</v>
      </c>
      <c r="G531" s="38">
        <f t="shared" si="112"/>
        <v>0</v>
      </c>
      <c r="H531" s="39">
        <f t="shared" si="108"/>
        <v>0</v>
      </c>
      <c r="I531" s="37">
        <f t="shared" si="118"/>
        <v>0</v>
      </c>
      <c r="J531" s="37">
        <f t="shared" si="113"/>
        <v>0</v>
      </c>
      <c r="K531" s="40">
        <f t="shared" si="114"/>
        <v>0</v>
      </c>
      <c r="L531" s="53"/>
      <c r="M531" s="57"/>
      <c r="N531" s="41">
        <f t="shared" si="109"/>
        <v>7</v>
      </c>
      <c r="O531" s="11">
        <f t="shared" si="115"/>
        <v>24</v>
      </c>
      <c r="P531" s="12">
        <f t="shared" si="110"/>
        <v>0</v>
      </c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x14ac:dyDescent="0.3">
      <c r="A532" s="47">
        <v>525</v>
      </c>
      <c r="B532" s="60"/>
      <c r="C532" s="35">
        <f t="shared" si="116"/>
        <v>57171</v>
      </c>
      <c r="D532" s="36">
        <f t="shared" si="107"/>
        <v>0</v>
      </c>
      <c r="E532" s="37">
        <f t="shared" si="111"/>
        <v>0</v>
      </c>
      <c r="F532" s="37">
        <f t="shared" si="117"/>
        <v>0</v>
      </c>
      <c r="G532" s="38">
        <f t="shared" si="112"/>
        <v>0</v>
      </c>
      <c r="H532" s="39">
        <f t="shared" si="108"/>
        <v>0</v>
      </c>
      <c r="I532" s="37">
        <f t="shared" si="118"/>
        <v>0</v>
      </c>
      <c r="J532" s="37">
        <f t="shared" si="113"/>
        <v>0</v>
      </c>
      <c r="K532" s="40">
        <f t="shared" si="114"/>
        <v>0</v>
      </c>
      <c r="L532" s="53"/>
      <c r="M532" s="57"/>
      <c r="N532" s="41">
        <f t="shared" si="109"/>
        <v>7</v>
      </c>
      <c r="O532" s="11">
        <f t="shared" si="115"/>
        <v>24</v>
      </c>
      <c r="P532" s="12">
        <f t="shared" si="110"/>
        <v>0</v>
      </c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x14ac:dyDescent="0.3">
      <c r="A533" s="47">
        <v>526</v>
      </c>
      <c r="B533" s="60"/>
      <c r="C533" s="35">
        <f t="shared" si="116"/>
        <v>57202</v>
      </c>
      <c r="D533" s="36">
        <f t="shared" si="107"/>
        <v>0</v>
      </c>
      <c r="E533" s="37">
        <f t="shared" si="111"/>
        <v>0</v>
      </c>
      <c r="F533" s="37">
        <f t="shared" si="117"/>
        <v>0</v>
      </c>
      <c r="G533" s="38">
        <f t="shared" si="112"/>
        <v>0</v>
      </c>
      <c r="H533" s="39">
        <f t="shared" si="108"/>
        <v>0</v>
      </c>
      <c r="I533" s="37">
        <f t="shared" si="118"/>
        <v>0</v>
      </c>
      <c r="J533" s="37">
        <f t="shared" si="113"/>
        <v>0</v>
      </c>
      <c r="K533" s="40">
        <f t="shared" si="114"/>
        <v>0</v>
      </c>
      <c r="L533" s="53"/>
      <c r="M533" s="57"/>
      <c r="N533" s="41">
        <f t="shared" si="109"/>
        <v>7</v>
      </c>
      <c r="O533" s="11">
        <f t="shared" si="115"/>
        <v>24</v>
      </c>
      <c r="P533" s="12">
        <f t="shared" si="110"/>
        <v>0</v>
      </c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x14ac:dyDescent="0.3">
      <c r="A534" s="47">
        <v>527</v>
      </c>
      <c r="B534" s="60"/>
      <c r="C534" s="35">
        <f t="shared" si="116"/>
        <v>57233</v>
      </c>
      <c r="D534" s="36">
        <f t="shared" si="107"/>
        <v>0</v>
      </c>
      <c r="E534" s="37">
        <f t="shared" si="111"/>
        <v>0</v>
      </c>
      <c r="F534" s="37">
        <f t="shared" si="117"/>
        <v>0</v>
      </c>
      <c r="G534" s="38">
        <f t="shared" si="112"/>
        <v>0</v>
      </c>
      <c r="H534" s="39">
        <f t="shared" si="108"/>
        <v>0</v>
      </c>
      <c r="I534" s="37">
        <f t="shared" si="118"/>
        <v>0</v>
      </c>
      <c r="J534" s="37">
        <f t="shared" si="113"/>
        <v>0</v>
      </c>
      <c r="K534" s="40">
        <f t="shared" si="114"/>
        <v>0</v>
      </c>
      <c r="L534" s="53"/>
      <c r="M534" s="57"/>
      <c r="N534" s="41">
        <f t="shared" si="109"/>
        <v>7</v>
      </c>
      <c r="O534" s="11">
        <f t="shared" si="115"/>
        <v>24</v>
      </c>
      <c r="P534" s="12">
        <f t="shared" si="110"/>
        <v>0</v>
      </c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x14ac:dyDescent="0.3">
      <c r="A535" s="48">
        <v>528</v>
      </c>
      <c r="B535" s="60"/>
      <c r="C535" s="35">
        <f t="shared" si="116"/>
        <v>57263</v>
      </c>
      <c r="D535" s="36">
        <f t="shared" si="107"/>
        <v>0</v>
      </c>
      <c r="E535" s="49">
        <f t="shared" si="111"/>
        <v>0</v>
      </c>
      <c r="F535" s="37">
        <f t="shared" si="117"/>
        <v>0</v>
      </c>
      <c r="G535" s="50">
        <f t="shared" si="112"/>
        <v>0</v>
      </c>
      <c r="H535" s="51">
        <f t="shared" si="108"/>
        <v>0</v>
      </c>
      <c r="I535" s="49">
        <f t="shared" si="118"/>
        <v>0</v>
      </c>
      <c r="J535" s="49">
        <f t="shared" si="113"/>
        <v>0</v>
      </c>
      <c r="K535" s="52">
        <f t="shared" si="114"/>
        <v>0</v>
      </c>
      <c r="L535" s="56"/>
      <c r="M535" s="58"/>
      <c r="N535" s="41">
        <f t="shared" si="109"/>
        <v>7</v>
      </c>
      <c r="O535" s="11">
        <f t="shared" si="115"/>
        <v>24</v>
      </c>
      <c r="P535" s="12">
        <f t="shared" si="110"/>
        <v>0</v>
      </c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x14ac:dyDescent="0.3">
      <c r="A536" s="33">
        <v>529</v>
      </c>
      <c r="B536" s="59"/>
      <c r="C536" s="35">
        <f t="shared" si="116"/>
        <v>57294</v>
      </c>
      <c r="D536" s="36">
        <f t="shared" si="107"/>
        <v>0</v>
      </c>
      <c r="E536" s="37">
        <f t="shared" si="111"/>
        <v>0</v>
      </c>
      <c r="F536" s="37">
        <f t="shared" si="117"/>
        <v>0</v>
      </c>
      <c r="G536" s="38">
        <f t="shared" si="112"/>
        <v>0</v>
      </c>
      <c r="H536" s="39">
        <f t="shared" si="108"/>
        <v>0</v>
      </c>
      <c r="I536" s="37">
        <f t="shared" si="118"/>
        <v>0</v>
      </c>
      <c r="J536" s="37">
        <f t="shared" si="113"/>
        <v>0</v>
      </c>
      <c r="K536" s="40">
        <f t="shared" si="114"/>
        <v>0</v>
      </c>
      <c r="L536" s="53"/>
      <c r="M536" s="57"/>
      <c r="N536" s="41">
        <f t="shared" si="109"/>
        <v>7</v>
      </c>
      <c r="O536" s="11">
        <f t="shared" si="115"/>
        <v>24</v>
      </c>
      <c r="P536" s="12">
        <f t="shared" si="110"/>
        <v>0</v>
      </c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x14ac:dyDescent="0.3">
      <c r="A537" s="33">
        <v>530</v>
      </c>
      <c r="B537" s="59"/>
      <c r="C537" s="35">
        <f t="shared" si="116"/>
        <v>57324</v>
      </c>
      <c r="D537" s="36">
        <f t="shared" si="107"/>
        <v>0</v>
      </c>
      <c r="E537" s="37">
        <f t="shared" si="111"/>
        <v>0</v>
      </c>
      <c r="F537" s="37">
        <f t="shared" si="117"/>
        <v>0</v>
      </c>
      <c r="G537" s="38">
        <f t="shared" si="112"/>
        <v>0</v>
      </c>
      <c r="H537" s="39">
        <f t="shared" si="108"/>
        <v>0</v>
      </c>
      <c r="I537" s="37">
        <f t="shared" si="118"/>
        <v>0</v>
      </c>
      <c r="J537" s="37">
        <f t="shared" si="113"/>
        <v>0</v>
      </c>
      <c r="K537" s="40">
        <f t="shared" si="114"/>
        <v>0</v>
      </c>
      <c r="L537" s="53"/>
      <c r="M537" s="57"/>
      <c r="N537" s="41">
        <f t="shared" si="109"/>
        <v>7</v>
      </c>
      <c r="O537" s="11">
        <f t="shared" si="115"/>
        <v>24</v>
      </c>
      <c r="P537" s="12">
        <f t="shared" si="110"/>
        <v>0</v>
      </c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x14ac:dyDescent="0.3">
      <c r="A538" s="33">
        <v>531</v>
      </c>
      <c r="B538" s="59"/>
      <c r="C538" s="35">
        <f t="shared" si="116"/>
        <v>57355</v>
      </c>
      <c r="D538" s="36">
        <f t="shared" si="107"/>
        <v>0</v>
      </c>
      <c r="E538" s="37">
        <f t="shared" si="111"/>
        <v>0</v>
      </c>
      <c r="F538" s="37">
        <f t="shared" si="117"/>
        <v>0</v>
      </c>
      <c r="G538" s="38">
        <f t="shared" si="112"/>
        <v>0</v>
      </c>
      <c r="H538" s="39">
        <f t="shared" si="108"/>
        <v>0</v>
      </c>
      <c r="I538" s="37">
        <f t="shared" si="118"/>
        <v>0</v>
      </c>
      <c r="J538" s="37">
        <f t="shared" si="113"/>
        <v>0</v>
      </c>
      <c r="K538" s="40">
        <f t="shared" si="114"/>
        <v>0</v>
      </c>
      <c r="L538" s="53"/>
      <c r="M538" s="57"/>
      <c r="N538" s="41">
        <f t="shared" si="109"/>
        <v>7</v>
      </c>
      <c r="O538" s="11">
        <f t="shared" si="115"/>
        <v>24</v>
      </c>
      <c r="P538" s="12">
        <f t="shared" si="110"/>
        <v>0</v>
      </c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x14ac:dyDescent="0.3">
      <c r="A539" s="33">
        <v>532</v>
      </c>
      <c r="B539" s="59"/>
      <c r="C539" s="35">
        <f t="shared" si="116"/>
        <v>57386</v>
      </c>
      <c r="D539" s="36">
        <f t="shared" si="107"/>
        <v>0</v>
      </c>
      <c r="E539" s="37">
        <f t="shared" si="111"/>
        <v>0</v>
      </c>
      <c r="F539" s="37">
        <f t="shared" si="117"/>
        <v>0</v>
      </c>
      <c r="G539" s="38">
        <f t="shared" si="112"/>
        <v>0</v>
      </c>
      <c r="H539" s="39">
        <f t="shared" si="108"/>
        <v>0</v>
      </c>
      <c r="I539" s="37">
        <f t="shared" si="118"/>
        <v>0</v>
      </c>
      <c r="J539" s="37">
        <f t="shared" si="113"/>
        <v>0</v>
      </c>
      <c r="K539" s="40">
        <f t="shared" si="114"/>
        <v>0</v>
      </c>
      <c r="L539" s="53"/>
      <c r="M539" s="57"/>
      <c r="N539" s="41">
        <f t="shared" si="109"/>
        <v>7</v>
      </c>
      <c r="O539" s="11">
        <f t="shared" si="115"/>
        <v>24</v>
      </c>
      <c r="P539" s="12">
        <f t="shared" si="110"/>
        <v>0</v>
      </c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x14ac:dyDescent="0.3">
      <c r="A540" s="33">
        <v>533</v>
      </c>
      <c r="B540" s="59"/>
      <c r="C540" s="35">
        <f t="shared" si="116"/>
        <v>57414</v>
      </c>
      <c r="D540" s="36">
        <f t="shared" si="107"/>
        <v>0</v>
      </c>
      <c r="E540" s="37">
        <f t="shared" si="111"/>
        <v>0</v>
      </c>
      <c r="F540" s="37">
        <f t="shared" si="117"/>
        <v>0</v>
      </c>
      <c r="G540" s="38">
        <f t="shared" si="112"/>
        <v>0</v>
      </c>
      <c r="H540" s="39">
        <f t="shared" si="108"/>
        <v>0</v>
      </c>
      <c r="I540" s="37">
        <f t="shared" si="118"/>
        <v>0</v>
      </c>
      <c r="J540" s="37">
        <f t="shared" si="113"/>
        <v>0</v>
      </c>
      <c r="K540" s="40">
        <f t="shared" si="114"/>
        <v>0</v>
      </c>
      <c r="L540" s="53"/>
      <c r="M540" s="57"/>
      <c r="N540" s="41">
        <f t="shared" si="109"/>
        <v>7</v>
      </c>
      <c r="O540" s="11">
        <f t="shared" si="115"/>
        <v>24</v>
      </c>
      <c r="P540" s="12">
        <f t="shared" si="110"/>
        <v>0</v>
      </c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x14ac:dyDescent="0.3">
      <c r="A541" s="33">
        <v>534</v>
      </c>
      <c r="B541" s="59"/>
      <c r="C541" s="35">
        <f t="shared" si="116"/>
        <v>57445</v>
      </c>
      <c r="D541" s="36">
        <f t="shared" si="107"/>
        <v>0</v>
      </c>
      <c r="E541" s="37">
        <f t="shared" si="111"/>
        <v>0</v>
      </c>
      <c r="F541" s="37">
        <f t="shared" si="117"/>
        <v>0</v>
      </c>
      <c r="G541" s="38">
        <f t="shared" si="112"/>
        <v>0</v>
      </c>
      <c r="H541" s="39">
        <f t="shared" si="108"/>
        <v>0</v>
      </c>
      <c r="I541" s="37">
        <f t="shared" si="118"/>
        <v>0</v>
      </c>
      <c r="J541" s="37">
        <f t="shared" si="113"/>
        <v>0</v>
      </c>
      <c r="K541" s="40">
        <f t="shared" si="114"/>
        <v>0</v>
      </c>
      <c r="L541" s="53"/>
      <c r="M541" s="57"/>
      <c r="N541" s="41">
        <f t="shared" si="109"/>
        <v>7</v>
      </c>
      <c r="O541" s="11">
        <f t="shared" si="115"/>
        <v>24</v>
      </c>
      <c r="P541" s="12">
        <f t="shared" si="110"/>
        <v>0</v>
      </c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x14ac:dyDescent="0.3">
      <c r="A542" s="33">
        <v>535</v>
      </c>
      <c r="B542" s="59"/>
      <c r="C542" s="35">
        <f t="shared" si="116"/>
        <v>57475</v>
      </c>
      <c r="D542" s="36">
        <f t="shared" si="107"/>
        <v>0</v>
      </c>
      <c r="E542" s="37">
        <f t="shared" si="111"/>
        <v>0</v>
      </c>
      <c r="F542" s="37">
        <f t="shared" si="117"/>
        <v>0</v>
      </c>
      <c r="G542" s="38">
        <f t="shared" si="112"/>
        <v>0</v>
      </c>
      <c r="H542" s="39">
        <f t="shared" si="108"/>
        <v>0</v>
      </c>
      <c r="I542" s="37">
        <f t="shared" si="118"/>
        <v>0</v>
      </c>
      <c r="J542" s="37">
        <f t="shared" si="113"/>
        <v>0</v>
      </c>
      <c r="K542" s="40">
        <f t="shared" si="114"/>
        <v>0</v>
      </c>
      <c r="L542" s="53"/>
      <c r="M542" s="57"/>
      <c r="N542" s="41">
        <f t="shared" si="109"/>
        <v>7</v>
      </c>
      <c r="O542" s="11">
        <f t="shared" si="115"/>
        <v>24</v>
      </c>
      <c r="P542" s="12">
        <f t="shared" si="110"/>
        <v>0</v>
      </c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x14ac:dyDescent="0.3">
      <c r="A543" s="33">
        <v>536</v>
      </c>
      <c r="B543" s="59"/>
      <c r="C543" s="35">
        <f t="shared" si="116"/>
        <v>57506</v>
      </c>
      <c r="D543" s="36">
        <f t="shared" si="107"/>
        <v>0</v>
      </c>
      <c r="E543" s="37">
        <f t="shared" si="111"/>
        <v>0</v>
      </c>
      <c r="F543" s="37">
        <f t="shared" si="117"/>
        <v>0</v>
      </c>
      <c r="G543" s="38">
        <f t="shared" si="112"/>
        <v>0</v>
      </c>
      <c r="H543" s="39">
        <f t="shared" si="108"/>
        <v>0</v>
      </c>
      <c r="I543" s="37">
        <f t="shared" si="118"/>
        <v>0</v>
      </c>
      <c r="J543" s="37">
        <f t="shared" si="113"/>
        <v>0</v>
      </c>
      <c r="K543" s="40">
        <f t="shared" si="114"/>
        <v>0</v>
      </c>
      <c r="L543" s="53"/>
      <c r="M543" s="57"/>
      <c r="N543" s="41">
        <f t="shared" si="109"/>
        <v>7</v>
      </c>
      <c r="O543" s="11">
        <f t="shared" si="115"/>
        <v>24</v>
      </c>
      <c r="P543" s="12">
        <f t="shared" si="110"/>
        <v>0</v>
      </c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x14ac:dyDescent="0.3">
      <c r="A544" s="33">
        <v>537</v>
      </c>
      <c r="B544" s="59"/>
      <c r="C544" s="35">
        <f t="shared" si="116"/>
        <v>57536</v>
      </c>
      <c r="D544" s="36">
        <f t="shared" si="107"/>
        <v>0</v>
      </c>
      <c r="E544" s="37">
        <f t="shared" si="111"/>
        <v>0</v>
      </c>
      <c r="F544" s="37">
        <f t="shared" si="117"/>
        <v>0</v>
      </c>
      <c r="G544" s="38">
        <f t="shared" si="112"/>
        <v>0</v>
      </c>
      <c r="H544" s="39">
        <f t="shared" si="108"/>
        <v>0</v>
      </c>
      <c r="I544" s="37">
        <f t="shared" si="118"/>
        <v>0</v>
      </c>
      <c r="J544" s="37">
        <f t="shared" si="113"/>
        <v>0</v>
      </c>
      <c r="K544" s="40">
        <f t="shared" si="114"/>
        <v>0</v>
      </c>
      <c r="L544" s="53"/>
      <c r="M544" s="57"/>
      <c r="N544" s="41">
        <f t="shared" si="109"/>
        <v>7</v>
      </c>
      <c r="O544" s="11">
        <f t="shared" si="115"/>
        <v>24</v>
      </c>
      <c r="P544" s="12">
        <f t="shared" si="110"/>
        <v>0</v>
      </c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x14ac:dyDescent="0.3">
      <c r="A545" s="33">
        <v>538</v>
      </c>
      <c r="B545" s="59"/>
      <c r="C545" s="35">
        <f t="shared" si="116"/>
        <v>57567</v>
      </c>
      <c r="D545" s="36">
        <f t="shared" si="107"/>
        <v>0</v>
      </c>
      <c r="E545" s="37">
        <f t="shared" si="111"/>
        <v>0</v>
      </c>
      <c r="F545" s="37">
        <f t="shared" si="117"/>
        <v>0</v>
      </c>
      <c r="G545" s="38">
        <f t="shared" si="112"/>
        <v>0</v>
      </c>
      <c r="H545" s="39">
        <f t="shared" si="108"/>
        <v>0</v>
      </c>
      <c r="I545" s="37">
        <f t="shared" si="118"/>
        <v>0</v>
      </c>
      <c r="J545" s="37">
        <f t="shared" si="113"/>
        <v>0</v>
      </c>
      <c r="K545" s="40">
        <f t="shared" si="114"/>
        <v>0</v>
      </c>
      <c r="L545" s="53"/>
      <c r="M545" s="57"/>
      <c r="N545" s="41">
        <f t="shared" si="109"/>
        <v>7</v>
      </c>
      <c r="O545" s="11">
        <f t="shared" si="115"/>
        <v>24</v>
      </c>
      <c r="P545" s="12">
        <f t="shared" si="110"/>
        <v>0</v>
      </c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x14ac:dyDescent="0.3">
      <c r="A546" s="33">
        <v>539</v>
      </c>
      <c r="B546" s="59"/>
      <c r="C546" s="35">
        <f t="shared" si="116"/>
        <v>57598</v>
      </c>
      <c r="D546" s="36">
        <f t="shared" si="107"/>
        <v>0</v>
      </c>
      <c r="E546" s="37">
        <f t="shared" si="111"/>
        <v>0</v>
      </c>
      <c r="F546" s="37">
        <f t="shared" si="117"/>
        <v>0</v>
      </c>
      <c r="G546" s="38">
        <f t="shared" si="112"/>
        <v>0</v>
      </c>
      <c r="H546" s="39">
        <f t="shared" si="108"/>
        <v>0</v>
      </c>
      <c r="I546" s="37">
        <f t="shared" si="118"/>
        <v>0</v>
      </c>
      <c r="J546" s="37">
        <f t="shared" si="113"/>
        <v>0</v>
      </c>
      <c r="K546" s="40">
        <f t="shared" si="114"/>
        <v>0</v>
      </c>
      <c r="L546" s="53"/>
      <c r="M546" s="57"/>
      <c r="N546" s="41">
        <f t="shared" si="109"/>
        <v>7</v>
      </c>
      <c r="O546" s="11">
        <f t="shared" si="115"/>
        <v>24</v>
      </c>
      <c r="P546" s="12">
        <f t="shared" si="110"/>
        <v>0</v>
      </c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x14ac:dyDescent="0.3">
      <c r="A547" s="33">
        <v>540</v>
      </c>
      <c r="B547" s="59"/>
      <c r="C547" s="35">
        <f t="shared" si="116"/>
        <v>57628</v>
      </c>
      <c r="D547" s="36">
        <f t="shared" si="107"/>
        <v>0</v>
      </c>
      <c r="E547" s="37">
        <f t="shared" si="111"/>
        <v>0</v>
      </c>
      <c r="F547" s="37">
        <f t="shared" si="117"/>
        <v>0</v>
      </c>
      <c r="G547" s="38">
        <f t="shared" si="112"/>
        <v>0</v>
      </c>
      <c r="H547" s="39">
        <f t="shared" si="108"/>
        <v>0</v>
      </c>
      <c r="I547" s="37">
        <f t="shared" si="118"/>
        <v>0</v>
      </c>
      <c r="J547" s="37">
        <f t="shared" si="113"/>
        <v>0</v>
      </c>
      <c r="K547" s="40">
        <f t="shared" si="114"/>
        <v>0</v>
      </c>
      <c r="L547" s="53"/>
      <c r="M547" s="57"/>
      <c r="N547" s="41">
        <f t="shared" si="109"/>
        <v>7</v>
      </c>
      <c r="O547" s="11">
        <f t="shared" si="115"/>
        <v>24</v>
      </c>
      <c r="P547" s="12">
        <f t="shared" si="110"/>
        <v>0</v>
      </c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x14ac:dyDescent="0.3">
      <c r="A548" s="42">
        <v>541</v>
      </c>
      <c r="B548" s="60"/>
      <c r="C548" s="35">
        <f t="shared" si="116"/>
        <v>57659</v>
      </c>
      <c r="D548" s="36">
        <f t="shared" si="107"/>
        <v>0</v>
      </c>
      <c r="E548" s="43">
        <f t="shared" si="111"/>
        <v>0</v>
      </c>
      <c r="F548" s="37">
        <f t="shared" si="117"/>
        <v>0</v>
      </c>
      <c r="G548" s="44">
        <f t="shared" si="112"/>
        <v>0</v>
      </c>
      <c r="H548" s="45">
        <f t="shared" si="108"/>
        <v>0</v>
      </c>
      <c r="I548" s="43">
        <f t="shared" si="118"/>
        <v>0</v>
      </c>
      <c r="J548" s="43">
        <f t="shared" si="113"/>
        <v>0</v>
      </c>
      <c r="K548" s="46">
        <f t="shared" si="114"/>
        <v>0</v>
      </c>
      <c r="L548" s="55"/>
      <c r="M548" s="54"/>
      <c r="N548" s="41">
        <f t="shared" si="109"/>
        <v>7</v>
      </c>
      <c r="O548" s="11">
        <f t="shared" si="115"/>
        <v>24</v>
      </c>
      <c r="P548" s="12">
        <f t="shared" si="110"/>
        <v>0</v>
      </c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x14ac:dyDescent="0.3">
      <c r="A549" s="47">
        <v>542</v>
      </c>
      <c r="B549" s="60"/>
      <c r="C549" s="35">
        <f t="shared" si="116"/>
        <v>57689</v>
      </c>
      <c r="D549" s="36">
        <f t="shared" si="107"/>
        <v>0</v>
      </c>
      <c r="E549" s="37">
        <f t="shared" si="111"/>
        <v>0</v>
      </c>
      <c r="F549" s="37">
        <f t="shared" si="117"/>
        <v>0</v>
      </c>
      <c r="G549" s="38">
        <f t="shared" si="112"/>
        <v>0</v>
      </c>
      <c r="H549" s="39">
        <f t="shared" si="108"/>
        <v>0</v>
      </c>
      <c r="I549" s="37">
        <f t="shared" si="118"/>
        <v>0</v>
      </c>
      <c r="J549" s="37">
        <f t="shared" si="113"/>
        <v>0</v>
      </c>
      <c r="K549" s="40">
        <f t="shared" si="114"/>
        <v>0</v>
      </c>
      <c r="L549" s="53"/>
      <c r="M549" s="57"/>
      <c r="N549" s="41">
        <f t="shared" si="109"/>
        <v>7</v>
      </c>
      <c r="O549" s="11">
        <f t="shared" si="115"/>
        <v>24</v>
      </c>
      <c r="P549" s="12">
        <f t="shared" si="110"/>
        <v>0</v>
      </c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x14ac:dyDescent="0.3">
      <c r="A550" s="47">
        <v>543</v>
      </c>
      <c r="B550" s="60"/>
      <c r="C550" s="35">
        <f t="shared" si="116"/>
        <v>57720</v>
      </c>
      <c r="D550" s="36">
        <f t="shared" si="107"/>
        <v>0</v>
      </c>
      <c r="E550" s="37">
        <f t="shared" si="111"/>
        <v>0</v>
      </c>
      <c r="F550" s="37">
        <f t="shared" si="117"/>
        <v>0</v>
      </c>
      <c r="G550" s="38">
        <f t="shared" si="112"/>
        <v>0</v>
      </c>
      <c r="H550" s="39">
        <f t="shared" si="108"/>
        <v>0</v>
      </c>
      <c r="I550" s="37">
        <f t="shared" si="118"/>
        <v>0</v>
      </c>
      <c r="J550" s="37">
        <f t="shared" si="113"/>
        <v>0</v>
      </c>
      <c r="K550" s="40">
        <f t="shared" si="114"/>
        <v>0</v>
      </c>
      <c r="L550" s="53"/>
      <c r="M550" s="57"/>
      <c r="N550" s="41">
        <f t="shared" si="109"/>
        <v>7</v>
      </c>
      <c r="O550" s="11">
        <f t="shared" si="115"/>
        <v>24</v>
      </c>
      <c r="P550" s="12">
        <f t="shared" si="110"/>
        <v>0</v>
      </c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x14ac:dyDescent="0.3">
      <c r="A551" s="47">
        <v>544</v>
      </c>
      <c r="B551" s="60"/>
      <c r="C551" s="35">
        <f t="shared" si="116"/>
        <v>57751</v>
      </c>
      <c r="D551" s="36">
        <f t="shared" si="107"/>
        <v>0</v>
      </c>
      <c r="E551" s="37">
        <f t="shared" si="111"/>
        <v>0</v>
      </c>
      <c r="F551" s="37">
        <f t="shared" si="117"/>
        <v>0</v>
      </c>
      <c r="G551" s="38">
        <f t="shared" si="112"/>
        <v>0</v>
      </c>
      <c r="H551" s="39">
        <f t="shared" si="108"/>
        <v>0</v>
      </c>
      <c r="I551" s="37">
        <f t="shared" si="118"/>
        <v>0</v>
      </c>
      <c r="J551" s="37">
        <f t="shared" si="113"/>
        <v>0</v>
      </c>
      <c r="K551" s="40">
        <f t="shared" si="114"/>
        <v>0</v>
      </c>
      <c r="L551" s="53"/>
      <c r="M551" s="57"/>
      <c r="N551" s="41">
        <f t="shared" si="109"/>
        <v>7</v>
      </c>
      <c r="O551" s="11">
        <f t="shared" si="115"/>
        <v>24</v>
      </c>
      <c r="P551" s="12">
        <f t="shared" si="110"/>
        <v>0</v>
      </c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x14ac:dyDescent="0.3">
      <c r="A552" s="47">
        <v>545</v>
      </c>
      <c r="B552" s="60"/>
      <c r="C552" s="35">
        <f t="shared" si="116"/>
        <v>57779</v>
      </c>
      <c r="D552" s="36">
        <f t="shared" si="107"/>
        <v>0</v>
      </c>
      <c r="E552" s="37">
        <f t="shared" si="111"/>
        <v>0</v>
      </c>
      <c r="F552" s="37">
        <f t="shared" si="117"/>
        <v>0</v>
      </c>
      <c r="G552" s="38">
        <f t="shared" si="112"/>
        <v>0</v>
      </c>
      <c r="H552" s="39">
        <f t="shared" si="108"/>
        <v>0</v>
      </c>
      <c r="I552" s="37">
        <f t="shared" si="118"/>
        <v>0</v>
      </c>
      <c r="J552" s="37">
        <f t="shared" si="113"/>
        <v>0</v>
      </c>
      <c r="K552" s="40">
        <f t="shared" si="114"/>
        <v>0</v>
      </c>
      <c r="L552" s="53"/>
      <c r="M552" s="57"/>
      <c r="N552" s="41">
        <f t="shared" si="109"/>
        <v>7</v>
      </c>
      <c r="O552" s="11">
        <f t="shared" si="115"/>
        <v>24</v>
      </c>
      <c r="P552" s="12">
        <f t="shared" si="110"/>
        <v>0</v>
      </c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x14ac:dyDescent="0.3">
      <c r="A553" s="47">
        <v>546</v>
      </c>
      <c r="B553" s="60"/>
      <c r="C553" s="35">
        <f t="shared" si="116"/>
        <v>57810</v>
      </c>
      <c r="D553" s="36">
        <f t="shared" si="107"/>
        <v>0</v>
      </c>
      <c r="E553" s="37">
        <f t="shared" si="111"/>
        <v>0</v>
      </c>
      <c r="F553" s="37">
        <f t="shared" si="117"/>
        <v>0</v>
      </c>
      <c r="G553" s="38">
        <f t="shared" si="112"/>
        <v>0</v>
      </c>
      <c r="H553" s="39">
        <f t="shared" si="108"/>
        <v>0</v>
      </c>
      <c r="I553" s="37">
        <f t="shared" si="118"/>
        <v>0</v>
      </c>
      <c r="J553" s="37">
        <f t="shared" si="113"/>
        <v>0</v>
      </c>
      <c r="K553" s="40">
        <f t="shared" si="114"/>
        <v>0</v>
      </c>
      <c r="L553" s="53"/>
      <c r="M553" s="57"/>
      <c r="N553" s="41">
        <f t="shared" si="109"/>
        <v>7</v>
      </c>
      <c r="O553" s="11">
        <f t="shared" si="115"/>
        <v>24</v>
      </c>
      <c r="P553" s="12">
        <f t="shared" si="110"/>
        <v>0</v>
      </c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x14ac:dyDescent="0.3">
      <c r="A554" s="47">
        <v>547</v>
      </c>
      <c r="B554" s="60"/>
      <c r="C554" s="35">
        <f t="shared" si="116"/>
        <v>57840</v>
      </c>
      <c r="D554" s="36">
        <f t="shared" si="107"/>
        <v>0</v>
      </c>
      <c r="E554" s="37">
        <f t="shared" si="111"/>
        <v>0</v>
      </c>
      <c r="F554" s="37">
        <f t="shared" si="117"/>
        <v>0</v>
      </c>
      <c r="G554" s="38">
        <f t="shared" si="112"/>
        <v>0</v>
      </c>
      <c r="H554" s="39">
        <f t="shared" si="108"/>
        <v>0</v>
      </c>
      <c r="I554" s="37">
        <f t="shared" si="118"/>
        <v>0</v>
      </c>
      <c r="J554" s="37">
        <f t="shared" si="113"/>
        <v>0</v>
      </c>
      <c r="K554" s="40">
        <f t="shared" si="114"/>
        <v>0</v>
      </c>
      <c r="L554" s="53"/>
      <c r="M554" s="57"/>
      <c r="N554" s="41">
        <f t="shared" si="109"/>
        <v>7</v>
      </c>
      <c r="O554" s="11">
        <f t="shared" si="115"/>
        <v>24</v>
      </c>
      <c r="P554" s="12">
        <f t="shared" si="110"/>
        <v>0</v>
      </c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x14ac:dyDescent="0.3">
      <c r="A555" s="47">
        <v>548</v>
      </c>
      <c r="B555" s="60"/>
      <c r="C555" s="35">
        <f t="shared" si="116"/>
        <v>57871</v>
      </c>
      <c r="D555" s="36">
        <f t="shared" si="107"/>
        <v>0</v>
      </c>
      <c r="E555" s="37">
        <f t="shared" si="111"/>
        <v>0</v>
      </c>
      <c r="F555" s="37">
        <f t="shared" si="117"/>
        <v>0</v>
      </c>
      <c r="G555" s="38">
        <f t="shared" si="112"/>
        <v>0</v>
      </c>
      <c r="H555" s="39">
        <f t="shared" si="108"/>
        <v>0</v>
      </c>
      <c r="I555" s="37">
        <f t="shared" si="118"/>
        <v>0</v>
      </c>
      <c r="J555" s="37">
        <f t="shared" si="113"/>
        <v>0</v>
      </c>
      <c r="K555" s="40">
        <f t="shared" si="114"/>
        <v>0</v>
      </c>
      <c r="L555" s="53"/>
      <c r="M555" s="57"/>
      <c r="N555" s="41">
        <f t="shared" si="109"/>
        <v>7</v>
      </c>
      <c r="O555" s="11">
        <f t="shared" si="115"/>
        <v>24</v>
      </c>
      <c r="P555" s="12">
        <f t="shared" si="110"/>
        <v>0</v>
      </c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x14ac:dyDescent="0.3">
      <c r="A556" s="47">
        <v>549</v>
      </c>
      <c r="B556" s="60"/>
      <c r="C556" s="35">
        <f t="shared" si="116"/>
        <v>57901</v>
      </c>
      <c r="D556" s="36">
        <f t="shared" si="107"/>
        <v>0</v>
      </c>
      <c r="E556" s="37">
        <f t="shared" si="111"/>
        <v>0</v>
      </c>
      <c r="F556" s="37">
        <f t="shared" si="117"/>
        <v>0</v>
      </c>
      <c r="G556" s="38">
        <f t="shared" si="112"/>
        <v>0</v>
      </c>
      <c r="H556" s="39">
        <f t="shared" si="108"/>
        <v>0</v>
      </c>
      <c r="I556" s="37">
        <f t="shared" si="118"/>
        <v>0</v>
      </c>
      <c r="J556" s="37">
        <f t="shared" si="113"/>
        <v>0</v>
      </c>
      <c r="K556" s="40">
        <f t="shared" si="114"/>
        <v>0</v>
      </c>
      <c r="L556" s="53"/>
      <c r="M556" s="57"/>
      <c r="N556" s="41">
        <f t="shared" si="109"/>
        <v>7</v>
      </c>
      <c r="O556" s="11">
        <f t="shared" si="115"/>
        <v>24</v>
      </c>
      <c r="P556" s="12">
        <f t="shared" si="110"/>
        <v>0</v>
      </c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x14ac:dyDescent="0.3">
      <c r="A557" s="47">
        <v>550</v>
      </c>
      <c r="B557" s="60"/>
      <c r="C557" s="35">
        <f t="shared" si="116"/>
        <v>57932</v>
      </c>
      <c r="D557" s="36">
        <f t="shared" si="107"/>
        <v>0</v>
      </c>
      <c r="E557" s="37">
        <f t="shared" si="111"/>
        <v>0</v>
      </c>
      <c r="F557" s="37">
        <f t="shared" si="117"/>
        <v>0</v>
      </c>
      <c r="G557" s="38">
        <f t="shared" si="112"/>
        <v>0</v>
      </c>
      <c r="H557" s="39">
        <f t="shared" si="108"/>
        <v>0</v>
      </c>
      <c r="I557" s="37">
        <f t="shared" si="118"/>
        <v>0</v>
      </c>
      <c r="J557" s="37">
        <f t="shared" si="113"/>
        <v>0</v>
      </c>
      <c r="K557" s="40">
        <f t="shared" si="114"/>
        <v>0</v>
      </c>
      <c r="L557" s="53"/>
      <c r="M557" s="57"/>
      <c r="N557" s="41">
        <f t="shared" si="109"/>
        <v>7</v>
      </c>
      <c r="O557" s="11">
        <f t="shared" si="115"/>
        <v>24</v>
      </c>
      <c r="P557" s="12">
        <f t="shared" si="110"/>
        <v>0</v>
      </c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x14ac:dyDescent="0.3">
      <c r="A558" s="47">
        <v>551</v>
      </c>
      <c r="B558" s="60"/>
      <c r="C558" s="35">
        <f t="shared" si="116"/>
        <v>57963</v>
      </c>
      <c r="D558" s="36">
        <f t="shared" si="107"/>
        <v>0</v>
      </c>
      <c r="E558" s="37">
        <f t="shared" si="111"/>
        <v>0</v>
      </c>
      <c r="F558" s="37">
        <f t="shared" si="117"/>
        <v>0</v>
      </c>
      <c r="G558" s="38">
        <f t="shared" si="112"/>
        <v>0</v>
      </c>
      <c r="H558" s="39">
        <f t="shared" si="108"/>
        <v>0</v>
      </c>
      <c r="I558" s="37">
        <f t="shared" si="118"/>
        <v>0</v>
      </c>
      <c r="J558" s="37">
        <f t="shared" si="113"/>
        <v>0</v>
      </c>
      <c r="K558" s="40">
        <f t="shared" si="114"/>
        <v>0</v>
      </c>
      <c r="L558" s="53"/>
      <c r="M558" s="57"/>
      <c r="N558" s="41">
        <f t="shared" si="109"/>
        <v>7</v>
      </c>
      <c r="O558" s="11">
        <f t="shared" si="115"/>
        <v>24</v>
      </c>
      <c r="P558" s="12">
        <f t="shared" si="110"/>
        <v>0</v>
      </c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x14ac:dyDescent="0.3">
      <c r="A559" s="48">
        <v>552</v>
      </c>
      <c r="B559" s="60"/>
      <c r="C559" s="35">
        <f t="shared" si="116"/>
        <v>57993</v>
      </c>
      <c r="D559" s="36">
        <f t="shared" si="107"/>
        <v>0</v>
      </c>
      <c r="E559" s="49">
        <f t="shared" si="111"/>
        <v>0</v>
      </c>
      <c r="F559" s="37">
        <f t="shared" si="117"/>
        <v>0</v>
      </c>
      <c r="G559" s="50">
        <f t="shared" si="112"/>
        <v>0</v>
      </c>
      <c r="H559" s="51">
        <f t="shared" si="108"/>
        <v>0</v>
      </c>
      <c r="I559" s="49">
        <f t="shared" si="118"/>
        <v>0</v>
      </c>
      <c r="J559" s="49">
        <f t="shared" si="113"/>
        <v>0</v>
      </c>
      <c r="K559" s="52">
        <f t="shared" si="114"/>
        <v>0</v>
      </c>
      <c r="L559" s="56"/>
      <c r="M559" s="58"/>
      <c r="N559" s="41">
        <f t="shared" si="109"/>
        <v>7</v>
      </c>
      <c r="O559" s="11">
        <f t="shared" si="115"/>
        <v>24</v>
      </c>
      <c r="P559" s="12">
        <f t="shared" si="110"/>
        <v>0</v>
      </c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x14ac:dyDescent="0.3">
      <c r="A560" s="33">
        <v>553</v>
      </c>
      <c r="B560" s="59"/>
      <c r="C560" s="35">
        <f t="shared" si="116"/>
        <v>58024</v>
      </c>
      <c r="D560" s="36">
        <f t="shared" si="107"/>
        <v>0</v>
      </c>
      <c r="E560" s="37">
        <f t="shared" si="111"/>
        <v>0</v>
      </c>
      <c r="F560" s="37">
        <f t="shared" si="117"/>
        <v>0</v>
      </c>
      <c r="G560" s="38">
        <f t="shared" si="112"/>
        <v>0</v>
      </c>
      <c r="H560" s="39">
        <f t="shared" si="108"/>
        <v>0</v>
      </c>
      <c r="I560" s="37">
        <f t="shared" si="118"/>
        <v>0</v>
      </c>
      <c r="J560" s="37">
        <f t="shared" si="113"/>
        <v>0</v>
      </c>
      <c r="K560" s="40">
        <f t="shared" si="114"/>
        <v>0</v>
      </c>
      <c r="L560" s="53"/>
      <c r="M560" s="57"/>
      <c r="N560" s="41">
        <f t="shared" si="109"/>
        <v>7</v>
      </c>
      <c r="O560" s="11">
        <f t="shared" si="115"/>
        <v>24</v>
      </c>
      <c r="P560" s="12">
        <f t="shared" si="110"/>
        <v>0</v>
      </c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x14ac:dyDescent="0.3">
      <c r="A561" s="33">
        <v>554</v>
      </c>
      <c r="B561" s="59"/>
      <c r="C561" s="35">
        <f t="shared" si="116"/>
        <v>58054</v>
      </c>
      <c r="D561" s="36">
        <f t="shared" si="107"/>
        <v>0</v>
      </c>
      <c r="E561" s="37">
        <f t="shared" si="111"/>
        <v>0</v>
      </c>
      <c r="F561" s="37">
        <f t="shared" si="117"/>
        <v>0</v>
      </c>
      <c r="G561" s="38">
        <f t="shared" si="112"/>
        <v>0</v>
      </c>
      <c r="H561" s="39">
        <f t="shared" si="108"/>
        <v>0</v>
      </c>
      <c r="I561" s="37">
        <f t="shared" si="118"/>
        <v>0</v>
      </c>
      <c r="J561" s="37">
        <f t="shared" si="113"/>
        <v>0</v>
      </c>
      <c r="K561" s="40">
        <f t="shared" si="114"/>
        <v>0</v>
      </c>
      <c r="L561" s="53"/>
      <c r="M561" s="57"/>
      <c r="N561" s="41">
        <f t="shared" si="109"/>
        <v>7</v>
      </c>
      <c r="O561" s="11">
        <f t="shared" si="115"/>
        <v>24</v>
      </c>
      <c r="P561" s="12">
        <f t="shared" si="110"/>
        <v>0</v>
      </c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x14ac:dyDescent="0.3">
      <c r="A562" s="33">
        <v>555</v>
      </c>
      <c r="B562" s="59"/>
      <c r="C562" s="35">
        <f t="shared" si="116"/>
        <v>58085</v>
      </c>
      <c r="D562" s="36">
        <f t="shared" si="107"/>
        <v>0</v>
      </c>
      <c r="E562" s="37">
        <f t="shared" si="111"/>
        <v>0</v>
      </c>
      <c r="F562" s="37">
        <f t="shared" si="117"/>
        <v>0</v>
      </c>
      <c r="G562" s="38">
        <f t="shared" si="112"/>
        <v>0</v>
      </c>
      <c r="H562" s="39">
        <f t="shared" si="108"/>
        <v>0</v>
      </c>
      <c r="I562" s="37">
        <f t="shared" si="118"/>
        <v>0</v>
      </c>
      <c r="J562" s="37">
        <f t="shared" si="113"/>
        <v>0</v>
      </c>
      <c r="K562" s="40">
        <f t="shared" si="114"/>
        <v>0</v>
      </c>
      <c r="L562" s="53"/>
      <c r="M562" s="57"/>
      <c r="N562" s="41">
        <f t="shared" si="109"/>
        <v>7</v>
      </c>
      <c r="O562" s="11">
        <f t="shared" si="115"/>
        <v>24</v>
      </c>
      <c r="P562" s="12">
        <f t="shared" si="110"/>
        <v>0</v>
      </c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x14ac:dyDescent="0.3">
      <c r="A563" s="33">
        <v>556</v>
      </c>
      <c r="B563" s="59"/>
      <c r="C563" s="35">
        <f t="shared" si="116"/>
        <v>58116</v>
      </c>
      <c r="D563" s="36">
        <f t="shared" si="107"/>
        <v>0</v>
      </c>
      <c r="E563" s="37">
        <f t="shared" si="111"/>
        <v>0</v>
      </c>
      <c r="F563" s="37">
        <f t="shared" si="117"/>
        <v>0</v>
      </c>
      <c r="G563" s="38">
        <f t="shared" si="112"/>
        <v>0</v>
      </c>
      <c r="H563" s="39">
        <f t="shared" si="108"/>
        <v>0</v>
      </c>
      <c r="I563" s="37">
        <f t="shared" si="118"/>
        <v>0</v>
      </c>
      <c r="J563" s="37">
        <f t="shared" si="113"/>
        <v>0</v>
      </c>
      <c r="K563" s="40">
        <f t="shared" si="114"/>
        <v>0</v>
      </c>
      <c r="L563" s="53"/>
      <c r="M563" s="57"/>
      <c r="N563" s="41">
        <f t="shared" si="109"/>
        <v>7</v>
      </c>
      <c r="O563" s="11">
        <f t="shared" si="115"/>
        <v>24</v>
      </c>
      <c r="P563" s="12">
        <f t="shared" si="110"/>
        <v>0</v>
      </c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x14ac:dyDescent="0.3">
      <c r="A564" s="33">
        <v>557</v>
      </c>
      <c r="B564" s="59"/>
      <c r="C564" s="35">
        <f t="shared" si="116"/>
        <v>58144</v>
      </c>
      <c r="D564" s="36">
        <f t="shared" si="107"/>
        <v>0</v>
      </c>
      <c r="E564" s="37">
        <f t="shared" si="111"/>
        <v>0</v>
      </c>
      <c r="F564" s="37">
        <f t="shared" si="117"/>
        <v>0</v>
      </c>
      <c r="G564" s="38">
        <f t="shared" si="112"/>
        <v>0</v>
      </c>
      <c r="H564" s="39">
        <f t="shared" si="108"/>
        <v>0</v>
      </c>
      <c r="I564" s="37">
        <f t="shared" si="118"/>
        <v>0</v>
      </c>
      <c r="J564" s="37">
        <f t="shared" si="113"/>
        <v>0</v>
      </c>
      <c r="K564" s="40">
        <f t="shared" si="114"/>
        <v>0</v>
      </c>
      <c r="L564" s="53"/>
      <c r="M564" s="57"/>
      <c r="N564" s="41">
        <f t="shared" si="109"/>
        <v>7</v>
      </c>
      <c r="O564" s="11">
        <f t="shared" si="115"/>
        <v>24</v>
      </c>
      <c r="P564" s="12">
        <f t="shared" si="110"/>
        <v>0</v>
      </c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x14ac:dyDescent="0.3">
      <c r="A565" s="33">
        <v>558</v>
      </c>
      <c r="B565" s="59"/>
      <c r="C565" s="35">
        <f t="shared" si="116"/>
        <v>58175</v>
      </c>
      <c r="D565" s="36">
        <f t="shared" si="107"/>
        <v>0</v>
      </c>
      <c r="E565" s="37">
        <f t="shared" si="111"/>
        <v>0</v>
      </c>
      <c r="F565" s="37">
        <f t="shared" si="117"/>
        <v>0</v>
      </c>
      <c r="G565" s="38">
        <f t="shared" si="112"/>
        <v>0</v>
      </c>
      <c r="H565" s="39">
        <f t="shared" si="108"/>
        <v>0</v>
      </c>
      <c r="I565" s="37">
        <f t="shared" si="118"/>
        <v>0</v>
      </c>
      <c r="J565" s="37">
        <f t="shared" si="113"/>
        <v>0</v>
      </c>
      <c r="K565" s="40">
        <f t="shared" si="114"/>
        <v>0</v>
      </c>
      <c r="L565" s="53"/>
      <c r="M565" s="57"/>
      <c r="N565" s="41">
        <f t="shared" si="109"/>
        <v>7</v>
      </c>
      <c r="O565" s="11">
        <f t="shared" si="115"/>
        <v>24</v>
      </c>
      <c r="P565" s="12">
        <f t="shared" si="110"/>
        <v>0</v>
      </c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x14ac:dyDescent="0.3">
      <c r="A566" s="33">
        <v>559</v>
      </c>
      <c r="B566" s="59"/>
      <c r="C566" s="35">
        <f t="shared" si="116"/>
        <v>58205</v>
      </c>
      <c r="D566" s="36">
        <f t="shared" si="107"/>
        <v>0</v>
      </c>
      <c r="E566" s="37">
        <f t="shared" si="111"/>
        <v>0</v>
      </c>
      <c r="F566" s="37">
        <f t="shared" si="117"/>
        <v>0</v>
      </c>
      <c r="G566" s="38">
        <f t="shared" si="112"/>
        <v>0</v>
      </c>
      <c r="H566" s="39">
        <f t="shared" si="108"/>
        <v>0</v>
      </c>
      <c r="I566" s="37">
        <f t="shared" si="118"/>
        <v>0</v>
      </c>
      <c r="J566" s="37">
        <f t="shared" si="113"/>
        <v>0</v>
      </c>
      <c r="K566" s="40">
        <f t="shared" si="114"/>
        <v>0</v>
      </c>
      <c r="L566" s="53"/>
      <c r="M566" s="57"/>
      <c r="N566" s="41">
        <f t="shared" si="109"/>
        <v>7</v>
      </c>
      <c r="O566" s="11">
        <f t="shared" si="115"/>
        <v>24</v>
      </c>
      <c r="P566" s="12">
        <f t="shared" si="110"/>
        <v>0</v>
      </c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x14ac:dyDescent="0.3">
      <c r="A567" s="33">
        <v>560</v>
      </c>
      <c r="B567" s="59"/>
      <c r="C567" s="35">
        <f t="shared" si="116"/>
        <v>58236</v>
      </c>
      <c r="D567" s="36">
        <f t="shared" si="107"/>
        <v>0</v>
      </c>
      <c r="E567" s="37">
        <f t="shared" si="111"/>
        <v>0</v>
      </c>
      <c r="F567" s="37">
        <f t="shared" si="117"/>
        <v>0</v>
      </c>
      <c r="G567" s="38">
        <f t="shared" si="112"/>
        <v>0</v>
      </c>
      <c r="H567" s="39">
        <f t="shared" si="108"/>
        <v>0</v>
      </c>
      <c r="I567" s="37">
        <f t="shared" si="118"/>
        <v>0</v>
      </c>
      <c r="J567" s="37">
        <f t="shared" si="113"/>
        <v>0</v>
      </c>
      <c r="K567" s="40">
        <f t="shared" si="114"/>
        <v>0</v>
      </c>
      <c r="L567" s="53"/>
      <c r="M567" s="57"/>
      <c r="N567" s="41">
        <f t="shared" si="109"/>
        <v>7</v>
      </c>
      <c r="O567" s="11">
        <f t="shared" si="115"/>
        <v>24</v>
      </c>
      <c r="P567" s="12">
        <f t="shared" si="110"/>
        <v>0</v>
      </c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x14ac:dyDescent="0.3">
      <c r="A568" s="33">
        <v>561</v>
      </c>
      <c r="B568" s="59"/>
      <c r="C568" s="35">
        <f t="shared" si="116"/>
        <v>58266</v>
      </c>
      <c r="D568" s="36">
        <f t="shared" si="107"/>
        <v>0</v>
      </c>
      <c r="E568" s="37">
        <f t="shared" si="111"/>
        <v>0</v>
      </c>
      <c r="F568" s="37">
        <f t="shared" si="117"/>
        <v>0</v>
      </c>
      <c r="G568" s="38">
        <f t="shared" si="112"/>
        <v>0</v>
      </c>
      <c r="H568" s="39">
        <f t="shared" si="108"/>
        <v>0</v>
      </c>
      <c r="I568" s="37">
        <f t="shared" si="118"/>
        <v>0</v>
      </c>
      <c r="J568" s="37">
        <f t="shared" si="113"/>
        <v>0</v>
      </c>
      <c r="K568" s="40">
        <f t="shared" si="114"/>
        <v>0</v>
      </c>
      <c r="L568" s="53"/>
      <c r="M568" s="57"/>
      <c r="N568" s="41">
        <f t="shared" si="109"/>
        <v>7</v>
      </c>
      <c r="O568" s="11">
        <f t="shared" si="115"/>
        <v>24</v>
      </c>
      <c r="P568" s="12">
        <f t="shared" si="110"/>
        <v>0</v>
      </c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x14ac:dyDescent="0.3">
      <c r="A569" s="33">
        <v>562</v>
      </c>
      <c r="B569" s="59"/>
      <c r="C569" s="35">
        <f t="shared" si="116"/>
        <v>58297</v>
      </c>
      <c r="D569" s="36">
        <f t="shared" si="107"/>
        <v>0</v>
      </c>
      <c r="E569" s="37">
        <f t="shared" si="111"/>
        <v>0</v>
      </c>
      <c r="F569" s="37">
        <f t="shared" si="117"/>
        <v>0</v>
      </c>
      <c r="G569" s="38">
        <f t="shared" si="112"/>
        <v>0</v>
      </c>
      <c r="H569" s="39">
        <f t="shared" si="108"/>
        <v>0</v>
      </c>
      <c r="I569" s="37">
        <f t="shared" si="118"/>
        <v>0</v>
      </c>
      <c r="J569" s="37">
        <f t="shared" si="113"/>
        <v>0</v>
      </c>
      <c r="K569" s="40">
        <f t="shared" si="114"/>
        <v>0</v>
      </c>
      <c r="L569" s="53"/>
      <c r="M569" s="57"/>
      <c r="N569" s="41">
        <f t="shared" si="109"/>
        <v>7</v>
      </c>
      <c r="O569" s="11">
        <f t="shared" si="115"/>
        <v>24</v>
      </c>
      <c r="P569" s="12">
        <f t="shared" si="110"/>
        <v>0</v>
      </c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x14ac:dyDescent="0.3">
      <c r="A570" s="33">
        <v>563</v>
      </c>
      <c r="B570" s="59"/>
      <c r="C570" s="35">
        <f t="shared" si="116"/>
        <v>58328</v>
      </c>
      <c r="D570" s="36">
        <f t="shared" si="107"/>
        <v>0</v>
      </c>
      <c r="E570" s="37">
        <f t="shared" si="111"/>
        <v>0</v>
      </c>
      <c r="F570" s="37">
        <f t="shared" si="117"/>
        <v>0</v>
      </c>
      <c r="G570" s="38">
        <f t="shared" si="112"/>
        <v>0</v>
      </c>
      <c r="H570" s="39">
        <f t="shared" si="108"/>
        <v>0</v>
      </c>
      <c r="I570" s="37">
        <f t="shared" si="118"/>
        <v>0</v>
      </c>
      <c r="J570" s="37">
        <f t="shared" si="113"/>
        <v>0</v>
      </c>
      <c r="K570" s="40">
        <f t="shared" si="114"/>
        <v>0</v>
      </c>
      <c r="L570" s="53"/>
      <c r="M570" s="57"/>
      <c r="N570" s="41">
        <f t="shared" si="109"/>
        <v>7</v>
      </c>
      <c r="O570" s="11">
        <f t="shared" si="115"/>
        <v>24</v>
      </c>
      <c r="P570" s="12">
        <f t="shared" si="110"/>
        <v>0</v>
      </c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x14ac:dyDescent="0.3">
      <c r="A571" s="33">
        <v>564</v>
      </c>
      <c r="B571" s="59"/>
      <c r="C571" s="35">
        <f t="shared" si="116"/>
        <v>58358</v>
      </c>
      <c r="D571" s="36">
        <f t="shared" si="107"/>
        <v>0</v>
      </c>
      <c r="E571" s="37">
        <f t="shared" si="111"/>
        <v>0</v>
      </c>
      <c r="F571" s="37">
        <f t="shared" si="117"/>
        <v>0</v>
      </c>
      <c r="G571" s="38">
        <f t="shared" si="112"/>
        <v>0</v>
      </c>
      <c r="H571" s="39">
        <f t="shared" si="108"/>
        <v>0</v>
      </c>
      <c r="I571" s="37">
        <f t="shared" si="118"/>
        <v>0</v>
      </c>
      <c r="J571" s="37">
        <f t="shared" si="113"/>
        <v>0</v>
      </c>
      <c r="K571" s="40">
        <f t="shared" si="114"/>
        <v>0</v>
      </c>
      <c r="L571" s="53"/>
      <c r="M571" s="57"/>
      <c r="N571" s="41">
        <f t="shared" si="109"/>
        <v>7</v>
      </c>
      <c r="O571" s="11">
        <f t="shared" si="115"/>
        <v>24</v>
      </c>
      <c r="P571" s="12">
        <f t="shared" si="110"/>
        <v>0</v>
      </c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x14ac:dyDescent="0.3">
      <c r="A572" s="42">
        <v>565</v>
      </c>
      <c r="B572" s="60"/>
      <c r="C572" s="35">
        <f t="shared" si="116"/>
        <v>58389</v>
      </c>
      <c r="D572" s="36">
        <f t="shared" si="107"/>
        <v>0</v>
      </c>
      <c r="E572" s="43">
        <f t="shared" si="111"/>
        <v>0</v>
      </c>
      <c r="F572" s="37">
        <f t="shared" si="117"/>
        <v>0</v>
      </c>
      <c r="G572" s="44">
        <f t="shared" si="112"/>
        <v>0</v>
      </c>
      <c r="H572" s="45">
        <f t="shared" si="108"/>
        <v>0</v>
      </c>
      <c r="I572" s="43">
        <f t="shared" si="118"/>
        <v>0</v>
      </c>
      <c r="J572" s="43">
        <f t="shared" si="113"/>
        <v>0</v>
      </c>
      <c r="K572" s="46">
        <f t="shared" si="114"/>
        <v>0</v>
      </c>
      <c r="L572" s="55"/>
      <c r="M572" s="54"/>
      <c r="N572" s="41">
        <f t="shared" si="109"/>
        <v>7</v>
      </c>
      <c r="O572" s="11">
        <f t="shared" si="115"/>
        <v>24</v>
      </c>
      <c r="P572" s="12">
        <f t="shared" si="110"/>
        <v>0</v>
      </c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x14ac:dyDescent="0.3">
      <c r="A573" s="47">
        <v>566</v>
      </c>
      <c r="B573" s="60"/>
      <c r="C573" s="35">
        <f t="shared" si="116"/>
        <v>58419</v>
      </c>
      <c r="D573" s="36">
        <f t="shared" si="107"/>
        <v>0</v>
      </c>
      <c r="E573" s="37">
        <f t="shared" si="111"/>
        <v>0</v>
      </c>
      <c r="F573" s="37">
        <f t="shared" si="117"/>
        <v>0</v>
      </c>
      <c r="G573" s="38">
        <f t="shared" si="112"/>
        <v>0</v>
      </c>
      <c r="H573" s="39">
        <f t="shared" si="108"/>
        <v>0</v>
      </c>
      <c r="I573" s="37">
        <f t="shared" si="118"/>
        <v>0</v>
      </c>
      <c r="J573" s="37">
        <f t="shared" si="113"/>
        <v>0</v>
      </c>
      <c r="K573" s="40">
        <f t="shared" si="114"/>
        <v>0</v>
      </c>
      <c r="L573" s="53"/>
      <c r="M573" s="57"/>
      <c r="N573" s="41">
        <f t="shared" si="109"/>
        <v>7</v>
      </c>
      <c r="O573" s="11">
        <f t="shared" si="115"/>
        <v>24</v>
      </c>
      <c r="P573" s="12">
        <f t="shared" si="110"/>
        <v>0</v>
      </c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x14ac:dyDescent="0.3">
      <c r="A574" s="47">
        <v>567</v>
      </c>
      <c r="B574" s="60"/>
      <c r="C574" s="35">
        <f t="shared" si="116"/>
        <v>58450</v>
      </c>
      <c r="D574" s="36">
        <f t="shared" si="107"/>
        <v>0</v>
      </c>
      <c r="E574" s="37">
        <f t="shared" si="111"/>
        <v>0</v>
      </c>
      <c r="F574" s="37">
        <f t="shared" si="117"/>
        <v>0</v>
      </c>
      <c r="G574" s="38">
        <f t="shared" si="112"/>
        <v>0</v>
      </c>
      <c r="H574" s="39">
        <f t="shared" si="108"/>
        <v>0</v>
      </c>
      <c r="I574" s="37">
        <f t="shared" si="118"/>
        <v>0</v>
      </c>
      <c r="J574" s="37">
        <f t="shared" si="113"/>
        <v>0</v>
      </c>
      <c r="K574" s="40">
        <f t="shared" si="114"/>
        <v>0</v>
      </c>
      <c r="L574" s="53"/>
      <c r="M574" s="57"/>
      <c r="N574" s="41">
        <f t="shared" si="109"/>
        <v>7</v>
      </c>
      <c r="O574" s="11">
        <f t="shared" si="115"/>
        <v>24</v>
      </c>
      <c r="P574" s="12">
        <f t="shared" si="110"/>
        <v>0</v>
      </c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x14ac:dyDescent="0.3">
      <c r="A575" s="47">
        <v>568</v>
      </c>
      <c r="B575" s="60"/>
      <c r="C575" s="35">
        <f t="shared" si="116"/>
        <v>58481</v>
      </c>
      <c r="D575" s="36">
        <f t="shared" si="107"/>
        <v>0</v>
      </c>
      <c r="E575" s="37">
        <f t="shared" si="111"/>
        <v>0</v>
      </c>
      <c r="F575" s="37">
        <f t="shared" si="117"/>
        <v>0</v>
      </c>
      <c r="G575" s="38">
        <f t="shared" si="112"/>
        <v>0</v>
      </c>
      <c r="H575" s="39">
        <f t="shared" si="108"/>
        <v>0</v>
      </c>
      <c r="I575" s="37">
        <f t="shared" si="118"/>
        <v>0</v>
      </c>
      <c r="J575" s="37">
        <f t="shared" si="113"/>
        <v>0</v>
      </c>
      <c r="K575" s="40">
        <f t="shared" si="114"/>
        <v>0</v>
      </c>
      <c r="L575" s="53"/>
      <c r="M575" s="57"/>
      <c r="N575" s="41">
        <f t="shared" si="109"/>
        <v>7</v>
      </c>
      <c r="O575" s="11">
        <f t="shared" si="115"/>
        <v>24</v>
      </c>
      <c r="P575" s="12">
        <f t="shared" si="110"/>
        <v>0</v>
      </c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x14ac:dyDescent="0.3">
      <c r="A576" s="47">
        <v>569</v>
      </c>
      <c r="B576" s="60"/>
      <c r="C576" s="35">
        <f t="shared" si="116"/>
        <v>58510</v>
      </c>
      <c r="D576" s="36">
        <f t="shared" si="107"/>
        <v>0</v>
      </c>
      <c r="E576" s="37">
        <f t="shared" si="111"/>
        <v>0</v>
      </c>
      <c r="F576" s="37">
        <f t="shared" si="117"/>
        <v>0</v>
      </c>
      <c r="G576" s="38">
        <f t="shared" si="112"/>
        <v>0</v>
      </c>
      <c r="H576" s="39">
        <f t="shared" si="108"/>
        <v>0</v>
      </c>
      <c r="I576" s="37">
        <f t="shared" si="118"/>
        <v>0</v>
      </c>
      <c r="J576" s="37">
        <f t="shared" si="113"/>
        <v>0</v>
      </c>
      <c r="K576" s="40">
        <f t="shared" si="114"/>
        <v>0</v>
      </c>
      <c r="L576" s="53"/>
      <c r="M576" s="57"/>
      <c r="N576" s="41">
        <f t="shared" si="109"/>
        <v>7</v>
      </c>
      <c r="O576" s="11">
        <f t="shared" si="115"/>
        <v>24</v>
      </c>
      <c r="P576" s="12">
        <f t="shared" si="110"/>
        <v>0</v>
      </c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x14ac:dyDescent="0.3">
      <c r="A577" s="47">
        <v>570</v>
      </c>
      <c r="B577" s="60"/>
      <c r="C577" s="35">
        <f t="shared" si="116"/>
        <v>58541</v>
      </c>
      <c r="D577" s="36">
        <f t="shared" si="107"/>
        <v>0</v>
      </c>
      <c r="E577" s="37">
        <f t="shared" si="111"/>
        <v>0</v>
      </c>
      <c r="F577" s="37">
        <f t="shared" si="117"/>
        <v>0</v>
      </c>
      <c r="G577" s="38">
        <f t="shared" si="112"/>
        <v>0</v>
      </c>
      <c r="H577" s="39">
        <f t="shared" si="108"/>
        <v>0</v>
      </c>
      <c r="I577" s="37">
        <f t="shared" si="118"/>
        <v>0</v>
      </c>
      <c r="J577" s="37">
        <f t="shared" si="113"/>
        <v>0</v>
      </c>
      <c r="K577" s="40">
        <f t="shared" si="114"/>
        <v>0</v>
      </c>
      <c r="L577" s="53"/>
      <c r="M577" s="57"/>
      <c r="N577" s="41">
        <f t="shared" si="109"/>
        <v>7</v>
      </c>
      <c r="O577" s="11">
        <f t="shared" si="115"/>
        <v>24</v>
      </c>
      <c r="P577" s="12">
        <f t="shared" si="110"/>
        <v>0</v>
      </c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x14ac:dyDescent="0.3">
      <c r="A578" s="47">
        <v>571</v>
      </c>
      <c r="B578" s="60"/>
      <c r="C578" s="35">
        <f t="shared" si="116"/>
        <v>58571</v>
      </c>
      <c r="D578" s="36">
        <f t="shared" si="107"/>
        <v>0</v>
      </c>
      <c r="E578" s="37">
        <f t="shared" si="111"/>
        <v>0</v>
      </c>
      <c r="F578" s="37">
        <f t="shared" si="117"/>
        <v>0</v>
      </c>
      <c r="G578" s="38">
        <f t="shared" si="112"/>
        <v>0</v>
      </c>
      <c r="H578" s="39">
        <f t="shared" si="108"/>
        <v>0</v>
      </c>
      <c r="I578" s="37">
        <f t="shared" si="118"/>
        <v>0</v>
      </c>
      <c r="J578" s="37">
        <f t="shared" si="113"/>
        <v>0</v>
      </c>
      <c r="K578" s="40">
        <f t="shared" si="114"/>
        <v>0</v>
      </c>
      <c r="L578" s="53"/>
      <c r="M578" s="57"/>
      <c r="N578" s="41">
        <f t="shared" si="109"/>
        <v>7</v>
      </c>
      <c r="O578" s="11">
        <f t="shared" si="115"/>
        <v>24</v>
      </c>
      <c r="P578" s="12">
        <f t="shared" si="110"/>
        <v>0</v>
      </c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x14ac:dyDescent="0.3">
      <c r="A579" s="47">
        <v>572</v>
      </c>
      <c r="B579" s="60"/>
      <c r="C579" s="35">
        <f t="shared" si="116"/>
        <v>58602</v>
      </c>
      <c r="D579" s="36">
        <f t="shared" si="107"/>
        <v>0</v>
      </c>
      <c r="E579" s="37">
        <f t="shared" si="111"/>
        <v>0</v>
      </c>
      <c r="F579" s="37">
        <f t="shared" si="117"/>
        <v>0</v>
      </c>
      <c r="G579" s="38">
        <f t="shared" si="112"/>
        <v>0</v>
      </c>
      <c r="H579" s="39">
        <f t="shared" si="108"/>
        <v>0</v>
      </c>
      <c r="I579" s="37">
        <f t="shared" si="118"/>
        <v>0</v>
      </c>
      <c r="J579" s="37">
        <f t="shared" si="113"/>
        <v>0</v>
      </c>
      <c r="K579" s="40">
        <f t="shared" si="114"/>
        <v>0</v>
      </c>
      <c r="L579" s="53"/>
      <c r="M579" s="57"/>
      <c r="N579" s="41">
        <f t="shared" si="109"/>
        <v>7</v>
      </c>
      <c r="O579" s="11">
        <f t="shared" si="115"/>
        <v>24</v>
      </c>
      <c r="P579" s="12">
        <f t="shared" si="110"/>
        <v>0</v>
      </c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x14ac:dyDescent="0.3">
      <c r="A580" s="47">
        <v>573</v>
      </c>
      <c r="B580" s="60"/>
      <c r="C580" s="35">
        <f t="shared" si="116"/>
        <v>58632</v>
      </c>
      <c r="D580" s="36">
        <f t="shared" si="107"/>
        <v>0</v>
      </c>
      <c r="E580" s="37">
        <f t="shared" si="111"/>
        <v>0</v>
      </c>
      <c r="F580" s="37">
        <f t="shared" si="117"/>
        <v>0</v>
      </c>
      <c r="G580" s="38">
        <f t="shared" si="112"/>
        <v>0</v>
      </c>
      <c r="H580" s="39">
        <f t="shared" si="108"/>
        <v>0</v>
      </c>
      <c r="I580" s="37">
        <f t="shared" si="118"/>
        <v>0</v>
      </c>
      <c r="J580" s="37">
        <f t="shared" si="113"/>
        <v>0</v>
      </c>
      <c r="K580" s="40">
        <f t="shared" si="114"/>
        <v>0</v>
      </c>
      <c r="L580" s="53"/>
      <c r="M580" s="57"/>
      <c r="N580" s="41">
        <f t="shared" si="109"/>
        <v>7</v>
      </c>
      <c r="O580" s="11">
        <f t="shared" si="115"/>
        <v>24</v>
      </c>
      <c r="P580" s="12">
        <f t="shared" si="110"/>
        <v>0</v>
      </c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x14ac:dyDescent="0.3">
      <c r="A581" s="47">
        <v>574</v>
      </c>
      <c r="B581" s="60"/>
      <c r="C581" s="35">
        <f t="shared" si="116"/>
        <v>58663</v>
      </c>
      <c r="D581" s="36">
        <f t="shared" si="107"/>
        <v>0</v>
      </c>
      <c r="E581" s="37">
        <f t="shared" si="111"/>
        <v>0</v>
      </c>
      <c r="F581" s="37">
        <f t="shared" si="117"/>
        <v>0</v>
      </c>
      <c r="G581" s="38">
        <f t="shared" si="112"/>
        <v>0</v>
      </c>
      <c r="H581" s="39">
        <f t="shared" si="108"/>
        <v>0</v>
      </c>
      <c r="I581" s="37">
        <f t="shared" si="118"/>
        <v>0</v>
      </c>
      <c r="J581" s="37">
        <f t="shared" si="113"/>
        <v>0</v>
      </c>
      <c r="K581" s="40">
        <f t="shared" si="114"/>
        <v>0</v>
      </c>
      <c r="L581" s="53"/>
      <c r="M581" s="57"/>
      <c r="N581" s="41">
        <f t="shared" si="109"/>
        <v>7</v>
      </c>
      <c r="O581" s="11">
        <f t="shared" si="115"/>
        <v>24</v>
      </c>
      <c r="P581" s="12">
        <f t="shared" si="110"/>
        <v>0</v>
      </c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x14ac:dyDescent="0.3">
      <c r="A582" s="47">
        <v>575</v>
      </c>
      <c r="B582" s="60"/>
      <c r="C582" s="35">
        <f t="shared" si="116"/>
        <v>58694</v>
      </c>
      <c r="D582" s="36">
        <f t="shared" si="107"/>
        <v>0</v>
      </c>
      <c r="E582" s="37">
        <f t="shared" si="111"/>
        <v>0</v>
      </c>
      <c r="F582" s="37">
        <f t="shared" si="117"/>
        <v>0</v>
      </c>
      <c r="G582" s="38">
        <f t="shared" si="112"/>
        <v>0</v>
      </c>
      <c r="H582" s="39">
        <f t="shared" si="108"/>
        <v>0</v>
      </c>
      <c r="I582" s="37">
        <f t="shared" si="118"/>
        <v>0</v>
      </c>
      <c r="J582" s="37">
        <f t="shared" si="113"/>
        <v>0</v>
      </c>
      <c r="K582" s="40">
        <f t="shared" si="114"/>
        <v>0</v>
      </c>
      <c r="L582" s="53"/>
      <c r="M582" s="57"/>
      <c r="N582" s="41">
        <f t="shared" si="109"/>
        <v>7</v>
      </c>
      <c r="O582" s="11">
        <f t="shared" si="115"/>
        <v>24</v>
      </c>
      <c r="P582" s="12">
        <f t="shared" si="110"/>
        <v>0</v>
      </c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x14ac:dyDescent="0.3">
      <c r="A583" s="48">
        <v>576</v>
      </c>
      <c r="B583" s="60"/>
      <c r="C583" s="35">
        <f t="shared" si="116"/>
        <v>58724</v>
      </c>
      <c r="D583" s="36">
        <f t="shared" si="107"/>
        <v>0</v>
      </c>
      <c r="E583" s="49">
        <f t="shared" si="111"/>
        <v>0</v>
      </c>
      <c r="F583" s="37">
        <f t="shared" si="117"/>
        <v>0</v>
      </c>
      <c r="G583" s="50">
        <f t="shared" si="112"/>
        <v>0</v>
      </c>
      <c r="H583" s="51">
        <f t="shared" si="108"/>
        <v>0</v>
      </c>
      <c r="I583" s="49">
        <f t="shared" si="118"/>
        <v>0</v>
      </c>
      <c r="J583" s="49">
        <f t="shared" si="113"/>
        <v>0</v>
      </c>
      <c r="K583" s="52">
        <f t="shared" si="114"/>
        <v>0</v>
      </c>
      <c r="L583" s="56"/>
      <c r="M583" s="58"/>
      <c r="N583" s="41">
        <f t="shared" si="109"/>
        <v>7</v>
      </c>
      <c r="O583" s="11">
        <f t="shared" si="115"/>
        <v>24</v>
      </c>
      <c r="P583" s="12">
        <f t="shared" si="110"/>
        <v>0</v>
      </c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x14ac:dyDescent="0.3">
      <c r="A584" s="33">
        <v>577</v>
      </c>
      <c r="B584" s="59"/>
      <c r="C584" s="35">
        <f t="shared" si="116"/>
        <v>58755</v>
      </c>
      <c r="D584" s="36">
        <f t="shared" ref="D584:D607" si="119">IF(P584*$D$2/100/12/(1-(1+$D$2/100/12)^(-O584))&lt;G583,ROUNDUP(P584*$D$2/100/12/(1-(1+$D$2/100/12)^(-O584)),0),G583+F584)</f>
        <v>0</v>
      </c>
      <c r="E584" s="37">
        <f t="shared" si="111"/>
        <v>0</v>
      </c>
      <c r="F584" s="37">
        <f t="shared" si="117"/>
        <v>0</v>
      </c>
      <c r="G584" s="38">
        <f t="shared" si="112"/>
        <v>0</v>
      </c>
      <c r="H584" s="39">
        <f t="shared" ref="H584:H607" si="120">I584+J584</f>
        <v>0</v>
      </c>
      <c r="I584" s="37">
        <f t="shared" si="118"/>
        <v>0</v>
      </c>
      <c r="J584" s="37">
        <f t="shared" si="113"/>
        <v>0</v>
      </c>
      <c r="K584" s="40">
        <f t="shared" si="114"/>
        <v>0</v>
      </c>
      <c r="L584" s="53"/>
      <c r="M584" s="57"/>
      <c r="N584" s="41">
        <f t="shared" ref="N584:N607" si="121">IF(ISBLANK(L583),VALUE(N583),ROW(L583))</f>
        <v>7</v>
      </c>
      <c r="O584" s="11">
        <f t="shared" si="115"/>
        <v>24</v>
      </c>
      <c r="P584" s="12">
        <f t="shared" ref="P584:P607" si="122">INDEX(G:G,N584,1)</f>
        <v>0</v>
      </c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x14ac:dyDescent="0.3">
      <c r="A585" s="33">
        <v>578</v>
      </c>
      <c r="B585" s="59"/>
      <c r="C585" s="35">
        <f t="shared" si="116"/>
        <v>58785</v>
      </c>
      <c r="D585" s="36">
        <f t="shared" si="119"/>
        <v>0</v>
      </c>
      <c r="E585" s="37">
        <f t="shared" ref="E585:E607" si="123">D585-F585</f>
        <v>0</v>
      </c>
      <c r="F585" s="37">
        <f t="shared" si="117"/>
        <v>0</v>
      </c>
      <c r="G585" s="38">
        <f t="shared" ref="G585:G607" si="124">G584-E585-L585-M585</f>
        <v>0</v>
      </c>
      <c r="H585" s="39">
        <f t="shared" si="120"/>
        <v>0</v>
      </c>
      <c r="I585" s="37">
        <f t="shared" si="118"/>
        <v>0</v>
      </c>
      <c r="J585" s="37">
        <f t="shared" ref="J585:J607" si="125">K584*$D$2/12/100</f>
        <v>0</v>
      </c>
      <c r="K585" s="40">
        <f t="shared" ref="K585:K607" si="126">K584-I585-L585-M585</f>
        <v>0</v>
      </c>
      <c r="L585" s="53"/>
      <c r="M585" s="57"/>
      <c r="N585" s="41">
        <f t="shared" si="121"/>
        <v>7</v>
      </c>
      <c r="O585" s="11">
        <f t="shared" ref="O585:O607" si="127">O584+N584-N585</f>
        <v>24</v>
      </c>
      <c r="P585" s="12">
        <f t="shared" si="122"/>
        <v>0</v>
      </c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x14ac:dyDescent="0.3">
      <c r="A586" s="33">
        <v>579</v>
      </c>
      <c r="B586" s="59"/>
      <c r="C586" s="35">
        <f t="shared" ref="C586:C607" si="128">DATE(YEAR(C585),MONTH(C585)+1,DAY(C585))</f>
        <v>58816</v>
      </c>
      <c r="D586" s="36">
        <f t="shared" si="119"/>
        <v>0</v>
      </c>
      <c r="E586" s="37">
        <f t="shared" si="123"/>
        <v>0</v>
      </c>
      <c r="F586" s="37">
        <f t="shared" ref="F586:F649" si="129">G585*$D$2*(C586-C585)/(DATE(YEAR(C586)+1,1,1)-DATE(YEAR(C586),1,1))/100</f>
        <v>0</v>
      </c>
      <c r="G586" s="38">
        <f t="shared" si="124"/>
        <v>0</v>
      </c>
      <c r="H586" s="39">
        <f t="shared" si="120"/>
        <v>0</v>
      </c>
      <c r="I586" s="37">
        <f t="shared" ref="I586:I607" si="130">IF($D$1/$D$3&lt;K585,$D$1/$D$3,K585)</f>
        <v>0</v>
      </c>
      <c r="J586" s="37">
        <f t="shared" si="125"/>
        <v>0</v>
      </c>
      <c r="K586" s="40">
        <f t="shared" si="126"/>
        <v>0</v>
      </c>
      <c r="L586" s="53"/>
      <c r="M586" s="57"/>
      <c r="N586" s="41">
        <f t="shared" si="121"/>
        <v>7</v>
      </c>
      <c r="O586" s="11">
        <f t="shared" si="127"/>
        <v>24</v>
      </c>
      <c r="P586" s="12">
        <f t="shared" si="122"/>
        <v>0</v>
      </c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x14ac:dyDescent="0.3">
      <c r="A587" s="33">
        <v>580</v>
      </c>
      <c r="B587" s="59"/>
      <c r="C587" s="35">
        <f t="shared" si="128"/>
        <v>58847</v>
      </c>
      <c r="D587" s="36">
        <f t="shared" si="119"/>
        <v>0</v>
      </c>
      <c r="E587" s="37">
        <f t="shared" si="123"/>
        <v>0</v>
      </c>
      <c r="F587" s="37">
        <f t="shared" si="129"/>
        <v>0</v>
      </c>
      <c r="G587" s="38">
        <f t="shared" si="124"/>
        <v>0</v>
      </c>
      <c r="H587" s="39">
        <f t="shared" si="120"/>
        <v>0</v>
      </c>
      <c r="I587" s="37">
        <f t="shared" si="130"/>
        <v>0</v>
      </c>
      <c r="J587" s="37">
        <f t="shared" si="125"/>
        <v>0</v>
      </c>
      <c r="K587" s="40">
        <f t="shared" si="126"/>
        <v>0</v>
      </c>
      <c r="L587" s="53"/>
      <c r="M587" s="57"/>
      <c r="N587" s="41">
        <f t="shared" si="121"/>
        <v>7</v>
      </c>
      <c r="O587" s="11">
        <f t="shared" si="127"/>
        <v>24</v>
      </c>
      <c r="P587" s="12">
        <f t="shared" si="122"/>
        <v>0</v>
      </c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x14ac:dyDescent="0.3">
      <c r="A588" s="33">
        <v>581</v>
      </c>
      <c r="B588" s="59"/>
      <c r="C588" s="35">
        <f t="shared" si="128"/>
        <v>58875</v>
      </c>
      <c r="D588" s="36">
        <f t="shared" si="119"/>
        <v>0</v>
      </c>
      <c r="E588" s="37">
        <f t="shared" si="123"/>
        <v>0</v>
      </c>
      <c r="F588" s="37">
        <f t="shared" si="129"/>
        <v>0</v>
      </c>
      <c r="G588" s="38">
        <f t="shared" si="124"/>
        <v>0</v>
      </c>
      <c r="H588" s="39">
        <f t="shared" si="120"/>
        <v>0</v>
      </c>
      <c r="I588" s="37">
        <f t="shared" si="130"/>
        <v>0</v>
      </c>
      <c r="J588" s="37">
        <f t="shared" si="125"/>
        <v>0</v>
      </c>
      <c r="K588" s="40">
        <f t="shared" si="126"/>
        <v>0</v>
      </c>
      <c r="L588" s="53"/>
      <c r="M588" s="57"/>
      <c r="N588" s="41">
        <f t="shared" si="121"/>
        <v>7</v>
      </c>
      <c r="O588" s="11">
        <f t="shared" si="127"/>
        <v>24</v>
      </c>
      <c r="P588" s="12">
        <f t="shared" si="122"/>
        <v>0</v>
      </c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x14ac:dyDescent="0.3">
      <c r="A589" s="33">
        <v>582</v>
      </c>
      <c r="B589" s="59"/>
      <c r="C589" s="35">
        <f t="shared" si="128"/>
        <v>58906</v>
      </c>
      <c r="D589" s="36">
        <f t="shared" si="119"/>
        <v>0</v>
      </c>
      <c r="E589" s="37">
        <f t="shared" si="123"/>
        <v>0</v>
      </c>
      <c r="F589" s="37">
        <f t="shared" si="129"/>
        <v>0</v>
      </c>
      <c r="G589" s="38">
        <f t="shared" si="124"/>
        <v>0</v>
      </c>
      <c r="H589" s="39">
        <f t="shared" si="120"/>
        <v>0</v>
      </c>
      <c r="I589" s="37">
        <f t="shared" si="130"/>
        <v>0</v>
      </c>
      <c r="J589" s="37">
        <f t="shared" si="125"/>
        <v>0</v>
      </c>
      <c r="K589" s="40">
        <f t="shared" si="126"/>
        <v>0</v>
      </c>
      <c r="L589" s="53"/>
      <c r="M589" s="57"/>
      <c r="N589" s="41">
        <f t="shared" si="121"/>
        <v>7</v>
      </c>
      <c r="O589" s="11">
        <f t="shared" si="127"/>
        <v>24</v>
      </c>
      <c r="P589" s="12">
        <f t="shared" si="122"/>
        <v>0</v>
      </c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x14ac:dyDescent="0.3">
      <c r="A590" s="33">
        <v>583</v>
      </c>
      <c r="B590" s="59"/>
      <c r="C590" s="35">
        <f t="shared" si="128"/>
        <v>58936</v>
      </c>
      <c r="D590" s="36">
        <f t="shared" si="119"/>
        <v>0</v>
      </c>
      <c r="E590" s="37">
        <f t="shared" si="123"/>
        <v>0</v>
      </c>
      <c r="F590" s="37">
        <f t="shared" si="129"/>
        <v>0</v>
      </c>
      <c r="G590" s="38">
        <f t="shared" si="124"/>
        <v>0</v>
      </c>
      <c r="H590" s="39">
        <f t="shared" si="120"/>
        <v>0</v>
      </c>
      <c r="I590" s="37">
        <f t="shared" si="130"/>
        <v>0</v>
      </c>
      <c r="J590" s="37">
        <f t="shared" si="125"/>
        <v>0</v>
      </c>
      <c r="K590" s="40">
        <f t="shared" si="126"/>
        <v>0</v>
      </c>
      <c r="L590" s="53"/>
      <c r="M590" s="57"/>
      <c r="N590" s="41">
        <f t="shared" si="121"/>
        <v>7</v>
      </c>
      <c r="O590" s="11">
        <f t="shared" si="127"/>
        <v>24</v>
      </c>
      <c r="P590" s="12">
        <f t="shared" si="122"/>
        <v>0</v>
      </c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x14ac:dyDescent="0.3">
      <c r="A591" s="33">
        <v>584</v>
      </c>
      <c r="B591" s="59"/>
      <c r="C591" s="35">
        <f t="shared" si="128"/>
        <v>58967</v>
      </c>
      <c r="D591" s="36">
        <f t="shared" si="119"/>
        <v>0</v>
      </c>
      <c r="E591" s="37">
        <f t="shared" si="123"/>
        <v>0</v>
      </c>
      <c r="F591" s="37">
        <f t="shared" si="129"/>
        <v>0</v>
      </c>
      <c r="G591" s="38">
        <f t="shared" si="124"/>
        <v>0</v>
      </c>
      <c r="H591" s="39">
        <f t="shared" si="120"/>
        <v>0</v>
      </c>
      <c r="I591" s="37">
        <f t="shared" si="130"/>
        <v>0</v>
      </c>
      <c r="J591" s="37">
        <f t="shared" si="125"/>
        <v>0</v>
      </c>
      <c r="K591" s="40">
        <f t="shared" si="126"/>
        <v>0</v>
      </c>
      <c r="L591" s="53"/>
      <c r="M591" s="57"/>
      <c r="N591" s="41">
        <f t="shared" si="121"/>
        <v>7</v>
      </c>
      <c r="O591" s="11">
        <f t="shared" si="127"/>
        <v>24</v>
      </c>
      <c r="P591" s="12">
        <f t="shared" si="122"/>
        <v>0</v>
      </c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x14ac:dyDescent="0.3">
      <c r="A592" s="33">
        <v>585</v>
      </c>
      <c r="B592" s="59"/>
      <c r="C592" s="35">
        <f t="shared" si="128"/>
        <v>58997</v>
      </c>
      <c r="D592" s="36">
        <f t="shared" si="119"/>
        <v>0</v>
      </c>
      <c r="E592" s="37">
        <f t="shared" si="123"/>
        <v>0</v>
      </c>
      <c r="F592" s="37">
        <f t="shared" si="129"/>
        <v>0</v>
      </c>
      <c r="G592" s="38">
        <f t="shared" si="124"/>
        <v>0</v>
      </c>
      <c r="H592" s="39">
        <f t="shared" si="120"/>
        <v>0</v>
      </c>
      <c r="I592" s="37">
        <f t="shared" si="130"/>
        <v>0</v>
      </c>
      <c r="J592" s="37">
        <f t="shared" si="125"/>
        <v>0</v>
      </c>
      <c r="K592" s="40">
        <f t="shared" si="126"/>
        <v>0</v>
      </c>
      <c r="L592" s="53"/>
      <c r="M592" s="57"/>
      <c r="N592" s="41">
        <f t="shared" si="121"/>
        <v>7</v>
      </c>
      <c r="O592" s="11">
        <f t="shared" si="127"/>
        <v>24</v>
      </c>
      <c r="P592" s="12">
        <f t="shared" si="122"/>
        <v>0</v>
      </c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x14ac:dyDescent="0.3">
      <c r="A593" s="33">
        <v>586</v>
      </c>
      <c r="B593" s="59"/>
      <c r="C593" s="35">
        <f t="shared" si="128"/>
        <v>59028</v>
      </c>
      <c r="D593" s="36">
        <f t="shared" si="119"/>
        <v>0</v>
      </c>
      <c r="E593" s="37">
        <f t="shared" si="123"/>
        <v>0</v>
      </c>
      <c r="F593" s="37">
        <f t="shared" si="129"/>
        <v>0</v>
      </c>
      <c r="G593" s="38">
        <f t="shared" si="124"/>
        <v>0</v>
      </c>
      <c r="H593" s="39">
        <f t="shared" si="120"/>
        <v>0</v>
      </c>
      <c r="I593" s="37">
        <f t="shared" si="130"/>
        <v>0</v>
      </c>
      <c r="J593" s="37">
        <f t="shared" si="125"/>
        <v>0</v>
      </c>
      <c r="K593" s="40">
        <f t="shared" si="126"/>
        <v>0</v>
      </c>
      <c r="L593" s="53"/>
      <c r="M593" s="57"/>
      <c r="N593" s="41">
        <f t="shared" si="121"/>
        <v>7</v>
      </c>
      <c r="O593" s="11">
        <f t="shared" si="127"/>
        <v>24</v>
      </c>
      <c r="P593" s="12">
        <f t="shared" si="122"/>
        <v>0</v>
      </c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x14ac:dyDescent="0.3">
      <c r="A594" s="33">
        <v>587</v>
      </c>
      <c r="B594" s="59"/>
      <c r="C594" s="35">
        <f t="shared" si="128"/>
        <v>59059</v>
      </c>
      <c r="D594" s="36">
        <f t="shared" si="119"/>
        <v>0</v>
      </c>
      <c r="E594" s="37">
        <f t="shared" si="123"/>
        <v>0</v>
      </c>
      <c r="F594" s="37">
        <f t="shared" si="129"/>
        <v>0</v>
      </c>
      <c r="G594" s="38">
        <f t="shared" si="124"/>
        <v>0</v>
      </c>
      <c r="H594" s="39">
        <f t="shared" si="120"/>
        <v>0</v>
      </c>
      <c r="I594" s="37">
        <f t="shared" si="130"/>
        <v>0</v>
      </c>
      <c r="J594" s="37">
        <f t="shared" si="125"/>
        <v>0</v>
      </c>
      <c r="K594" s="40">
        <f t="shared" si="126"/>
        <v>0</v>
      </c>
      <c r="L594" s="53"/>
      <c r="M594" s="57"/>
      <c r="N594" s="41">
        <f t="shared" si="121"/>
        <v>7</v>
      </c>
      <c r="O594" s="11">
        <f t="shared" si="127"/>
        <v>24</v>
      </c>
      <c r="P594" s="12">
        <f t="shared" si="122"/>
        <v>0</v>
      </c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x14ac:dyDescent="0.3">
      <c r="A595" s="33">
        <v>588</v>
      </c>
      <c r="B595" s="59"/>
      <c r="C595" s="35">
        <f t="shared" si="128"/>
        <v>59089</v>
      </c>
      <c r="D595" s="36">
        <f t="shared" si="119"/>
        <v>0</v>
      </c>
      <c r="E595" s="37">
        <f t="shared" si="123"/>
        <v>0</v>
      </c>
      <c r="F595" s="37">
        <f t="shared" si="129"/>
        <v>0</v>
      </c>
      <c r="G595" s="38">
        <f t="shared" si="124"/>
        <v>0</v>
      </c>
      <c r="H595" s="39">
        <f t="shared" si="120"/>
        <v>0</v>
      </c>
      <c r="I595" s="37">
        <f t="shared" si="130"/>
        <v>0</v>
      </c>
      <c r="J595" s="37">
        <f t="shared" si="125"/>
        <v>0</v>
      </c>
      <c r="K595" s="40">
        <f t="shared" si="126"/>
        <v>0</v>
      </c>
      <c r="L595" s="53"/>
      <c r="M595" s="57"/>
      <c r="N595" s="41">
        <f t="shared" si="121"/>
        <v>7</v>
      </c>
      <c r="O595" s="11">
        <f t="shared" si="127"/>
        <v>24</v>
      </c>
      <c r="P595" s="12">
        <f t="shared" si="122"/>
        <v>0</v>
      </c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x14ac:dyDescent="0.3">
      <c r="A596" s="42">
        <v>589</v>
      </c>
      <c r="B596" s="60"/>
      <c r="C596" s="35">
        <f t="shared" si="128"/>
        <v>59120</v>
      </c>
      <c r="D596" s="36">
        <f t="shared" si="119"/>
        <v>0</v>
      </c>
      <c r="E596" s="43">
        <f t="shared" si="123"/>
        <v>0</v>
      </c>
      <c r="F596" s="37">
        <f t="shared" si="129"/>
        <v>0</v>
      </c>
      <c r="G596" s="44">
        <f t="shared" si="124"/>
        <v>0</v>
      </c>
      <c r="H596" s="45">
        <f t="shared" si="120"/>
        <v>0</v>
      </c>
      <c r="I596" s="43">
        <f t="shared" si="130"/>
        <v>0</v>
      </c>
      <c r="J596" s="43">
        <f t="shared" si="125"/>
        <v>0</v>
      </c>
      <c r="K596" s="46">
        <f t="shared" si="126"/>
        <v>0</v>
      </c>
      <c r="L596" s="55"/>
      <c r="M596" s="54"/>
      <c r="N596" s="41">
        <f t="shared" si="121"/>
        <v>7</v>
      </c>
      <c r="O596" s="11">
        <f t="shared" si="127"/>
        <v>24</v>
      </c>
      <c r="P596" s="12">
        <f t="shared" si="122"/>
        <v>0</v>
      </c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x14ac:dyDescent="0.3">
      <c r="A597" s="47">
        <v>590</v>
      </c>
      <c r="B597" s="60"/>
      <c r="C597" s="35">
        <f t="shared" si="128"/>
        <v>59150</v>
      </c>
      <c r="D597" s="36">
        <f t="shared" si="119"/>
        <v>0</v>
      </c>
      <c r="E597" s="37">
        <f t="shared" si="123"/>
        <v>0</v>
      </c>
      <c r="F597" s="37">
        <f t="shared" si="129"/>
        <v>0</v>
      </c>
      <c r="G597" s="38">
        <f t="shared" si="124"/>
        <v>0</v>
      </c>
      <c r="H597" s="39">
        <f t="shared" si="120"/>
        <v>0</v>
      </c>
      <c r="I597" s="37">
        <f t="shared" si="130"/>
        <v>0</v>
      </c>
      <c r="J597" s="37">
        <f t="shared" si="125"/>
        <v>0</v>
      </c>
      <c r="K597" s="40">
        <f t="shared" si="126"/>
        <v>0</v>
      </c>
      <c r="L597" s="53"/>
      <c r="M597" s="57"/>
      <c r="N597" s="41">
        <f t="shared" si="121"/>
        <v>7</v>
      </c>
      <c r="O597" s="11">
        <f t="shared" si="127"/>
        <v>24</v>
      </c>
      <c r="P597" s="12">
        <f t="shared" si="122"/>
        <v>0</v>
      </c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x14ac:dyDescent="0.3">
      <c r="A598" s="47">
        <v>591</v>
      </c>
      <c r="B598" s="60"/>
      <c r="C598" s="35">
        <f t="shared" si="128"/>
        <v>59181</v>
      </c>
      <c r="D598" s="36">
        <f t="shared" si="119"/>
        <v>0</v>
      </c>
      <c r="E598" s="37">
        <f t="shared" si="123"/>
        <v>0</v>
      </c>
      <c r="F598" s="37">
        <f t="shared" si="129"/>
        <v>0</v>
      </c>
      <c r="G598" s="38">
        <f t="shared" si="124"/>
        <v>0</v>
      </c>
      <c r="H598" s="39">
        <f t="shared" si="120"/>
        <v>0</v>
      </c>
      <c r="I598" s="37">
        <f t="shared" si="130"/>
        <v>0</v>
      </c>
      <c r="J598" s="37">
        <f t="shared" si="125"/>
        <v>0</v>
      </c>
      <c r="K598" s="40">
        <f t="shared" si="126"/>
        <v>0</v>
      </c>
      <c r="L598" s="53"/>
      <c r="M598" s="57"/>
      <c r="N598" s="41">
        <f t="shared" si="121"/>
        <v>7</v>
      </c>
      <c r="O598" s="11">
        <f t="shared" si="127"/>
        <v>24</v>
      </c>
      <c r="P598" s="12">
        <f t="shared" si="122"/>
        <v>0</v>
      </c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x14ac:dyDescent="0.3">
      <c r="A599" s="47">
        <v>592</v>
      </c>
      <c r="B599" s="60"/>
      <c r="C599" s="35">
        <f t="shared" si="128"/>
        <v>59212</v>
      </c>
      <c r="D599" s="36">
        <f t="shared" si="119"/>
        <v>0</v>
      </c>
      <c r="E599" s="37">
        <f t="shared" si="123"/>
        <v>0</v>
      </c>
      <c r="F599" s="37">
        <f t="shared" si="129"/>
        <v>0</v>
      </c>
      <c r="G599" s="38">
        <f t="shared" si="124"/>
        <v>0</v>
      </c>
      <c r="H599" s="39">
        <f t="shared" si="120"/>
        <v>0</v>
      </c>
      <c r="I599" s="37">
        <f t="shared" si="130"/>
        <v>0</v>
      </c>
      <c r="J599" s="37">
        <f t="shared" si="125"/>
        <v>0</v>
      </c>
      <c r="K599" s="40">
        <f t="shared" si="126"/>
        <v>0</v>
      </c>
      <c r="L599" s="53"/>
      <c r="M599" s="57"/>
      <c r="N599" s="41">
        <f t="shared" si="121"/>
        <v>7</v>
      </c>
      <c r="O599" s="11">
        <f t="shared" si="127"/>
        <v>24</v>
      </c>
      <c r="P599" s="12">
        <f t="shared" si="122"/>
        <v>0</v>
      </c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x14ac:dyDescent="0.3">
      <c r="A600" s="47">
        <v>593</v>
      </c>
      <c r="B600" s="60"/>
      <c r="C600" s="35">
        <f t="shared" si="128"/>
        <v>59240</v>
      </c>
      <c r="D600" s="36">
        <f t="shared" si="119"/>
        <v>0</v>
      </c>
      <c r="E600" s="37">
        <f t="shared" si="123"/>
        <v>0</v>
      </c>
      <c r="F600" s="37">
        <f t="shared" si="129"/>
        <v>0</v>
      </c>
      <c r="G600" s="38">
        <f t="shared" si="124"/>
        <v>0</v>
      </c>
      <c r="H600" s="39">
        <f t="shared" si="120"/>
        <v>0</v>
      </c>
      <c r="I600" s="37">
        <f t="shared" si="130"/>
        <v>0</v>
      </c>
      <c r="J600" s="37">
        <f t="shared" si="125"/>
        <v>0</v>
      </c>
      <c r="K600" s="40">
        <f t="shared" si="126"/>
        <v>0</v>
      </c>
      <c r="L600" s="53"/>
      <c r="M600" s="57"/>
      <c r="N600" s="41">
        <f t="shared" si="121"/>
        <v>7</v>
      </c>
      <c r="O600" s="11">
        <f t="shared" si="127"/>
        <v>24</v>
      </c>
      <c r="P600" s="12">
        <f t="shared" si="122"/>
        <v>0</v>
      </c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x14ac:dyDescent="0.3">
      <c r="A601" s="47">
        <v>594</v>
      </c>
      <c r="B601" s="60"/>
      <c r="C601" s="35">
        <f t="shared" si="128"/>
        <v>59271</v>
      </c>
      <c r="D601" s="36">
        <f t="shared" si="119"/>
        <v>0</v>
      </c>
      <c r="E601" s="37">
        <f t="shared" si="123"/>
        <v>0</v>
      </c>
      <c r="F601" s="37">
        <f t="shared" si="129"/>
        <v>0</v>
      </c>
      <c r="G601" s="38">
        <f t="shared" si="124"/>
        <v>0</v>
      </c>
      <c r="H601" s="39">
        <f t="shared" si="120"/>
        <v>0</v>
      </c>
      <c r="I601" s="37">
        <f t="shared" si="130"/>
        <v>0</v>
      </c>
      <c r="J601" s="37">
        <f t="shared" si="125"/>
        <v>0</v>
      </c>
      <c r="K601" s="40">
        <f t="shared" si="126"/>
        <v>0</v>
      </c>
      <c r="L601" s="53"/>
      <c r="M601" s="57"/>
      <c r="N601" s="41">
        <f t="shared" si="121"/>
        <v>7</v>
      </c>
      <c r="O601" s="11">
        <f t="shared" si="127"/>
        <v>24</v>
      </c>
      <c r="P601" s="12">
        <f t="shared" si="122"/>
        <v>0</v>
      </c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x14ac:dyDescent="0.3">
      <c r="A602" s="47">
        <v>595</v>
      </c>
      <c r="B602" s="60"/>
      <c r="C602" s="35">
        <f t="shared" si="128"/>
        <v>59301</v>
      </c>
      <c r="D602" s="36">
        <f t="shared" si="119"/>
        <v>0</v>
      </c>
      <c r="E602" s="37">
        <f t="shared" si="123"/>
        <v>0</v>
      </c>
      <c r="F602" s="37">
        <f t="shared" si="129"/>
        <v>0</v>
      </c>
      <c r="G602" s="38">
        <f t="shared" si="124"/>
        <v>0</v>
      </c>
      <c r="H602" s="39">
        <f t="shared" si="120"/>
        <v>0</v>
      </c>
      <c r="I602" s="37">
        <f t="shared" si="130"/>
        <v>0</v>
      </c>
      <c r="J602" s="37">
        <f t="shared" si="125"/>
        <v>0</v>
      </c>
      <c r="K602" s="40">
        <f t="shared" si="126"/>
        <v>0</v>
      </c>
      <c r="L602" s="53"/>
      <c r="M602" s="57"/>
      <c r="N602" s="41">
        <f t="shared" si="121"/>
        <v>7</v>
      </c>
      <c r="O602" s="11">
        <f t="shared" si="127"/>
        <v>24</v>
      </c>
      <c r="P602" s="12">
        <f t="shared" si="122"/>
        <v>0</v>
      </c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x14ac:dyDescent="0.3">
      <c r="A603" s="47">
        <v>596</v>
      </c>
      <c r="B603" s="60"/>
      <c r="C603" s="35">
        <f t="shared" si="128"/>
        <v>59332</v>
      </c>
      <c r="D603" s="36">
        <f t="shared" si="119"/>
        <v>0</v>
      </c>
      <c r="E603" s="37">
        <f t="shared" si="123"/>
        <v>0</v>
      </c>
      <c r="F603" s="37">
        <f t="shared" si="129"/>
        <v>0</v>
      </c>
      <c r="G603" s="38">
        <f t="shared" si="124"/>
        <v>0</v>
      </c>
      <c r="H603" s="39">
        <f t="shared" si="120"/>
        <v>0</v>
      </c>
      <c r="I603" s="37">
        <f t="shared" si="130"/>
        <v>0</v>
      </c>
      <c r="J603" s="37">
        <f t="shared" si="125"/>
        <v>0</v>
      </c>
      <c r="K603" s="40">
        <f t="shared" si="126"/>
        <v>0</v>
      </c>
      <c r="L603" s="53"/>
      <c r="M603" s="57"/>
      <c r="N603" s="41">
        <f t="shared" si="121"/>
        <v>7</v>
      </c>
      <c r="O603" s="11">
        <f t="shared" si="127"/>
        <v>24</v>
      </c>
      <c r="P603" s="12">
        <f t="shared" si="122"/>
        <v>0</v>
      </c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x14ac:dyDescent="0.3">
      <c r="A604" s="47">
        <v>597</v>
      </c>
      <c r="B604" s="60"/>
      <c r="C604" s="35">
        <f t="shared" si="128"/>
        <v>59362</v>
      </c>
      <c r="D604" s="36">
        <f t="shared" si="119"/>
        <v>0</v>
      </c>
      <c r="E604" s="37">
        <f t="shared" si="123"/>
        <v>0</v>
      </c>
      <c r="F604" s="37">
        <f t="shared" si="129"/>
        <v>0</v>
      </c>
      <c r="G604" s="38">
        <f t="shared" si="124"/>
        <v>0</v>
      </c>
      <c r="H604" s="39">
        <f t="shared" si="120"/>
        <v>0</v>
      </c>
      <c r="I604" s="37">
        <f t="shared" si="130"/>
        <v>0</v>
      </c>
      <c r="J604" s="37">
        <f t="shared" si="125"/>
        <v>0</v>
      </c>
      <c r="K604" s="40">
        <f t="shared" si="126"/>
        <v>0</v>
      </c>
      <c r="L604" s="53"/>
      <c r="M604" s="57"/>
      <c r="N604" s="41">
        <f t="shared" si="121"/>
        <v>7</v>
      </c>
      <c r="O604" s="11">
        <f t="shared" si="127"/>
        <v>24</v>
      </c>
      <c r="P604" s="12">
        <f t="shared" si="122"/>
        <v>0</v>
      </c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x14ac:dyDescent="0.3">
      <c r="A605" s="47">
        <v>598</v>
      </c>
      <c r="B605" s="60"/>
      <c r="C605" s="35">
        <f t="shared" si="128"/>
        <v>59393</v>
      </c>
      <c r="D605" s="36">
        <f t="shared" si="119"/>
        <v>0</v>
      </c>
      <c r="E605" s="37">
        <f t="shared" si="123"/>
        <v>0</v>
      </c>
      <c r="F605" s="37">
        <f t="shared" si="129"/>
        <v>0</v>
      </c>
      <c r="G605" s="38">
        <f t="shared" si="124"/>
        <v>0</v>
      </c>
      <c r="H605" s="39">
        <f t="shared" si="120"/>
        <v>0</v>
      </c>
      <c r="I605" s="37">
        <f t="shared" si="130"/>
        <v>0</v>
      </c>
      <c r="J605" s="37">
        <f t="shared" si="125"/>
        <v>0</v>
      </c>
      <c r="K605" s="40">
        <f t="shared" si="126"/>
        <v>0</v>
      </c>
      <c r="L605" s="53"/>
      <c r="M605" s="57"/>
      <c r="N605" s="41">
        <f t="shared" si="121"/>
        <v>7</v>
      </c>
      <c r="O605" s="11">
        <f t="shared" si="127"/>
        <v>24</v>
      </c>
      <c r="P605" s="12">
        <f t="shared" si="122"/>
        <v>0</v>
      </c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x14ac:dyDescent="0.3">
      <c r="A606" s="47">
        <v>599</v>
      </c>
      <c r="B606" s="60"/>
      <c r="C606" s="35">
        <f t="shared" si="128"/>
        <v>59424</v>
      </c>
      <c r="D606" s="36">
        <f t="shared" si="119"/>
        <v>0</v>
      </c>
      <c r="E606" s="37">
        <f t="shared" si="123"/>
        <v>0</v>
      </c>
      <c r="F606" s="37">
        <f t="shared" si="129"/>
        <v>0</v>
      </c>
      <c r="G606" s="38">
        <f t="shared" si="124"/>
        <v>0</v>
      </c>
      <c r="H606" s="39">
        <f t="shared" si="120"/>
        <v>0</v>
      </c>
      <c r="I606" s="37">
        <f t="shared" si="130"/>
        <v>0</v>
      </c>
      <c r="J606" s="37">
        <f t="shared" si="125"/>
        <v>0</v>
      </c>
      <c r="K606" s="40">
        <f t="shared" si="126"/>
        <v>0</v>
      </c>
      <c r="L606" s="53"/>
      <c r="M606" s="57"/>
      <c r="N606" s="41">
        <f t="shared" si="121"/>
        <v>7</v>
      </c>
      <c r="O606" s="11">
        <f t="shared" si="127"/>
        <v>24</v>
      </c>
      <c r="P606" s="12">
        <f t="shared" si="122"/>
        <v>0</v>
      </c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5" thickBot="1" x14ac:dyDescent="0.35">
      <c r="A607" s="48">
        <v>600</v>
      </c>
      <c r="B607" s="60"/>
      <c r="C607" s="35">
        <f t="shared" si="128"/>
        <v>59454</v>
      </c>
      <c r="D607" s="36">
        <f t="shared" si="119"/>
        <v>0</v>
      </c>
      <c r="E607" s="49">
        <f t="shared" si="123"/>
        <v>0</v>
      </c>
      <c r="F607" s="37">
        <f t="shared" si="129"/>
        <v>0</v>
      </c>
      <c r="G607" s="50">
        <f t="shared" si="124"/>
        <v>0</v>
      </c>
      <c r="H607" s="61">
        <f t="shared" si="120"/>
        <v>0</v>
      </c>
      <c r="I607" s="62">
        <f t="shared" si="130"/>
        <v>0</v>
      </c>
      <c r="J607" s="62">
        <f t="shared" si="125"/>
        <v>0</v>
      </c>
      <c r="K607" s="63">
        <f t="shared" si="126"/>
        <v>0</v>
      </c>
      <c r="L607" s="64"/>
      <c r="M607" s="65"/>
      <c r="N607" s="41">
        <f t="shared" si="121"/>
        <v>7</v>
      </c>
      <c r="O607" s="11">
        <f t="shared" si="127"/>
        <v>24</v>
      </c>
      <c r="P607" s="12">
        <f t="shared" si="122"/>
        <v>0</v>
      </c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x14ac:dyDescent="0.3">
      <c r="A608" s="66"/>
      <c r="B608" s="66"/>
      <c r="C608" s="67"/>
      <c r="D608" s="68"/>
      <c r="E608" s="68"/>
      <c r="F608" s="37">
        <f t="shared" si="129"/>
        <v>0</v>
      </c>
      <c r="G608" s="68"/>
      <c r="H608" s="68"/>
      <c r="I608" s="68"/>
      <c r="J608" s="68"/>
      <c r="K608" s="68"/>
      <c r="L608" s="69"/>
      <c r="M608" s="69"/>
      <c r="N608" s="70"/>
      <c r="O608" s="11"/>
      <c r="P608" s="12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x14ac:dyDescent="0.3">
      <c r="A609" s="66"/>
      <c r="B609" s="66"/>
      <c r="C609" s="67"/>
      <c r="D609" s="68"/>
      <c r="E609" s="68"/>
      <c r="F609" s="37">
        <f t="shared" si="129"/>
        <v>0</v>
      </c>
      <c r="G609" s="68"/>
      <c r="H609" s="68"/>
      <c r="I609" s="68"/>
      <c r="J609" s="68"/>
      <c r="K609" s="68"/>
      <c r="L609" s="69"/>
      <c r="M609" s="69"/>
      <c r="N609" s="70"/>
      <c r="O609" s="11"/>
      <c r="P609" s="12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x14ac:dyDescent="0.3">
      <c r="A610" s="66"/>
      <c r="B610" s="66"/>
      <c r="C610" s="67"/>
      <c r="D610" s="68"/>
      <c r="E610" s="68"/>
      <c r="F610" s="37">
        <f t="shared" si="129"/>
        <v>0</v>
      </c>
      <c r="G610" s="68"/>
      <c r="H610" s="68"/>
      <c r="I610" s="68"/>
      <c r="J610" s="68"/>
      <c r="K610" s="68"/>
      <c r="L610" s="69"/>
      <c r="M610" s="69"/>
      <c r="N610" s="70"/>
      <c r="O610" s="11"/>
      <c r="P610" s="12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x14ac:dyDescent="0.3">
      <c r="A611" s="66"/>
      <c r="B611" s="66"/>
      <c r="C611" s="67"/>
      <c r="D611" s="68"/>
      <c r="E611" s="68"/>
      <c r="F611" s="37">
        <f t="shared" si="129"/>
        <v>0</v>
      </c>
      <c r="G611" s="68"/>
      <c r="H611" s="68"/>
      <c r="I611" s="68"/>
      <c r="J611" s="68"/>
      <c r="K611" s="68"/>
      <c r="L611" s="69"/>
      <c r="M611" s="69"/>
      <c r="N611" s="70"/>
      <c r="O611" s="11"/>
      <c r="P611" s="12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x14ac:dyDescent="0.3">
      <c r="A612" s="66"/>
      <c r="B612" s="66"/>
      <c r="C612" s="67"/>
      <c r="D612" s="68"/>
      <c r="E612" s="68"/>
      <c r="F612" s="37">
        <f t="shared" si="129"/>
        <v>0</v>
      </c>
      <c r="G612" s="68"/>
      <c r="H612" s="68"/>
      <c r="I612" s="68"/>
      <c r="J612" s="68"/>
      <c r="K612" s="68"/>
      <c r="L612" s="69"/>
      <c r="M612" s="69"/>
      <c r="N612" s="70"/>
      <c r="O612" s="11"/>
      <c r="P612" s="12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x14ac:dyDescent="0.3">
      <c r="A613" s="66"/>
      <c r="B613" s="66"/>
      <c r="C613" s="67"/>
      <c r="D613" s="68"/>
      <c r="E613" s="68"/>
      <c r="F613" s="37">
        <f t="shared" si="129"/>
        <v>0</v>
      </c>
      <c r="G613" s="68"/>
      <c r="H613" s="68"/>
      <c r="I613" s="68"/>
      <c r="J613" s="68"/>
      <c r="K613" s="68"/>
      <c r="L613" s="69"/>
      <c r="M613" s="69"/>
      <c r="N613" s="70"/>
      <c r="O613" s="11"/>
      <c r="P613" s="12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x14ac:dyDescent="0.3">
      <c r="A614" s="66"/>
      <c r="B614" s="66"/>
      <c r="C614" s="67"/>
      <c r="D614" s="68"/>
      <c r="E614" s="68"/>
      <c r="F614" s="37">
        <f t="shared" si="129"/>
        <v>0</v>
      </c>
      <c r="G614" s="68"/>
      <c r="H614" s="68"/>
      <c r="I614" s="68"/>
      <c r="J614" s="68"/>
      <c r="K614" s="68"/>
      <c r="L614" s="69"/>
      <c r="M614" s="69"/>
      <c r="N614" s="70"/>
      <c r="O614" s="11"/>
      <c r="P614" s="12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x14ac:dyDescent="0.3">
      <c r="A615" s="66"/>
      <c r="B615" s="66"/>
      <c r="C615" s="67"/>
      <c r="D615" s="68"/>
      <c r="E615" s="68"/>
      <c r="F615" s="37">
        <f t="shared" si="129"/>
        <v>0</v>
      </c>
      <c r="G615" s="68"/>
      <c r="H615" s="68"/>
      <c r="I615" s="68"/>
      <c r="J615" s="68"/>
      <c r="K615" s="68"/>
      <c r="L615" s="69"/>
      <c r="M615" s="69"/>
      <c r="N615" s="70"/>
      <c r="O615" s="11"/>
      <c r="P615" s="12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x14ac:dyDescent="0.3">
      <c r="A616" s="66"/>
      <c r="B616" s="66"/>
      <c r="C616" s="67"/>
      <c r="D616" s="68"/>
      <c r="E616" s="68"/>
      <c r="F616" s="37">
        <f t="shared" si="129"/>
        <v>0</v>
      </c>
      <c r="G616" s="68"/>
      <c r="H616" s="68"/>
      <c r="I616" s="68"/>
      <c r="J616" s="68"/>
      <c r="K616" s="68"/>
      <c r="L616" s="69"/>
      <c r="M616" s="69"/>
      <c r="N616" s="70"/>
      <c r="O616" s="11"/>
      <c r="P616" s="12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x14ac:dyDescent="0.3">
      <c r="A617" s="66"/>
      <c r="B617" s="66"/>
      <c r="C617" s="67"/>
      <c r="D617" s="68"/>
      <c r="E617" s="68"/>
      <c r="F617" s="37">
        <f t="shared" si="129"/>
        <v>0</v>
      </c>
      <c r="G617" s="68"/>
      <c r="H617" s="68"/>
      <c r="I617" s="68"/>
      <c r="J617" s="68"/>
      <c r="K617" s="68"/>
      <c r="L617" s="69"/>
      <c r="M617" s="69"/>
      <c r="N617" s="70"/>
      <c r="O617" s="11"/>
      <c r="P617" s="12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x14ac:dyDescent="0.3">
      <c r="A618" s="66"/>
      <c r="B618" s="66"/>
      <c r="C618" s="67"/>
      <c r="D618" s="68"/>
      <c r="E618" s="68"/>
      <c r="F618" s="37">
        <f t="shared" si="129"/>
        <v>0</v>
      </c>
      <c r="G618" s="68"/>
      <c r="H618" s="68"/>
      <c r="I618" s="68"/>
      <c r="J618" s="68"/>
      <c r="K618" s="68"/>
      <c r="L618" s="69"/>
      <c r="M618" s="69"/>
      <c r="N618" s="70"/>
      <c r="O618" s="11"/>
      <c r="P618" s="12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x14ac:dyDescent="0.3">
      <c r="A619" s="66"/>
      <c r="B619" s="66"/>
      <c r="C619" s="67"/>
      <c r="D619" s="68"/>
      <c r="E619" s="68"/>
      <c r="F619" s="37">
        <f t="shared" si="129"/>
        <v>0</v>
      </c>
      <c r="G619" s="68"/>
      <c r="H619" s="68"/>
      <c r="I619" s="68"/>
      <c r="J619" s="68"/>
      <c r="K619" s="68"/>
      <c r="L619" s="69"/>
      <c r="M619" s="69"/>
      <c r="N619" s="70"/>
      <c r="O619" s="11"/>
      <c r="P619" s="12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x14ac:dyDescent="0.3">
      <c r="A620" s="66"/>
      <c r="B620" s="66"/>
      <c r="C620" s="67"/>
      <c r="D620" s="68"/>
      <c r="E620" s="68"/>
      <c r="F620" s="37">
        <f t="shared" si="129"/>
        <v>0</v>
      </c>
      <c r="G620" s="68"/>
      <c r="H620" s="68"/>
      <c r="I620" s="68"/>
      <c r="J620" s="68"/>
      <c r="K620" s="68"/>
      <c r="L620" s="69"/>
      <c r="M620" s="69"/>
      <c r="N620" s="70"/>
      <c r="O620" s="11"/>
      <c r="P620" s="12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x14ac:dyDescent="0.3">
      <c r="A621" s="66"/>
      <c r="B621" s="66"/>
      <c r="C621" s="67"/>
      <c r="D621" s="68"/>
      <c r="E621" s="68"/>
      <c r="F621" s="37">
        <f t="shared" si="129"/>
        <v>0</v>
      </c>
      <c r="G621" s="68"/>
      <c r="H621" s="68"/>
      <c r="I621" s="68"/>
      <c r="J621" s="68"/>
      <c r="K621" s="68"/>
      <c r="L621" s="69"/>
      <c r="M621" s="69"/>
      <c r="N621" s="70"/>
      <c r="O621" s="11"/>
      <c r="P621" s="12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x14ac:dyDescent="0.3">
      <c r="A622" s="66"/>
      <c r="B622" s="66"/>
      <c r="C622" s="67"/>
      <c r="D622" s="68"/>
      <c r="E622" s="68"/>
      <c r="F622" s="37">
        <f t="shared" si="129"/>
        <v>0</v>
      </c>
      <c r="G622" s="68"/>
      <c r="H622" s="68"/>
      <c r="I622" s="68"/>
      <c r="J622" s="68"/>
      <c r="K622" s="68"/>
      <c r="L622" s="69"/>
      <c r="M622" s="69"/>
      <c r="N622" s="70"/>
      <c r="O622" s="11"/>
      <c r="P622" s="12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x14ac:dyDescent="0.3">
      <c r="A623" s="66"/>
      <c r="B623" s="66"/>
      <c r="C623" s="67"/>
      <c r="D623" s="68"/>
      <c r="E623" s="68"/>
      <c r="F623" s="37">
        <f t="shared" si="129"/>
        <v>0</v>
      </c>
      <c r="G623" s="68"/>
      <c r="H623" s="68"/>
      <c r="I623" s="68"/>
      <c r="J623" s="68"/>
      <c r="K623" s="68"/>
      <c r="L623" s="69"/>
      <c r="M623" s="69"/>
      <c r="N623" s="70"/>
      <c r="O623" s="11"/>
      <c r="P623" s="12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x14ac:dyDescent="0.3">
      <c r="A624" s="66"/>
      <c r="B624" s="66"/>
      <c r="C624" s="67"/>
      <c r="D624" s="68"/>
      <c r="E624" s="68"/>
      <c r="F624" s="37">
        <f t="shared" si="129"/>
        <v>0</v>
      </c>
      <c r="G624" s="68"/>
      <c r="H624" s="68"/>
      <c r="I624" s="68"/>
      <c r="J624" s="68"/>
      <c r="K624" s="68"/>
      <c r="L624" s="69"/>
      <c r="M624" s="69"/>
      <c r="N624" s="70"/>
      <c r="O624" s="11"/>
      <c r="P624" s="12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x14ac:dyDescent="0.3">
      <c r="A625" s="66"/>
      <c r="B625" s="66"/>
      <c r="C625" s="67"/>
      <c r="D625" s="68"/>
      <c r="E625" s="68"/>
      <c r="F625" s="37">
        <f t="shared" si="129"/>
        <v>0</v>
      </c>
      <c r="G625" s="68"/>
      <c r="H625" s="68"/>
      <c r="I625" s="68"/>
      <c r="J625" s="68"/>
      <c r="K625" s="68"/>
      <c r="L625" s="69"/>
      <c r="M625" s="69"/>
      <c r="N625" s="70"/>
      <c r="O625" s="11"/>
      <c r="P625" s="12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x14ac:dyDescent="0.3">
      <c r="A626" s="66"/>
      <c r="B626" s="66"/>
      <c r="C626" s="67"/>
      <c r="D626" s="68"/>
      <c r="E626" s="68"/>
      <c r="F626" s="37">
        <f t="shared" si="129"/>
        <v>0</v>
      </c>
      <c r="G626" s="68"/>
      <c r="H626" s="68"/>
      <c r="I626" s="68"/>
      <c r="J626" s="68"/>
      <c r="K626" s="68"/>
      <c r="L626" s="69"/>
      <c r="M626" s="69"/>
      <c r="N626" s="70"/>
      <c r="O626" s="11"/>
      <c r="P626" s="12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x14ac:dyDescent="0.3">
      <c r="A627" s="66"/>
      <c r="B627" s="66"/>
      <c r="C627" s="67"/>
      <c r="D627" s="68"/>
      <c r="E627" s="68"/>
      <c r="F627" s="37">
        <f t="shared" si="129"/>
        <v>0</v>
      </c>
      <c r="G627" s="68"/>
      <c r="H627" s="68"/>
      <c r="I627" s="68"/>
      <c r="J627" s="68"/>
      <c r="K627" s="68"/>
      <c r="L627" s="69"/>
      <c r="M627" s="69"/>
      <c r="N627" s="70"/>
      <c r="O627" s="11"/>
      <c r="P627" s="12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x14ac:dyDescent="0.3">
      <c r="A628" s="66"/>
      <c r="B628" s="66"/>
      <c r="C628" s="67"/>
      <c r="D628" s="68"/>
      <c r="E628" s="68"/>
      <c r="F628" s="37">
        <f t="shared" si="129"/>
        <v>0</v>
      </c>
      <c r="G628" s="68"/>
      <c r="H628" s="68"/>
      <c r="I628" s="68"/>
      <c r="J628" s="68"/>
      <c r="K628" s="68"/>
      <c r="L628" s="69"/>
      <c r="M628" s="69"/>
      <c r="N628" s="70"/>
      <c r="O628" s="11"/>
      <c r="P628" s="12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x14ac:dyDescent="0.3">
      <c r="A629" s="66"/>
      <c r="B629" s="66"/>
      <c r="C629" s="67"/>
      <c r="D629" s="68"/>
      <c r="E629" s="68"/>
      <c r="F629" s="37">
        <f t="shared" si="129"/>
        <v>0</v>
      </c>
      <c r="G629" s="68"/>
      <c r="H629" s="68"/>
      <c r="I629" s="68"/>
      <c r="J629" s="68"/>
      <c r="K629" s="68"/>
      <c r="L629" s="69"/>
      <c r="M629" s="69"/>
      <c r="N629" s="70"/>
      <c r="O629" s="11"/>
      <c r="P629" s="12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x14ac:dyDescent="0.3">
      <c r="A630" s="66"/>
      <c r="B630" s="66"/>
      <c r="C630" s="67"/>
      <c r="D630" s="68"/>
      <c r="E630" s="68"/>
      <c r="F630" s="37">
        <f t="shared" si="129"/>
        <v>0</v>
      </c>
      <c r="G630" s="68"/>
      <c r="H630" s="68"/>
      <c r="I630" s="68"/>
      <c r="J630" s="68"/>
      <c r="K630" s="68"/>
      <c r="L630" s="69"/>
      <c r="M630" s="69"/>
      <c r="N630" s="70"/>
      <c r="O630" s="11"/>
      <c r="P630" s="12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x14ac:dyDescent="0.3">
      <c r="A631" s="66"/>
      <c r="B631" s="66"/>
      <c r="C631" s="67"/>
      <c r="D631" s="68"/>
      <c r="E631" s="68"/>
      <c r="F631" s="37">
        <f t="shared" si="129"/>
        <v>0</v>
      </c>
      <c r="G631" s="68"/>
      <c r="H631" s="68"/>
      <c r="I631" s="68"/>
      <c r="J631" s="68"/>
      <c r="K631" s="68"/>
      <c r="L631" s="69"/>
      <c r="M631" s="69"/>
      <c r="N631" s="70"/>
      <c r="O631" s="11"/>
      <c r="P631" s="12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x14ac:dyDescent="0.3">
      <c r="A632" s="66"/>
      <c r="B632" s="66"/>
      <c r="C632" s="67"/>
      <c r="D632" s="68"/>
      <c r="E632" s="68"/>
      <c r="F632" s="37">
        <f t="shared" si="129"/>
        <v>0</v>
      </c>
      <c r="G632" s="68"/>
      <c r="H632" s="68"/>
      <c r="I632" s="68"/>
      <c r="J632" s="68"/>
      <c r="K632" s="68"/>
      <c r="L632" s="69"/>
      <c r="M632" s="69"/>
      <c r="N632" s="70"/>
      <c r="O632" s="11"/>
      <c r="P632" s="12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x14ac:dyDescent="0.3">
      <c r="A633" s="66"/>
      <c r="B633" s="66"/>
      <c r="C633" s="67"/>
      <c r="D633" s="68"/>
      <c r="E633" s="68"/>
      <c r="F633" s="37">
        <f t="shared" si="129"/>
        <v>0</v>
      </c>
      <c r="G633" s="68"/>
      <c r="H633" s="68"/>
      <c r="I633" s="68"/>
      <c r="J633" s="68"/>
      <c r="K633" s="68"/>
      <c r="L633" s="69"/>
      <c r="M633" s="69"/>
      <c r="N633" s="70"/>
      <c r="O633" s="11"/>
      <c r="P633" s="12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x14ac:dyDescent="0.3">
      <c r="A634" s="66"/>
      <c r="B634" s="66"/>
      <c r="C634" s="67"/>
      <c r="D634" s="68"/>
      <c r="E634" s="68"/>
      <c r="F634" s="37">
        <f t="shared" si="129"/>
        <v>0</v>
      </c>
      <c r="G634" s="68"/>
      <c r="H634" s="68"/>
      <c r="I634" s="68"/>
      <c r="J634" s="68"/>
      <c r="K634" s="68"/>
      <c r="L634" s="69"/>
      <c r="M634" s="69"/>
      <c r="N634" s="70"/>
      <c r="O634" s="11"/>
      <c r="P634" s="12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x14ac:dyDescent="0.3">
      <c r="A635" s="66"/>
      <c r="B635" s="66"/>
      <c r="C635" s="67"/>
      <c r="D635" s="68"/>
      <c r="E635" s="68"/>
      <c r="F635" s="37">
        <f t="shared" si="129"/>
        <v>0</v>
      </c>
      <c r="G635" s="68"/>
      <c r="H635" s="68"/>
      <c r="I635" s="68"/>
      <c r="J635" s="68"/>
      <c r="K635" s="68"/>
      <c r="L635" s="69"/>
      <c r="M635" s="69"/>
      <c r="N635" s="70"/>
      <c r="O635" s="11"/>
      <c r="P635" s="12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x14ac:dyDescent="0.3">
      <c r="A636" s="66"/>
      <c r="B636" s="66"/>
      <c r="C636" s="67"/>
      <c r="D636" s="68"/>
      <c r="E636" s="68"/>
      <c r="F636" s="37">
        <f t="shared" si="129"/>
        <v>0</v>
      </c>
      <c r="G636" s="68"/>
      <c r="H636" s="68"/>
      <c r="I636" s="68"/>
      <c r="J636" s="68"/>
      <c r="K636" s="68"/>
      <c r="L636" s="69"/>
      <c r="M636" s="69"/>
      <c r="N636" s="70"/>
      <c r="O636" s="11"/>
      <c r="P636" s="12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x14ac:dyDescent="0.3">
      <c r="A637" s="66"/>
      <c r="B637" s="66"/>
      <c r="C637" s="67"/>
      <c r="D637" s="68"/>
      <c r="E637" s="68"/>
      <c r="F637" s="37">
        <f t="shared" si="129"/>
        <v>0</v>
      </c>
      <c r="G637" s="68"/>
      <c r="H637" s="68"/>
      <c r="I637" s="68"/>
      <c r="J637" s="68"/>
      <c r="K637" s="68"/>
      <c r="L637" s="69"/>
      <c r="M637" s="69"/>
      <c r="N637" s="70"/>
      <c r="O637" s="11"/>
      <c r="P637" s="12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x14ac:dyDescent="0.3">
      <c r="A638" s="66"/>
      <c r="B638" s="66"/>
      <c r="C638" s="67"/>
      <c r="D638" s="68"/>
      <c r="E638" s="68"/>
      <c r="F638" s="37">
        <f t="shared" si="129"/>
        <v>0</v>
      </c>
      <c r="G638" s="68"/>
      <c r="H638" s="68"/>
      <c r="I638" s="68"/>
      <c r="J638" s="68"/>
      <c r="K638" s="68"/>
      <c r="L638" s="69"/>
      <c r="M638" s="69"/>
      <c r="N638" s="70"/>
      <c r="O638" s="11"/>
      <c r="P638" s="12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x14ac:dyDescent="0.3">
      <c r="A639" s="66"/>
      <c r="B639" s="66"/>
      <c r="C639" s="67"/>
      <c r="D639" s="68"/>
      <c r="E639" s="68"/>
      <c r="F639" s="37">
        <f t="shared" si="129"/>
        <v>0</v>
      </c>
      <c r="G639" s="68"/>
      <c r="H639" s="68"/>
      <c r="I639" s="68"/>
      <c r="J639" s="68"/>
      <c r="K639" s="68"/>
      <c r="L639" s="69"/>
      <c r="M639" s="69"/>
      <c r="N639" s="70"/>
      <c r="O639" s="11"/>
      <c r="P639" s="12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x14ac:dyDescent="0.3">
      <c r="A640" s="66"/>
      <c r="B640" s="66"/>
      <c r="C640" s="67"/>
      <c r="D640" s="68"/>
      <c r="E640" s="68"/>
      <c r="F640" s="37">
        <f t="shared" si="129"/>
        <v>0</v>
      </c>
      <c r="G640" s="68"/>
      <c r="H640" s="68"/>
      <c r="I640" s="68"/>
      <c r="J640" s="68"/>
      <c r="K640" s="68"/>
      <c r="L640" s="69"/>
      <c r="M640" s="69"/>
      <c r="N640" s="70"/>
      <c r="O640" s="11"/>
      <c r="P640" s="12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x14ac:dyDescent="0.3">
      <c r="A641" s="66"/>
      <c r="B641" s="66"/>
      <c r="C641" s="67"/>
      <c r="D641" s="68"/>
      <c r="E641" s="68"/>
      <c r="F641" s="37">
        <f t="shared" si="129"/>
        <v>0</v>
      </c>
      <c r="G641" s="68"/>
      <c r="H641" s="68"/>
      <c r="I641" s="68"/>
      <c r="J641" s="68"/>
      <c r="K641" s="68"/>
      <c r="L641" s="69"/>
      <c r="M641" s="69"/>
      <c r="N641" s="70"/>
      <c r="O641" s="11"/>
      <c r="P641" s="12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x14ac:dyDescent="0.3">
      <c r="A642" s="66"/>
      <c r="B642" s="66"/>
      <c r="C642" s="67"/>
      <c r="D642" s="68"/>
      <c r="E642" s="68"/>
      <c r="F642" s="37">
        <f t="shared" si="129"/>
        <v>0</v>
      </c>
      <c r="G642" s="68"/>
      <c r="H642" s="68"/>
      <c r="I642" s="68"/>
      <c r="J642" s="68"/>
      <c r="K642" s="68"/>
      <c r="L642" s="69"/>
      <c r="M642" s="69"/>
      <c r="N642" s="70"/>
      <c r="O642" s="11"/>
      <c r="P642" s="12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x14ac:dyDescent="0.3">
      <c r="A643" s="66"/>
      <c r="B643" s="66"/>
      <c r="C643" s="67"/>
      <c r="D643" s="68"/>
      <c r="E643" s="68"/>
      <c r="F643" s="37">
        <f t="shared" si="129"/>
        <v>0</v>
      </c>
      <c r="G643" s="68"/>
      <c r="H643" s="68"/>
      <c r="I643" s="68"/>
      <c r="J643" s="68"/>
      <c r="K643" s="68"/>
      <c r="L643" s="69"/>
      <c r="M643" s="69"/>
      <c r="N643" s="70"/>
      <c r="O643" s="11"/>
      <c r="P643" s="12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x14ac:dyDescent="0.3">
      <c r="A644" s="66"/>
      <c r="B644" s="66"/>
      <c r="C644" s="67"/>
      <c r="D644" s="68"/>
      <c r="E644" s="68"/>
      <c r="F644" s="37">
        <f t="shared" si="129"/>
        <v>0</v>
      </c>
      <c r="G644" s="68"/>
      <c r="H644" s="68"/>
      <c r="I644" s="68"/>
      <c r="J644" s="68"/>
      <c r="K644" s="68"/>
      <c r="L644" s="69"/>
      <c r="M644" s="69"/>
      <c r="N644" s="70"/>
      <c r="O644" s="11"/>
      <c r="P644" s="12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x14ac:dyDescent="0.3">
      <c r="A645" s="66"/>
      <c r="B645" s="66"/>
      <c r="C645" s="67"/>
      <c r="D645" s="68"/>
      <c r="E645" s="68"/>
      <c r="F645" s="37">
        <f t="shared" si="129"/>
        <v>0</v>
      </c>
      <c r="G645" s="68"/>
      <c r="H645" s="68"/>
      <c r="I645" s="68"/>
      <c r="J645" s="68"/>
      <c r="K645" s="68"/>
      <c r="L645" s="69"/>
      <c r="M645" s="69"/>
      <c r="N645" s="70"/>
      <c r="O645" s="11"/>
      <c r="P645" s="12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x14ac:dyDescent="0.3">
      <c r="A646" s="66"/>
      <c r="B646" s="66"/>
      <c r="C646" s="67"/>
      <c r="D646" s="68"/>
      <c r="E646" s="68"/>
      <c r="F646" s="37">
        <f t="shared" si="129"/>
        <v>0</v>
      </c>
      <c r="G646" s="68"/>
      <c r="H646" s="68"/>
      <c r="I646" s="68"/>
      <c r="J646" s="68"/>
      <c r="K646" s="68"/>
      <c r="L646" s="69"/>
      <c r="M646" s="69"/>
      <c r="N646" s="70"/>
      <c r="O646" s="11"/>
      <c r="P646" s="12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x14ac:dyDescent="0.3">
      <c r="A647" s="66"/>
      <c r="B647" s="66"/>
      <c r="C647" s="67"/>
      <c r="D647" s="68"/>
      <c r="E647" s="68"/>
      <c r="F647" s="37">
        <f t="shared" si="129"/>
        <v>0</v>
      </c>
      <c r="G647" s="68"/>
      <c r="H647" s="68"/>
      <c r="I647" s="68"/>
      <c r="J647" s="68"/>
      <c r="K647" s="68"/>
      <c r="L647" s="69"/>
      <c r="M647" s="69"/>
      <c r="N647" s="70"/>
      <c r="O647" s="11"/>
      <c r="P647" s="12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x14ac:dyDescent="0.3">
      <c r="A648" s="66"/>
      <c r="B648" s="66"/>
      <c r="C648" s="67"/>
      <c r="D648" s="68"/>
      <c r="E648" s="68"/>
      <c r="F648" s="37">
        <f t="shared" si="129"/>
        <v>0</v>
      </c>
      <c r="G648" s="68"/>
      <c r="H648" s="68"/>
      <c r="I648" s="68"/>
      <c r="J648" s="68"/>
      <c r="K648" s="68"/>
      <c r="L648" s="69"/>
      <c r="M648" s="69"/>
      <c r="N648" s="70"/>
      <c r="O648" s="11"/>
      <c r="P648" s="12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x14ac:dyDescent="0.3">
      <c r="A649" s="66"/>
      <c r="B649" s="66"/>
      <c r="C649" s="67"/>
      <c r="D649" s="68"/>
      <c r="E649" s="68"/>
      <c r="F649" s="37">
        <f t="shared" si="129"/>
        <v>0</v>
      </c>
      <c r="G649" s="68"/>
      <c r="H649" s="68"/>
      <c r="I649" s="68"/>
      <c r="J649" s="68"/>
      <c r="K649" s="68"/>
      <c r="L649" s="69"/>
      <c r="M649" s="69"/>
      <c r="N649" s="70"/>
      <c r="O649" s="11"/>
      <c r="P649" s="12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x14ac:dyDescent="0.3">
      <c r="A650" s="66"/>
      <c r="B650" s="66"/>
      <c r="C650" s="67"/>
      <c r="D650" s="68"/>
      <c r="E650" s="68"/>
      <c r="F650" s="37">
        <f t="shared" ref="F650:F704" si="131">G649*$D$2*(C650-C649)/(DATE(YEAR(C650)+1,1,1)-DATE(YEAR(C650),1,1))/100</f>
        <v>0</v>
      </c>
      <c r="G650" s="68"/>
      <c r="H650" s="68"/>
      <c r="I650" s="68"/>
      <c r="J650" s="68"/>
      <c r="K650" s="68"/>
      <c r="L650" s="69"/>
      <c r="M650" s="69"/>
      <c r="N650" s="70"/>
      <c r="O650" s="11"/>
      <c r="P650" s="12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x14ac:dyDescent="0.3">
      <c r="A651" s="66"/>
      <c r="B651" s="66"/>
      <c r="C651" s="67"/>
      <c r="D651" s="68"/>
      <c r="E651" s="68"/>
      <c r="F651" s="37">
        <f t="shared" si="131"/>
        <v>0</v>
      </c>
      <c r="G651" s="68"/>
      <c r="H651" s="68"/>
      <c r="I651" s="68"/>
      <c r="J651" s="68"/>
      <c r="K651" s="68"/>
      <c r="L651" s="69"/>
      <c r="M651" s="69"/>
      <c r="N651" s="70"/>
      <c r="O651" s="11"/>
      <c r="P651" s="12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x14ac:dyDescent="0.3">
      <c r="A652" s="66"/>
      <c r="B652" s="66"/>
      <c r="C652" s="67"/>
      <c r="D652" s="68"/>
      <c r="E652" s="68"/>
      <c r="F652" s="37">
        <f t="shared" si="131"/>
        <v>0</v>
      </c>
      <c r="G652" s="68"/>
      <c r="H652" s="68"/>
      <c r="I652" s="68"/>
      <c r="J652" s="68"/>
      <c r="K652" s="68"/>
      <c r="L652" s="69"/>
      <c r="M652" s="69"/>
      <c r="N652" s="70"/>
      <c r="O652" s="11"/>
      <c r="P652" s="12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x14ac:dyDescent="0.3">
      <c r="A653" s="66"/>
      <c r="B653" s="66"/>
      <c r="C653" s="67"/>
      <c r="D653" s="68"/>
      <c r="E653" s="68"/>
      <c r="F653" s="37">
        <f t="shared" si="131"/>
        <v>0</v>
      </c>
      <c r="G653" s="68"/>
      <c r="H653" s="68"/>
      <c r="I653" s="68"/>
      <c r="J653" s="68"/>
      <c r="K653" s="68"/>
      <c r="L653" s="69"/>
      <c r="M653" s="69"/>
      <c r="N653" s="70"/>
      <c r="O653" s="11"/>
      <c r="P653" s="12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x14ac:dyDescent="0.3">
      <c r="A654" s="66"/>
      <c r="B654" s="66"/>
      <c r="C654" s="67"/>
      <c r="D654" s="68"/>
      <c r="E654" s="68"/>
      <c r="F654" s="37">
        <f t="shared" si="131"/>
        <v>0</v>
      </c>
      <c r="G654" s="68"/>
      <c r="H654" s="68"/>
      <c r="I654" s="68"/>
      <c r="J654" s="68"/>
      <c r="K654" s="68"/>
      <c r="L654" s="69"/>
      <c r="M654" s="69"/>
      <c r="N654" s="70"/>
      <c r="O654" s="11"/>
      <c r="P654" s="12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x14ac:dyDescent="0.3">
      <c r="A655" s="66"/>
      <c r="B655" s="66"/>
      <c r="C655" s="67"/>
      <c r="D655" s="68"/>
      <c r="E655" s="68"/>
      <c r="F655" s="37">
        <f t="shared" si="131"/>
        <v>0</v>
      </c>
      <c r="G655" s="68"/>
      <c r="H655" s="68"/>
      <c r="I655" s="68"/>
      <c r="J655" s="68"/>
      <c r="K655" s="68"/>
      <c r="L655" s="69"/>
      <c r="M655" s="69"/>
      <c r="N655" s="70"/>
      <c r="O655" s="11"/>
      <c r="P655" s="12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x14ac:dyDescent="0.3">
      <c r="A656" s="66"/>
      <c r="B656" s="66"/>
      <c r="C656" s="67"/>
      <c r="D656" s="68"/>
      <c r="E656" s="68"/>
      <c r="F656" s="37">
        <f t="shared" si="131"/>
        <v>0</v>
      </c>
      <c r="G656" s="68"/>
      <c r="H656" s="68"/>
      <c r="I656" s="68"/>
      <c r="J656" s="68"/>
      <c r="K656" s="68"/>
      <c r="L656" s="69"/>
      <c r="M656" s="69"/>
      <c r="N656" s="70"/>
      <c r="O656" s="11"/>
      <c r="P656" s="12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x14ac:dyDescent="0.3">
      <c r="A657" s="66"/>
      <c r="B657" s="66"/>
      <c r="C657" s="67"/>
      <c r="D657" s="68"/>
      <c r="E657" s="68"/>
      <c r="F657" s="37">
        <f t="shared" si="131"/>
        <v>0</v>
      </c>
      <c r="G657" s="68"/>
      <c r="H657" s="68"/>
      <c r="I657" s="68"/>
      <c r="J657" s="68"/>
      <c r="K657" s="68"/>
      <c r="L657" s="69"/>
      <c r="M657" s="69"/>
      <c r="N657" s="70"/>
      <c r="O657" s="11"/>
      <c r="P657" s="12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x14ac:dyDescent="0.3">
      <c r="A658" s="66"/>
      <c r="B658" s="66"/>
      <c r="C658" s="67"/>
      <c r="D658" s="68"/>
      <c r="E658" s="68"/>
      <c r="F658" s="37">
        <f t="shared" si="131"/>
        <v>0</v>
      </c>
      <c r="G658" s="68"/>
      <c r="H658" s="68"/>
      <c r="I658" s="68"/>
      <c r="J658" s="68"/>
      <c r="K658" s="68"/>
      <c r="L658" s="69"/>
      <c r="M658" s="69"/>
      <c r="N658" s="70"/>
      <c r="O658" s="11"/>
      <c r="P658" s="12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x14ac:dyDescent="0.3">
      <c r="A659" s="66"/>
      <c r="B659" s="66"/>
      <c r="C659" s="67"/>
      <c r="D659" s="68"/>
      <c r="E659" s="68"/>
      <c r="F659" s="37">
        <f t="shared" si="131"/>
        <v>0</v>
      </c>
      <c r="G659" s="68"/>
      <c r="H659" s="68"/>
      <c r="I659" s="68"/>
      <c r="J659" s="68"/>
      <c r="K659" s="68"/>
      <c r="L659" s="69"/>
      <c r="M659" s="69"/>
      <c r="N659" s="70"/>
      <c r="O659" s="11"/>
      <c r="P659" s="12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x14ac:dyDescent="0.3">
      <c r="A660" s="66"/>
      <c r="B660" s="66"/>
      <c r="C660" s="67"/>
      <c r="D660" s="68"/>
      <c r="E660" s="68"/>
      <c r="F660" s="37">
        <f t="shared" si="131"/>
        <v>0</v>
      </c>
      <c r="G660" s="68"/>
      <c r="H660" s="68"/>
      <c r="I660" s="68"/>
      <c r="J660" s="68"/>
      <c r="K660" s="68"/>
      <c r="L660" s="69"/>
      <c r="M660" s="69"/>
      <c r="N660" s="70"/>
      <c r="O660" s="11"/>
      <c r="P660" s="12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x14ac:dyDescent="0.3">
      <c r="A661" s="66"/>
      <c r="B661" s="66"/>
      <c r="C661" s="67"/>
      <c r="D661" s="68"/>
      <c r="E661" s="68"/>
      <c r="F661" s="37">
        <f t="shared" si="131"/>
        <v>0</v>
      </c>
      <c r="G661" s="68"/>
      <c r="H661" s="68"/>
      <c r="I661" s="68"/>
      <c r="J661" s="68"/>
      <c r="K661" s="68"/>
      <c r="L661" s="69"/>
      <c r="M661" s="69"/>
      <c r="N661" s="70"/>
      <c r="O661" s="11"/>
      <c r="P661" s="12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x14ac:dyDescent="0.3">
      <c r="A662" s="66"/>
      <c r="B662" s="66"/>
      <c r="C662" s="67"/>
      <c r="D662" s="68"/>
      <c r="E662" s="68"/>
      <c r="F662" s="37">
        <f t="shared" si="131"/>
        <v>0</v>
      </c>
      <c r="G662" s="68"/>
      <c r="H662" s="68"/>
      <c r="I662" s="68"/>
      <c r="J662" s="68"/>
      <c r="K662" s="68"/>
      <c r="L662" s="69"/>
      <c r="M662" s="69"/>
      <c r="N662" s="70"/>
      <c r="O662" s="11"/>
      <c r="P662" s="12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x14ac:dyDescent="0.3">
      <c r="A663" s="66"/>
      <c r="B663" s="66"/>
      <c r="C663" s="67"/>
      <c r="D663" s="68"/>
      <c r="E663" s="68"/>
      <c r="F663" s="37">
        <f t="shared" si="131"/>
        <v>0</v>
      </c>
      <c r="G663" s="68"/>
      <c r="H663" s="68"/>
      <c r="I663" s="68"/>
      <c r="J663" s="68"/>
      <c r="K663" s="68"/>
      <c r="L663" s="69"/>
      <c r="M663" s="69"/>
      <c r="N663" s="70"/>
      <c r="O663" s="11"/>
      <c r="P663" s="12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x14ac:dyDescent="0.3">
      <c r="A664" s="66"/>
      <c r="B664" s="66"/>
      <c r="C664" s="67"/>
      <c r="D664" s="68"/>
      <c r="E664" s="68"/>
      <c r="F664" s="37">
        <f t="shared" si="131"/>
        <v>0</v>
      </c>
      <c r="G664" s="68"/>
      <c r="H664" s="68"/>
      <c r="I664" s="68"/>
      <c r="J664" s="68"/>
      <c r="K664" s="68"/>
      <c r="L664" s="69"/>
      <c r="M664" s="69"/>
      <c r="N664" s="70"/>
      <c r="O664" s="11"/>
      <c r="P664" s="12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x14ac:dyDescent="0.3">
      <c r="A665" s="66"/>
      <c r="B665" s="66"/>
      <c r="C665" s="67"/>
      <c r="D665" s="68"/>
      <c r="E665" s="68"/>
      <c r="F665" s="37">
        <f t="shared" si="131"/>
        <v>0</v>
      </c>
      <c r="G665" s="68"/>
      <c r="H665" s="68"/>
      <c r="I665" s="68"/>
      <c r="J665" s="68"/>
      <c r="K665" s="68"/>
      <c r="L665" s="69"/>
      <c r="M665" s="69"/>
      <c r="N665" s="70"/>
      <c r="O665" s="11"/>
      <c r="P665" s="12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x14ac:dyDescent="0.3">
      <c r="A666" s="66"/>
      <c r="B666" s="66"/>
      <c r="C666" s="67"/>
      <c r="D666" s="68"/>
      <c r="E666" s="68"/>
      <c r="F666" s="37">
        <f t="shared" si="131"/>
        <v>0</v>
      </c>
      <c r="G666" s="68"/>
      <c r="H666" s="68"/>
      <c r="I666" s="68"/>
      <c r="J666" s="68"/>
      <c r="K666" s="68"/>
      <c r="L666" s="69"/>
      <c r="M666" s="69"/>
      <c r="N666" s="70"/>
      <c r="O666" s="11"/>
      <c r="P666" s="12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x14ac:dyDescent="0.3">
      <c r="A667" s="66"/>
      <c r="B667" s="66"/>
      <c r="C667" s="67"/>
      <c r="D667" s="68"/>
      <c r="E667" s="68"/>
      <c r="F667" s="37">
        <f t="shared" si="131"/>
        <v>0</v>
      </c>
      <c r="G667" s="68"/>
      <c r="H667" s="68"/>
      <c r="I667" s="68"/>
      <c r="J667" s="68"/>
      <c r="K667" s="68"/>
      <c r="L667" s="69"/>
      <c r="M667" s="69"/>
      <c r="N667" s="70"/>
      <c r="O667" s="11"/>
      <c r="P667" s="12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x14ac:dyDescent="0.3">
      <c r="A668" s="66"/>
      <c r="B668" s="66"/>
      <c r="C668" s="67"/>
      <c r="D668" s="68"/>
      <c r="E668" s="68"/>
      <c r="F668" s="37">
        <f t="shared" si="131"/>
        <v>0</v>
      </c>
      <c r="G668" s="68"/>
      <c r="H668" s="68"/>
      <c r="I668" s="68"/>
      <c r="J668" s="68"/>
      <c r="K668" s="68"/>
      <c r="L668" s="69"/>
      <c r="M668" s="69"/>
      <c r="N668" s="70"/>
      <c r="O668" s="11"/>
      <c r="P668" s="12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x14ac:dyDescent="0.3">
      <c r="A669" s="66"/>
      <c r="B669" s="66"/>
      <c r="C669" s="67"/>
      <c r="D669" s="68"/>
      <c r="E669" s="68"/>
      <c r="F669" s="37">
        <f t="shared" si="131"/>
        <v>0</v>
      </c>
      <c r="G669" s="68"/>
      <c r="H669" s="68"/>
      <c r="I669" s="68"/>
      <c r="J669" s="68"/>
      <c r="K669" s="68"/>
      <c r="L669" s="69"/>
      <c r="M669" s="69"/>
      <c r="N669" s="70"/>
      <c r="O669" s="11"/>
      <c r="P669" s="12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x14ac:dyDescent="0.3">
      <c r="A670" s="66"/>
      <c r="B670" s="66"/>
      <c r="C670" s="67"/>
      <c r="D670" s="68"/>
      <c r="E670" s="68"/>
      <c r="F670" s="37">
        <f t="shared" si="131"/>
        <v>0</v>
      </c>
      <c r="G670" s="68"/>
      <c r="H670" s="68"/>
      <c r="I670" s="68"/>
      <c r="J670" s="68"/>
      <c r="K670" s="68"/>
      <c r="L670" s="69"/>
      <c r="M670" s="69"/>
      <c r="N670" s="70"/>
      <c r="O670" s="11"/>
      <c r="P670" s="12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x14ac:dyDescent="0.3">
      <c r="A671" s="66"/>
      <c r="B671" s="66"/>
      <c r="C671" s="67"/>
      <c r="D671" s="68"/>
      <c r="E671" s="68"/>
      <c r="F671" s="37">
        <f t="shared" si="131"/>
        <v>0</v>
      </c>
      <c r="G671" s="68"/>
      <c r="H671" s="68"/>
      <c r="I671" s="68"/>
      <c r="J671" s="68"/>
      <c r="K671" s="68"/>
      <c r="L671" s="69"/>
      <c r="M671" s="69"/>
      <c r="N671" s="70"/>
      <c r="O671" s="11"/>
      <c r="P671" s="12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x14ac:dyDescent="0.3">
      <c r="A672" s="66"/>
      <c r="B672" s="66"/>
      <c r="C672" s="67"/>
      <c r="D672" s="68"/>
      <c r="E672" s="68"/>
      <c r="F672" s="37">
        <f t="shared" si="131"/>
        <v>0</v>
      </c>
      <c r="G672" s="68"/>
      <c r="H672" s="68"/>
      <c r="I672" s="68"/>
      <c r="J672" s="68"/>
      <c r="K672" s="68"/>
      <c r="L672" s="69"/>
      <c r="M672" s="69"/>
      <c r="N672" s="70"/>
      <c r="O672" s="11"/>
      <c r="P672" s="12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x14ac:dyDescent="0.3">
      <c r="A673" s="66"/>
      <c r="B673" s="66"/>
      <c r="C673" s="67"/>
      <c r="D673" s="68"/>
      <c r="E673" s="68"/>
      <c r="F673" s="37">
        <f t="shared" si="131"/>
        <v>0</v>
      </c>
      <c r="G673" s="68"/>
      <c r="H673" s="68"/>
      <c r="I673" s="68"/>
      <c r="J673" s="68"/>
      <c r="K673" s="68"/>
      <c r="L673" s="69"/>
      <c r="M673" s="69"/>
      <c r="N673" s="70"/>
      <c r="O673" s="11"/>
      <c r="P673" s="12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x14ac:dyDescent="0.3">
      <c r="A674" s="66"/>
      <c r="B674" s="66"/>
      <c r="C674" s="67"/>
      <c r="D674" s="68"/>
      <c r="E674" s="68"/>
      <c r="F674" s="37">
        <f t="shared" si="131"/>
        <v>0</v>
      </c>
      <c r="G674" s="68"/>
      <c r="H674" s="68"/>
      <c r="I674" s="68"/>
      <c r="J674" s="68"/>
      <c r="K674" s="68"/>
      <c r="L674" s="69"/>
      <c r="M674" s="69"/>
      <c r="N674" s="70"/>
      <c r="O674" s="11"/>
      <c r="P674" s="12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x14ac:dyDescent="0.3">
      <c r="A675" s="66"/>
      <c r="B675" s="66"/>
      <c r="C675" s="67"/>
      <c r="D675" s="68"/>
      <c r="E675" s="68"/>
      <c r="F675" s="37">
        <f t="shared" si="131"/>
        <v>0</v>
      </c>
      <c r="G675" s="68"/>
      <c r="H675" s="68"/>
      <c r="I675" s="68"/>
      <c r="J675" s="68"/>
      <c r="K675" s="68"/>
      <c r="L675" s="69"/>
      <c r="M675" s="69"/>
      <c r="N675" s="70"/>
      <c r="O675" s="11"/>
      <c r="P675" s="12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x14ac:dyDescent="0.3">
      <c r="A676" s="66"/>
      <c r="B676" s="66"/>
      <c r="C676" s="67"/>
      <c r="D676" s="68"/>
      <c r="E676" s="68"/>
      <c r="F676" s="37">
        <f t="shared" si="131"/>
        <v>0</v>
      </c>
      <c r="G676" s="68"/>
      <c r="H676" s="68"/>
      <c r="I676" s="68"/>
      <c r="J676" s="68"/>
      <c r="K676" s="68"/>
      <c r="L676" s="69"/>
      <c r="M676" s="69"/>
      <c r="N676" s="70"/>
      <c r="O676" s="11"/>
      <c r="P676" s="12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x14ac:dyDescent="0.3">
      <c r="A677" s="66"/>
      <c r="B677" s="66"/>
      <c r="C677" s="67"/>
      <c r="D677" s="68"/>
      <c r="E677" s="68"/>
      <c r="F677" s="37">
        <f t="shared" si="131"/>
        <v>0</v>
      </c>
      <c r="G677" s="68"/>
      <c r="H677" s="68"/>
      <c r="I677" s="68"/>
      <c r="J677" s="68"/>
      <c r="K677" s="68"/>
      <c r="L677" s="69"/>
      <c r="M677" s="69"/>
      <c r="N677" s="70"/>
      <c r="O677" s="11"/>
      <c r="P677" s="12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x14ac:dyDescent="0.3">
      <c r="A678" s="66"/>
      <c r="B678" s="66"/>
      <c r="C678" s="67"/>
      <c r="D678" s="68"/>
      <c r="E678" s="68"/>
      <c r="F678" s="37">
        <f t="shared" si="131"/>
        <v>0</v>
      </c>
      <c r="G678" s="68"/>
      <c r="H678" s="68"/>
      <c r="I678" s="68"/>
      <c r="J678" s="68"/>
      <c r="K678" s="68"/>
      <c r="L678" s="69"/>
      <c r="M678" s="69"/>
      <c r="N678" s="70"/>
      <c r="O678" s="11"/>
      <c r="P678" s="12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x14ac:dyDescent="0.3">
      <c r="A679" s="66"/>
      <c r="B679" s="66"/>
      <c r="C679" s="67"/>
      <c r="D679" s="68"/>
      <c r="E679" s="68"/>
      <c r="F679" s="37">
        <f t="shared" si="131"/>
        <v>0</v>
      </c>
      <c r="G679" s="68"/>
      <c r="H679" s="68"/>
      <c r="I679" s="68"/>
      <c r="J679" s="68"/>
      <c r="K679" s="68"/>
      <c r="L679" s="69"/>
      <c r="M679" s="69"/>
      <c r="N679" s="70"/>
      <c r="O679" s="11"/>
      <c r="P679" s="12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x14ac:dyDescent="0.3">
      <c r="A680" s="66"/>
      <c r="B680" s="66"/>
      <c r="C680" s="67"/>
      <c r="D680" s="68"/>
      <c r="E680" s="68"/>
      <c r="F680" s="37">
        <f t="shared" si="131"/>
        <v>0</v>
      </c>
      <c r="G680" s="68"/>
      <c r="H680" s="68"/>
      <c r="I680" s="68"/>
      <c r="J680" s="68"/>
      <c r="K680" s="68"/>
      <c r="L680" s="69"/>
      <c r="M680" s="69"/>
      <c r="N680" s="70"/>
      <c r="O680" s="11"/>
      <c r="P680" s="12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x14ac:dyDescent="0.3">
      <c r="A681" s="66"/>
      <c r="B681" s="66"/>
      <c r="C681" s="67"/>
      <c r="D681" s="68"/>
      <c r="E681" s="68"/>
      <c r="F681" s="37">
        <f t="shared" si="131"/>
        <v>0</v>
      </c>
      <c r="G681" s="68"/>
      <c r="H681" s="68"/>
      <c r="I681" s="68"/>
      <c r="J681" s="68"/>
      <c r="K681" s="68"/>
      <c r="L681" s="69"/>
      <c r="M681" s="69"/>
      <c r="N681" s="70"/>
      <c r="O681" s="11"/>
      <c r="P681" s="12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x14ac:dyDescent="0.3">
      <c r="A682" s="66"/>
      <c r="B682" s="66"/>
      <c r="C682" s="67"/>
      <c r="D682" s="68"/>
      <c r="E682" s="68"/>
      <c r="F682" s="37">
        <f t="shared" si="131"/>
        <v>0</v>
      </c>
      <c r="G682" s="68"/>
      <c r="H682" s="68"/>
      <c r="I682" s="68"/>
      <c r="J682" s="68"/>
      <c r="K682" s="68"/>
      <c r="L682" s="69"/>
      <c r="M682" s="69"/>
      <c r="N682" s="70"/>
      <c r="O682" s="11"/>
      <c r="P682" s="12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x14ac:dyDescent="0.3">
      <c r="A683" s="66"/>
      <c r="B683" s="66"/>
      <c r="C683" s="67"/>
      <c r="D683" s="68"/>
      <c r="E683" s="68"/>
      <c r="F683" s="37">
        <f t="shared" si="131"/>
        <v>0</v>
      </c>
      <c r="G683" s="68"/>
      <c r="H683" s="68"/>
      <c r="I683" s="68"/>
      <c r="J683" s="68"/>
      <c r="K683" s="68"/>
      <c r="L683" s="69"/>
      <c r="M683" s="69"/>
      <c r="N683" s="70"/>
      <c r="O683" s="11"/>
      <c r="P683" s="12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x14ac:dyDescent="0.3">
      <c r="A684" s="66"/>
      <c r="B684" s="66"/>
      <c r="C684" s="67"/>
      <c r="D684" s="68"/>
      <c r="E684" s="68"/>
      <c r="F684" s="37">
        <f t="shared" si="131"/>
        <v>0</v>
      </c>
      <c r="G684" s="68"/>
      <c r="H684" s="68"/>
      <c r="I684" s="68"/>
      <c r="J684" s="68"/>
      <c r="K684" s="68"/>
      <c r="L684" s="69"/>
      <c r="M684" s="69"/>
      <c r="N684" s="70"/>
      <c r="O684" s="11"/>
      <c r="P684" s="12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x14ac:dyDescent="0.3">
      <c r="A685" s="66"/>
      <c r="B685" s="66"/>
      <c r="C685" s="67"/>
      <c r="D685" s="68"/>
      <c r="E685" s="68"/>
      <c r="F685" s="37">
        <f t="shared" si="131"/>
        <v>0</v>
      </c>
      <c r="G685" s="68"/>
      <c r="H685" s="68"/>
      <c r="I685" s="68"/>
      <c r="J685" s="68"/>
      <c r="K685" s="68"/>
      <c r="L685" s="69"/>
      <c r="M685" s="69"/>
      <c r="N685" s="70"/>
      <c r="O685" s="11"/>
      <c r="P685" s="12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x14ac:dyDescent="0.3">
      <c r="A686" s="66"/>
      <c r="B686" s="66"/>
      <c r="C686" s="67"/>
      <c r="D686" s="68"/>
      <c r="E686" s="68"/>
      <c r="F686" s="37">
        <f t="shared" si="131"/>
        <v>0</v>
      </c>
      <c r="G686" s="68"/>
      <c r="H686" s="68"/>
      <c r="I686" s="68"/>
      <c r="J686" s="68"/>
      <c r="K686" s="68"/>
      <c r="L686" s="69"/>
      <c r="M686" s="69"/>
      <c r="N686" s="70"/>
      <c r="O686" s="11"/>
      <c r="P686" s="12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x14ac:dyDescent="0.3">
      <c r="A687" s="66"/>
      <c r="B687" s="66"/>
      <c r="C687" s="67"/>
      <c r="D687" s="68"/>
      <c r="E687" s="68"/>
      <c r="F687" s="37">
        <f t="shared" si="131"/>
        <v>0</v>
      </c>
      <c r="G687" s="68"/>
      <c r="H687" s="68"/>
      <c r="I687" s="68"/>
      <c r="J687" s="68"/>
      <c r="K687" s="68"/>
      <c r="L687" s="69"/>
      <c r="M687" s="69"/>
      <c r="N687" s="70"/>
      <c r="O687" s="11"/>
      <c r="P687" s="12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x14ac:dyDescent="0.3">
      <c r="A688" s="66"/>
      <c r="B688" s="66"/>
      <c r="C688" s="67"/>
      <c r="D688" s="68"/>
      <c r="E688" s="68"/>
      <c r="F688" s="37">
        <f t="shared" si="131"/>
        <v>0</v>
      </c>
      <c r="G688" s="68"/>
      <c r="H688" s="68"/>
      <c r="I688" s="68"/>
      <c r="J688" s="68"/>
      <c r="K688" s="68"/>
      <c r="L688" s="69"/>
      <c r="M688" s="69"/>
      <c r="N688" s="70"/>
      <c r="O688" s="11"/>
      <c r="P688" s="12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x14ac:dyDescent="0.3">
      <c r="A689" s="66"/>
      <c r="B689" s="66"/>
      <c r="C689" s="67"/>
      <c r="D689" s="68"/>
      <c r="E689" s="68"/>
      <c r="F689" s="37">
        <f t="shared" si="131"/>
        <v>0</v>
      </c>
      <c r="G689" s="68"/>
      <c r="H689" s="68"/>
      <c r="I689" s="68"/>
      <c r="J689" s="68"/>
      <c r="K689" s="68"/>
      <c r="L689" s="69"/>
      <c r="M689" s="69"/>
      <c r="N689" s="70"/>
      <c r="O689" s="11"/>
      <c r="P689" s="12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x14ac:dyDescent="0.3">
      <c r="A690" s="66"/>
      <c r="B690" s="66"/>
      <c r="C690" s="67"/>
      <c r="D690" s="68"/>
      <c r="E690" s="68"/>
      <c r="F690" s="37">
        <f t="shared" si="131"/>
        <v>0</v>
      </c>
      <c r="G690" s="68"/>
      <c r="H690" s="68"/>
      <c r="I690" s="68"/>
      <c r="J690" s="68"/>
      <c r="K690" s="68"/>
      <c r="L690" s="69"/>
      <c r="M690" s="69"/>
      <c r="N690" s="70"/>
      <c r="O690" s="11"/>
      <c r="P690" s="12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x14ac:dyDescent="0.3">
      <c r="A691" s="66"/>
      <c r="B691" s="66"/>
      <c r="C691" s="67"/>
      <c r="D691" s="68"/>
      <c r="E691" s="68"/>
      <c r="F691" s="37">
        <f t="shared" si="131"/>
        <v>0</v>
      </c>
      <c r="G691" s="68"/>
      <c r="H691" s="68"/>
      <c r="I691" s="68"/>
      <c r="J691" s="68"/>
      <c r="K691" s="68"/>
      <c r="L691" s="69"/>
      <c r="M691" s="69"/>
      <c r="N691" s="70"/>
      <c r="O691" s="11"/>
      <c r="P691" s="12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x14ac:dyDescent="0.3">
      <c r="A692" s="66"/>
      <c r="B692" s="66"/>
      <c r="C692" s="67"/>
      <c r="D692" s="68"/>
      <c r="E692" s="68"/>
      <c r="F692" s="37">
        <f t="shared" si="131"/>
        <v>0</v>
      </c>
      <c r="G692" s="68"/>
      <c r="H692" s="68"/>
      <c r="I692" s="68"/>
      <c r="J692" s="68"/>
      <c r="K692" s="68"/>
      <c r="L692" s="69"/>
      <c r="M692" s="69"/>
      <c r="N692" s="70"/>
      <c r="O692" s="11"/>
      <c r="P692" s="12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x14ac:dyDescent="0.3">
      <c r="A693" s="66"/>
      <c r="B693" s="66"/>
      <c r="C693" s="67"/>
      <c r="D693" s="68"/>
      <c r="E693" s="68"/>
      <c r="F693" s="37">
        <f t="shared" si="131"/>
        <v>0</v>
      </c>
      <c r="G693" s="68"/>
      <c r="H693" s="68"/>
      <c r="I693" s="68"/>
      <c r="J693" s="68"/>
      <c r="K693" s="68"/>
      <c r="L693" s="69"/>
      <c r="M693" s="69"/>
      <c r="N693" s="70"/>
      <c r="O693" s="11"/>
      <c r="P693" s="12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x14ac:dyDescent="0.3">
      <c r="A694" s="66"/>
      <c r="B694" s="66"/>
      <c r="C694" s="67"/>
      <c r="D694" s="68"/>
      <c r="E694" s="68"/>
      <c r="F694" s="37">
        <f t="shared" si="131"/>
        <v>0</v>
      </c>
      <c r="G694" s="68"/>
      <c r="H694" s="68"/>
      <c r="I694" s="68"/>
      <c r="J694" s="68"/>
      <c r="K694" s="68"/>
      <c r="L694" s="69"/>
      <c r="M694" s="69"/>
      <c r="N694" s="70"/>
      <c r="O694" s="11"/>
      <c r="P694" s="12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x14ac:dyDescent="0.3">
      <c r="A695" s="66"/>
      <c r="B695" s="66"/>
      <c r="C695" s="67"/>
      <c r="D695" s="68"/>
      <c r="E695" s="68"/>
      <c r="F695" s="37">
        <f t="shared" si="131"/>
        <v>0</v>
      </c>
      <c r="G695" s="68"/>
      <c r="H695" s="68"/>
      <c r="I695" s="68"/>
      <c r="J695" s="68"/>
      <c r="K695" s="68"/>
      <c r="L695" s="69"/>
      <c r="M695" s="69"/>
      <c r="N695" s="70"/>
      <c r="O695" s="11"/>
      <c r="P695" s="12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x14ac:dyDescent="0.3">
      <c r="A696" s="66"/>
      <c r="B696" s="66"/>
      <c r="C696" s="67"/>
      <c r="D696" s="68"/>
      <c r="E696" s="68"/>
      <c r="F696" s="37">
        <f t="shared" si="131"/>
        <v>0</v>
      </c>
      <c r="G696" s="68"/>
      <c r="H696" s="68"/>
      <c r="I696" s="68"/>
      <c r="J696" s="68"/>
      <c r="K696" s="68"/>
      <c r="L696" s="69"/>
      <c r="M696" s="69"/>
      <c r="N696" s="70"/>
      <c r="O696" s="11"/>
      <c r="P696" s="12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x14ac:dyDescent="0.3">
      <c r="A697" s="66"/>
      <c r="B697" s="66"/>
      <c r="C697" s="67"/>
      <c r="D697" s="68"/>
      <c r="E697" s="68"/>
      <c r="F697" s="37">
        <f t="shared" si="131"/>
        <v>0</v>
      </c>
      <c r="G697" s="68"/>
      <c r="H697" s="68"/>
      <c r="I697" s="68"/>
      <c r="J697" s="68"/>
      <c r="K697" s="68"/>
      <c r="L697" s="69"/>
      <c r="M697" s="69"/>
      <c r="N697" s="70"/>
      <c r="O697" s="11"/>
      <c r="P697" s="12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x14ac:dyDescent="0.3">
      <c r="A698" s="66"/>
      <c r="B698" s="66"/>
      <c r="C698" s="67"/>
      <c r="D698" s="68"/>
      <c r="E698" s="68"/>
      <c r="F698" s="37">
        <f t="shared" si="131"/>
        <v>0</v>
      </c>
      <c r="G698" s="68"/>
      <c r="H698" s="68"/>
      <c r="I698" s="68"/>
      <c r="J698" s="68"/>
      <c r="K698" s="68"/>
      <c r="L698" s="69"/>
      <c r="M698" s="69"/>
      <c r="N698" s="70"/>
      <c r="O698" s="11"/>
      <c r="P698" s="12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x14ac:dyDescent="0.3">
      <c r="A699" s="66"/>
      <c r="B699" s="66"/>
      <c r="C699" s="67"/>
      <c r="D699" s="68"/>
      <c r="E699" s="68"/>
      <c r="F699" s="37">
        <f t="shared" si="131"/>
        <v>0</v>
      </c>
      <c r="G699" s="68"/>
      <c r="H699" s="68"/>
      <c r="I699" s="68"/>
      <c r="J699" s="68"/>
      <c r="K699" s="68"/>
      <c r="L699" s="69"/>
      <c r="M699" s="69"/>
      <c r="N699" s="70"/>
      <c r="O699" s="11"/>
      <c r="P699" s="12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x14ac:dyDescent="0.3">
      <c r="A700" s="66"/>
      <c r="B700" s="66"/>
      <c r="C700" s="67"/>
      <c r="D700" s="68"/>
      <c r="E700" s="68"/>
      <c r="F700" s="37">
        <f t="shared" si="131"/>
        <v>0</v>
      </c>
      <c r="G700" s="68"/>
      <c r="H700" s="68"/>
      <c r="I700" s="68"/>
      <c r="J700" s="68"/>
      <c r="K700" s="68"/>
      <c r="L700" s="69"/>
      <c r="M700" s="69"/>
      <c r="N700" s="70"/>
      <c r="O700" s="11"/>
      <c r="P700" s="12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x14ac:dyDescent="0.3">
      <c r="A701" s="66"/>
      <c r="B701" s="66"/>
      <c r="C701" s="67"/>
      <c r="D701" s="68"/>
      <c r="E701" s="68"/>
      <c r="F701" s="37">
        <f t="shared" si="131"/>
        <v>0</v>
      </c>
      <c r="G701" s="68"/>
      <c r="H701" s="68"/>
      <c r="I701" s="68"/>
      <c r="J701" s="68"/>
      <c r="K701" s="68"/>
      <c r="L701" s="69"/>
      <c r="M701" s="69"/>
      <c r="N701" s="70"/>
      <c r="O701" s="11"/>
      <c r="P701" s="12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x14ac:dyDescent="0.3">
      <c r="A702" s="66"/>
      <c r="B702" s="66"/>
      <c r="C702" s="67"/>
      <c r="D702" s="68"/>
      <c r="E702" s="68"/>
      <c r="F702" s="37">
        <f t="shared" si="131"/>
        <v>0</v>
      </c>
      <c r="G702" s="68"/>
      <c r="H702" s="68"/>
      <c r="I702" s="68"/>
      <c r="J702" s="68"/>
      <c r="K702" s="68"/>
      <c r="L702" s="69"/>
      <c r="M702" s="69"/>
      <c r="N702" s="70"/>
      <c r="O702" s="11"/>
      <c r="P702" s="12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x14ac:dyDescent="0.3">
      <c r="A703" s="66"/>
      <c r="B703" s="66"/>
      <c r="C703" s="67"/>
      <c r="D703" s="68"/>
      <c r="E703" s="68"/>
      <c r="F703" s="37">
        <f t="shared" si="131"/>
        <v>0</v>
      </c>
      <c r="G703" s="68"/>
      <c r="H703" s="68"/>
      <c r="I703" s="68"/>
      <c r="J703" s="68"/>
      <c r="K703" s="68"/>
      <c r="L703" s="69"/>
      <c r="M703" s="69"/>
      <c r="N703" s="70"/>
      <c r="O703" s="11"/>
      <c r="P703" s="12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x14ac:dyDescent="0.3">
      <c r="A704" s="66"/>
      <c r="B704" s="66"/>
      <c r="C704" s="67"/>
      <c r="D704" s="68"/>
      <c r="E704" s="68"/>
      <c r="F704" s="37">
        <f t="shared" si="131"/>
        <v>0</v>
      </c>
      <c r="G704" s="68"/>
      <c r="H704" s="68"/>
      <c r="I704" s="68"/>
      <c r="J704" s="68"/>
      <c r="K704" s="68"/>
      <c r="L704" s="69"/>
      <c r="M704" s="69"/>
      <c r="N704" s="70"/>
      <c r="O704" s="11"/>
      <c r="P704" s="12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</sheetData>
  <sheetProtection selectLockedCells="1" selectUnlockedCells="1"/>
  <mergeCells count="10">
    <mergeCell ref="D5:G5"/>
    <mergeCell ref="H5:K5"/>
    <mergeCell ref="L5:M5"/>
    <mergeCell ref="A1:C1"/>
    <mergeCell ref="A2:C2"/>
    <mergeCell ref="A3:C3"/>
    <mergeCell ref="A4:C4"/>
    <mergeCell ref="A5:A6"/>
    <mergeCell ref="B5:B6"/>
    <mergeCell ref="C5:C6"/>
  </mergeCells>
  <conditionalFormatting sqref="K2 G8:K32 N8:N32 A8:E607 F8:F704 G33:N607">
    <cfRule type="expression" dxfId="0" priority="1" stopIfTrue="1">
      <formula>IF($D2+$H2=0,1,0)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Титул</vt:lpstr>
      <vt:lpstr>Этапы запуска проекта</vt:lpstr>
      <vt:lpstr>Инвестиции</vt:lpstr>
      <vt:lpstr>Ежемес. расходы</vt:lpstr>
      <vt:lpstr>Продажи</vt:lpstr>
      <vt:lpstr>Прибыль и окупаемость</vt:lpstr>
      <vt:lpstr>Месяц</vt:lpstr>
      <vt:lpstr>Пакеты</vt:lpstr>
      <vt:lpstr>Собственник</vt:lpstr>
      <vt:lpstr>Формат</vt:lpstr>
      <vt:lpstr>Юр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Konkovaolga1806@gmail.com</dc:creator>
  <cp:lastModifiedBy>Татьяна Соколова</cp:lastModifiedBy>
  <cp:lastPrinted>2016-11-02T09:16:40Z</cp:lastPrinted>
  <dcterms:created xsi:type="dcterms:W3CDTF">2015-06-28T20:32:06Z</dcterms:created>
  <dcterms:modified xsi:type="dcterms:W3CDTF">2025-05-12T16:03:31Z</dcterms:modified>
</cp:coreProperties>
</file>