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32" yWindow="0" windowWidth="22716" windowHeight="9012" tabRatio="925" activeTab="2"/>
  </bookViews>
  <sheets>
    <sheet name="Прогноз выручки" sheetId="27" r:id="rId1"/>
    <sheet name="План" sheetId="5" r:id="rId2"/>
    <sheet name="Осн. Показ" sheetId="23" r:id="rId3"/>
    <sheet name="Штат" sheetId="4" r:id="rId4"/>
    <sheet name="Пост.Расх" sheetId="18" r:id="rId5"/>
    <sheet name="CAPEX" sheetId="15" r:id="rId6"/>
    <sheet name="Осн.Показ" sheetId="3" r:id="rId7"/>
    <sheet name="VR курсы" sheetId="14" r:id="rId8"/>
    <sheet name="Пр.ком.расх" sheetId="22" r:id="rId9"/>
    <sheet name="Перем.Расх" sheetId="16" r:id="rId10"/>
    <sheet name="Расх перс" sheetId="17" r:id="rId11"/>
    <sheet name="Запасы" sheetId="19" r:id="rId12"/>
    <sheet name="ДебитЗадолж" sheetId="21" r:id="rId13"/>
    <sheet name="КредЗадолж" sheetId="20" r:id="rId14"/>
    <sheet name="капитал" sheetId="24" r:id="rId15"/>
    <sheet name="TAU Tracker" sheetId="9" r:id="rId16"/>
    <sheet name="TAU Easy" sheetId="8" r:id="rId17"/>
    <sheet name="TAU Haptic" sheetId="12" r:id="rId18"/>
    <sheet name="TAU Suit" sheetId="13" r:id="rId19"/>
    <sheet name="Конкуренты" sheetId="10" r:id="rId20"/>
    <sheet name="CustDev" sheetId="11" r:id="rId21"/>
    <sheet name="Рынок" sheetId="25" r:id="rId22"/>
    <sheet name="Лист1" sheetId="28" r:id="rId23"/>
  </sheets>
  <externalReferences>
    <externalReference r:id="rId24"/>
  </externalReferences>
  <definedNames>
    <definedName name="solver_opt" localSheetId="2">'Осн. Показ'!$B$37</definedName>
  </definedNames>
  <calcPr calcId="145621"/>
  <extLst>
    <ext uri="GoogleSheetsCustomDataVersion1">
      <go:sheetsCustomData xmlns:go="http://customooxmlschemas.google.com/" r:id="rId25" roundtripDataSignature="AMtx7mjg6t1x7QlUvJyZPon42lXGDO37CA=="/>
    </ext>
  </extLst>
</workbook>
</file>

<file path=xl/calcChain.xml><?xml version="1.0" encoding="utf-8"?>
<calcChain xmlns="http://schemas.openxmlformats.org/spreadsheetml/2006/main">
  <c r="B6" i="27" l="1"/>
  <c r="B8" i="27" s="1"/>
  <c r="C6" i="27"/>
  <c r="D6" i="27"/>
  <c r="E6" i="27"/>
  <c r="F6" i="27"/>
  <c r="B7" i="27"/>
  <c r="C7" i="27"/>
  <c r="C8" i="27" s="1"/>
  <c r="D7" i="27"/>
  <c r="D8" i="27" s="1"/>
  <c r="D33" i="27" s="1"/>
  <c r="E7" i="27"/>
  <c r="F7" i="27"/>
  <c r="E8" i="27"/>
  <c r="F8" i="27"/>
  <c r="B9" i="27"/>
  <c r="B11" i="27" s="1"/>
  <c r="C9" i="27"/>
  <c r="C11" i="27" s="1"/>
  <c r="D9" i="27"/>
  <c r="D11" i="27" s="1"/>
  <c r="E9" i="27"/>
  <c r="F9" i="27"/>
  <c r="B10" i="27"/>
  <c r="C10" i="27"/>
  <c r="D10" i="27"/>
  <c r="E10" i="27"/>
  <c r="E11" i="27" s="1"/>
  <c r="F10" i="27"/>
  <c r="F11" i="27"/>
  <c r="B12" i="27"/>
  <c r="B14" i="27" s="1"/>
  <c r="C12" i="27"/>
  <c r="C14" i="27" s="1"/>
  <c r="D12" i="27"/>
  <c r="D14" i="27" s="1"/>
  <c r="E12" i="27"/>
  <c r="E14" i="27" s="1"/>
  <c r="F12" i="27"/>
  <c r="B13" i="27"/>
  <c r="C13" i="27"/>
  <c r="D13" i="27"/>
  <c r="E13" i="27"/>
  <c r="F13" i="27"/>
  <c r="F14" i="27" s="1"/>
  <c r="B15" i="27"/>
  <c r="C15" i="27"/>
  <c r="C17" i="27" s="1"/>
  <c r="D15" i="27"/>
  <c r="D17" i="27" s="1"/>
  <c r="E15" i="27"/>
  <c r="E17" i="27" s="1"/>
  <c r="F15" i="27"/>
  <c r="F17" i="27" s="1"/>
  <c r="B16" i="27"/>
  <c r="C16" i="27"/>
  <c r="D16" i="27"/>
  <c r="E16" i="27"/>
  <c r="F16" i="27"/>
  <c r="B17" i="27"/>
  <c r="B18" i="27"/>
  <c r="C18" i="27"/>
  <c r="D18" i="27"/>
  <c r="D20" i="27" s="1"/>
  <c r="E18" i="27"/>
  <c r="E20" i="27" s="1"/>
  <c r="F18" i="27"/>
  <c r="F20" i="27" s="1"/>
  <c r="B19" i="27"/>
  <c r="C19" i="27"/>
  <c r="D19" i="27"/>
  <c r="E19" i="27"/>
  <c r="F19" i="27"/>
  <c r="B20" i="27"/>
  <c r="C20" i="27"/>
  <c r="B21" i="27"/>
  <c r="C21" i="27"/>
  <c r="D21" i="27"/>
  <c r="E21" i="27"/>
  <c r="E23" i="27" s="1"/>
  <c r="F21" i="27"/>
  <c r="F23" i="27" s="1"/>
  <c r="B22" i="27"/>
  <c r="C22" i="27"/>
  <c r="D22" i="27"/>
  <c r="E22" i="27"/>
  <c r="F22" i="27"/>
  <c r="B23" i="27"/>
  <c r="C23" i="27"/>
  <c r="D23" i="27"/>
  <c r="B24" i="27"/>
  <c r="B26" i="27" s="1"/>
  <c r="C24" i="27"/>
  <c r="D24" i="27"/>
  <c r="E24" i="27"/>
  <c r="F24" i="27"/>
  <c r="F26" i="27" s="1"/>
  <c r="B25" i="27"/>
  <c r="C25" i="27"/>
  <c r="D25" i="27"/>
  <c r="D26" i="27" s="1"/>
  <c r="E25" i="27"/>
  <c r="F25" i="27"/>
  <c r="C26" i="27"/>
  <c r="E26" i="27"/>
  <c r="B27" i="27"/>
  <c r="B29" i="27" s="1"/>
  <c r="C27" i="27"/>
  <c r="C29" i="27" s="1"/>
  <c r="D27" i="27"/>
  <c r="E27" i="27"/>
  <c r="F27" i="27"/>
  <c r="B28" i="27"/>
  <c r="C28" i="27"/>
  <c r="D28" i="27"/>
  <c r="E28" i="27"/>
  <c r="F28" i="27"/>
  <c r="D29" i="27"/>
  <c r="E29" i="27"/>
  <c r="F29" i="27"/>
  <c r="B30" i="27"/>
  <c r="B32" i="27" s="1"/>
  <c r="C30" i="27"/>
  <c r="C32" i="27" s="1"/>
  <c r="D30" i="27"/>
  <c r="D32" i="27" s="1"/>
  <c r="E30" i="27"/>
  <c r="F30" i="27"/>
  <c r="B31" i="27"/>
  <c r="C31" i="27"/>
  <c r="D31" i="27"/>
  <c r="E31" i="27"/>
  <c r="E32" i="27" s="1"/>
  <c r="F31" i="27"/>
  <c r="F32" i="27"/>
  <c r="N62" i="5"/>
  <c r="O62" i="5" s="1"/>
  <c r="P62" i="5" s="1"/>
  <c r="Q62" i="5" s="1"/>
  <c r="R62" i="5" s="1"/>
  <c r="S62" i="5" s="1"/>
  <c r="T62" i="5" s="1"/>
  <c r="U62" i="5" s="1"/>
  <c r="V62" i="5" s="1"/>
  <c r="M62" i="5"/>
  <c r="M59" i="5"/>
  <c r="N59" i="5" s="1"/>
  <c r="O59" i="5" s="1"/>
  <c r="P59" i="5" s="1"/>
  <c r="Q59" i="5" s="1"/>
  <c r="R59" i="5" s="1"/>
  <c r="S59" i="5" s="1"/>
  <c r="T59" i="5" s="1"/>
  <c r="U59" i="5" s="1"/>
  <c r="V59" i="5" s="1"/>
  <c r="L59" i="5"/>
  <c r="F33" i="27" l="1"/>
  <c r="E33" i="27"/>
  <c r="C33" i="27"/>
  <c r="B33" i="27"/>
  <c r="C6" i="24"/>
  <c r="B6" i="24"/>
  <c r="B19" i="16"/>
  <c r="D17" i="16"/>
  <c r="E17" i="16"/>
  <c r="F17" i="16"/>
  <c r="C17" i="16"/>
  <c r="D15" i="16"/>
  <c r="E15" i="16"/>
  <c r="F15" i="16"/>
  <c r="C15" i="16"/>
  <c r="V191" i="5" l="1"/>
  <c r="R191" i="5"/>
  <c r="N191" i="5"/>
  <c r="J191" i="5"/>
  <c r="F191" i="5"/>
  <c r="T176" i="5"/>
  <c r="P176" i="5"/>
  <c r="L176" i="5"/>
  <c r="H176" i="5"/>
  <c r="D176" i="5"/>
  <c r="C190" i="5"/>
  <c r="B8" i="22" s="1"/>
  <c r="F8" i="22" l="1"/>
  <c r="E8" i="22"/>
  <c r="L192" i="5"/>
  <c r="J194" i="5"/>
  <c r="H193" i="5"/>
  <c r="F181" i="5"/>
  <c r="E181" i="5"/>
  <c r="D181" i="5"/>
  <c r="C181" i="5"/>
  <c r="B181" i="5"/>
  <c r="J178" i="5"/>
  <c r="I178" i="5"/>
  <c r="H178" i="5"/>
  <c r="C178" i="5"/>
  <c r="D178" i="5"/>
  <c r="E178" i="5"/>
  <c r="F178" i="5"/>
  <c r="G178" i="5"/>
  <c r="K178" i="5"/>
  <c r="L178" i="5"/>
  <c r="M178" i="5"/>
  <c r="N178" i="5"/>
  <c r="O178" i="5"/>
  <c r="P178" i="5"/>
  <c r="Q178" i="5"/>
  <c r="R178" i="5"/>
  <c r="S178" i="5"/>
  <c r="T178" i="5"/>
  <c r="U178" i="5"/>
  <c r="V178" i="5"/>
  <c r="B178" i="5"/>
  <c r="I174" i="5"/>
  <c r="H174" i="5"/>
  <c r="G174" i="5"/>
  <c r="F174" i="5"/>
  <c r="K149" i="5"/>
  <c r="R149" i="5"/>
  <c r="S149" i="5"/>
  <c r="T149" i="5"/>
  <c r="U149" i="5"/>
  <c r="J149" i="5"/>
  <c r="K137" i="5"/>
  <c r="B11" i="15"/>
  <c r="A11" i="15"/>
  <c r="T189" i="5"/>
  <c r="P189" i="5"/>
  <c r="R189" i="5"/>
  <c r="N189" i="5"/>
  <c r="J189" i="5"/>
  <c r="D11" i="15" s="1"/>
  <c r="G189" i="5"/>
  <c r="F11" i="15" s="1"/>
  <c r="G181" i="5"/>
  <c r="H181" i="5"/>
  <c r="I181" i="5"/>
  <c r="I173" i="5"/>
  <c r="H173" i="5"/>
  <c r="G173" i="5"/>
  <c r="S176" i="5"/>
  <c r="U176" i="5"/>
  <c r="V176" i="5"/>
  <c r="R176" i="5"/>
  <c r="C50" i="5"/>
  <c r="D50" i="5"/>
  <c r="E50" i="5"/>
  <c r="F50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T50" i="5"/>
  <c r="U50" i="5"/>
  <c r="V50" i="5"/>
  <c r="V149" i="5"/>
  <c r="R143" i="5"/>
  <c r="S143" i="5"/>
  <c r="T143" i="5"/>
  <c r="U143" i="5"/>
  <c r="V143" i="5"/>
  <c r="R137" i="5"/>
  <c r="S137" i="5"/>
  <c r="T137" i="5"/>
  <c r="U137" i="5"/>
  <c r="V137" i="5"/>
  <c r="D8" i="22" l="1"/>
  <c r="C8" i="22"/>
  <c r="E11" i="15"/>
  <c r="C11" i="15"/>
  <c r="G182" i="5"/>
  <c r="L109" i="5"/>
  <c r="M109" i="5"/>
  <c r="N109" i="5"/>
  <c r="O109" i="5"/>
  <c r="P109" i="5"/>
  <c r="Q109" i="5"/>
  <c r="R109" i="5"/>
  <c r="S109" i="5"/>
  <c r="T109" i="5"/>
  <c r="U109" i="5"/>
  <c r="V109" i="5"/>
  <c r="J42" i="5"/>
  <c r="K42" i="5" s="1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G8" i="22" l="1"/>
  <c r="G11" i="15"/>
  <c r="B9" i="24"/>
  <c r="L62" i="5" l="1"/>
  <c r="L65" i="5"/>
  <c r="M65" i="5" s="1"/>
  <c r="N65" i="5" s="1"/>
  <c r="O65" i="5" s="1"/>
  <c r="P65" i="5" s="1"/>
  <c r="Q65" i="5" s="1"/>
  <c r="R65" i="5" s="1"/>
  <c r="S65" i="5" s="1"/>
  <c r="T65" i="5" s="1"/>
  <c r="U65" i="5" s="1"/>
  <c r="V65" i="5" s="1"/>
  <c r="H55" i="5"/>
  <c r="I55" i="5" s="1"/>
  <c r="J55" i="5" s="1"/>
  <c r="K55" i="5" s="1"/>
  <c r="L55" i="5" s="1"/>
  <c r="M55" i="5" s="1"/>
  <c r="N55" i="5" s="1"/>
  <c r="O55" i="5" s="1"/>
  <c r="P55" i="5" s="1"/>
  <c r="Q55" i="5" s="1"/>
  <c r="R55" i="5" s="1"/>
  <c r="S55" i="5" s="1"/>
  <c r="T55" i="5" s="1"/>
  <c r="U55" i="5" s="1"/>
  <c r="V55" i="5" s="1"/>
  <c r="H52" i="5"/>
  <c r="K59" i="5"/>
  <c r="L39" i="5"/>
  <c r="M39" i="5" s="1"/>
  <c r="N39" i="5" s="1"/>
  <c r="O39" i="5" s="1"/>
  <c r="P39" i="5" s="1"/>
  <c r="Q39" i="5" s="1"/>
  <c r="R39" i="5" s="1"/>
  <c r="S39" i="5" s="1"/>
  <c r="T39" i="5" s="1"/>
  <c r="U39" i="5" s="1"/>
  <c r="V39" i="5" s="1"/>
  <c r="I52" i="5" l="1"/>
  <c r="H182" i="5"/>
  <c r="B18" i="5"/>
  <c r="B6" i="22"/>
  <c r="J52" i="5" l="1"/>
  <c r="I182" i="5"/>
  <c r="C57" i="5"/>
  <c r="D57" i="5"/>
  <c r="E57" i="5"/>
  <c r="F57" i="5"/>
  <c r="G57" i="5"/>
  <c r="H57" i="5"/>
  <c r="I57" i="5"/>
  <c r="J57" i="5"/>
  <c r="K57" i="5"/>
  <c r="N57" i="5"/>
  <c r="O57" i="5"/>
  <c r="P57" i="5"/>
  <c r="Q57" i="5"/>
  <c r="R57" i="5"/>
  <c r="V57" i="5"/>
  <c r="B57" i="5"/>
  <c r="B17" i="16"/>
  <c r="T5" i="14"/>
  <c r="T3" i="14"/>
  <c r="R5" i="14"/>
  <c r="R3" i="14"/>
  <c r="K8" i="14"/>
  <c r="K6" i="14"/>
  <c r="K5" i="14"/>
  <c r="K4" i="14"/>
  <c r="D42" i="14"/>
  <c r="D41" i="14"/>
  <c r="K3" i="14" s="1"/>
  <c r="C42" i="14"/>
  <c r="C41" i="14"/>
  <c r="C14" i="5"/>
  <c r="D14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B14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B10" i="5"/>
  <c r="B3" i="13"/>
  <c r="B3" i="12"/>
  <c r="B3" i="9"/>
  <c r="B3" i="8"/>
  <c r="B15" i="16" s="1"/>
  <c r="C28" i="14"/>
  <c r="B14" i="14"/>
  <c r="B11" i="14"/>
  <c r="B8" i="14"/>
  <c r="C11" i="16" s="1"/>
  <c r="B16" i="14"/>
  <c r="F12" i="16"/>
  <c r="B12" i="16"/>
  <c r="F11" i="16"/>
  <c r="E11" i="16"/>
  <c r="C9" i="16"/>
  <c r="B3" i="14"/>
  <c r="B6" i="14"/>
  <c r="D11" i="16"/>
  <c r="F7" i="16"/>
  <c r="F8" i="16" s="1"/>
  <c r="F25" i="16" s="1"/>
  <c r="E7" i="16"/>
  <c r="E8" i="16" s="1"/>
  <c r="E25" i="16" s="1"/>
  <c r="D7" i="16"/>
  <c r="D8" i="16" s="1"/>
  <c r="D25" i="16" s="1"/>
  <c r="F6" i="16"/>
  <c r="E6" i="16"/>
  <c r="D6" i="16"/>
  <c r="C6" i="16"/>
  <c r="B6" i="16"/>
  <c r="F5" i="16"/>
  <c r="E5" i="16"/>
  <c r="D5" i="16"/>
  <c r="C5" i="16"/>
  <c r="B5" i="16"/>
  <c r="F3" i="16"/>
  <c r="E3" i="16"/>
  <c r="D3" i="16"/>
  <c r="C3" i="16"/>
  <c r="V181" i="5" l="1"/>
  <c r="V173" i="5"/>
  <c r="V174" i="5"/>
  <c r="R173" i="5"/>
  <c r="R174" i="5"/>
  <c r="R181" i="5"/>
  <c r="Q173" i="5"/>
  <c r="Q181" i="5"/>
  <c r="K174" i="5"/>
  <c r="K173" i="5"/>
  <c r="K181" i="5"/>
  <c r="O173" i="5"/>
  <c r="O181" i="5"/>
  <c r="J174" i="5"/>
  <c r="J181" i="5"/>
  <c r="J173" i="5"/>
  <c r="P181" i="5"/>
  <c r="P173" i="5"/>
  <c r="N173" i="5"/>
  <c r="N181" i="5"/>
  <c r="K52" i="5"/>
  <c r="J182" i="5"/>
  <c r="F23" i="16"/>
  <c r="C20" i="16"/>
  <c r="C13" i="16"/>
  <c r="C24" i="16" s="1"/>
  <c r="C22" i="16"/>
  <c r="D13" i="16"/>
  <c r="D24" i="16" s="1"/>
  <c r="D22" i="16"/>
  <c r="E13" i="16"/>
  <c r="E24" i="16" s="1"/>
  <c r="E22" i="16"/>
  <c r="B13" i="16"/>
  <c r="B24" i="16" s="1"/>
  <c r="F13" i="16"/>
  <c r="F24" i="16" s="1"/>
  <c r="F22" i="16"/>
  <c r="B23" i="16"/>
  <c r="B10" i="16"/>
  <c r="E10" i="16"/>
  <c r="D10" i="16"/>
  <c r="B9" i="16"/>
  <c r="C10" i="16"/>
  <c r="C12" i="16"/>
  <c r="C23" i="16" s="1"/>
  <c r="F9" i="16"/>
  <c r="F20" i="16" s="1"/>
  <c r="F10" i="16"/>
  <c r="D12" i="16"/>
  <c r="D23" i="16" s="1"/>
  <c r="E9" i="16"/>
  <c r="E20" i="16" s="1"/>
  <c r="B11" i="16"/>
  <c r="B22" i="16" s="1"/>
  <c r="E12" i="16"/>
  <c r="E23" i="16" s="1"/>
  <c r="D9" i="16"/>
  <c r="D20" i="16" s="1"/>
  <c r="G6" i="16"/>
  <c r="G5" i="16"/>
  <c r="U187" i="5"/>
  <c r="S187" i="5"/>
  <c r="Q187" i="5"/>
  <c r="O187" i="5"/>
  <c r="M187" i="5"/>
  <c r="K187" i="5"/>
  <c r="I187" i="5"/>
  <c r="G187" i="5"/>
  <c r="E187" i="5"/>
  <c r="C187" i="5"/>
  <c r="L52" i="5" l="1"/>
  <c r="K182" i="5"/>
  <c r="D10" i="15"/>
  <c r="B10" i="15"/>
  <c r="F10" i="15"/>
  <c r="C10" i="15"/>
  <c r="E10" i="15"/>
  <c r="F8" i="15"/>
  <c r="E8" i="15"/>
  <c r="D8" i="15"/>
  <c r="B8" i="15"/>
  <c r="G179" i="5"/>
  <c r="C8" i="15" s="1"/>
  <c r="A92" i="5"/>
  <c r="L115" i="5"/>
  <c r="M115" i="5"/>
  <c r="N115" i="5"/>
  <c r="O115" i="5"/>
  <c r="P115" i="5"/>
  <c r="Q115" i="5"/>
  <c r="R115" i="5"/>
  <c r="S115" i="5"/>
  <c r="T115" i="5"/>
  <c r="U115" i="5"/>
  <c r="V115" i="5"/>
  <c r="B115" i="5"/>
  <c r="A114" i="5"/>
  <c r="J113" i="5"/>
  <c r="L112" i="5"/>
  <c r="L113" i="5" s="1"/>
  <c r="M112" i="5"/>
  <c r="M113" i="5" s="1"/>
  <c r="N112" i="5"/>
  <c r="N113" i="5" s="1"/>
  <c r="O112" i="5"/>
  <c r="O113" i="5" s="1"/>
  <c r="P112" i="5"/>
  <c r="P113" i="5" s="1"/>
  <c r="Q112" i="5"/>
  <c r="Q113" i="5" s="1"/>
  <c r="R112" i="5"/>
  <c r="R113" i="5" s="1"/>
  <c r="S112" i="5"/>
  <c r="S113" i="5" s="1"/>
  <c r="T112" i="5"/>
  <c r="T113" i="5" s="1"/>
  <c r="U112" i="5"/>
  <c r="U113" i="5" s="1"/>
  <c r="V112" i="5"/>
  <c r="V113" i="5" s="1"/>
  <c r="D112" i="5"/>
  <c r="D113" i="5" s="1"/>
  <c r="E112" i="5"/>
  <c r="E113" i="5" s="1"/>
  <c r="F112" i="5"/>
  <c r="F113" i="5" s="1"/>
  <c r="B112" i="5"/>
  <c r="B113" i="5" s="1"/>
  <c r="G113" i="5"/>
  <c r="H113" i="5"/>
  <c r="I113" i="5"/>
  <c r="K113" i="5"/>
  <c r="C73" i="5"/>
  <c r="D73" i="5"/>
  <c r="E73" i="5"/>
  <c r="B73" i="5"/>
  <c r="M52" i="5" l="1"/>
  <c r="L182" i="5"/>
  <c r="G8" i="15"/>
  <c r="G10" i="15"/>
  <c r="A111" i="5"/>
  <c r="D109" i="5"/>
  <c r="E109" i="5"/>
  <c r="F109" i="5"/>
  <c r="H109" i="5"/>
  <c r="I109" i="5"/>
  <c r="J109" i="5"/>
  <c r="K109" i="5"/>
  <c r="B109" i="5"/>
  <c r="A108" i="5"/>
  <c r="N52" i="5" l="1"/>
  <c r="M182" i="5"/>
  <c r="H168" i="5"/>
  <c r="F168" i="5"/>
  <c r="C168" i="5"/>
  <c r="E168" i="5"/>
  <c r="D168" i="5"/>
  <c r="G168" i="5"/>
  <c r="G3" i="13"/>
  <c r="F3" i="12"/>
  <c r="F3" i="8"/>
  <c r="J40" i="5" s="1"/>
  <c r="G3" i="9"/>
  <c r="F30" i="5" s="1"/>
  <c r="B50" i="5"/>
  <c r="J60" i="5"/>
  <c r="N45" i="5"/>
  <c r="F39" i="5"/>
  <c r="F182" i="5" s="1"/>
  <c r="F177" i="5"/>
  <c r="F11" i="5"/>
  <c r="E7" i="5"/>
  <c r="D7" i="5"/>
  <c r="C7" i="5"/>
  <c r="B7" i="5"/>
  <c r="B177" i="5" s="1"/>
  <c r="W21" i="5"/>
  <c r="I5" i="14"/>
  <c r="G5" i="14"/>
  <c r="C19" i="14"/>
  <c r="D19" i="14" s="1"/>
  <c r="D20" i="14"/>
  <c r="D21" i="14"/>
  <c r="D22" i="14"/>
  <c r="D23" i="14"/>
  <c r="C24" i="14"/>
  <c r="D24" i="14" s="1"/>
  <c r="C35" i="14"/>
  <c r="D35" i="14" s="1"/>
  <c r="C33" i="14"/>
  <c r="D33" i="14" s="1"/>
  <c r="C32" i="14"/>
  <c r="D32" i="14" s="1"/>
  <c r="D39" i="14"/>
  <c r="D38" i="14"/>
  <c r="D37" i="14"/>
  <c r="D36" i="14"/>
  <c r="D34" i="14"/>
  <c r="O52" i="5" l="1"/>
  <c r="N182" i="5"/>
  <c r="G12" i="27"/>
  <c r="S57" i="5"/>
  <c r="G15" i="27"/>
  <c r="B4" i="16"/>
  <c r="B21" i="16" s="1"/>
  <c r="B4" i="22"/>
  <c r="C40" i="5"/>
  <c r="O60" i="5"/>
  <c r="S40" i="5"/>
  <c r="M30" i="5"/>
  <c r="B60" i="5"/>
  <c r="L30" i="5"/>
  <c r="B40" i="5"/>
  <c r="S60" i="5"/>
  <c r="U30" i="5"/>
  <c r="J30" i="5"/>
  <c r="O40" i="5"/>
  <c r="K60" i="5"/>
  <c r="T30" i="5"/>
  <c r="I30" i="5"/>
  <c r="K40" i="5"/>
  <c r="G60" i="5"/>
  <c r="K30" i="5"/>
  <c r="S30" i="5"/>
  <c r="E30" i="5"/>
  <c r="G40" i="5"/>
  <c r="C60" i="5"/>
  <c r="R30" i="5"/>
  <c r="D30" i="5"/>
  <c r="Q30" i="5"/>
  <c r="C30" i="5"/>
  <c r="Q40" i="5"/>
  <c r="I40" i="5"/>
  <c r="Q60" i="5"/>
  <c r="I60" i="5"/>
  <c r="P40" i="5"/>
  <c r="H40" i="5"/>
  <c r="P60" i="5"/>
  <c r="H60" i="5"/>
  <c r="P30" i="5"/>
  <c r="H30" i="5"/>
  <c r="V40" i="5"/>
  <c r="N40" i="5"/>
  <c r="F40" i="5"/>
  <c r="V60" i="5"/>
  <c r="N60" i="5"/>
  <c r="F60" i="5"/>
  <c r="B30" i="5"/>
  <c r="O30" i="5"/>
  <c r="G30" i="5"/>
  <c r="U40" i="5"/>
  <c r="M40" i="5"/>
  <c r="E40" i="5"/>
  <c r="U60" i="5"/>
  <c r="M60" i="5"/>
  <c r="E60" i="5"/>
  <c r="V30" i="5"/>
  <c r="N30" i="5"/>
  <c r="T40" i="5"/>
  <c r="L40" i="5"/>
  <c r="D40" i="5"/>
  <c r="T60" i="5"/>
  <c r="L60" i="5"/>
  <c r="D60" i="5"/>
  <c r="R40" i="5"/>
  <c r="R60" i="5"/>
  <c r="R63" i="5" s="1"/>
  <c r="Z21" i="5"/>
  <c r="AA21" i="5" s="1"/>
  <c r="A16" i="14"/>
  <c r="D40" i="14"/>
  <c r="A14" i="14"/>
  <c r="G2" i="10"/>
  <c r="E2" i="10"/>
  <c r="F2" i="10"/>
  <c r="S173" i="5" l="1"/>
  <c r="S174" i="5"/>
  <c r="S181" i="5"/>
  <c r="P52" i="5"/>
  <c r="O182" i="5"/>
  <c r="U57" i="5"/>
  <c r="T57" i="5"/>
  <c r="T173" i="5" l="1"/>
  <c r="T174" i="5"/>
  <c r="T181" i="5"/>
  <c r="U173" i="5"/>
  <c r="U181" i="5"/>
  <c r="U174" i="5"/>
  <c r="Q52" i="5"/>
  <c r="P182" i="5"/>
  <c r="E180" i="5"/>
  <c r="R52" i="5" l="1"/>
  <c r="Q182" i="5"/>
  <c r="C6" i="4"/>
  <c r="B76" i="5" s="1"/>
  <c r="C7" i="4"/>
  <c r="J79" i="5" s="1"/>
  <c r="C8" i="4"/>
  <c r="C9" i="4"/>
  <c r="B84" i="5" s="1"/>
  <c r="B82" i="5" s="1"/>
  <c r="C10" i="4"/>
  <c r="C11" i="4"/>
  <c r="C12" i="4"/>
  <c r="C13" i="4"/>
  <c r="C14" i="4"/>
  <c r="C15" i="4"/>
  <c r="C16" i="4"/>
  <c r="C17" i="4"/>
  <c r="C18" i="4"/>
  <c r="C19" i="4"/>
  <c r="C21" i="4"/>
  <c r="C22" i="4"/>
  <c r="C24" i="4"/>
  <c r="C25" i="4"/>
  <c r="C26" i="4"/>
  <c r="C27" i="4"/>
  <c r="C28" i="4"/>
  <c r="C29" i="4"/>
  <c r="C32" i="4"/>
  <c r="C33" i="4"/>
  <c r="C36" i="4"/>
  <c r="C37" i="4"/>
  <c r="C5" i="4"/>
  <c r="G73" i="5" s="1"/>
  <c r="T123" i="5" l="1"/>
  <c r="U123" i="5"/>
  <c r="F123" i="5"/>
  <c r="V123" i="5"/>
  <c r="S52" i="5"/>
  <c r="R182" i="5"/>
  <c r="E91" i="5"/>
  <c r="E89" i="5" s="1"/>
  <c r="M91" i="5"/>
  <c r="M89" i="5" s="1"/>
  <c r="U91" i="5"/>
  <c r="F91" i="5"/>
  <c r="F89" i="5" s="1"/>
  <c r="N91" i="5"/>
  <c r="N89" i="5" s="1"/>
  <c r="V91" i="5"/>
  <c r="O91" i="5"/>
  <c r="I91" i="5"/>
  <c r="I89" i="5" s="1"/>
  <c r="Q91" i="5"/>
  <c r="H91" i="5"/>
  <c r="H89" i="5" s="1"/>
  <c r="J91" i="5"/>
  <c r="J89" i="5" s="1"/>
  <c r="R91" i="5"/>
  <c r="B91" i="5"/>
  <c r="P91" i="5"/>
  <c r="C91" i="5"/>
  <c r="C89" i="5" s="1"/>
  <c r="K91" i="5"/>
  <c r="K89" i="5" s="1"/>
  <c r="S91" i="5"/>
  <c r="G91" i="5"/>
  <c r="G89" i="5" s="1"/>
  <c r="D91" i="5"/>
  <c r="D89" i="5" s="1"/>
  <c r="L91" i="5"/>
  <c r="L89" i="5" s="1"/>
  <c r="T91" i="5"/>
  <c r="I94" i="5"/>
  <c r="I92" i="5" s="1"/>
  <c r="Q94" i="5"/>
  <c r="Q92" i="5" s="1"/>
  <c r="C94" i="5"/>
  <c r="C92" i="5" s="1"/>
  <c r="T94" i="5"/>
  <c r="T92" i="5" s="1"/>
  <c r="J94" i="5"/>
  <c r="J92" i="5" s="1"/>
  <c r="R94" i="5"/>
  <c r="R92" i="5" s="1"/>
  <c r="L94" i="5"/>
  <c r="L92" i="5" s="1"/>
  <c r="L88" i="5" s="1"/>
  <c r="E94" i="5"/>
  <c r="E92" i="5" s="1"/>
  <c r="M94" i="5"/>
  <c r="M92" i="5" s="1"/>
  <c r="U94" i="5"/>
  <c r="U92" i="5" s="1"/>
  <c r="S94" i="5"/>
  <c r="S92" i="5" s="1"/>
  <c r="D94" i="5"/>
  <c r="D92" i="5" s="1"/>
  <c r="F94" i="5"/>
  <c r="F92" i="5" s="1"/>
  <c r="N94" i="5"/>
  <c r="N92" i="5" s="1"/>
  <c r="V94" i="5"/>
  <c r="V92" i="5" s="1"/>
  <c r="K94" i="5"/>
  <c r="K92" i="5" s="1"/>
  <c r="G94" i="5"/>
  <c r="G92" i="5" s="1"/>
  <c r="O94" i="5"/>
  <c r="O92" i="5" s="1"/>
  <c r="H94" i="5"/>
  <c r="H92" i="5" s="1"/>
  <c r="P94" i="5"/>
  <c r="P92" i="5" s="1"/>
  <c r="B94" i="5"/>
  <c r="B92" i="5" s="1"/>
  <c r="J116" i="5"/>
  <c r="G116" i="5"/>
  <c r="G114" i="5" s="1"/>
  <c r="Q116" i="5"/>
  <c r="K116" i="5"/>
  <c r="H116" i="5"/>
  <c r="U116" i="5"/>
  <c r="U114" i="5" s="1"/>
  <c r="I116" i="5"/>
  <c r="V116" i="5"/>
  <c r="V114" i="5" s="1"/>
  <c r="L116" i="5"/>
  <c r="M116" i="5"/>
  <c r="D116" i="5"/>
  <c r="D114" i="5" s="1"/>
  <c r="N116" i="5"/>
  <c r="E116" i="5"/>
  <c r="E114" i="5" s="1"/>
  <c r="O116" i="5"/>
  <c r="F116" i="5"/>
  <c r="F114" i="5" s="1"/>
  <c r="P116" i="5"/>
  <c r="R116" i="5"/>
  <c r="T116" i="5"/>
  <c r="T114" i="5" s="1"/>
  <c r="S116" i="5"/>
  <c r="T52" i="5" l="1"/>
  <c r="S182" i="5"/>
  <c r="C88" i="5"/>
  <c r="D88" i="5"/>
  <c r="N88" i="5"/>
  <c r="H88" i="5"/>
  <c r="M88" i="5"/>
  <c r="G88" i="5"/>
  <c r="E88" i="5"/>
  <c r="I88" i="5"/>
  <c r="K88" i="5"/>
  <c r="F88" i="5"/>
  <c r="J88" i="5"/>
  <c r="B7" i="16"/>
  <c r="B8" i="16" s="1"/>
  <c r="B25" i="16" s="1"/>
  <c r="D28" i="14"/>
  <c r="U52" i="5" l="1"/>
  <c r="T182" i="5"/>
  <c r="C7" i="15"/>
  <c r="D7" i="15"/>
  <c r="G13" i="16"/>
  <c r="C116" i="5"/>
  <c r="C114" i="5" s="1"/>
  <c r="C112" i="5"/>
  <c r="C113" i="5" s="1"/>
  <c r="C109" i="5"/>
  <c r="O177" i="5"/>
  <c r="V52" i="5" l="1"/>
  <c r="V182" i="5" s="1"/>
  <c r="U182" i="5"/>
  <c r="J177" i="5"/>
  <c r="O49" i="5"/>
  <c r="J11" i="5"/>
  <c r="J49" i="5"/>
  <c r="A11" i="14"/>
  <c r="G3" i="14" s="1"/>
  <c r="P177" i="5"/>
  <c r="E176" i="5"/>
  <c r="F176" i="5"/>
  <c r="G176" i="5"/>
  <c r="I176" i="5"/>
  <c r="J176" i="5"/>
  <c r="K176" i="5"/>
  <c r="M176" i="5"/>
  <c r="N176" i="5"/>
  <c r="O176" i="5"/>
  <c r="Q176" i="5"/>
  <c r="C176" i="5"/>
  <c r="C175" i="5"/>
  <c r="D175" i="5" s="1"/>
  <c r="E175" i="5" s="1"/>
  <c r="F175" i="5" s="1"/>
  <c r="G175" i="5" s="1"/>
  <c r="H175" i="5" s="1"/>
  <c r="I175" i="5" s="1"/>
  <c r="J175" i="5" s="1"/>
  <c r="K175" i="5" s="1"/>
  <c r="L175" i="5" s="1"/>
  <c r="M175" i="5" s="1"/>
  <c r="N175" i="5" s="1"/>
  <c r="O175" i="5" s="1"/>
  <c r="P175" i="5" s="1"/>
  <c r="Q175" i="5" s="1"/>
  <c r="R175" i="5" s="1"/>
  <c r="S175" i="5" s="1"/>
  <c r="T175" i="5" s="1"/>
  <c r="U175" i="5" s="1"/>
  <c r="V175" i="5" s="1"/>
  <c r="B175" i="5"/>
  <c r="C171" i="5"/>
  <c r="D171" i="5"/>
  <c r="E171" i="5"/>
  <c r="F171" i="5"/>
  <c r="G171" i="5"/>
  <c r="H171" i="5"/>
  <c r="I171" i="5"/>
  <c r="J171" i="5"/>
  <c r="K171" i="5"/>
  <c r="L171" i="5"/>
  <c r="M171" i="5"/>
  <c r="N171" i="5"/>
  <c r="O171" i="5"/>
  <c r="P171" i="5"/>
  <c r="Q171" i="5"/>
  <c r="R171" i="5"/>
  <c r="S171" i="5"/>
  <c r="T171" i="5"/>
  <c r="U171" i="5"/>
  <c r="V171" i="5"/>
  <c r="B171" i="5"/>
  <c r="I168" i="5"/>
  <c r="C4" i="22" s="1"/>
  <c r="J168" i="5"/>
  <c r="K168" i="5"/>
  <c r="L168" i="5"/>
  <c r="M168" i="5"/>
  <c r="N168" i="5"/>
  <c r="O168" i="5"/>
  <c r="P168" i="5"/>
  <c r="Q168" i="5"/>
  <c r="R168" i="5"/>
  <c r="S168" i="5"/>
  <c r="T168" i="5"/>
  <c r="U168" i="5"/>
  <c r="V168" i="5"/>
  <c r="H170" i="5"/>
  <c r="J170" i="5"/>
  <c r="M170" i="5"/>
  <c r="N170" i="5"/>
  <c r="P170" i="5"/>
  <c r="Q170" i="5"/>
  <c r="R170" i="5"/>
  <c r="S170" i="5"/>
  <c r="T170" i="5"/>
  <c r="U170" i="5"/>
  <c r="V170" i="5"/>
  <c r="F170" i="5"/>
  <c r="C144" i="5"/>
  <c r="D144" i="5"/>
  <c r="E144" i="5"/>
  <c r="F144" i="5"/>
  <c r="G144" i="5"/>
  <c r="H144" i="5"/>
  <c r="I144" i="5"/>
  <c r="J144" i="5"/>
  <c r="K144" i="5"/>
  <c r="L144" i="5"/>
  <c r="M144" i="5"/>
  <c r="N144" i="5"/>
  <c r="R144" i="5"/>
  <c r="S144" i="5"/>
  <c r="T144" i="5"/>
  <c r="U144" i="5"/>
  <c r="V144" i="5"/>
  <c r="B144" i="5"/>
  <c r="C141" i="5"/>
  <c r="D141" i="5"/>
  <c r="E141" i="5"/>
  <c r="F141" i="5"/>
  <c r="G141" i="5"/>
  <c r="H141" i="5"/>
  <c r="I141" i="5"/>
  <c r="J141" i="5"/>
  <c r="K141" i="5"/>
  <c r="L141" i="5"/>
  <c r="M141" i="5"/>
  <c r="N141" i="5"/>
  <c r="O141" i="5"/>
  <c r="P141" i="5"/>
  <c r="Q141" i="5"/>
  <c r="R141" i="5"/>
  <c r="S141" i="5"/>
  <c r="T141" i="5"/>
  <c r="U141" i="5"/>
  <c r="V141" i="5"/>
  <c r="B141" i="5"/>
  <c r="E6" i="22" l="1"/>
  <c r="F4" i="22"/>
  <c r="E4" i="22"/>
  <c r="F6" i="22"/>
  <c r="F7" i="22"/>
  <c r="D7" i="22"/>
  <c r="E7" i="22"/>
  <c r="C7" i="22"/>
  <c r="C6" i="22"/>
  <c r="D6" i="22"/>
  <c r="B7" i="22"/>
  <c r="D4" i="22"/>
  <c r="B5" i="18"/>
  <c r="F5" i="18"/>
  <c r="E6" i="18"/>
  <c r="C6" i="18"/>
  <c r="D5" i="18"/>
  <c r="F6" i="18"/>
  <c r="D6" i="18"/>
  <c r="E5" i="18"/>
  <c r="C5" i="18"/>
  <c r="B6" i="18"/>
  <c r="H26" i="5"/>
  <c r="P26" i="5"/>
  <c r="I26" i="5"/>
  <c r="Q26" i="5"/>
  <c r="J26" i="5"/>
  <c r="R26" i="5"/>
  <c r="C26" i="5"/>
  <c r="K26" i="5"/>
  <c r="S26" i="5"/>
  <c r="D26" i="5"/>
  <c r="L26" i="5"/>
  <c r="T26" i="5"/>
  <c r="O26" i="5"/>
  <c r="E26" i="5"/>
  <c r="M26" i="5"/>
  <c r="U26" i="5"/>
  <c r="G26" i="5"/>
  <c r="F26" i="5"/>
  <c r="N26" i="5"/>
  <c r="V26" i="5"/>
  <c r="B26" i="5"/>
  <c r="P49" i="5"/>
  <c r="D14" i="14"/>
  <c r="D16" i="14"/>
  <c r="Q177" i="5"/>
  <c r="G6" i="22" l="1"/>
  <c r="G7" i="22"/>
  <c r="Q49" i="5"/>
  <c r="G4" i="14"/>
  <c r="B91" i="23"/>
  <c r="B87" i="23"/>
  <c r="B29" i="23"/>
  <c r="C20" i="23"/>
  <c r="D20" i="23"/>
  <c r="E20" i="23"/>
  <c r="F20" i="23"/>
  <c r="B20" i="23"/>
  <c r="D51" i="25"/>
  <c r="E51" i="25" s="1"/>
  <c r="F51" i="25" s="1"/>
  <c r="C51" i="25"/>
  <c r="D50" i="25"/>
  <c r="E50" i="25" s="1"/>
  <c r="F50" i="25" s="1"/>
  <c r="D49" i="25"/>
  <c r="E49" i="25" s="1"/>
  <c r="F49" i="25" s="1"/>
  <c r="D48" i="25"/>
  <c r="E48" i="25" s="1"/>
  <c r="F48" i="25" s="1"/>
  <c r="D47" i="25"/>
  <c r="E47" i="25" s="1"/>
  <c r="F47" i="25" s="1"/>
  <c r="D46" i="25"/>
  <c r="E46" i="25" s="1"/>
  <c r="F46" i="25" s="1"/>
  <c r="E45" i="25"/>
  <c r="F45" i="25" s="1"/>
  <c r="D45" i="25"/>
  <c r="C45" i="25"/>
  <c r="D44" i="25"/>
  <c r="E44" i="25" s="1"/>
  <c r="F44" i="25" s="1"/>
  <c r="D43" i="25"/>
  <c r="E43" i="25" s="1"/>
  <c r="F43" i="25" s="1"/>
  <c r="C43" i="25"/>
  <c r="D42" i="25"/>
  <c r="E42" i="25" s="1"/>
  <c r="F42" i="25" s="1"/>
  <c r="E41" i="25"/>
  <c r="F41" i="25" s="1"/>
  <c r="D41" i="25"/>
  <c r="F40" i="25"/>
  <c r="E40" i="25"/>
  <c r="D40" i="25"/>
  <c r="D39" i="25"/>
  <c r="E39" i="25" s="1"/>
  <c r="F39" i="25" s="1"/>
  <c r="D38" i="25"/>
  <c r="E38" i="25" s="1"/>
  <c r="F38" i="25" s="1"/>
  <c r="D37" i="25"/>
  <c r="E37" i="25" s="1"/>
  <c r="F37" i="25" s="1"/>
  <c r="D36" i="25"/>
  <c r="E36" i="25" s="1"/>
  <c r="F36" i="25" s="1"/>
  <c r="E35" i="25"/>
  <c r="F35" i="25" s="1"/>
  <c r="D35" i="25"/>
  <c r="C35" i="25"/>
  <c r="D34" i="25"/>
  <c r="E34" i="25" s="1"/>
  <c r="F34" i="25" s="1"/>
  <c r="D33" i="25"/>
  <c r="E33" i="25" s="1"/>
  <c r="F33" i="25" s="1"/>
  <c r="D32" i="25"/>
  <c r="E32" i="25" s="1"/>
  <c r="F32" i="25" s="1"/>
  <c r="D31" i="25"/>
  <c r="E31" i="25" s="1"/>
  <c r="F31" i="25" s="1"/>
  <c r="C31" i="25"/>
  <c r="D30" i="25"/>
  <c r="E30" i="25" s="1"/>
  <c r="F30" i="25" s="1"/>
  <c r="C29" i="25"/>
  <c r="D29" i="25" s="1"/>
  <c r="E29" i="25" s="1"/>
  <c r="F29" i="25" s="1"/>
  <c r="E28" i="25"/>
  <c r="F28" i="25" s="1"/>
  <c r="D28" i="25"/>
  <c r="C27" i="25"/>
  <c r="D27" i="25" s="1"/>
  <c r="E27" i="25" s="1"/>
  <c r="F27" i="25" s="1"/>
  <c r="D26" i="25"/>
  <c r="E26" i="25" s="1"/>
  <c r="F26" i="25" s="1"/>
  <c r="C25" i="25"/>
  <c r="D25" i="25" s="1"/>
  <c r="E25" i="25" s="1"/>
  <c r="F25" i="25" s="1"/>
  <c r="E24" i="25"/>
  <c r="F24" i="25" s="1"/>
  <c r="D24" i="25"/>
  <c r="C23" i="25"/>
  <c r="D23" i="25" s="1"/>
  <c r="E23" i="25" s="1"/>
  <c r="F23" i="25" s="1"/>
  <c r="D22" i="25"/>
  <c r="E22" i="25" s="1"/>
  <c r="F22" i="25" s="1"/>
  <c r="C21" i="25"/>
  <c r="D21" i="25" s="1"/>
  <c r="E21" i="25" s="1"/>
  <c r="F21" i="25" s="1"/>
  <c r="D20" i="25"/>
  <c r="E20" i="25" s="1"/>
  <c r="F20" i="25" s="1"/>
  <c r="D19" i="25"/>
  <c r="E19" i="25" s="1"/>
  <c r="F19" i="25" s="1"/>
  <c r="C19" i="25"/>
  <c r="D18" i="25"/>
  <c r="E18" i="25" s="1"/>
  <c r="F18" i="25" s="1"/>
  <c r="C17" i="25"/>
  <c r="D17" i="25" s="1"/>
  <c r="E17" i="25" s="1"/>
  <c r="F17" i="25" s="1"/>
  <c r="D16" i="25"/>
  <c r="E16" i="25" s="1"/>
  <c r="F16" i="25" s="1"/>
  <c r="D15" i="25"/>
  <c r="E15" i="25" s="1"/>
  <c r="F15" i="25" s="1"/>
  <c r="C15" i="25"/>
  <c r="D14" i="25"/>
  <c r="E14" i="25" s="1"/>
  <c r="F14" i="25" s="1"/>
  <c r="C13" i="25"/>
  <c r="D13" i="25" s="1"/>
  <c r="E13" i="25" s="1"/>
  <c r="F13" i="25" s="1"/>
  <c r="C12" i="25"/>
  <c r="D12" i="25" s="1"/>
  <c r="E12" i="25" s="1"/>
  <c r="F12" i="25" s="1"/>
  <c r="D11" i="25"/>
  <c r="E11" i="25" s="1"/>
  <c r="F11" i="25" s="1"/>
  <c r="D10" i="25"/>
  <c r="E10" i="25" s="1"/>
  <c r="F10" i="25" s="1"/>
  <c r="C9" i="25"/>
  <c r="D9" i="25" s="1"/>
  <c r="E9" i="25" s="1"/>
  <c r="F9" i="25" s="1"/>
  <c r="E8" i="25"/>
  <c r="F8" i="25" s="1"/>
  <c r="D8" i="25"/>
  <c r="C7" i="25"/>
  <c r="D7" i="25" s="1"/>
  <c r="E7" i="25" s="1"/>
  <c r="F7" i="25" s="1"/>
  <c r="D6" i="25"/>
  <c r="E6" i="25" s="1"/>
  <c r="F6" i="25" s="1"/>
  <c r="C5" i="25"/>
  <c r="D5" i="25" s="1"/>
  <c r="E5" i="25" s="1"/>
  <c r="F5" i="25" s="1"/>
  <c r="D4" i="25"/>
  <c r="E4" i="25" s="1"/>
  <c r="F4" i="25" s="1"/>
  <c r="C2" i="25"/>
  <c r="C3" i="25" s="1"/>
  <c r="D3" i="25" s="1"/>
  <c r="E3" i="25" s="1"/>
  <c r="F3" i="25" s="1"/>
  <c r="R177" i="5" l="1"/>
  <c r="R49" i="5"/>
  <c r="D2" i="25"/>
  <c r="E2" i="25" s="1"/>
  <c r="F2" i="25" s="1"/>
  <c r="C91" i="23" l="1"/>
  <c r="C87" i="23"/>
  <c r="D87" i="23" s="1"/>
  <c r="E87" i="23" s="1"/>
  <c r="F87" i="23" s="1"/>
  <c r="C64" i="23"/>
  <c r="D64" i="23"/>
  <c r="E64" i="23"/>
  <c r="F64" i="23"/>
  <c r="B64" i="23"/>
  <c r="B58" i="23"/>
  <c r="C21" i="23"/>
  <c r="D21" i="23"/>
  <c r="E21" i="23"/>
  <c r="F21" i="23"/>
  <c r="C19" i="23"/>
  <c r="D19" i="23"/>
  <c r="E19" i="23"/>
  <c r="F19" i="23"/>
  <c r="B21" i="23"/>
  <c r="B19" i="23"/>
  <c r="G197" i="5"/>
  <c r="C10" i="24"/>
  <c r="D10" i="24" s="1"/>
  <c r="E10" i="24" s="1"/>
  <c r="F10" i="24" s="1"/>
  <c r="A64" i="23"/>
  <c r="A58" i="23"/>
  <c r="A57" i="23"/>
  <c r="A55" i="23"/>
  <c r="A54" i="23"/>
  <c r="A53" i="23"/>
  <c r="A52" i="23"/>
  <c r="A50" i="23"/>
  <c r="A49" i="23"/>
  <c r="A43" i="23"/>
  <c r="A29" i="23"/>
  <c r="C22" i="23"/>
  <c r="A16" i="23"/>
  <c r="A13" i="23"/>
  <c r="A12" i="23"/>
  <c r="A11" i="23"/>
  <c r="A10" i="23"/>
  <c r="A9" i="23"/>
  <c r="A8" i="23"/>
  <c r="A7" i="23"/>
  <c r="A6" i="23"/>
  <c r="A5" i="23"/>
  <c r="A4" i="23"/>
  <c r="G4" i="22"/>
  <c r="A7" i="22"/>
  <c r="A6" i="22"/>
  <c r="A5" i="22"/>
  <c r="A4" i="22"/>
  <c r="C58" i="23" l="1"/>
  <c r="F58" i="23"/>
  <c r="E58" i="23"/>
  <c r="D58" i="23"/>
  <c r="B22" i="23"/>
  <c r="E22" i="23"/>
  <c r="F22" i="23"/>
  <c r="W176" i="5"/>
  <c r="D91" i="23"/>
  <c r="B10" i="23"/>
  <c r="D22" i="23"/>
  <c r="C10" i="23"/>
  <c r="G6" i="18" l="1"/>
  <c r="E91" i="23"/>
  <c r="F91" i="23" l="1"/>
  <c r="G5" i="18" l="1"/>
  <c r="W175" i="5"/>
  <c r="C198" i="5"/>
  <c r="C197" i="5" s="1"/>
  <c r="A164" i="5" l="1"/>
  <c r="A161" i="5"/>
  <c r="A158" i="5"/>
  <c r="A155" i="5"/>
  <c r="A152" i="5"/>
  <c r="A148" i="5"/>
  <c r="A145" i="5"/>
  <c r="A142" i="5"/>
  <c r="A139" i="5"/>
  <c r="A136" i="5"/>
  <c r="A133" i="5"/>
  <c r="A121" i="5"/>
  <c r="A118" i="5"/>
  <c r="A102" i="5"/>
  <c r="A99" i="5"/>
  <c r="A85" i="5"/>
  <c r="A82" i="5"/>
  <c r="A74" i="5"/>
  <c r="A71" i="5"/>
  <c r="A96" i="5"/>
  <c r="G98" i="5" l="1"/>
  <c r="G96" i="5" s="1"/>
  <c r="O98" i="5"/>
  <c r="O96" i="5" s="1"/>
  <c r="H98" i="5"/>
  <c r="H96" i="5" s="1"/>
  <c r="P98" i="5"/>
  <c r="P96" i="5" s="1"/>
  <c r="B98" i="5"/>
  <c r="B96" i="5" s="1"/>
  <c r="K98" i="5"/>
  <c r="K96" i="5" s="1"/>
  <c r="Q98" i="5"/>
  <c r="Q96" i="5" s="1"/>
  <c r="J98" i="5"/>
  <c r="J96" i="5" s="1"/>
  <c r="R98" i="5"/>
  <c r="R96" i="5" s="1"/>
  <c r="C98" i="5"/>
  <c r="C96" i="5" s="1"/>
  <c r="D98" i="5"/>
  <c r="D96" i="5" s="1"/>
  <c r="L98" i="5"/>
  <c r="L96" i="5" s="1"/>
  <c r="T98" i="5"/>
  <c r="T96" i="5" s="1"/>
  <c r="S98" i="5"/>
  <c r="S96" i="5" s="1"/>
  <c r="E98" i="5"/>
  <c r="E96" i="5" s="1"/>
  <c r="M98" i="5"/>
  <c r="M96" i="5" s="1"/>
  <c r="U98" i="5"/>
  <c r="U96" i="5" s="1"/>
  <c r="F98" i="5"/>
  <c r="F96" i="5" s="1"/>
  <c r="N98" i="5"/>
  <c r="N96" i="5" s="1"/>
  <c r="V98" i="5"/>
  <c r="V96" i="5" s="1"/>
  <c r="I98" i="5"/>
  <c r="I96" i="5" s="1"/>
  <c r="A89" i="5" l="1"/>
  <c r="D26" i="14"/>
  <c r="D25" i="14"/>
  <c r="D27" i="14" s="1"/>
  <c r="A6" i="14"/>
  <c r="A3" i="13"/>
  <c r="D34" i="13"/>
  <c r="C35" i="13"/>
  <c r="D35" i="13" s="1"/>
  <c r="C37" i="13"/>
  <c r="D37" i="13" s="1"/>
  <c r="D36" i="13"/>
  <c r="D33" i="13"/>
  <c r="C33" i="13"/>
  <c r="D32" i="13"/>
  <c r="C31" i="13"/>
  <c r="D31" i="13" s="1"/>
  <c r="D30" i="13"/>
  <c r="D29" i="13"/>
  <c r="D28" i="13"/>
  <c r="C28" i="13"/>
  <c r="D27" i="13"/>
  <c r="D26" i="13"/>
  <c r="D25" i="13"/>
  <c r="C24" i="13"/>
  <c r="D24" i="13" s="1"/>
  <c r="C23" i="13"/>
  <c r="D23" i="13" s="1"/>
  <c r="D22" i="13"/>
  <c r="D21" i="13"/>
  <c r="D20" i="13"/>
  <c r="C19" i="13"/>
  <c r="D19" i="13" s="1"/>
  <c r="A16" i="13"/>
  <c r="A8" i="13"/>
  <c r="A3" i="12"/>
  <c r="D36" i="12"/>
  <c r="D32" i="12"/>
  <c r="D33" i="12"/>
  <c r="D35" i="12"/>
  <c r="C35" i="12"/>
  <c r="D34" i="12"/>
  <c r="C31" i="12"/>
  <c r="D31" i="12" s="1"/>
  <c r="D30" i="12"/>
  <c r="A16" i="12" s="1"/>
  <c r="C29" i="12"/>
  <c r="D29" i="12" s="1"/>
  <c r="D28" i="12"/>
  <c r="D27" i="12"/>
  <c r="D26" i="12"/>
  <c r="D25" i="12"/>
  <c r="C24" i="12"/>
  <c r="D24" i="12" s="1"/>
  <c r="C23" i="12"/>
  <c r="D23" i="12" s="1"/>
  <c r="D22" i="12"/>
  <c r="D21" i="12"/>
  <c r="D20" i="12"/>
  <c r="C19" i="12"/>
  <c r="D19" i="12" s="1"/>
  <c r="A12" i="12"/>
  <c r="A8" i="12"/>
  <c r="A6" i="12"/>
  <c r="A3" i="8"/>
  <c r="E28" i="5" l="1"/>
  <c r="A8" i="14"/>
  <c r="R89" i="5"/>
  <c r="R88" i="5" s="1"/>
  <c r="S89" i="5"/>
  <c r="S88" i="5" s="1"/>
  <c r="U89" i="5"/>
  <c r="U88" i="5" s="1"/>
  <c r="V89" i="5"/>
  <c r="V88" i="5" s="1"/>
  <c r="O89" i="5"/>
  <c r="O88" i="5" s="1"/>
  <c r="P89" i="5"/>
  <c r="P88" i="5" s="1"/>
  <c r="Q89" i="5"/>
  <c r="Q88" i="5" s="1"/>
  <c r="T89" i="5"/>
  <c r="T88" i="5" s="1"/>
  <c r="B43" i="5"/>
  <c r="A10" i="13"/>
  <c r="A14" i="13"/>
  <c r="A12" i="13"/>
  <c r="A6" i="13"/>
  <c r="D12" i="12"/>
  <c r="D8" i="12"/>
  <c r="D16" i="12"/>
  <c r="A10" i="12"/>
  <c r="D10" i="12" s="1"/>
  <c r="A14" i="12"/>
  <c r="D14" i="12" s="1"/>
  <c r="D6" i="12"/>
  <c r="A105" i="5"/>
  <c r="C47" i="5"/>
  <c r="D47" i="5"/>
  <c r="E47" i="5"/>
  <c r="F47" i="5"/>
  <c r="G47" i="5"/>
  <c r="B47" i="5"/>
  <c r="G27" i="5"/>
  <c r="B16" i="16" l="1"/>
  <c r="B27" i="16" s="1"/>
  <c r="B4" i="19" s="1"/>
  <c r="E7" i="15"/>
  <c r="F7" i="15"/>
  <c r="B18" i="16"/>
  <c r="C18" i="16"/>
  <c r="C19" i="16" s="1"/>
  <c r="A3" i="14"/>
  <c r="D6" i="13"/>
  <c r="D12" i="13"/>
  <c r="D14" i="13"/>
  <c r="D10" i="13"/>
  <c r="D8" i="13"/>
  <c r="D16" i="13"/>
  <c r="A130" i="5"/>
  <c r="A127" i="5"/>
  <c r="A77" i="5"/>
  <c r="I3" i="14" l="1"/>
  <c r="I8" i="14"/>
  <c r="I4" i="14"/>
  <c r="B132" i="5"/>
  <c r="B130" i="5" s="1"/>
  <c r="C132" i="5"/>
  <c r="C130" i="5" s="1"/>
  <c r="D132" i="5"/>
  <c r="D130" i="5" s="1"/>
  <c r="K79" i="5"/>
  <c r="S79" i="5"/>
  <c r="B79" i="5"/>
  <c r="U79" i="5"/>
  <c r="G79" i="5"/>
  <c r="P79" i="5"/>
  <c r="L79" i="5"/>
  <c r="T79" i="5"/>
  <c r="M79" i="5"/>
  <c r="V79" i="5"/>
  <c r="O79" i="5"/>
  <c r="C79" i="5"/>
  <c r="I79" i="5"/>
  <c r="Q79" i="5"/>
  <c r="D79" i="5"/>
  <c r="R79" i="5"/>
  <c r="E79" i="5"/>
  <c r="N79" i="5"/>
  <c r="F79" i="5"/>
  <c r="H79" i="5"/>
  <c r="P3" i="14"/>
  <c r="N3" i="14"/>
  <c r="D6" i="14"/>
  <c r="D8" i="14"/>
  <c r="B28" i="16" l="1"/>
  <c r="B5" i="19" s="1"/>
  <c r="C28" i="16"/>
  <c r="C5" i="19" s="1"/>
  <c r="Q12" i="5"/>
  <c r="J12" i="5"/>
  <c r="R12" i="5"/>
  <c r="D12" i="5"/>
  <c r="O12" i="5"/>
  <c r="E12" i="5"/>
  <c r="P12" i="5"/>
  <c r="B12" i="5"/>
  <c r="C12" i="5"/>
  <c r="I9" i="14"/>
  <c r="I6" i="14"/>
  <c r="R4" i="14"/>
  <c r="R8" i="14"/>
  <c r="T4" i="14"/>
  <c r="T6" i="14" s="1"/>
  <c r="T8" i="14"/>
  <c r="G8" i="14"/>
  <c r="E24" i="5"/>
  <c r="D24" i="5"/>
  <c r="J24" i="5"/>
  <c r="B24" i="5"/>
  <c r="F24" i="5"/>
  <c r="C24" i="5"/>
  <c r="G17" i="27" l="1"/>
  <c r="G14" i="27"/>
  <c r="D18" i="5"/>
  <c r="D16" i="5" s="1"/>
  <c r="L18" i="5"/>
  <c r="T18" i="5"/>
  <c r="E18" i="5"/>
  <c r="E16" i="5" s="1"/>
  <c r="M18" i="5"/>
  <c r="U18" i="5"/>
  <c r="N18" i="5"/>
  <c r="G18" i="5"/>
  <c r="O18" i="5"/>
  <c r="R18" i="5"/>
  <c r="C18" i="5"/>
  <c r="H18" i="5"/>
  <c r="H16" i="5" s="1"/>
  <c r="P18" i="5"/>
  <c r="S18" i="5"/>
  <c r="F18" i="5"/>
  <c r="I18" i="5"/>
  <c r="I16" i="5" s="1"/>
  <c r="Q18" i="5"/>
  <c r="J18" i="5"/>
  <c r="K18" i="5"/>
  <c r="V18" i="5"/>
  <c r="I22" i="5"/>
  <c r="I20" i="5" s="1"/>
  <c r="Q22" i="5"/>
  <c r="Q20" i="5" s="1"/>
  <c r="J22" i="5"/>
  <c r="J20" i="5" s="1"/>
  <c r="R22" i="5"/>
  <c r="R20" i="5" s="1"/>
  <c r="C22" i="5"/>
  <c r="C20" i="5" s="1"/>
  <c r="K22" i="5"/>
  <c r="K20" i="5" s="1"/>
  <c r="S22" i="5"/>
  <c r="S20" i="5" s="1"/>
  <c r="D22" i="5"/>
  <c r="D20" i="5" s="1"/>
  <c r="L22" i="5"/>
  <c r="L20" i="5" s="1"/>
  <c r="T22" i="5"/>
  <c r="T20" i="5" s="1"/>
  <c r="G22" i="5"/>
  <c r="G20" i="5" s="1"/>
  <c r="E22" i="5"/>
  <c r="E20" i="5" s="1"/>
  <c r="E111" i="5" s="1"/>
  <c r="M22" i="5"/>
  <c r="M20" i="5" s="1"/>
  <c r="U22" i="5"/>
  <c r="U20" i="5" s="1"/>
  <c r="H22" i="5"/>
  <c r="H20" i="5" s="1"/>
  <c r="F22" i="5"/>
  <c r="F20" i="5" s="1"/>
  <c r="N22" i="5"/>
  <c r="N20" i="5" s="1"/>
  <c r="V22" i="5"/>
  <c r="V20" i="5" s="1"/>
  <c r="O22" i="5"/>
  <c r="O20" i="5" s="1"/>
  <c r="B22" i="5"/>
  <c r="B20" i="5" s="1"/>
  <c r="P22" i="5"/>
  <c r="P20" i="5" s="1"/>
  <c r="G6" i="14"/>
  <c r="G9" i="14"/>
  <c r="C37" i="9"/>
  <c r="D37" i="9" s="1"/>
  <c r="D36" i="9"/>
  <c r="C35" i="9"/>
  <c r="D35" i="9" s="1"/>
  <c r="D34" i="9"/>
  <c r="A16" i="9" s="1"/>
  <c r="C33" i="9"/>
  <c r="D33" i="9" s="1"/>
  <c r="D32" i="9"/>
  <c r="C31" i="9"/>
  <c r="D31" i="9" s="1"/>
  <c r="C30" i="9"/>
  <c r="D30" i="9" s="1"/>
  <c r="D29" i="9"/>
  <c r="C28" i="9"/>
  <c r="D28" i="9" s="1"/>
  <c r="D27" i="9"/>
  <c r="D26" i="9"/>
  <c r="D25" i="9"/>
  <c r="C24" i="9"/>
  <c r="D24" i="9" s="1"/>
  <c r="D23" i="9"/>
  <c r="A10" i="9" s="1"/>
  <c r="C23" i="9"/>
  <c r="D22" i="9"/>
  <c r="D21" i="9"/>
  <c r="D20" i="9"/>
  <c r="D19" i="9"/>
  <c r="C19" i="9"/>
  <c r="A12" i="9"/>
  <c r="A8" i="9"/>
  <c r="A6" i="9"/>
  <c r="C33" i="8"/>
  <c r="D33" i="8" s="1"/>
  <c r="D32" i="8"/>
  <c r="C31" i="8"/>
  <c r="D31" i="8" s="1"/>
  <c r="D30" i="8"/>
  <c r="C29" i="8"/>
  <c r="D29" i="8" s="1"/>
  <c r="D28" i="8"/>
  <c r="D27" i="8"/>
  <c r="D26" i="8"/>
  <c r="D25" i="8"/>
  <c r="C24" i="8"/>
  <c r="D24" i="8" s="1"/>
  <c r="C23" i="8"/>
  <c r="D23" i="8" s="1"/>
  <c r="D22" i="8"/>
  <c r="D21" i="8"/>
  <c r="D20" i="8"/>
  <c r="C19" i="8"/>
  <c r="D19" i="8" s="1"/>
  <c r="A16" i="8"/>
  <c r="A12" i="8"/>
  <c r="A8" i="8"/>
  <c r="A6" i="8"/>
  <c r="W20" i="5" l="1"/>
  <c r="A3" i="9"/>
  <c r="D8" i="9" s="1"/>
  <c r="A14" i="9"/>
  <c r="A10" i="8"/>
  <c r="D10" i="8" s="1"/>
  <c r="A14" i="8"/>
  <c r="D14" i="8" s="1"/>
  <c r="D8" i="8"/>
  <c r="H45" i="5"/>
  <c r="I42" i="5"/>
  <c r="L42" i="5" s="1"/>
  <c r="M42" i="5" s="1"/>
  <c r="N42" i="5" s="1"/>
  <c r="O42" i="5" s="1"/>
  <c r="P42" i="5" s="1"/>
  <c r="Q42" i="5" s="1"/>
  <c r="R42" i="5" s="1"/>
  <c r="S42" i="5" s="1"/>
  <c r="T42" i="5" s="1"/>
  <c r="U42" i="5" s="1"/>
  <c r="V42" i="5" s="1"/>
  <c r="M197" i="5"/>
  <c r="O197" i="5"/>
  <c r="P197" i="5"/>
  <c r="T197" i="5"/>
  <c r="U197" i="5"/>
  <c r="V197" i="5"/>
  <c r="I45" i="5" l="1"/>
  <c r="D12" i="9"/>
  <c r="D16" i="9"/>
  <c r="D10" i="9"/>
  <c r="D6" i="9"/>
  <c r="D14" i="9"/>
  <c r="D6" i="8"/>
  <c r="D16" i="8"/>
  <c r="D12" i="8"/>
  <c r="J45" i="5" l="1"/>
  <c r="N197" i="5"/>
  <c r="B197" i="5"/>
  <c r="A124" i="5" l="1"/>
  <c r="U104" i="5" l="1"/>
  <c r="V104" i="5"/>
  <c r="T104" i="5"/>
  <c r="I154" i="5"/>
  <c r="I152" i="5" s="1"/>
  <c r="Q154" i="5"/>
  <c r="Q152" i="5" s="1"/>
  <c r="J154" i="5"/>
  <c r="J152" i="5" s="1"/>
  <c r="R154" i="5"/>
  <c r="R152" i="5" s="1"/>
  <c r="C154" i="5"/>
  <c r="C152" i="5" s="1"/>
  <c r="K154" i="5"/>
  <c r="K152" i="5" s="1"/>
  <c r="S154" i="5"/>
  <c r="S152" i="5" s="1"/>
  <c r="D154" i="5"/>
  <c r="D152" i="5" s="1"/>
  <c r="L154" i="5"/>
  <c r="L152" i="5" s="1"/>
  <c r="T154" i="5"/>
  <c r="T152" i="5" s="1"/>
  <c r="E154" i="5"/>
  <c r="E152" i="5" s="1"/>
  <c r="M154" i="5"/>
  <c r="M152" i="5" s="1"/>
  <c r="U154" i="5"/>
  <c r="U152" i="5" s="1"/>
  <c r="F154" i="5"/>
  <c r="F152" i="5" s="1"/>
  <c r="N154" i="5"/>
  <c r="N152" i="5" s="1"/>
  <c r="V154" i="5"/>
  <c r="V152" i="5" s="1"/>
  <c r="G154" i="5"/>
  <c r="G152" i="5" s="1"/>
  <c r="O154" i="5"/>
  <c r="O152" i="5" s="1"/>
  <c r="B154" i="5"/>
  <c r="H154" i="5"/>
  <c r="H152" i="5" s="1"/>
  <c r="P154" i="5"/>
  <c r="P152" i="5" s="1"/>
  <c r="D126" i="5"/>
  <c r="D124" i="5" s="1"/>
  <c r="L126" i="5"/>
  <c r="L124" i="5" s="1"/>
  <c r="T126" i="5"/>
  <c r="T124" i="5" s="1"/>
  <c r="E126" i="5"/>
  <c r="E124" i="5" s="1"/>
  <c r="M126" i="5"/>
  <c r="U126" i="5"/>
  <c r="U124" i="5" s="1"/>
  <c r="V126" i="5"/>
  <c r="V124" i="5" s="1"/>
  <c r="F126" i="5"/>
  <c r="F124" i="5" s="1"/>
  <c r="N126" i="5"/>
  <c r="N124" i="5" s="1"/>
  <c r="G126" i="5"/>
  <c r="G124" i="5" s="1"/>
  <c r="O126" i="5"/>
  <c r="O124" i="5" s="1"/>
  <c r="B126" i="5"/>
  <c r="B124" i="5" s="1"/>
  <c r="H126" i="5"/>
  <c r="H124" i="5" s="1"/>
  <c r="P126" i="5"/>
  <c r="P124" i="5" s="1"/>
  <c r="I126" i="5"/>
  <c r="I124" i="5" s="1"/>
  <c r="Q126" i="5"/>
  <c r="Q124" i="5" s="1"/>
  <c r="J126" i="5"/>
  <c r="J124" i="5" s="1"/>
  <c r="R126" i="5"/>
  <c r="R124" i="5" s="1"/>
  <c r="C126" i="5"/>
  <c r="C124" i="5" s="1"/>
  <c r="K126" i="5"/>
  <c r="K124" i="5" s="1"/>
  <c r="S126" i="5"/>
  <c r="S124" i="5" s="1"/>
  <c r="D120" i="5"/>
  <c r="D118" i="5" s="1"/>
  <c r="L120" i="5"/>
  <c r="L118" i="5" s="1"/>
  <c r="T120" i="5"/>
  <c r="T118" i="5" s="1"/>
  <c r="V120" i="5"/>
  <c r="V118" i="5" s="1"/>
  <c r="E120" i="5"/>
  <c r="E118" i="5" s="1"/>
  <c r="M120" i="5"/>
  <c r="M118" i="5" s="1"/>
  <c r="U120" i="5"/>
  <c r="U118" i="5" s="1"/>
  <c r="F120" i="5"/>
  <c r="F118" i="5" s="1"/>
  <c r="N120" i="5"/>
  <c r="N118" i="5" s="1"/>
  <c r="G120" i="5"/>
  <c r="G118" i="5" s="1"/>
  <c r="O120" i="5"/>
  <c r="O118" i="5" s="1"/>
  <c r="B120" i="5"/>
  <c r="B118" i="5" s="1"/>
  <c r="H120" i="5"/>
  <c r="H118" i="5" s="1"/>
  <c r="P120" i="5"/>
  <c r="P118" i="5" s="1"/>
  <c r="I120" i="5"/>
  <c r="I118" i="5" s="1"/>
  <c r="Q120" i="5"/>
  <c r="Q118" i="5" s="1"/>
  <c r="J120" i="5"/>
  <c r="J118" i="5" s="1"/>
  <c r="R120" i="5"/>
  <c r="R118" i="5" s="1"/>
  <c r="C120" i="5"/>
  <c r="C118" i="5" s="1"/>
  <c r="K120" i="5"/>
  <c r="K118" i="5" s="1"/>
  <c r="S120" i="5"/>
  <c r="S118" i="5" s="1"/>
  <c r="H87" i="5"/>
  <c r="H85" i="5" s="1"/>
  <c r="P87" i="5"/>
  <c r="P85" i="5" s="1"/>
  <c r="E87" i="5"/>
  <c r="E85" i="5" s="1"/>
  <c r="S87" i="5"/>
  <c r="S85" i="5" s="1"/>
  <c r="L87" i="5"/>
  <c r="L85" i="5" s="1"/>
  <c r="D87" i="5"/>
  <c r="D85" i="5" s="1"/>
  <c r="I87" i="5"/>
  <c r="I85" i="5" s="1"/>
  <c r="Q87" i="5"/>
  <c r="Q85" i="5" s="1"/>
  <c r="J87" i="5"/>
  <c r="J85" i="5" s="1"/>
  <c r="R87" i="5"/>
  <c r="R85" i="5" s="1"/>
  <c r="K87" i="5"/>
  <c r="K85" i="5" s="1"/>
  <c r="C87" i="5"/>
  <c r="C85" i="5" s="1"/>
  <c r="M87" i="5"/>
  <c r="M85" i="5" s="1"/>
  <c r="F87" i="5"/>
  <c r="F85" i="5" s="1"/>
  <c r="N87" i="5"/>
  <c r="N85" i="5" s="1"/>
  <c r="V87" i="5"/>
  <c r="V85" i="5" s="1"/>
  <c r="G87" i="5"/>
  <c r="G85" i="5" s="1"/>
  <c r="O87" i="5"/>
  <c r="O85" i="5" s="1"/>
  <c r="B87" i="5"/>
  <c r="B85" i="5" s="1"/>
  <c r="B81" i="5" s="1"/>
  <c r="T87" i="5"/>
  <c r="T85" i="5" s="1"/>
  <c r="U87" i="5"/>
  <c r="U85" i="5" s="1"/>
  <c r="O73" i="5"/>
  <c r="O71" i="5" s="1"/>
  <c r="B71" i="5"/>
  <c r="J73" i="5"/>
  <c r="J71" i="5" s="1"/>
  <c r="S73" i="5"/>
  <c r="S71" i="5" s="1"/>
  <c r="H73" i="5"/>
  <c r="H71" i="5" s="1"/>
  <c r="P73" i="5"/>
  <c r="P71" i="5" s="1"/>
  <c r="I73" i="5"/>
  <c r="I71" i="5" s="1"/>
  <c r="R73" i="5"/>
  <c r="R71" i="5" s="1"/>
  <c r="C71" i="5"/>
  <c r="D71" i="5"/>
  <c r="T73" i="5"/>
  <c r="T71" i="5" s="1"/>
  <c r="E71" i="5"/>
  <c r="M73" i="5"/>
  <c r="M71" i="5" s="1"/>
  <c r="U73" i="5"/>
  <c r="U71" i="5" s="1"/>
  <c r="F73" i="5"/>
  <c r="F71" i="5" s="1"/>
  <c r="N73" i="5"/>
  <c r="N71" i="5" s="1"/>
  <c r="V73" i="5"/>
  <c r="V71" i="5" s="1"/>
  <c r="Q73" i="5"/>
  <c r="Q71" i="5" s="1"/>
  <c r="K73" i="5"/>
  <c r="K71" i="5" s="1"/>
  <c r="L73" i="5"/>
  <c r="L71" i="5" s="1"/>
  <c r="C76" i="5"/>
  <c r="C74" i="5" s="1"/>
  <c r="K76" i="5"/>
  <c r="K74" i="5" s="1"/>
  <c r="S76" i="5"/>
  <c r="S74" i="5" s="1"/>
  <c r="U76" i="5"/>
  <c r="U74" i="5" s="1"/>
  <c r="F76" i="5"/>
  <c r="F74" i="5" s="1"/>
  <c r="O76" i="5"/>
  <c r="O74" i="5" s="1"/>
  <c r="P76" i="5"/>
  <c r="P74" i="5" s="1"/>
  <c r="D76" i="5"/>
  <c r="D74" i="5" s="1"/>
  <c r="L76" i="5"/>
  <c r="L74" i="5" s="1"/>
  <c r="T76" i="5"/>
  <c r="T74" i="5" s="1"/>
  <c r="E76" i="5"/>
  <c r="E74" i="5" s="1"/>
  <c r="V76" i="5"/>
  <c r="V74" i="5" s="1"/>
  <c r="G76" i="5"/>
  <c r="G74" i="5" s="1"/>
  <c r="I76" i="5"/>
  <c r="I74" i="5" s="1"/>
  <c r="Q76" i="5"/>
  <c r="Q74" i="5" s="1"/>
  <c r="J76" i="5"/>
  <c r="J74" i="5" s="1"/>
  <c r="R76" i="5"/>
  <c r="R74" i="5" s="1"/>
  <c r="M76" i="5"/>
  <c r="M74" i="5" s="1"/>
  <c r="N76" i="5"/>
  <c r="N74" i="5" s="1"/>
  <c r="H76" i="5"/>
  <c r="H74" i="5" s="1"/>
  <c r="D84" i="5"/>
  <c r="D82" i="5" s="1"/>
  <c r="L84" i="5"/>
  <c r="L82" i="5" s="1"/>
  <c r="T84" i="5"/>
  <c r="T82" i="5" s="1"/>
  <c r="N84" i="5"/>
  <c r="N82" i="5" s="1"/>
  <c r="I84" i="5"/>
  <c r="I82" i="5" s="1"/>
  <c r="E84" i="5"/>
  <c r="E82" i="5" s="1"/>
  <c r="M84" i="5"/>
  <c r="M82" i="5" s="1"/>
  <c r="U84" i="5"/>
  <c r="U82" i="5" s="1"/>
  <c r="F84" i="5"/>
  <c r="F82" i="5" s="1"/>
  <c r="V84" i="5"/>
  <c r="V82" i="5" s="1"/>
  <c r="O84" i="5"/>
  <c r="O82" i="5" s="1"/>
  <c r="H84" i="5"/>
  <c r="H82" i="5" s="1"/>
  <c r="Q84" i="5"/>
  <c r="Q82" i="5" s="1"/>
  <c r="J84" i="5"/>
  <c r="J82" i="5" s="1"/>
  <c r="R84" i="5"/>
  <c r="R82" i="5" s="1"/>
  <c r="C84" i="5"/>
  <c r="C82" i="5" s="1"/>
  <c r="K84" i="5"/>
  <c r="K82" i="5" s="1"/>
  <c r="S84" i="5"/>
  <c r="S82" i="5" s="1"/>
  <c r="G84" i="5"/>
  <c r="G82" i="5" s="1"/>
  <c r="P84" i="5"/>
  <c r="P82" i="5" s="1"/>
  <c r="H47" i="5"/>
  <c r="V77" i="5"/>
  <c r="N77" i="5"/>
  <c r="F77" i="5"/>
  <c r="U77" i="5"/>
  <c r="M77" i="5"/>
  <c r="T77" i="5"/>
  <c r="L77" i="5"/>
  <c r="D77" i="5"/>
  <c r="S77" i="5"/>
  <c r="K77" i="5"/>
  <c r="C77" i="5"/>
  <c r="R77" i="5"/>
  <c r="J77" i="5"/>
  <c r="B77" i="5"/>
  <c r="Q77" i="5"/>
  <c r="I77" i="5"/>
  <c r="E77" i="5"/>
  <c r="P77" i="5"/>
  <c r="H77" i="5"/>
  <c r="O77" i="5"/>
  <c r="G77" i="5"/>
  <c r="B89" i="5"/>
  <c r="B88" i="5" s="1"/>
  <c r="B7" i="15" s="1"/>
  <c r="G7" i="15" s="1"/>
  <c r="M124" i="5"/>
  <c r="D142" i="5"/>
  <c r="E142" i="5"/>
  <c r="F142" i="5"/>
  <c r="G142" i="5"/>
  <c r="H142" i="5"/>
  <c r="I142" i="5"/>
  <c r="J142" i="5"/>
  <c r="K142" i="5"/>
  <c r="L142" i="5"/>
  <c r="M142" i="5"/>
  <c r="N142" i="5"/>
  <c r="R142" i="5"/>
  <c r="S142" i="5"/>
  <c r="T142" i="5"/>
  <c r="U142" i="5"/>
  <c r="V142" i="5"/>
  <c r="C142" i="5"/>
  <c r="D139" i="5"/>
  <c r="E139" i="5"/>
  <c r="F139" i="5"/>
  <c r="G139" i="5"/>
  <c r="H139" i="5"/>
  <c r="I139" i="5"/>
  <c r="J139" i="5"/>
  <c r="K139" i="5"/>
  <c r="L139" i="5"/>
  <c r="M139" i="5"/>
  <c r="N139" i="5"/>
  <c r="O139" i="5"/>
  <c r="P139" i="5"/>
  <c r="Q139" i="5"/>
  <c r="R139" i="5"/>
  <c r="S139" i="5"/>
  <c r="T139" i="5"/>
  <c r="U139" i="5"/>
  <c r="V139" i="5"/>
  <c r="C139" i="5"/>
  <c r="B142" i="5"/>
  <c r="B139" i="5"/>
  <c r="B74" i="5"/>
  <c r="T81" i="5" l="1"/>
  <c r="T80" i="5" s="1"/>
  <c r="C81" i="5"/>
  <c r="C80" i="5" s="1"/>
  <c r="S81" i="5"/>
  <c r="S80" i="5" s="1"/>
  <c r="K81" i="5"/>
  <c r="K80" i="5" s="1"/>
  <c r="E81" i="5"/>
  <c r="E80" i="5" s="1"/>
  <c r="O81" i="5"/>
  <c r="O80" i="5" s="1"/>
  <c r="R81" i="5"/>
  <c r="P81" i="5"/>
  <c r="P80" i="5" s="1"/>
  <c r="G81" i="5"/>
  <c r="G80" i="5" s="1"/>
  <c r="J81" i="5"/>
  <c r="H81" i="5"/>
  <c r="H80" i="5" s="1"/>
  <c r="V81" i="5"/>
  <c r="V80" i="5" s="1"/>
  <c r="Q81" i="5"/>
  <c r="Q80" i="5" s="1"/>
  <c r="N81" i="5"/>
  <c r="I81" i="5"/>
  <c r="I80" i="5" s="1"/>
  <c r="F81" i="5"/>
  <c r="D81" i="5"/>
  <c r="D80" i="5" s="1"/>
  <c r="U81" i="5"/>
  <c r="U80" i="5" s="1"/>
  <c r="M81" i="5"/>
  <c r="M80" i="5" s="1"/>
  <c r="L81" i="5"/>
  <c r="L80" i="5" s="1"/>
  <c r="D70" i="5"/>
  <c r="P70" i="5"/>
  <c r="R70" i="5"/>
  <c r="B70" i="5"/>
  <c r="F70" i="5"/>
  <c r="U70" i="5"/>
  <c r="E70" i="5"/>
  <c r="S70" i="5"/>
  <c r="T70" i="5"/>
  <c r="C70" i="5"/>
  <c r="K70" i="5"/>
  <c r="J70" i="5"/>
  <c r="I70" i="5"/>
  <c r="O70" i="5"/>
  <c r="V70" i="5"/>
  <c r="M70" i="5"/>
  <c r="N70" i="5"/>
  <c r="H70" i="5"/>
  <c r="L70" i="5"/>
  <c r="Q70" i="5"/>
  <c r="W55" i="5"/>
  <c r="I47" i="5"/>
  <c r="B152" i="5"/>
  <c r="D4" i="17" l="1"/>
  <c r="F4" i="17"/>
  <c r="F6" i="15"/>
  <c r="B4" i="17"/>
  <c r="D6" i="15"/>
  <c r="D5" i="15"/>
  <c r="E6" i="15"/>
  <c r="E4" i="17"/>
  <c r="B5" i="15"/>
  <c r="J80" i="5"/>
  <c r="B4" i="15"/>
  <c r="C5" i="15"/>
  <c r="C4" i="15"/>
  <c r="F80" i="5"/>
  <c r="R80" i="5"/>
  <c r="N80" i="5"/>
  <c r="B80" i="5"/>
  <c r="W81" i="5"/>
  <c r="F4" i="15"/>
  <c r="E4" i="15"/>
  <c r="J47" i="5"/>
  <c r="C16" i="16" s="1"/>
  <c r="C27" i="16" s="1"/>
  <c r="C4" i="19" s="1"/>
  <c r="O45" i="5"/>
  <c r="L197" i="5"/>
  <c r="K197" i="5"/>
  <c r="J197" i="5"/>
  <c r="I197" i="5"/>
  <c r="H197" i="5"/>
  <c r="F197" i="5"/>
  <c r="E197" i="5"/>
  <c r="D197" i="5"/>
  <c r="M57" i="5"/>
  <c r="C42" i="5"/>
  <c r="H35" i="5"/>
  <c r="I35" i="5" s="1"/>
  <c r="J35" i="5" s="1"/>
  <c r="H32" i="5"/>
  <c r="C32" i="5"/>
  <c r="B27" i="5"/>
  <c r="M173" i="5" l="1"/>
  <c r="M181" i="5"/>
  <c r="L57" i="5"/>
  <c r="G4" i="15"/>
  <c r="G5" i="15"/>
  <c r="G6" i="15"/>
  <c r="C27" i="5"/>
  <c r="H27" i="5"/>
  <c r="D32" i="5"/>
  <c r="D42" i="5"/>
  <c r="H36" i="5"/>
  <c r="H34" i="5" s="1"/>
  <c r="P36" i="5"/>
  <c r="B28" i="5"/>
  <c r="B111" i="5" s="1"/>
  <c r="J28" i="5"/>
  <c r="J111" i="5" s="1"/>
  <c r="R36" i="5"/>
  <c r="S36" i="5"/>
  <c r="Q36" i="5"/>
  <c r="D33" i="5"/>
  <c r="L33" i="5"/>
  <c r="T36" i="5"/>
  <c r="E33" i="5"/>
  <c r="M33" i="5"/>
  <c r="U33" i="5"/>
  <c r="N28" i="5"/>
  <c r="K35" i="5"/>
  <c r="I32" i="5"/>
  <c r="L173" i="5" l="1"/>
  <c r="L181" i="5"/>
  <c r="D18" i="16"/>
  <c r="W60" i="5"/>
  <c r="I27" i="5"/>
  <c r="D27" i="5"/>
  <c r="D31" i="5"/>
  <c r="P45" i="5"/>
  <c r="E32" i="5"/>
  <c r="F32" i="5" s="1"/>
  <c r="N58" i="5"/>
  <c r="N63" i="5"/>
  <c r="N61" i="5" s="1"/>
  <c r="N66" i="5"/>
  <c r="N64" i="5" s="1"/>
  <c r="K66" i="5"/>
  <c r="K64" i="5" s="1"/>
  <c r="K63" i="5"/>
  <c r="K61" i="5" s="1"/>
  <c r="P63" i="5"/>
  <c r="P61" i="5" s="1"/>
  <c r="P66" i="5"/>
  <c r="P64" i="5" s="1"/>
  <c r="F63" i="5"/>
  <c r="F61" i="5" s="1"/>
  <c r="F66" i="5"/>
  <c r="F64" i="5" s="1"/>
  <c r="C63" i="5"/>
  <c r="C61" i="5" s="1"/>
  <c r="C66" i="5"/>
  <c r="C64" i="5" s="1"/>
  <c r="L66" i="5"/>
  <c r="L64" i="5" s="1"/>
  <c r="L63" i="5"/>
  <c r="L61" i="5" s="1"/>
  <c r="Q58" i="5"/>
  <c r="Q63" i="5"/>
  <c r="Q61" i="5" s="1"/>
  <c r="Q66" i="5"/>
  <c r="Q64" i="5" s="1"/>
  <c r="I63" i="5"/>
  <c r="I61" i="5" s="1"/>
  <c r="I66" i="5"/>
  <c r="I64" i="5" s="1"/>
  <c r="U66" i="5"/>
  <c r="U64" i="5" s="1"/>
  <c r="U63" i="5"/>
  <c r="R66" i="5"/>
  <c r="R64" i="5" s="1"/>
  <c r="R61" i="5"/>
  <c r="G66" i="5"/>
  <c r="G64" i="5" s="1"/>
  <c r="G63" i="5"/>
  <c r="G61" i="5" s="1"/>
  <c r="H66" i="5"/>
  <c r="H64" i="5" s="1"/>
  <c r="H63" i="5"/>
  <c r="H61" i="5" s="1"/>
  <c r="V63" i="5"/>
  <c r="V66" i="5"/>
  <c r="V64" i="5" s="1"/>
  <c r="M66" i="5"/>
  <c r="M64" i="5" s="1"/>
  <c r="M63" i="5"/>
  <c r="M61" i="5" s="1"/>
  <c r="J66" i="5"/>
  <c r="J64" i="5" s="1"/>
  <c r="J63" i="5"/>
  <c r="J61" i="5" s="1"/>
  <c r="T63" i="5"/>
  <c r="T66" i="5"/>
  <c r="T64" i="5" s="1"/>
  <c r="S63" i="5"/>
  <c r="S61" i="5" s="1"/>
  <c r="S66" i="5"/>
  <c r="S64" i="5" s="1"/>
  <c r="E66" i="5"/>
  <c r="E64" i="5" s="1"/>
  <c r="E63" i="5"/>
  <c r="E61" i="5" s="1"/>
  <c r="B66" i="5"/>
  <c r="B64" i="5" s="1"/>
  <c r="B63" i="5"/>
  <c r="D63" i="5"/>
  <c r="D61" i="5" s="1"/>
  <c r="D66" i="5"/>
  <c r="D64" i="5" s="1"/>
  <c r="O58" i="5"/>
  <c r="O63" i="5"/>
  <c r="O66" i="5"/>
  <c r="O64" i="5" s="1"/>
  <c r="S33" i="5"/>
  <c r="I58" i="5"/>
  <c r="G58" i="5"/>
  <c r="T33" i="5"/>
  <c r="H28" i="5"/>
  <c r="E42" i="5"/>
  <c r="H33" i="5"/>
  <c r="H31" i="5" s="1"/>
  <c r="F58" i="5"/>
  <c r="J33" i="5"/>
  <c r="J36" i="5"/>
  <c r="J34" i="5" s="1"/>
  <c r="M36" i="5"/>
  <c r="P33" i="5"/>
  <c r="H58" i="5"/>
  <c r="B36" i="5"/>
  <c r="B34" i="5" s="1"/>
  <c r="L58" i="5"/>
  <c r="D58" i="5"/>
  <c r="P58" i="5"/>
  <c r="R33" i="5"/>
  <c r="U36" i="5"/>
  <c r="E36" i="5"/>
  <c r="E34" i="5" s="1"/>
  <c r="E58" i="5"/>
  <c r="K58" i="5"/>
  <c r="J58" i="5"/>
  <c r="C58" i="5"/>
  <c r="B58" i="5"/>
  <c r="M58" i="5"/>
  <c r="Q33" i="5"/>
  <c r="M28" i="5"/>
  <c r="K36" i="5"/>
  <c r="K34" i="5" s="1"/>
  <c r="K28" i="5"/>
  <c r="C36" i="5"/>
  <c r="C34" i="5" s="1"/>
  <c r="C28" i="5"/>
  <c r="C111" i="5" s="1"/>
  <c r="C33" i="5"/>
  <c r="C31" i="5" s="1"/>
  <c r="O36" i="5"/>
  <c r="O33" i="5"/>
  <c r="I36" i="5"/>
  <c r="I34" i="5" s="1"/>
  <c r="I28" i="5"/>
  <c r="G36" i="5"/>
  <c r="G34" i="5" s="1"/>
  <c r="G28" i="5"/>
  <c r="G33" i="5"/>
  <c r="G31" i="5" s="1"/>
  <c r="L36" i="5"/>
  <c r="L28" i="5"/>
  <c r="K33" i="5"/>
  <c r="B33" i="5"/>
  <c r="B31" i="5" s="1"/>
  <c r="D36" i="5"/>
  <c r="D34" i="5" s="1"/>
  <c r="D28" i="5"/>
  <c r="F33" i="5"/>
  <c r="F36" i="5"/>
  <c r="F34" i="5" s="1"/>
  <c r="F28" i="5"/>
  <c r="F111" i="5" s="1"/>
  <c r="V33" i="5"/>
  <c r="V36" i="5"/>
  <c r="I33" i="5"/>
  <c r="I31" i="5" s="1"/>
  <c r="N33" i="5"/>
  <c r="N36" i="5"/>
  <c r="J32" i="5"/>
  <c r="O28" i="5"/>
  <c r="L35" i="5"/>
  <c r="D19" i="16" l="1"/>
  <c r="D28" i="16" s="1"/>
  <c r="D5" i="19" s="1"/>
  <c r="D111" i="5"/>
  <c r="W62" i="5"/>
  <c r="B61" i="5"/>
  <c r="W63" i="5"/>
  <c r="W64" i="5"/>
  <c r="R58" i="5"/>
  <c r="E27" i="5"/>
  <c r="J27" i="5"/>
  <c r="F27" i="5"/>
  <c r="Q45" i="5"/>
  <c r="E31" i="5"/>
  <c r="F42" i="5"/>
  <c r="M35" i="5"/>
  <c r="L34" i="5"/>
  <c r="K32" i="5"/>
  <c r="J31" i="5"/>
  <c r="P28" i="5"/>
  <c r="F31" i="5"/>
  <c r="T61" i="5"/>
  <c r="O61" i="5"/>
  <c r="E18" i="16" l="1"/>
  <c r="S58" i="5"/>
  <c r="K27" i="5"/>
  <c r="R45" i="5"/>
  <c r="Q28" i="5"/>
  <c r="N35" i="5"/>
  <c r="M34" i="5"/>
  <c r="L32" i="5"/>
  <c r="K31" i="5"/>
  <c r="U61" i="5"/>
  <c r="E19" i="16" l="1"/>
  <c r="E28" i="16" s="1"/>
  <c r="E5" i="19" s="1"/>
  <c r="T58" i="5"/>
  <c r="L27" i="5"/>
  <c r="S45" i="5"/>
  <c r="L31" i="5"/>
  <c r="M32" i="5"/>
  <c r="R28" i="5"/>
  <c r="V61" i="5"/>
  <c r="W61" i="5" s="1"/>
  <c r="O35" i="5"/>
  <c r="N34" i="5"/>
  <c r="G32" i="27" l="1"/>
  <c r="G30" i="27"/>
  <c r="W50" i="5"/>
  <c r="U58" i="5"/>
  <c r="M27" i="5"/>
  <c r="T45" i="5"/>
  <c r="M53" i="5"/>
  <c r="M56" i="5"/>
  <c r="M54" i="5" s="1"/>
  <c r="C56" i="5"/>
  <c r="C54" i="5" s="1"/>
  <c r="C53" i="5"/>
  <c r="C51" i="5" s="1"/>
  <c r="C48" i="5"/>
  <c r="H53" i="5"/>
  <c r="H51" i="5" s="1"/>
  <c r="H56" i="5"/>
  <c r="H54" i="5" s="1"/>
  <c r="H48" i="5"/>
  <c r="V53" i="5"/>
  <c r="V56" i="5"/>
  <c r="B53" i="5"/>
  <c r="B56" i="5"/>
  <c r="B48" i="5"/>
  <c r="S56" i="5"/>
  <c r="S53" i="5"/>
  <c r="U53" i="5"/>
  <c r="U56" i="5"/>
  <c r="R56" i="5"/>
  <c r="R54" i="5" s="1"/>
  <c r="R53" i="5"/>
  <c r="K56" i="5"/>
  <c r="K54" i="5" s="1"/>
  <c r="K53" i="5"/>
  <c r="K51" i="5" s="1"/>
  <c r="P53" i="5"/>
  <c r="P56" i="5"/>
  <c r="P54" i="5" s="1"/>
  <c r="E53" i="5"/>
  <c r="E51" i="5" s="1"/>
  <c r="E56" i="5"/>
  <c r="E54" i="5" s="1"/>
  <c r="E48" i="5"/>
  <c r="T56" i="5"/>
  <c r="T53" i="5"/>
  <c r="J56" i="5"/>
  <c r="J54" i="5" s="1"/>
  <c r="J53" i="5"/>
  <c r="J51" i="5" s="1"/>
  <c r="J48" i="5"/>
  <c r="F48" i="5"/>
  <c r="F53" i="5"/>
  <c r="F51" i="5" s="1"/>
  <c r="F56" i="5"/>
  <c r="F54" i="5" s="1"/>
  <c r="Q53" i="5"/>
  <c r="Q56" i="5"/>
  <c r="Q54" i="5" s="1"/>
  <c r="G53" i="5"/>
  <c r="G51" i="5" s="1"/>
  <c r="G56" i="5"/>
  <c r="G54" i="5" s="1"/>
  <c r="G48" i="5"/>
  <c r="L56" i="5"/>
  <c r="L54" i="5" s="1"/>
  <c r="L53" i="5"/>
  <c r="L51" i="5" s="1"/>
  <c r="I53" i="5"/>
  <c r="I51" i="5" s="1"/>
  <c r="I56" i="5"/>
  <c r="I54" i="5" s="1"/>
  <c r="I48" i="5"/>
  <c r="N53" i="5"/>
  <c r="N56" i="5"/>
  <c r="N54" i="5" s="1"/>
  <c r="O53" i="5"/>
  <c r="O56" i="5"/>
  <c r="O54" i="5" s="1"/>
  <c r="D56" i="5"/>
  <c r="D54" i="5" s="1"/>
  <c r="D53" i="5"/>
  <c r="D51" i="5" s="1"/>
  <c r="D48" i="5"/>
  <c r="C46" i="5"/>
  <c r="C44" i="5" s="1"/>
  <c r="D46" i="5"/>
  <c r="D44" i="5" s="1"/>
  <c r="I46" i="5"/>
  <c r="I44" i="5" s="1"/>
  <c r="M46" i="5"/>
  <c r="M44" i="5" s="1"/>
  <c r="V46" i="5"/>
  <c r="I43" i="5"/>
  <c r="I41" i="5" s="1"/>
  <c r="E43" i="5"/>
  <c r="E41" i="5" s="1"/>
  <c r="K43" i="5"/>
  <c r="R43" i="5"/>
  <c r="B46" i="5"/>
  <c r="B44" i="5" s="1"/>
  <c r="G46" i="5"/>
  <c r="G44" i="5" s="1"/>
  <c r="J46" i="5"/>
  <c r="J44" i="5" s="1"/>
  <c r="K46" i="5"/>
  <c r="K44" i="5" s="1"/>
  <c r="L46" i="5"/>
  <c r="L44" i="5" s="1"/>
  <c r="Q46" i="5"/>
  <c r="Q44" i="5" s="1"/>
  <c r="U46" i="5"/>
  <c r="Q43" i="5"/>
  <c r="O43" i="5"/>
  <c r="B41" i="5"/>
  <c r="N46" i="5"/>
  <c r="N44" i="5" s="1"/>
  <c r="H46" i="5"/>
  <c r="H44" i="5" s="1"/>
  <c r="R46" i="5"/>
  <c r="S46" i="5"/>
  <c r="T46" i="5"/>
  <c r="H43" i="5"/>
  <c r="H41" i="5" s="1"/>
  <c r="D43" i="5"/>
  <c r="D41" i="5" s="1"/>
  <c r="P46" i="5"/>
  <c r="P44" i="5" s="1"/>
  <c r="C43" i="5"/>
  <c r="C41" i="5" s="1"/>
  <c r="G43" i="5"/>
  <c r="G41" i="5" s="1"/>
  <c r="P43" i="5"/>
  <c r="F43" i="5"/>
  <c r="F41" i="5" s="1"/>
  <c r="L43" i="5"/>
  <c r="M43" i="5"/>
  <c r="N43" i="5"/>
  <c r="S43" i="5"/>
  <c r="O46" i="5"/>
  <c r="O44" i="5" s="1"/>
  <c r="J43" i="5"/>
  <c r="J41" i="5" s="1"/>
  <c r="T43" i="5"/>
  <c r="U43" i="5"/>
  <c r="V43" i="5"/>
  <c r="F46" i="5"/>
  <c r="F44" i="5" s="1"/>
  <c r="E46" i="5"/>
  <c r="E44" i="5" s="1"/>
  <c r="S28" i="5"/>
  <c r="P35" i="5"/>
  <c r="O34" i="5"/>
  <c r="M31" i="5"/>
  <c r="N32" i="5"/>
  <c r="D169" i="5" l="1"/>
  <c r="C169" i="5"/>
  <c r="H169" i="5"/>
  <c r="G169" i="5"/>
  <c r="F169" i="5"/>
  <c r="E169" i="5"/>
  <c r="J169" i="5"/>
  <c r="I169" i="5"/>
  <c r="B54" i="5"/>
  <c r="W56" i="5"/>
  <c r="B51" i="5"/>
  <c r="W53" i="5"/>
  <c r="W59" i="5"/>
  <c r="F18" i="16"/>
  <c r="V58" i="5"/>
  <c r="W58" i="5" s="1"/>
  <c r="N27" i="5"/>
  <c r="U45" i="5"/>
  <c r="Q35" i="5"/>
  <c r="P34" i="5"/>
  <c r="S54" i="5"/>
  <c r="T28" i="5"/>
  <c r="N31" i="5"/>
  <c r="O32" i="5"/>
  <c r="R44" i="5"/>
  <c r="F19" i="16" l="1"/>
  <c r="F28" i="16" s="1"/>
  <c r="F5" i="19" s="1"/>
  <c r="B169" i="5"/>
  <c r="O27" i="5"/>
  <c r="V45" i="5"/>
  <c r="T54" i="5"/>
  <c r="S44" i="5"/>
  <c r="R35" i="5"/>
  <c r="Q34" i="5"/>
  <c r="U28" i="5"/>
  <c r="O31" i="5"/>
  <c r="P32" i="5"/>
  <c r="P27" i="5" l="1"/>
  <c r="T44" i="5"/>
  <c r="Q32" i="5"/>
  <c r="P31" i="5"/>
  <c r="V28" i="5"/>
  <c r="S35" i="5"/>
  <c r="R34" i="5"/>
  <c r="U54" i="5"/>
  <c r="Q27" i="5" l="1"/>
  <c r="V54" i="5"/>
  <c r="R32" i="5"/>
  <c r="Q31" i="5"/>
  <c r="T35" i="5"/>
  <c r="S34" i="5"/>
  <c r="U44" i="5"/>
  <c r="W54" i="5" l="1"/>
  <c r="R27" i="5"/>
  <c r="V44" i="5"/>
  <c r="U35" i="5"/>
  <c r="T34" i="5"/>
  <c r="S32" i="5"/>
  <c r="R31" i="5"/>
  <c r="S27" i="5" l="1"/>
  <c r="V35" i="5"/>
  <c r="U34" i="5"/>
  <c r="T32" i="5"/>
  <c r="S31" i="5"/>
  <c r="T27" i="5" l="1"/>
  <c r="V34" i="5"/>
  <c r="T31" i="5"/>
  <c r="U32" i="5"/>
  <c r="U27" i="5" l="1"/>
  <c r="U31" i="5"/>
  <c r="V32" i="5"/>
  <c r="G23" i="27" l="1"/>
  <c r="G21" i="27"/>
  <c r="G18" i="16"/>
  <c r="V27" i="5"/>
  <c r="W57" i="5"/>
  <c r="V31" i="5"/>
  <c r="W45" i="5" l="1"/>
  <c r="X57" i="5"/>
  <c r="Y57" i="5"/>
  <c r="Z57" i="5" l="1"/>
  <c r="AA57" i="5" s="1"/>
  <c r="W27" i="5" l="1"/>
  <c r="Y27" i="5" l="1"/>
  <c r="X27" i="5"/>
  <c r="Z27" i="5" l="1"/>
  <c r="AA27" i="5" s="1"/>
  <c r="G71" i="5" l="1"/>
  <c r="G70" i="5" s="1"/>
  <c r="C4" i="17" s="1"/>
  <c r="Q197" i="5" l="1"/>
  <c r="S197" i="5" l="1"/>
  <c r="C210" i="5" l="1"/>
  <c r="V177" i="5"/>
  <c r="U177" i="5"/>
  <c r="M177" i="5"/>
  <c r="L177" i="5"/>
  <c r="I39" i="5"/>
  <c r="E177" i="5"/>
  <c r="D177" i="5"/>
  <c r="C177" i="5"/>
  <c r="H177" i="5" l="1"/>
  <c r="H39" i="5"/>
  <c r="K177" i="5"/>
  <c r="D4" i="16"/>
  <c r="D21" i="16" s="1"/>
  <c r="G177" i="5"/>
  <c r="C4" i="16"/>
  <c r="C21" i="16" s="1"/>
  <c r="N177" i="5"/>
  <c r="E4" i="16"/>
  <c r="E21" i="16" s="1"/>
  <c r="S177" i="5"/>
  <c r="I177" i="5"/>
  <c r="E39" i="5"/>
  <c r="E182" i="5" s="1"/>
  <c r="G11" i="5"/>
  <c r="M49" i="5"/>
  <c r="K49" i="5"/>
  <c r="U49" i="5"/>
  <c r="N49" i="5"/>
  <c r="V49" i="5"/>
  <c r="L49" i="5"/>
  <c r="S49" i="5"/>
  <c r="U12" i="5"/>
  <c r="S12" i="5"/>
  <c r="N12" i="5"/>
  <c r="V12" i="5"/>
  <c r="I12" i="5"/>
  <c r="I11" i="5"/>
  <c r="H12" i="5"/>
  <c r="H11" i="5"/>
  <c r="T177" i="5"/>
  <c r="M11" i="5"/>
  <c r="M12" i="5"/>
  <c r="L11" i="5"/>
  <c r="L12" i="5"/>
  <c r="K11" i="5"/>
  <c r="K12" i="5"/>
  <c r="G12" i="5"/>
  <c r="N24" i="5"/>
  <c r="N111" i="5" s="1"/>
  <c r="K24" i="5"/>
  <c r="K111" i="5" s="1"/>
  <c r="M24" i="5"/>
  <c r="M111" i="5" s="1"/>
  <c r="T24" i="5"/>
  <c r="T111" i="5" s="1"/>
  <c r="R24" i="5"/>
  <c r="R111" i="5" s="1"/>
  <c r="G129" i="5"/>
  <c r="G127" i="5" s="1"/>
  <c r="G132" i="5"/>
  <c r="B3" i="16"/>
  <c r="B20" i="16" s="1"/>
  <c r="L16" i="5"/>
  <c r="P16" i="5"/>
  <c r="Q16" i="5"/>
  <c r="F16" i="5"/>
  <c r="G8" i="5"/>
  <c r="G16" i="5"/>
  <c r="M16" i="5"/>
  <c r="T16" i="5"/>
  <c r="B6" i="19" l="1"/>
  <c r="E6" i="19"/>
  <c r="C6" i="19"/>
  <c r="D6" i="19"/>
  <c r="G8" i="27"/>
  <c r="F4" i="16"/>
  <c r="F21" i="16" s="1"/>
  <c r="B39" i="5"/>
  <c r="B38" i="5" s="1"/>
  <c r="D39" i="5"/>
  <c r="C39" i="5"/>
  <c r="C182" i="5" s="1"/>
  <c r="T49" i="5"/>
  <c r="M114" i="5"/>
  <c r="T12" i="5"/>
  <c r="W12" i="5" s="1"/>
  <c r="W13" i="5"/>
  <c r="G25" i="5"/>
  <c r="C7" i="16" s="1"/>
  <c r="C8" i="16" s="1"/>
  <c r="Q24" i="5"/>
  <c r="Q111" i="5" s="1"/>
  <c r="U24" i="5"/>
  <c r="U111" i="5" s="1"/>
  <c r="V24" i="5"/>
  <c r="V111" i="5" s="1"/>
  <c r="S24" i="5"/>
  <c r="S111" i="5" s="1"/>
  <c r="L24" i="5"/>
  <c r="L111" i="5" s="1"/>
  <c r="O24" i="5"/>
  <c r="O111" i="5" s="1"/>
  <c r="I24" i="5"/>
  <c r="V8" i="5"/>
  <c r="V132" i="5"/>
  <c r="V130" i="5" s="1"/>
  <c r="D8" i="5"/>
  <c r="U132" i="5"/>
  <c r="U130" i="5" s="1"/>
  <c r="I8" i="5"/>
  <c r="I132" i="5"/>
  <c r="I130" i="5" s="1"/>
  <c r="I129" i="5"/>
  <c r="I127" i="5" s="1"/>
  <c r="E8" i="5"/>
  <c r="E132" i="5"/>
  <c r="E130" i="5" s="1"/>
  <c r="Q132" i="5"/>
  <c r="Q130" i="5" s="1"/>
  <c r="O8" i="5"/>
  <c r="O132" i="5"/>
  <c r="O130" i="5" s="1"/>
  <c r="H132" i="5"/>
  <c r="H130" i="5" s="1"/>
  <c r="H129" i="5"/>
  <c r="H127" i="5" s="1"/>
  <c r="P132" i="5"/>
  <c r="K8" i="5"/>
  <c r="K132" i="5"/>
  <c r="K130" i="5" s="1"/>
  <c r="L132" i="5"/>
  <c r="L130" i="5" s="1"/>
  <c r="R8" i="5"/>
  <c r="R132" i="5"/>
  <c r="M8" i="5"/>
  <c r="M132" i="5"/>
  <c r="M130" i="5" s="1"/>
  <c r="N132" i="5"/>
  <c r="N130" i="5" s="1"/>
  <c r="S132" i="5"/>
  <c r="F132" i="5"/>
  <c r="F130" i="5" s="1"/>
  <c r="J132" i="5"/>
  <c r="J130" i="5" s="1"/>
  <c r="J129" i="5"/>
  <c r="J127" i="5" s="1"/>
  <c r="T8" i="5"/>
  <c r="T132" i="5"/>
  <c r="T130" i="5" s="1"/>
  <c r="H8" i="5"/>
  <c r="U16" i="5"/>
  <c r="U8" i="5"/>
  <c r="J8" i="5"/>
  <c r="J16" i="5"/>
  <c r="J114" i="5" s="1"/>
  <c r="N16" i="5"/>
  <c r="N114" i="5" s="1"/>
  <c r="W9" i="5"/>
  <c r="C16" i="5"/>
  <c r="P8" i="5"/>
  <c r="E37" i="5"/>
  <c r="E38" i="5"/>
  <c r="C8" i="5"/>
  <c r="N8" i="5"/>
  <c r="L8" i="5"/>
  <c r="V102" i="5"/>
  <c r="V16" i="5"/>
  <c r="F8" i="5"/>
  <c r="R16" i="5"/>
  <c r="R114" i="5" s="1"/>
  <c r="B8" i="5"/>
  <c r="K16" i="5"/>
  <c r="K114" i="5" s="1"/>
  <c r="O16" i="5"/>
  <c r="S16" i="5"/>
  <c r="Q8" i="5"/>
  <c r="B16" i="5"/>
  <c r="B116" i="5" s="1"/>
  <c r="W17" i="5"/>
  <c r="G130" i="5"/>
  <c r="S8" i="5"/>
  <c r="F38" i="5"/>
  <c r="F37" i="5"/>
  <c r="F173" i="5" l="1"/>
  <c r="E173" i="5"/>
  <c r="E123" i="5"/>
  <c r="D37" i="5"/>
  <c r="D182" i="5"/>
  <c r="C25" i="16"/>
  <c r="G8" i="16"/>
  <c r="G9" i="27"/>
  <c r="F6" i="19"/>
  <c r="G4" i="16"/>
  <c r="G11" i="27"/>
  <c r="B37" i="5"/>
  <c r="B5" i="22"/>
  <c r="B9" i="22" s="1"/>
  <c r="B3" i="5"/>
  <c r="B103" i="5"/>
  <c r="B106" i="5"/>
  <c r="B107" i="5" s="1"/>
  <c r="B105" i="5" s="1"/>
  <c r="G24" i="5"/>
  <c r="G109" i="5"/>
  <c r="G39" i="5"/>
  <c r="G38" i="5" s="1"/>
  <c r="B128" i="5"/>
  <c r="B129" i="5" s="1"/>
  <c r="B127" i="5" s="1"/>
  <c r="B156" i="5"/>
  <c r="F3" i="5"/>
  <c r="D38" i="5"/>
  <c r="D3" i="5" s="1"/>
  <c r="B114" i="5"/>
  <c r="S114" i="5"/>
  <c r="O114" i="5"/>
  <c r="G111" i="5"/>
  <c r="I114" i="5"/>
  <c r="I111" i="5"/>
  <c r="Q114" i="5"/>
  <c r="L114" i="5"/>
  <c r="N11" i="5"/>
  <c r="R11" i="5"/>
  <c r="V11" i="5"/>
  <c r="Q11" i="5"/>
  <c r="T11" i="5"/>
  <c r="P11" i="5"/>
  <c r="O11" i="5"/>
  <c r="S11" i="5"/>
  <c r="U11" i="5"/>
  <c r="E3" i="5"/>
  <c r="Y13" i="5"/>
  <c r="Z13" i="5" s="1"/>
  <c r="AA13" i="5" s="1"/>
  <c r="H38" i="5"/>
  <c r="H37" i="5"/>
  <c r="C38" i="5"/>
  <c r="C3" i="5" s="1"/>
  <c r="C37" i="5"/>
  <c r="P24" i="5"/>
  <c r="H24" i="5"/>
  <c r="W25" i="5"/>
  <c r="Y25" i="5" s="1"/>
  <c r="T102" i="5"/>
  <c r="R130" i="5"/>
  <c r="W80" i="5"/>
  <c r="W177" i="5"/>
  <c r="P130" i="5"/>
  <c r="Y9" i="5"/>
  <c r="G3" i="16"/>
  <c r="S130" i="5"/>
  <c r="W8" i="5"/>
  <c r="X17" i="5"/>
  <c r="Y17" i="5"/>
  <c r="W16" i="5"/>
  <c r="D173" i="5" l="1"/>
  <c r="D123" i="5"/>
  <c r="D121" i="5" s="1"/>
  <c r="C173" i="5"/>
  <c r="C123" i="5"/>
  <c r="B122" i="5"/>
  <c r="B123" i="5" s="1"/>
  <c r="B121" i="5" s="1"/>
  <c r="B173" i="5"/>
  <c r="B14" i="16"/>
  <c r="B29" i="16" s="1"/>
  <c r="G20" i="27"/>
  <c r="G18" i="27"/>
  <c r="C5" i="22"/>
  <c r="G3" i="5"/>
  <c r="G37" i="5"/>
  <c r="H3" i="5"/>
  <c r="B104" i="5"/>
  <c r="B102" i="5" s="1"/>
  <c r="B186" i="5"/>
  <c r="D103" i="5"/>
  <c r="D128" i="5"/>
  <c r="D129" i="5" s="1"/>
  <c r="D127" i="5" s="1"/>
  <c r="D156" i="5"/>
  <c r="D106" i="5"/>
  <c r="D107" i="5" s="1"/>
  <c r="D105" i="5" s="1"/>
  <c r="H114" i="5"/>
  <c r="H111" i="5"/>
  <c r="P114" i="5"/>
  <c r="P111" i="5"/>
  <c r="B55" i="23"/>
  <c r="B9" i="23"/>
  <c r="I37" i="5"/>
  <c r="E103" i="5" s="1"/>
  <c r="I38" i="5"/>
  <c r="I3" i="5" s="1"/>
  <c r="G7" i="16"/>
  <c r="W24" i="5"/>
  <c r="X25" i="5"/>
  <c r="Z25" i="5" s="1"/>
  <c r="AA25" i="5" s="1"/>
  <c r="Z17" i="5"/>
  <c r="AA17" i="5" s="1"/>
  <c r="Z9" i="5"/>
  <c r="B4" i="18" l="1"/>
  <c r="B7" i="18" s="1"/>
  <c r="B52" i="23" s="1"/>
  <c r="B3" i="21"/>
  <c r="B2" i="3"/>
  <c r="C9" i="22"/>
  <c r="C55" i="23" s="1"/>
  <c r="B26" i="16"/>
  <c r="B30" i="16" s="1"/>
  <c r="C156" i="5"/>
  <c r="C14" i="16"/>
  <c r="C121" i="5"/>
  <c r="C103" i="5"/>
  <c r="C104" i="5" s="1"/>
  <c r="C102" i="5" s="1"/>
  <c r="C106" i="5"/>
  <c r="C107" i="5" s="1"/>
  <c r="C105" i="5" s="1"/>
  <c r="C128" i="5"/>
  <c r="C129" i="5" s="1"/>
  <c r="C127" i="5" s="1"/>
  <c r="D188" i="5"/>
  <c r="D104" i="5"/>
  <c r="D102" i="5" s="1"/>
  <c r="E121" i="5"/>
  <c r="E104" i="5"/>
  <c r="E102" i="5" s="1"/>
  <c r="E128" i="5"/>
  <c r="E129" i="5" s="1"/>
  <c r="E127" i="5" s="1"/>
  <c r="E106" i="5"/>
  <c r="E107" i="5" s="1"/>
  <c r="E105" i="5" s="1"/>
  <c r="E156" i="5"/>
  <c r="C4" i="18"/>
  <c r="C7" i="18" s="1"/>
  <c r="J38" i="5"/>
  <c r="J3" i="5" s="1"/>
  <c r="J37" i="5"/>
  <c r="D183" i="5"/>
  <c r="D184" i="5"/>
  <c r="B54" i="23"/>
  <c r="B183" i="5"/>
  <c r="B184" i="5"/>
  <c r="E54" i="23"/>
  <c r="B8" i="23"/>
  <c r="C54" i="23"/>
  <c r="AA9" i="5"/>
  <c r="B7" i="23" l="1"/>
  <c r="C9" i="23"/>
  <c r="B3" i="19"/>
  <c r="B7" i="19" s="1"/>
  <c r="B79" i="23" s="1"/>
  <c r="C29" i="16"/>
  <c r="E188" i="5"/>
  <c r="F107" i="5"/>
  <c r="F105" i="5" s="1"/>
  <c r="F128" i="5"/>
  <c r="F129" i="5" s="1"/>
  <c r="F127" i="5" s="1"/>
  <c r="F121" i="5"/>
  <c r="F104" i="5"/>
  <c r="F102" i="5" s="1"/>
  <c r="B5" i="23"/>
  <c r="K38" i="5"/>
  <c r="H183" i="5"/>
  <c r="H184" i="5"/>
  <c r="W178" i="5"/>
  <c r="W70" i="5"/>
  <c r="C184" i="5"/>
  <c r="G183" i="5"/>
  <c r="G184" i="5"/>
  <c r="C183" i="5"/>
  <c r="F184" i="5"/>
  <c r="J184" i="5"/>
  <c r="F183" i="5"/>
  <c r="J183" i="5"/>
  <c r="E184" i="5"/>
  <c r="E183" i="5"/>
  <c r="I183" i="5"/>
  <c r="I184" i="5"/>
  <c r="C8" i="23"/>
  <c r="E8" i="23"/>
  <c r="D54" i="23"/>
  <c r="F54" i="23"/>
  <c r="B8" i="19" l="1"/>
  <c r="B12" i="23" s="1"/>
  <c r="C3" i="21"/>
  <c r="C80" i="23" s="1"/>
  <c r="C2" i="3"/>
  <c r="C4" i="23"/>
  <c r="F188" i="5"/>
  <c r="C26" i="16"/>
  <c r="C3" i="19" s="1"/>
  <c r="B9" i="15"/>
  <c r="B12" i="15" s="1"/>
  <c r="C7" i="23"/>
  <c r="C52" i="23"/>
  <c r="C49" i="23"/>
  <c r="K37" i="5"/>
  <c r="K41" i="5"/>
  <c r="K169" i="5" s="1"/>
  <c r="K48" i="5"/>
  <c r="K47" i="5"/>
  <c r="L38" i="5"/>
  <c r="L41" i="5"/>
  <c r="L169" i="5" s="1"/>
  <c r="B3" i="20"/>
  <c r="B4" i="20" s="1"/>
  <c r="B13" i="23" s="1"/>
  <c r="B50" i="23"/>
  <c r="B80" i="23"/>
  <c r="B4" i="21"/>
  <c r="B11" i="23" s="1"/>
  <c r="B49" i="23"/>
  <c r="B4" i="23"/>
  <c r="G4" i="17"/>
  <c r="F8" i="23"/>
  <c r="D8" i="23"/>
  <c r="C4" i="21" l="1"/>
  <c r="C11" i="23" s="1"/>
  <c r="C30" i="16"/>
  <c r="C50" i="23" s="1"/>
  <c r="C51" i="23" s="1"/>
  <c r="C7" i="19"/>
  <c r="G107" i="5"/>
  <c r="G105" i="5" s="1"/>
  <c r="G123" i="5"/>
  <c r="G121" i="5" s="1"/>
  <c r="K3" i="5"/>
  <c r="K129" i="5"/>
  <c r="K127" i="5" s="1"/>
  <c r="L48" i="5"/>
  <c r="L3" i="5" s="1"/>
  <c r="L47" i="5"/>
  <c r="L122" i="5" s="1"/>
  <c r="M41" i="5"/>
  <c r="M38" i="5"/>
  <c r="L37" i="5"/>
  <c r="B51" i="23"/>
  <c r="B92" i="23"/>
  <c r="B93" i="23" s="1"/>
  <c r="L137" i="5" l="1"/>
  <c r="L174" i="5" s="1"/>
  <c r="L149" i="5"/>
  <c r="K183" i="5"/>
  <c r="C79" i="23"/>
  <c r="C8" i="19"/>
  <c r="C12" i="23" s="1"/>
  <c r="C5" i="23"/>
  <c r="C3" i="20"/>
  <c r="C92" i="23" s="1"/>
  <c r="C93" i="23" s="1"/>
  <c r="G104" i="5"/>
  <c r="G102" i="5" s="1"/>
  <c r="G188" i="5"/>
  <c r="H106" i="5"/>
  <c r="H107" i="5" s="1"/>
  <c r="H105" i="5" s="1"/>
  <c r="H123" i="5"/>
  <c r="H121" i="5" s="1"/>
  <c r="H103" i="5"/>
  <c r="H104" i="5" s="1"/>
  <c r="H102" i="5" s="1"/>
  <c r="L129" i="5"/>
  <c r="L127" i="5" s="1"/>
  <c r="M47" i="5"/>
  <c r="M122" i="5" s="1"/>
  <c r="M48" i="5"/>
  <c r="M37" i="5"/>
  <c r="D14" i="16" s="1"/>
  <c r="N38" i="5"/>
  <c r="N37" i="5"/>
  <c r="M137" i="5" l="1"/>
  <c r="M174" i="5" s="1"/>
  <c r="D4" i="18" s="1"/>
  <c r="D7" i="18" s="1"/>
  <c r="M149" i="5"/>
  <c r="C4" i="20"/>
  <c r="C13" i="23" s="1"/>
  <c r="H188" i="5"/>
  <c r="I103" i="5"/>
  <c r="I104" i="5" s="1"/>
  <c r="I102" i="5" s="1"/>
  <c r="I106" i="5"/>
  <c r="I107" i="5" s="1"/>
  <c r="I105" i="5" s="1"/>
  <c r="I123" i="5"/>
  <c r="I121" i="5" s="1"/>
  <c r="J103" i="5"/>
  <c r="J104" i="5" s="1"/>
  <c r="J102" i="5" s="1"/>
  <c r="J106" i="5"/>
  <c r="J107" i="5" s="1"/>
  <c r="J105" i="5" s="1"/>
  <c r="J123" i="5"/>
  <c r="J121" i="5" s="1"/>
  <c r="M129" i="5"/>
  <c r="M127" i="5" s="1"/>
  <c r="N47" i="5"/>
  <c r="M51" i="5"/>
  <c r="O38" i="5"/>
  <c r="N41" i="5"/>
  <c r="N48" i="5"/>
  <c r="M3" i="5" l="1"/>
  <c r="M169" i="5"/>
  <c r="D5" i="22" s="1"/>
  <c r="D9" i="22" s="1"/>
  <c r="D16" i="16"/>
  <c r="D27" i="16" s="1"/>
  <c r="D4" i="19" s="1"/>
  <c r="N122" i="5"/>
  <c r="I188" i="5"/>
  <c r="J188" i="5" s="1"/>
  <c r="N129" i="5"/>
  <c r="N127" i="5" s="1"/>
  <c r="N51" i="5"/>
  <c r="O37" i="5"/>
  <c r="O41" i="5"/>
  <c r="O48" i="5"/>
  <c r="P38" i="5"/>
  <c r="P37" i="5"/>
  <c r="B37" i="23" a="1"/>
  <c r="N149" i="5" l="1"/>
  <c r="N137" i="5"/>
  <c r="N174" i="5" s="1"/>
  <c r="N3" i="5"/>
  <c r="N169" i="5"/>
  <c r="D26" i="16"/>
  <c r="D3" i="19" s="1"/>
  <c r="D29" i="16"/>
  <c r="D30" i="16" s="1"/>
  <c r="C9" i="15"/>
  <c r="C12" i="15" s="1"/>
  <c r="L103" i="5"/>
  <c r="L104" i="5" s="1"/>
  <c r="L102" i="5" s="1"/>
  <c r="L106" i="5"/>
  <c r="L107" i="5" s="1"/>
  <c r="L105" i="5" s="1"/>
  <c r="L123" i="5"/>
  <c r="L121" i="5" s="1"/>
  <c r="L156" i="5"/>
  <c r="K106" i="5"/>
  <c r="K107" i="5" s="1"/>
  <c r="K105" i="5" s="1"/>
  <c r="K123" i="5"/>
  <c r="K121" i="5" s="1"/>
  <c r="K156" i="5"/>
  <c r="K103" i="5"/>
  <c r="D7" i="23"/>
  <c r="D52" i="23"/>
  <c r="Q38" i="5"/>
  <c r="Q41" i="5"/>
  <c r="O51" i="5"/>
  <c r="P41" i="5"/>
  <c r="P48" i="5"/>
  <c r="O47" i="5"/>
  <c r="O122" i="5" s="1"/>
  <c r="V157" i="5"/>
  <c r="V155" i="5" s="1"/>
  <c r="O137" i="5" l="1"/>
  <c r="O174" i="5" s="1"/>
  <c r="O149" i="5"/>
  <c r="D3" i="21"/>
  <c r="D4" i="21" s="1"/>
  <c r="D11" i="23" s="1"/>
  <c r="D2" i="3"/>
  <c r="O3" i="5"/>
  <c r="O169" i="5"/>
  <c r="D55" i="23"/>
  <c r="D9" i="23"/>
  <c r="O143" i="5"/>
  <c r="O144" i="5" s="1"/>
  <c r="O142" i="5" s="1"/>
  <c r="D4" i="23"/>
  <c r="D7" i="19"/>
  <c r="D79" i="23" s="1"/>
  <c r="D5" i="23"/>
  <c r="K104" i="5"/>
  <c r="K102" i="5" s="1"/>
  <c r="K188" i="5"/>
  <c r="O129" i="5"/>
  <c r="O127" i="5" s="1"/>
  <c r="Q37" i="5"/>
  <c r="E14" i="16" s="1"/>
  <c r="D49" i="23"/>
  <c r="P51" i="5"/>
  <c r="Q47" i="5"/>
  <c r="Q48" i="5"/>
  <c r="R37" i="5"/>
  <c r="R38" i="5"/>
  <c r="P47" i="5"/>
  <c r="U102" i="5"/>
  <c r="G157" i="5"/>
  <c r="G155" i="5" s="1"/>
  <c r="I157" i="5"/>
  <c r="I155" i="5" s="1"/>
  <c r="K157" i="5"/>
  <c r="K155" i="5" s="1"/>
  <c r="L157" i="5"/>
  <c r="L155" i="5" s="1"/>
  <c r="F157" i="5"/>
  <c r="F155" i="5" s="1"/>
  <c r="J157" i="5"/>
  <c r="J155" i="5" s="1"/>
  <c r="D157" i="5"/>
  <c r="D155" i="5" s="1"/>
  <c r="C157" i="5"/>
  <c r="C155" i="5" s="1"/>
  <c r="B157" i="5"/>
  <c r="B155" i="5" s="1"/>
  <c r="E157" i="5"/>
  <c r="E155" i="5" s="1"/>
  <c r="U157" i="5"/>
  <c r="U155" i="5" s="1"/>
  <c r="T157" i="5"/>
  <c r="T155" i="5" s="1"/>
  <c r="H157" i="5"/>
  <c r="H155" i="5" s="1"/>
  <c r="C20" i="4"/>
  <c r="R101" i="5" s="1"/>
  <c r="R99" i="5" s="1"/>
  <c r="D80" i="23" l="1"/>
  <c r="P3" i="5"/>
  <c r="P169" i="5"/>
  <c r="Q122" i="5"/>
  <c r="Q128" i="5"/>
  <c r="P128" i="5"/>
  <c r="P122" i="5"/>
  <c r="D8" i="19"/>
  <c r="D12" i="23" s="1"/>
  <c r="D50" i="23"/>
  <c r="D51" i="23" s="1"/>
  <c r="D3" i="20"/>
  <c r="D92" i="23" s="1"/>
  <c r="D93" i="23" s="1"/>
  <c r="L188" i="5"/>
  <c r="N103" i="5"/>
  <c r="N104" i="5" s="1"/>
  <c r="N102" i="5" s="1"/>
  <c r="N157" i="5"/>
  <c r="N155" i="5" s="1"/>
  <c r="N106" i="5"/>
  <c r="N107" i="5" s="1"/>
  <c r="N105" i="5" s="1"/>
  <c r="N123" i="5"/>
  <c r="N121" i="5" s="1"/>
  <c r="M123" i="5"/>
  <c r="M121" i="5" s="1"/>
  <c r="M156" i="5"/>
  <c r="M157" i="5" s="1"/>
  <c r="M155" i="5" s="1"/>
  <c r="M103" i="5"/>
  <c r="M104" i="5" s="1"/>
  <c r="M102" i="5" s="1"/>
  <c r="M106" i="5"/>
  <c r="M107" i="5" s="1"/>
  <c r="M105" i="5" s="1"/>
  <c r="R48" i="5"/>
  <c r="R41" i="5"/>
  <c r="Q51" i="5"/>
  <c r="R47" i="5"/>
  <c r="S38" i="5"/>
  <c r="S41" i="5"/>
  <c r="L101" i="5"/>
  <c r="L99" i="5" s="1"/>
  <c r="K101" i="5"/>
  <c r="K99" i="5" s="1"/>
  <c r="P101" i="5"/>
  <c r="P99" i="5" s="1"/>
  <c r="J101" i="5"/>
  <c r="J99" i="5" s="1"/>
  <c r="E101" i="5"/>
  <c r="E99" i="5" s="1"/>
  <c r="I101" i="5"/>
  <c r="I99" i="5" s="1"/>
  <c r="S101" i="5"/>
  <c r="S99" i="5" s="1"/>
  <c r="V101" i="5"/>
  <c r="V99" i="5" s="1"/>
  <c r="H101" i="5"/>
  <c r="H99" i="5" s="1"/>
  <c r="B101" i="5"/>
  <c r="B99" i="5" s="1"/>
  <c r="N101" i="5"/>
  <c r="N99" i="5" s="1"/>
  <c r="T101" i="5"/>
  <c r="T99" i="5" s="1"/>
  <c r="F101" i="5"/>
  <c r="F99" i="5" s="1"/>
  <c r="C101" i="5"/>
  <c r="C99" i="5" s="1"/>
  <c r="U101" i="5"/>
  <c r="U99" i="5" s="1"/>
  <c r="Q101" i="5"/>
  <c r="Q99" i="5" s="1"/>
  <c r="O101" i="5"/>
  <c r="O99" i="5" s="1"/>
  <c r="G101" i="5"/>
  <c r="G99" i="5" s="1"/>
  <c r="D101" i="5"/>
  <c r="D99" i="5" s="1"/>
  <c r="M101" i="5"/>
  <c r="M99" i="5" s="1"/>
  <c r="C23" i="4"/>
  <c r="M110" i="5" s="1"/>
  <c r="M108" i="5" s="1"/>
  <c r="P137" i="5" l="1"/>
  <c r="P174" i="5" s="1"/>
  <c r="P149" i="5"/>
  <c r="Q137" i="5"/>
  <c r="Q174" i="5" s="1"/>
  <c r="Q149" i="5"/>
  <c r="Q3" i="5"/>
  <c r="Q169" i="5"/>
  <c r="E5" i="22" s="1"/>
  <c r="E9" i="22" s="1"/>
  <c r="E16" i="16"/>
  <c r="E27" i="16" s="1"/>
  <c r="E4" i="19" s="1"/>
  <c r="R128" i="5"/>
  <c r="D4" i="20"/>
  <c r="D13" i="23" s="1"/>
  <c r="M188" i="5"/>
  <c r="N188" i="5" s="1"/>
  <c r="M95" i="5"/>
  <c r="S37" i="5"/>
  <c r="T38" i="5"/>
  <c r="T41" i="5"/>
  <c r="S48" i="5"/>
  <c r="R51" i="5"/>
  <c r="E110" i="5"/>
  <c r="E108" i="5" s="1"/>
  <c r="E95" i="5" s="1"/>
  <c r="D110" i="5"/>
  <c r="D108" i="5" s="1"/>
  <c r="D95" i="5" s="1"/>
  <c r="B110" i="5"/>
  <c r="B108" i="5" s="1"/>
  <c r="B95" i="5" s="1"/>
  <c r="P110" i="5"/>
  <c r="P108" i="5" s="1"/>
  <c r="T110" i="5"/>
  <c r="T108" i="5" s="1"/>
  <c r="R110" i="5"/>
  <c r="R108" i="5" s="1"/>
  <c r="V110" i="5"/>
  <c r="V108" i="5" s="1"/>
  <c r="O110" i="5"/>
  <c r="O108" i="5" s="1"/>
  <c r="L110" i="5"/>
  <c r="L108" i="5" s="1"/>
  <c r="L95" i="5" s="1"/>
  <c r="I110" i="5"/>
  <c r="I108" i="5" s="1"/>
  <c r="I95" i="5" s="1"/>
  <c r="G110" i="5"/>
  <c r="G108" i="5" s="1"/>
  <c r="G95" i="5" s="1"/>
  <c r="H110" i="5"/>
  <c r="H108" i="5" s="1"/>
  <c r="H95" i="5" s="1"/>
  <c r="K110" i="5"/>
  <c r="K108" i="5" s="1"/>
  <c r="K95" i="5" s="1"/>
  <c r="U110" i="5"/>
  <c r="U108" i="5" s="1"/>
  <c r="J110" i="5"/>
  <c r="J108" i="5" s="1"/>
  <c r="J95" i="5" s="1"/>
  <c r="C110" i="5"/>
  <c r="C108" i="5" s="1"/>
  <c r="C95" i="5" s="1"/>
  <c r="Q110" i="5"/>
  <c r="Q108" i="5" s="1"/>
  <c r="F110" i="5"/>
  <c r="F108" i="5" s="1"/>
  <c r="F95" i="5" s="1"/>
  <c r="N110" i="5"/>
  <c r="N108" i="5" s="1"/>
  <c r="N95" i="5" s="1"/>
  <c r="E4" i="18" l="1"/>
  <c r="E7" i="18" s="1"/>
  <c r="E52" i="23" s="1"/>
  <c r="P143" i="5"/>
  <c r="P144" i="5" s="1"/>
  <c r="P142" i="5" s="1"/>
  <c r="Q143" i="5"/>
  <c r="Q144" i="5" s="1"/>
  <c r="Q142" i="5" s="1"/>
  <c r="W174" i="5"/>
  <c r="R3" i="5"/>
  <c r="R169" i="5"/>
  <c r="E26" i="16"/>
  <c r="E3" i="19" s="1"/>
  <c r="E29" i="16"/>
  <c r="D9" i="15"/>
  <c r="D12" i="15" s="1"/>
  <c r="O103" i="5"/>
  <c r="O157" i="5"/>
  <c r="O155" i="5" s="1"/>
  <c r="O123" i="5"/>
  <c r="O121" i="5" s="1"/>
  <c r="O106" i="5"/>
  <c r="O107" i="5" s="1"/>
  <c r="O105" i="5" s="1"/>
  <c r="T48" i="5"/>
  <c r="S51" i="5"/>
  <c r="T37" i="5"/>
  <c r="S47" i="5"/>
  <c r="U41" i="5"/>
  <c r="U38" i="5"/>
  <c r="C30" i="4"/>
  <c r="L135" i="5" s="1"/>
  <c r="L133" i="5" s="1"/>
  <c r="C31" i="4"/>
  <c r="G138" i="5" s="1"/>
  <c r="G136" i="5" s="1"/>
  <c r="E7" i="23" l="1"/>
  <c r="E3" i="21"/>
  <c r="E2" i="3"/>
  <c r="S3" i="5"/>
  <c r="S169" i="5"/>
  <c r="E49" i="23"/>
  <c r="E4" i="23"/>
  <c r="E30" i="16"/>
  <c r="E5" i="23" s="1"/>
  <c r="E7" i="19"/>
  <c r="E8" i="19" s="1"/>
  <c r="E12" i="23" s="1"/>
  <c r="O104" i="5"/>
  <c r="O102" i="5" s="1"/>
  <c r="O95" i="5" s="1"/>
  <c r="O188" i="5"/>
  <c r="P157" i="5"/>
  <c r="P155" i="5" s="1"/>
  <c r="P103" i="5"/>
  <c r="P104" i="5" s="1"/>
  <c r="P102" i="5" s="1"/>
  <c r="P123" i="5"/>
  <c r="P121" i="5" s="1"/>
  <c r="P129" i="5"/>
  <c r="P127" i="5" s="1"/>
  <c r="P106" i="5"/>
  <c r="P107" i="5" s="1"/>
  <c r="P105" i="5" s="1"/>
  <c r="U47" i="5"/>
  <c r="U128" i="5" s="1"/>
  <c r="U129" i="5" s="1"/>
  <c r="U127" i="5" s="1"/>
  <c r="T51" i="5"/>
  <c r="T47" i="5"/>
  <c r="T128" i="5" s="1"/>
  <c r="T129" i="5" s="1"/>
  <c r="T127" i="5" s="1"/>
  <c r="V38" i="5"/>
  <c r="V37" i="5"/>
  <c r="W39" i="5"/>
  <c r="U37" i="5"/>
  <c r="U48" i="5"/>
  <c r="U135" i="5"/>
  <c r="U133" i="5" s="1"/>
  <c r="V135" i="5"/>
  <c r="V133" i="5" s="1"/>
  <c r="I138" i="5"/>
  <c r="I136" i="5" s="1"/>
  <c r="N138" i="5"/>
  <c r="N136" i="5" s="1"/>
  <c r="Q138" i="5"/>
  <c r="Q136" i="5" s="1"/>
  <c r="F138" i="5"/>
  <c r="F136" i="5" s="1"/>
  <c r="R138" i="5"/>
  <c r="R136" i="5" s="1"/>
  <c r="S138" i="5"/>
  <c r="S136" i="5" s="1"/>
  <c r="C138" i="5"/>
  <c r="C136" i="5" s="1"/>
  <c r="L138" i="5"/>
  <c r="L136" i="5" s="1"/>
  <c r="P138" i="5"/>
  <c r="P136" i="5" s="1"/>
  <c r="H138" i="5"/>
  <c r="H136" i="5" s="1"/>
  <c r="U138" i="5"/>
  <c r="U136" i="5" s="1"/>
  <c r="J138" i="5"/>
  <c r="J136" i="5" s="1"/>
  <c r="B138" i="5"/>
  <c r="B136" i="5" s="1"/>
  <c r="V138" i="5"/>
  <c r="V136" i="5" s="1"/>
  <c r="P135" i="5"/>
  <c r="P133" i="5" s="1"/>
  <c r="T138" i="5"/>
  <c r="T136" i="5" s="1"/>
  <c r="O138" i="5"/>
  <c r="O136" i="5" s="1"/>
  <c r="D138" i="5"/>
  <c r="D136" i="5" s="1"/>
  <c r="H135" i="5"/>
  <c r="H133" i="5" s="1"/>
  <c r="K138" i="5"/>
  <c r="K136" i="5" s="1"/>
  <c r="M138" i="5"/>
  <c r="M136" i="5" s="1"/>
  <c r="E138" i="5"/>
  <c r="E136" i="5" s="1"/>
  <c r="B135" i="5"/>
  <c r="B133" i="5" s="1"/>
  <c r="K135" i="5"/>
  <c r="K133" i="5" s="1"/>
  <c r="I135" i="5"/>
  <c r="I133" i="5" s="1"/>
  <c r="N135" i="5"/>
  <c r="N133" i="5" s="1"/>
  <c r="D135" i="5"/>
  <c r="D133" i="5" s="1"/>
  <c r="G135" i="5"/>
  <c r="G133" i="5" s="1"/>
  <c r="S135" i="5"/>
  <c r="S133" i="5" s="1"/>
  <c r="E135" i="5"/>
  <c r="E133" i="5" s="1"/>
  <c r="M135" i="5"/>
  <c r="M133" i="5" s="1"/>
  <c r="T135" i="5"/>
  <c r="T133" i="5" s="1"/>
  <c r="F135" i="5"/>
  <c r="F133" i="5" s="1"/>
  <c r="C135" i="5"/>
  <c r="C133" i="5" s="1"/>
  <c r="Q135" i="5"/>
  <c r="Q133" i="5" s="1"/>
  <c r="J135" i="5"/>
  <c r="J133" i="5" s="1"/>
  <c r="R135" i="5"/>
  <c r="R133" i="5" s="1"/>
  <c r="O135" i="5"/>
  <c r="O133" i="5" s="1"/>
  <c r="C34" i="4"/>
  <c r="M147" i="5" s="1"/>
  <c r="M145" i="5" s="1"/>
  <c r="T3" i="5" l="1"/>
  <c r="T169" i="5"/>
  <c r="F14" i="16"/>
  <c r="G26" i="27"/>
  <c r="G24" i="27"/>
  <c r="E79" i="23"/>
  <c r="E3" i="20"/>
  <c r="E92" i="23" s="1"/>
  <c r="E93" i="23" s="1"/>
  <c r="E50" i="23"/>
  <c r="E51" i="23" s="1"/>
  <c r="P188" i="5"/>
  <c r="Q103" i="5"/>
  <c r="Q104" i="5" s="1"/>
  <c r="Q102" i="5" s="1"/>
  <c r="Q106" i="5"/>
  <c r="Q107" i="5" s="1"/>
  <c r="Q105" i="5" s="1"/>
  <c r="Q123" i="5"/>
  <c r="Q121" i="5" s="1"/>
  <c r="Q157" i="5"/>
  <c r="Q155" i="5" s="1"/>
  <c r="Q129" i="5"/>
  <c r="Q127" i="5" s="1"/>
  <c r="P95" i="5"/>
  <c r="R103" i="5"/>
  <c r="R104" i="5" s="1"/>
  <c r="R102" i="5" s="1"/>
  <c r="R106" i="5"/>
  <c r="R107" i="5" s="1"/>
  <c r="R105" i="5" s="1"/>
  <c r="R157" i="5"/>
  <c r="R155" i="5" s="1"/>
  <c r="R123" i="5"/>
  <c r="R121" i="5" s="1"/>
  <c r="R129" i="5"/>
  <c r="R127" i="5" s="1"/>
  <c r="T121" i="5"/>
  <c r="T107" i="5"/>
  <c r="T105" i="5" s="1"/>
  <c r="T95" i="5" s="1"/>
  <c r="U147" i="5"/>
  <c r="U145" i="5" s="1"/>
  <c r="V147" i="5"/>
  <c r="V145" i="5" s="1"/>
  <c r="J147" i="5"/>
  <c r="J145" i="5" s="1"/>
  <c r="E80" i="23"/>
  <c r="E4" i="21"/>
  <c r="E11" i="23" s="1"/>
  <c r="W37" i="5"/>
  <c r="S103" i="5" s="1"/>
  <c r="V48" i="5"/>
  <c r="W49" i="5"/>
  <c r="V41" i="5"/>
  <c r="W42" i="5"/>
  <c r="U107" i="5"/>
  <c r="U105" i="5" s="1"/>
  <c r="U95" i="5" s="1"/>
  <c r="U121" i="5"/>
  <c r="U51" i="5"/>
  <c r="V47" i="5"/>
  <c r="I147" i="5"/>
  <c r="I145" i="5" s="1"/>
  <c r="R147" i="5"/>
  <c r="R145" i="5" s="1"/>
  <c r="E147" i="5"/>
  <c r="E145" i="5" s="1"/>
  <c r="L147" i="5"/>
  <c r="L145" i="5" s="1"/>
  <c r="K147" i="5"/>
  <c r="K145" i="5" s="1"/>
  <c r="O147" i="5"/>
  <c r="O145" i="5" s="1"/>
  <c r="N147" i="5"/>
  <c r="N145" i="5" s="1"/>
  <c r="T147" i="5"/>
  <c r="T145" i="5" s="1"/>
  <c r="C147" i="5"/>
  <c r="C145" i="5" s="1"/>
  <c r="H147" i="5"/>
  <c r="H145" i="5" s="1"/>
  <c r="P147" i="5"/>
  <c r="P145" i="5" s="1"/>
  <c r="D147" i="5"/>
  <c r="D145" i="5" s="1"/>
  <c r="S147" i="5"/>
  <c r="S145" i="5" s="1"/>
  <c r="B147" i="5"/>
  <c r="B145" i="5" s="1"/>
  <c r="Q147" i="5"/>
  <c r="Q145" i="5" s="1"/>
  <c r="G147" i="5"/>
  <c r="G145" i="5" s="1"/>
  <c r="F147" i="5"/>
  <c r="F145" i="5" s="1"/>
  <c r="C35" i="4"/>
  <c r="M150" i="5" s="1"/>
  <c r="M148" i="5" s="1"/>
  <c r="M117" i="5" s="1"/>
  <c r="U3" i="5" l="1"/>
  <c r="U169" i="5"/>
  <c r="F5" i="22" s="1"/>
  <c r="F9" i="22" s="1"/>
  <c r="V128" i="5"/>
  <c r="V129" i="5" s="1"/>
  <c r="V127" i="5" s="1"/>
  <c r="F16" i="16"/>
  <c r="G29" i="27"/>
  <c r="G27" i="27"/>
  <c r="E4" i="20"/>
  <c r="E13" i="23" s="1"/>
  <c r="Q188" i="5"/>
  <c r="R188" i="5" s="1"/>
  <c r="F4" i="18"/>
  <c r="F7" i="18" s="1"/>
  <c r="R95" i="5"/>
  <c r="Q95" i="5"/>
  <c r="S129" i="5"/>
  <c r="S127" i="5" s="1"/>
  <c r="S123" i="5"/>
  <c r="S121" i="5" s="1"/>
  <c r="S110" i="5"/>
  <c r="S108" i="5" s="1"/>
  <c r="S106" i="5"/>
  <c r="S107" i="5" s="1"/>
  <c r="S105" i="5" s="1"/>
  <c r="S157" i="5"/>
  <c r="S155" i="5" s="1"/>
  <c r="S104" i="5"/>
  <c r="S102" i="5" s="1"/>
  <c r="W48" i="5"/>
  <c r="G14" i="16"/>
  <c r="W181" i="5"/>
  <c r="Y37" i="5"/>
  <c r="X37" i="5"/>
  <c r="V51" i="5"/>
  <c r="W52" i="5"/>
  <c r="V107" i="5"/>
  <c r="V105" i="5" s="1"/>
  <c r="V95" i="5" s="1"/>
  <c r="W47" i="5"/>
  <c r="V121" i="5"/>
  <c r="R150" i="5"/>
  <c r="R148" i="5" s="1"/>
  <c r="R117" i="5" s="1"/>
  <c r="L150" i="5"/>
  <c r="L148" i="5" s="1"/>
  <c r="L117" i="5" s="1"/>
  <c r="F150" i="5"/>
  <c r="F148" i="5" s="1"/>
  <c r="F117" i="5" s="1"/>
  <c r="V150" i="5"/>
  <c r="V148" i="5" s="1"/>
  <c r="Q150" i="5"/>
  <c r="Q148" i="5" s="1"/>
  <c r="Q117" i="5" s="1"/>
  <c r="J150" i="5"/>
  <c r="J148" i="5" s="1"/>
  <c r="J117" i="5" s="1"/>
  <c r="H150" i="5"/>
  <c r="H148" i="5" s="1"/>
  <c r="H117" i="5" s="1"/>
  <c r="O150" i="5"/>
  <c r="O148" i="5" s="1"/>
  <c r="O117" i="5" s="1"/>
  <c r="N150" i="5"/>
  <c r="N148" i="5" s="1"/>
  <c r="N117" i="5" s="1"/>
  <c r="E150" i="5"/>
  <c r="E148" i="5" s="1"/>
  <c r="E117" i="5" s="1"/>
  <c r="P150" i="5"/>
  <c r="P148" i="5" s="1"/>
  <c r="P117" i="5" s="1"/>
  <c r="D150" i="5"/>
  <c r="D148" i="5" s="1"/>
  <c r="D117" i="5" s="1"/>
  <c r="C150" i="5"/>
  <c r="C148" i="5" s="1"/>
  <c r="C117" i="5" s="1"/>
  <c r="I150" i="5"/>
  <c r="I148" i="5" s="1"/>
  <c r="I117" i="5" s="1"/>
  <c r="G150" i="5"/>
  <c r="G148" i="5" s="1"/>
  <c r="G117" i="5" s="1"/>
  <c r="B150" i="5"/>
  <c r="B148" i="5" s="1"/>
  <c r="B117" i="5" s="1"/>
  <c r="T150" i="5"/>
  <c r="T148" i="5" s="1"/>
  <c r="T117" i="5" s="1"/>
  <c r="K150" i="5"/>
  <c r="K148" i="5" s="1"/>
  <c r="K117" i="5" s="1"/>
  <c r="S150" i="5"/>
  <c r="S148" i="5" s="1"/>
  <c r="U150" i="5"/>
  <c r="U148" i="5" s="1"/>
  <c r="U117" i="5" s="1"/>
  <c r="V3" i="5" l="1"/>
  <c r="W3" i="5" s="1"/>
  <c r="V169" i="5"/>
  <c r="F2" i="3"/>
  <c r="F27" i="16"/>
  <c r="F4" i="19" s="1"/>
  <c r="G16" i="16"/>
  <c r="F26" i="16"/>
  <c r="F3" i="19" s="1"/>
  <c r="F29" i="16"/>
  <c r="E9" i="15"/>
  <c r="E12" i="15" s="1"/>
  <c r="S117" i="5"/>
  <c r="S188" i="5"/>
  <c r="S95" i="5"/>
  <c r="W173" i="5"/>
  <c r="G4" i="18"/>
  <c r="F7" i="23"/>
  <c r="V117" i="5"/>
  <c r="Z37" i="5"/>
  <c r="W51" i="5"/>
  <c r="Y47" i="5"/>
  <c r="Y3" i="5" s="1"/>
  <c r="X47" i="5"/>
  <c r="C38" i="4"/>
  <c r="R160" i="5" s="1"/>
  <c r="R158" i="5" s="1"/>
  <c r="F9" i="23" l="1"/>
  <c r="F55" i="23"/>
  <c r="G5" i="22"/>
  <c r="E55" i="23"/>
  <c r="E9" i="23"/>
  <c r="G9" i="22"/>
  <c r="F3" i="21"/>
  <c r="F4" i="21" s="1"/>
  <c r="F11" i="23" s="1"/>
  <c r="F4" i="23"/>
  <c r="G33" i="27"/>
  <c r="F30" i="16"/>
  <c r="F5" i="23" s="1"/>
  <c r="F7" i="19"/>
  <c r="F79" i="23" s="1"/>
  <c r="G29" i="16"/>
  <c r="W117" i="5"/>
  <c r="T188" i="5"/>
  <c r="U188" i="5" s="1"/>
  <c r="V188" i="5" s="1"/>
  <c r="W95" i="5"/>
  <c r="W88" i="5"/>
  <c r="F49" i="23"/>
  <c r="G7" i="18"/>
  <c r="F52" i="23"/>
  <c r="Z47" i="5"/>
  <c r="AA47" i="5" s="1"/>
  <c r="X3" i="5"/>
  <c r="AA37" i="5"/>
  <c r="C160" i="5"/>
  <c r="C158" i="5" s="1"/>
  <c r="F160" i="5"/>
  <c r="F158" i="5" s="1"/>
  <c r="N160" i="5"/>
  <c r="N158" i="5" s="1"/>
  <c r="V160" i="5"/>
  <c r="V158" i="5" s="1"/>
  <c r="U160" i="5"/>
  <c r="U158" i="5" s="1"/>
  <c r="M160" i="5"/>
  <c r="M158" i="5" s="1"/>
  <c r="E160" i="5"/>
  <c r="E158" i="5" s="1"/>
  <c r="O160" i="5"/>
  <c r="O158" i="5" s="1"/>
  <c r="K160" i="5"/>
  <c r="K158" i="5" s="1"/>
  <c r="S160" i="5"/>
  <c r="S158" i="5" s="1"/>
  <c r="H160" i="5"/>
  <c r="H158" i="5" s="1"/>
  <c r="P160" i="5"/>
  <c r="P158" i="5" s="1"/>
  <c r="D160" i="5"/>
  <c r="D158" i="5" s="1"/>
  <c r="T160" i="5"/>
  <c r="T158" i="5" s="1"/>
  <c r="B160" i="5"/>
  <c r="B158" i="5" s="1"/>
  <c r="L160" i="5"/>
  <c r="L158" i="5" s="1"/>
  <c r="Q160" i="5"/>
  <c r="Q158" i="5" s="1"/>
  <c r="I160" i="5"/>
  <c r="I158" i="5" s="1"/>
  <c r="G160" i="5"/>
  <c r="G158" i="5" s="1"/>
  <c r="J160" i="5"/>
  <c r="J158" i="5" s="1"/>
  <c r="C39" i="4"/>
  <c r="C163" i="5" s="1"/>
  <c r="C161" i="5" s="1"/>
  <c r="F80" i="23" l="1"/>
  <c r="F8" i="19"/>
  <c r="F12" i="23" s="1"/>
  <c r="G30" i="16"/>
  <c r="F50" i="23"/>
  <c r="F51" i="23" s="1"/>
  <c r="F3" i="20"/>
  <c r="F4" i="20" s="1"/>
  <c r="F13" i="23" s="1"/>
  <c r="F9" i="15"/>
  <c r="F12" i="15" s="1"/>
  <c r="Z3" i="5"/>
  <c r="AA3" i="5" s="1"/>
  <c r="P163" i="5"/>
  <c r="P161" i="5" s="1"/>
  <c r="B163" i="5"/>
  <c r="B161" i="5" s="1"/>
  <c r="L163" i="5"/>
  <c r="L161" i="5" s="1"/>
  <c r="M163" i="5"/>
  <c r="M161" i="5" s="1"/>
  <c r="V163" i="5"/>
  <c r="V161" i="5" s="1"/>
  <c r="J163" i="5"/>
  <c r="J161" i="5" s="1"/>
  <c r="G163" i="5"/>
  <c r="G161" i="5" s="1"/>
  <c r="H163" i="5"/>
  <c r="H161" i="5" s="1"/>
  <c r="D163" i="5"/>
  <c r="D161" i="5" s="1"/>
  <c r="E163" i="5"/>
  <c r="E161" i="5" s="1"/>
  <c r="Q163" i="5"/>
  <c r="Q161" i="5" s="1"/>
  <c r="O163" i="5"/>
  <c r="O161" i="5" s="1"/>
  <c r="T163" i="5"/>
  <c r="T161" i="5" s="1"/>
  <c r="I163" i="5"/>
  <c r="I161" i="5" s="1"/>
  <c r="U163" i="5"/>
  <c r="U161" i="5" s="1"/>
  <c r="S163" i="5"/>
  <c r="S161" i="5" s="1"/>
  <c r="R163" i="5"/>
  <c r="R161" i="5" s="1"/>
  <c r="K163" i="5"/>
  <c r="K161" i="5" s="1"/>
  <c r="F163" i="5"/>
  <c r="F161" i="5" s="1"/>
  <c r="N163" i="5"/>
  <c r="N161" i="5" s="1"/>
  <c r="C40" i="4"/>
  <c r="H166" i="5" s="1"/>
  <c r="H164" i="5" s="1"/>
  <c r="F92" i="23" l="1"/>
  <c r="F93" i="23" s="1"/>
  <c r="G12" i="15"/>
  <c r="G15" i="15" s="1"/>
  <c r="G9" i="15"/>
  <c r="M166" i="5"/>
  <c r="M164" i="5" s="1"/>
  <c r="M151" i="5" s="1"/>
  <c r="M69" i="5" s="1"/>
  <c r="P166" i="5"/>
  <c r="P164" i="5" s="1"/>
  <c r="P151" i="5" s="1"/>
  <c r="P69" i="5" s="1"/>
  <c r="G166" i="5"/>
  <c r="G164" i="5" s="1"/>
  <c r="G151" i="5" s="1"/>
  <c r="G69" i="5" s="1"/>
  <c r="H151" i="5"/>
  <c r="H69" i="5" s="1"/>
  <c r="J166" i="5"/>
  <c r="J164" i="5" s="1"/>
  <c r="J151" i="5" s="1"/>
  <c r="C166" i="5"/>
  <c r="C164" i="5" s="1"/>
  <c r="C151" i="5" s="1"/>
  <c r="Q166" i="5"/>
  <c r="Q164" i="5" s="1"/>
  <c r="Q151" i="5" s="1"/>
  <c r="I166" i="5"/>
  <c r="I164" i="5" s="1"/>
  <c r="I151" i="5" s="1"/>
  <c r="I69" i="5" s="1"/>
  <c r="S166" i="5"/>
  <c r="S164" i="5" s="1"/>
  <c r="S151" i="5" s="1"/>
  <c r="E166" i="5"/>
  <c r="E164" i="5" s="1"/>
  <c r="E151" i="5" s="1"/>
  <c r="E69" i="5" s="1"/>
  <c r="U166" i="5"/>
  <c r="U164" i="5" s="1"/>
  <c r="U151" i="5" s="1"/>
  <c r="U69" i="5" s="1"/>
  <c r="L166" i="5"/>
  <c r="L164" i="5" s="1"/>
  <c r="L151" i="5" s="1"/>
  <c r="L69" i="5" s="1"/>
  <c r="B166" i="5"/>
  <c r="B164" i="5" s="1"/>
  <c r="B151" i="5" s="1"/>
  <c r="R166" i="5"/>
  <c r="R164" i="5" s="1"/>
  <c r="R151" i="5" s="1"/>
  <c r="F166" i="5"/>
  <c r="F164" i="5" s="1"/>
  <c r="F151" i="5" s="1"/>
  <c r="T166" i="5"/>
  <c r="T164" i="5" s="1"/>
  <c r="T151" i="5" s="1"/>
  <c r="T69" i="5" s="1"/>
  <c r="K166" i="5"/>
  <c r="K164" i="5" s="1"/>
  <c r="K151" i="5" s="1"/>
  <c r="D166" i="5"/>
  <c r="D164" i="5" s="1"/>
  <c r="D151" i="5" s="1"/>
  <c r="D69" i="5" s="1"/>
  <c r="N166" i="5"/>
  <c r="N164" i="5" s="1"/>
  <c r="N151" i="5" s="1"/>
  <c r="N69" i="5" s="1"/>
  <c r="V166" i="5"/>
  <c r="V164" i="5" s="1"/>
  <c r="V151" i="5" s="1"/>
  <c r="V69" i="5" s="1"/>
  <c r="O166" i="5"/>
  <c r="O164" i="5" s="1"/>
  <c r="O151" i="5" s="1"/>
  <c r="Q69" i="5" l="1"/>
  <c r="Q167" i="5" s="1"/>
  <c r="E5" i="17"/>
  <c r="R69" i="5"/>
  <c r="R167" i="5" s="1"/>
  <c r="R68" i="5" s="1"/>
  <c r="F5" i="17"/>
  <c r="J69" i="5"/>
  <c r="J167" i="5" s="1"/>
  <c r="J68" i="5" s="1"/>
  <c r="D5" i="17"/>
  <c r="F69" i="5"/>
  <c r="F167" i="5" s="1"/>
  <c r="C5" i="17"/>
  <c r="B69" i="5"/>
  <c r="B167" i="5" s="1"/>
  <c r="B68" i="5" s="1"/>
  <c r="B5" i="17"/>
  <c r="M167" i="5"/>
  <c r="M68" i="5" s="1"/>
  <c r="M4" i="5" s="1"/>
  <c r="P167" i="5"/>
  <c r="P68" i="5" s="1"/>
  <c r="M186" i="5"/>
  <c r="M183" i="5" s="1"/>
  <c r="R186" i="5"/>
  <c r="R183" i="5" s="1"/>
  <c r="H167" i="5"/>
  <c r="H68" i="5" s="1"/>
  <c r="H186" i="5"/>
  <c r="V186" i="5"/>
  <c r="V183" i="5" s="1"/>
  <c r="U186" i="5"/>
  <c r="U183" i="5" s="1"/>
  <c r="N186" i="5"/>
  <c r="N183" i="5" s="1"/>
  <c r="Q186" i="5"/>
  <c r="Q183" i="5" s="1"/>
  <c r="J186" i="5"/>
  <c r="I186" i="5"/>
  <c r="G167" i="5"/>
  <c r="G68" i="5" s="1"/>
  <c r="T167" i="5"/>
  <c r="W151" i="5"/>
  <c r="C69" i="5"/>
  <c r="V167" i="5"/>
  <c r="L167" i="5"/>
  <c r="L68" i="5" s="1"/>
  <c r="S69" i="5"/>
  <c r="O69" i="5"/>
  <c r="K69" i="5"/>
  <c r="I167" i="5"/>
  <c r="I68" i="5" s="1"/>
  <c r="N167" i="5"/>
  <c r="N68" i="5" s="1"/>
  <c r="U167" i="5"/>
  <c r="U68" i="5" s="1"/>
  <c r="E186" i="5"/>
  <c r="D167" i="5"/>
  <c r="D68" i="5" s="1"/>
  <c r="F186" i="5"/>
  <c r="E167" i="5"/>
  <c r="E68" i="5" s="1"/>
  <c r="M184" i="5" l="1"/>
  <c r="M5" i="5" s="1"/>
  <c r="M195" i="5" s="1"/>
  <c r="V68" i="5"/>
  <c r="V4" i="5" s="1"/>
  <c r="V184" i="5" s="1"/>
  <c r="F68" i="5"/>
  <c r="F4" i="5" s="1"/>
  <c r="F5" i="5" s="1"/>
  <c r="F195" i="5" s="1"/>
  <c r="T68" i="5"/>
  <c r="T4" i="5" s="1"/>
  <c r="U4" i="5"/>
  <c r="U184" i="5" s="1"/>
  <c r="U5" i="5" s="1"/>
  <c r="U195" i="5" s="1"/>
  <c r="R4" i="5"/>
  <c r="R184" i="5" s="1"/>
  <c r="R5" i="5" s="1"/>
  <c r="R195" i="5" s="1"/>
  <c r="N4" i="5"/>
  <c r="J4" i="5"/>
  <c r="J5" i="5" s="1"/>
  <c r="J195" i="5" s="1"/>
  <c r="P4" i="5"/>
  <c r="L4" i="5"/>
  <c r="H4" i="5"/>
  <c r="H5" i="5" s="1"/>
  <c r="H195" i="5" s="1"/>
  <c r="I4" i="5"/>
  <c r="I5" i="5" s="1"/>
  <c r="I195" i="5" s="1"/>
  <c r="D4" i="5"/>
  <c r="D5" i="5" s="1"/>
  <c r="Q68" i="5"/>
  <c r="Q4" i="5" s="1"/>
  <c r="Q184" i="5" s="1"/>
  <c r="E4" i="5"/>
  <c r="E5" i="5" s="1"/>
  <c r="E195" i="5" s="1"/>
  <c r="S186" i="5"/>
  <c r="S183" i="5" s="1"/>
  <c r="L186" i="5"/>
  <c r="L183" i="5" s="1"/>
  <c r="O186" i="5"/>
  <c r="O183" i="5" s="1"/>
  <c r="G4" i="5"/>
  <c r="C6" i="23"/>
  <c r="C14" i="23" s="1"/>
  <c r="C53" i="23"/>
  <c r="C56" i="23" s="1"/>
  <c r="C3" i="3" s="1"/>
  <c r="C6" i="17"/>
  <c r="K167" i="5"/>
  <c r="K68" i="5" s="1"/>
  <c r="T186" i="5"/>
  <c r="T183" i="5" s="1"/>
  <c r="S167" i="5"/>
  <c r="S68" i="5" s="1"/>
  <c r="W69" i="5"/>
  <c r="D186" i="5"/>
  <c r="C167" i="5"/>
  <c r="C68" i="5" s="1"/>
  <c r="D6" i="17"/>
  <c r="D6" i="23"/>
  <c r="D53" i="23"/>
  <c r="D56" i="23" s="1"/>
  <c r="D3" i="3" s="1"/>
  <c r="B4" i="5"/>
  <c r="X95" i="5"/>
  <c r="Y95" i="5" s="1"/>
  <c r="X151" i="5"/>
  <c r="G5" i="17"/>
  <c r="B53" i="23"/>
  <c r="B56" i="23" s="1"/>
  <c r="B3" i="3" s="1"/>
  <c r="B6" i="17"/>
  <c r="B6" i="23"/>
  <c r="B14" i="23" s="1"/>
  <c r="G186" i="5"/>
  <c r="F6" i="23"/>
  <c r="F6" i="17"/>
  <c r="F53" i="23"/>
  <c r="F56" i="23" s="1"/>
  <c r="F3" i="3" s="1"/>
  <c r="E6" i="23"/>
  <c r="E53" i="23"/>
  <c r="E56" i="23" s="1"/>
  <c r="E3" i="3" s="1"/>
  <c r="E6" i="17"/>
  <c r="O167" i="5"/>
  <c r="O68" i="5" s="1"/>
  <c r="P186" i="5"/>
  <c r="P183" i="5" s="1"/>
  <c r="T184" i="5" l="1"/>
  <c r="T5" i="5" s="1"/>
  <c r="T195" i="5" s="1"/>
  <c r="B211" i="5"/>
  <c r="B212" i="5" s="1"/>
  <c r="R199" i="5" s="1"/>
  <c r="R197" i="5" s="1"/>
  <c r="V5" i="5"/>
  <c r="V195" i="5" s="1"/>
  <c r="L184" i="5"/>
  <c r="L5" i="5" s="1"/>
  <c r="L195" i="5" s="1"/>
  <c r="P184" i="5"/>
  <c r="P5" i="5" s="1"/>
  <c r="P195" i="5" s="1"/>
  <c r="N184" i="5"/>
  <c r="N5" i="5" s="1"/>
  <c r="N195" i="5" s="1"/>
  <c r="Q5" i="5"/>
  <c r="Q195" i="5" s="1"/>
  <c r="D195" i="5"/>
  <c r="W68" i="5"/>
  <c r="E16" i="23"/>
  <c r="E17" i="23" s="1"/>
  <c r="O4" i="5"/>
  <c r="O184" i="5" s="1"/>
  <c r="S4" i="5"/>
  <c r="S184" i="5" s="1"/>
  <c r="C4" i="5"/>
  <c r="K4" i="5"/>
  <c r="K184" i="5" s="1"/>
  <c r="G5" i="5"/>
  <c r="C186" i="5"/>
  <c r="C16" i="23"/>
  <c r="C17" i="23" s="1"/>
  <c r="C33" i="23" s="1"/>
  <c r="B5" i="5"/>
  <c r="K186" i="5"/>
  <c r="G6" i="17"/>
  <c r="W197" i="5" l="1"/>
  <c r="W4" i="5"/>
  <c r="AB4" i="5" s="1"/>
  <c r="C23" i="23"/>
  <c r="D16" i="23"/>
  <c r="D17" i="23" s="1"/>
  <c r="G195" i="5"/>
  <c r="S5" i="5"/>
  <c r="C5" i="5"/>
  <c r="B195" i="5"/>
  <c r="K5" i="5"/>
  <c r="B9" i="18"/>
  <c r="B16" i="23"/>
  <c r="F16" i="23"/>
  <c r="F17" i="23" s="1"/>
  <c r="O5" i="5"/>
  <c r="B205" i="5" l="1"/>
  <c r="C204" i="5" s="1"/>
  <c r="W5" i="5"/>
  <c r="AB5" i="5" s="1"/>
  <c r="K195" i="5"/>
  <c r="C195" i="5"/>
  <c r="C35" i="23"/>
  <c r="O195" i="5"/>
  <c r="B17" i="23"/>
  <c r="B75" i="23"/>
  <c r="B57" i="23"/>
  <c r="C9" i="18"/>
  <c r="S195" i="5"/>
  <c r="C205" i="5" l="1"/>
  <c r="D204" i="5" s="1"/>
  <c r="D205" i="5" s="1"/>
  <c r="E204" i="5" s="1"/>
  <c r="E205" i="5" s="1"/>
  <c r="F204" i="5" s="1"/>
  <c r="F205" i="5" s="1"/>
  <c r="G204" i="5" s="1"/>
  <c r="G205" i="5" s="1"/>
  <c r="H204" i="5" s="1"/>
  <c r="H205" i="5" s="1"/>
  <c r="I204" i="5" s="1"/>
  <c r="I205" i="5" s="1"/>
  <c r="J204" i="5" s="1"/>
  <c r="J205" i="5" s="1"/>
  <c r="B76" i="23"/>
  <c r="B77" i="23" s="1"/>
  <c r="B59" i="23"/>
  <c r="B61" i="23" s="1"/>
  <c r="B4" i="3" s="1"/>
  <c r="C75" i="23"/>
  <c r="B33" i="23"/>
  <c r="B23" i="23"/>
  <c r="B24" i="23" s="1"/>
  <c r="C57" i="23"/>
  <c r="D9" i="18"/>
  <c r="B102" i="23" l="1"/>
  <c r="B110" i="23"/>
  <c r="B65" i="23"/>
  <c r="B66" i="23" s="1"/>
  <c r="B88" i="23" s="1"/>
  <c r="B89" i="23" s="1"/>
  <c r="B104" i="23"/>
  <c r="C76" i="23"/>
  <c r="C77" i="23" s="1"/>
  <c r="C59" i="23"/>
  <c r="C61" i="23" s="1"/>
  <c r="C4" i="3" s="1"/>
  <c r="B81" i="23"/>
  <c r="C24" i="23"/>
  <c r="K204" i="5"/>
  <c r="K205" i="5" s="1"/>
  <c r="L204" i="5" s="1"/>
  <c r="L205" i="5" s="1"/>
  <c r="M204" i="5" s="1"/>
  <c r="M205" i="5" s="1"/>
  <c r="N204" i="5" s="1"/>
  <c r="N205" i="5" s="1"/>
  <c r="B34" i="23"/>
  <c r="C34" i="23" s="1"/>
  <c r="B35" i="23"/>
  <c r="B36" i="23" s="1"/>
  <c r="C36" i="23" s="1"/>
  <c r="D75" i="23"/>
  <c r="D57" i="23"/>
  <c r="E9" i="18"/>
  <c r="B82" i="23" l="1"/>
  <c r="B108" i="23" s="1"/>
  <c r="B5" i="3"/>
  <c r="B94" i="23"/>
  <c r="B109" i="23"/>
  <c r="D76" i="23"/>
  <c r="D77" i="23" s="1"/>
  <c r="D59" i="23"/>
  <c r="C104" i="23"/>
  <c r="C65" i="23"/>
  <c r="C66" i="23" s="1"/>
  <c r="C88" i="23" s="1"/>
  <c r="C89" i="23" s="1"/>
  <c r="C110" i="23"/>
  <c r="C102" i="23"/>
  <c r="O204" i="5"/>
  <c r="O205" i="5" s="1"/>
  <c r="P204" i="5" s="1"/>
  <c r="P205" i="5" s="1"/>
  <c r="Q204" i="5" s="1"/>
  <c r="Q205" i="5" s="1"/>
  <c r="R204" i="5" s="1"/>
  <c r="R205" i="5" s="1"/>
  <c r="E57" i="23"/>
  <c r="F9" i="18"/>
  <c r="F57" i="23" s="1"/>
  <c r="F59" i="23" s="1"/>
  <c r="C81" i="23"/>
  <c r="E75" i="23"/>
  <c r="B83" i="23" l="1"/>
  <c r="B106" i="23" s="1"/>
  <c r="C82" i="23"/>
  <c r="C108" i="23" s="1"/>
  <c r="C5" i="3"/>
  <c r="D60" i="23"/>
  <c r="D10" i="23" s="1"/>
  <c r="D14" i="23" s="1"/>
  <c r="F60" i="23"/>
  <c r="F10" i="23" s="1"/>
  <c r="F14" i="23" s="1"/>
  <c r="C94" i="23"/>
  <c r="C109" i="23"/>
  <c r="E76" i="23"/>
  <c r="E77" i="23" s="1"/>
  <c r="E59" i="23"/>
  <c r="S204" i="5"/>
  <c r="S205" i="5" s="1"/>
  <c r="T204" i="5" s="1"/>
  <c r="T205" i="5" s="1"/>
  <c r="U204" i="5" s="1"/>
  <c r="U205" i="5" s="1"/>
  <c r="V204" i="5" s="1"/>
  <c r="V205" i="5" s="1"/>
  <c r="F75" i="23"/>
  <c r="C83" i="23" l="1"/>
  <c r="C107" i="23" s="1"/>
  <c r="B107" i="23"/>
  <c r="B103" i="23"/>
  <c r="B105" i="23"/>
  <c r="B95" i="23"/>
  <c r="F23" i="23"/>
  <c r="F33" i="23"/>
  <c r="F35" i="23" s="1"/>
  <c r="E60" i="23"/>
  <c r="E10" i="23" s="1"/>
  <c r="E14" i="23" s="1"/>
  <c r="F61" i="23"/>
  <c r="F4" i="3" s="1"/>
  <c r="D23" i="23"/>
  <c r="D24" i="23" s="1"/>
  <c r="D33" i="23"/>
  <c r="D61" i="23"/>
  <c r="D4" i="3" s="1"/>
  <c r="F76" i="23"/>
  <c r="F77" i="23" s="1"/>
  <c r="C106" i="23" l="1"/>
  <c r="C105" i="23"/>
  <c r="C103" i="23"/>
  <c r="C95" i="23"/>
  <c r="D35" i="23"/>
  <c r="D36" i="23" s="1"/>
  <c r="D34" i="23"/>
  <c r="F102" i="23"/>
  <c r="B130" i="23" s="1"/>
  <c r="F65" i="23"/>
  <c r="F104" i="23"/>
  <c r="D126" i="23" s="1"/>
  <c r="F110" i="23"/>
  <c r="D81" i="23"/>
  <c r="E61" i="23"/>
  <c r="E4" i="3" s="1"/>
  <c r="D104" i="23"/>
  <c r="D102" i="23"/>
  <c r="D110" i="23"/>
  <c r="D65" i="23"/>
  <c r="D66" i="23" s="1"/>
  <c r="D88" i="23" s="1"/>
  <c r="D89" i="23" s="1"/>
  <c r="D109" i="23" s="1"/>
  <c r="E33" i="23"/>
  <c r="E35" i="23" s="1"/>
  <c r="E23" i="23"/>
  <c r="E24" i="23" s="1"/>
  <c r="D82" i="23" l="1"/>
  <c r="D108" i="23" s="1"/>
  <c r="D5" i="3"/>
  <c r="B38" i="23"/>
  <c r="F116" i="23"/>
  <c r="E81" i="23"/>
  <c r="F24" i="23"/>
  <c r="F81" i="23" s="1"/>
  <c r="G116" i="23"/>
  <c r="D116" i="23"/>
  <c r="B116" i="23"/>
  <c r="B37" i="23"/>
  <c r="B41" i="23" s="1"/>
  <c r="D94" i="23"/>
  <c r="E34" i="23"/>
  <c r="F34" i="23" s="1"/>
  <c r="C116" i="23"/>
  <c r="E65" i="23"/>
  <c r="E66" i="23" s="1"/>
  <c r="E104" i="23"/>
  <c r="G104" i="23" s="1"/>
  <c r="E102" i="23"/>
  <c r="G102" i="23" s="1"/>
  <c r="E110" i="23"/>
  <c r="G110" i="23" s="1"/>
  <c r="E124" i="23" s="1"/>
  <c r="E116" i="23"/>
  <c r="H116" i="23"/>
  <c r="E36" i="23"/>
  <c r="F36" i="23" s="1"/>
  <c r="D83" i="23" l="1"/>
  <c r="D105" i="23" s="1"/>
  <c r="F82" i="23"/>
  <c r="F108" i="23" s="1"/>
  <c r="E134" i="23" s="1"/>
  <c r="F5" i="3"/>
  <c r="E82" i="23"/>
  <c r="E108" i="23" s="1"/>
  <c r="E5" i="3"/>
  <c r="E88" i="23"/>
  <c r="E89" i="23" s="1"/>
  <c r="F66" i="23"/>
  <c r="F88" i="23" s="1"/>
  <c r="F89" i="23" s="1"/>
  <c r="D106" i="23" l="1"/>
  <c r="D103" i="23"/>
  <c r="D107" i="23"/>
  <c r="D95" i="23"/>
  <c r="E83" i="23"/>
  <c r="E106" i="23" s="1"/>
  <c r="F83" i="23"/>
  <c r="F103" i="23" s="1"/>
  <c r="C128" i="23" s="1"/>
  <c r="G108" i="23"/>
  <c r="E94" i="23"/>
  <c r="E109" i="23"/>
  <c r="F109" i="23"/>
  <c r="F94" i="23"/>
  <c r="F105" i="23" l="1"/>
  <c r="H130" i="23" s="1"/>
  <c r="F106" i="23"/>
  <c r="G128" i="23" s="1"/>
  <c r="E105" i="23"/>
  <c r="E103" i="23"/>
  <c r="G103" i="23" s="1"/>
  <c r="E107" i="23"/>
  <c r="E95" i="23"/>
  <c r="F95" i="23"/>
  <c r="F107" i="23"/>
  <c r="G109" i="23"/>
  <c r="F126" i="23" s="1"/>
  <c r="G106" i="23" l="1"/>
  <c r="G105" i="23"/>
  <c r="G107" i="23"/>
</calcChain>
</file>

<file path=xl/sharedStrings.xml><?xml version="1.0" encoding="utf-8"?>
<sst xmlns="http://schemas.openxmlformats.org/spreadsheetml/2006/main" count="920" uniqueCount="517">
  <si>
    <t>TAU Tracker</t>
  </si>
  <si>
    <t>TAU Suit</t>
  </si>
  <si>
    <t>Q1 2024</t>
  </si>
  <si>
    <t>Q2 2024</t>
  </si>
  <si>
    <t>Q3 2024</t>
  </si>
  <si>
    <t>Q1 2025</t>
  </si>
  <si>
    <t>Q2 2025</t>
  </si>
  <si>
    <t>Q3 2025</t>
  </si>
  <si>
    <t>Q4 2025</t>
  </si>
  <si>
    <t>Q1 2026</t>
  </si>
  <si>
    <t>Q2 2026</t>
  </si>
  <si>
    <t>Q3 2026</t>
  </si>
  <si>
    <t>Q4 2026</t>
  </si>
  <si>
    <t>Q1 2027</t>
  </si>
  <si>
    <t>Q2 2027</t>
  </si>
  <si>
    <t>Q3 2027</t>
  </si>
  <si>
    <t>Q4 2027</t>
  </si>
  <si>
    <t>TAU Haptic</t>
  </si>
  <si>
    <t>Цена, $</t>
  </si>
  <si>
    <t>Перчатка</t>
  </si>
  <si>
    <t>Комплект пьезо актуаторов на пальцы и ладонь (печатные платы, пластиковые корпуса, провода)</t>
  </si>
  <si>
    <t>Модуль обратной тактильной связи TH10 (печатная плата, пластиковый корпус)</t>
  </si>
  <si>
    <t>Упаковка</t>
  </si>
  <si>
    <t>Логистика</t>
  </si>
  <si>
    <t>2022г.</t>
  </si>
  <si>
    <t>Должность</t>
  </si>
  <si>
    <t>з/плата</t>
  </si>
  <si>
    <t>Cost price руб</t>
  </si>
  <si>
    <t>ОБЩИЙ ДОХОД</t>
  </si>
  <si>
    <t>ВАЛОВАЯ ПРИБЫЛЬ</t>
  </si>
  <si>
    <t>Снижение розничной цены от первоначальной %</t>
  </si>
  <si>
    <t>Выручка от прямых продаж</t>
  </si>
  <si>
    <t>Количество проданных комплектов</t>
  </si>
  <si>
    <t>Средняя стоимость</t>
  </si>
  <si>
    <t>Опт на B2B маркетплейсах</t>
  </si>
  <si>
    <t>Розничные продажи на B2C маркетплейсах</t>
  </si>
  <si>
    <t>Q4 2024</t>
  </si>
  <si>
    <t>фонд оплаты труда</t>
  </si>
  <si>
    <t>Генеральный директор Россия</t>
  </si>
  <si>
    <t>Технический директор по исследованиям и разработкам в России и Китае</t>
  </si>
  <si>
    <t>Инженер-схемотехник Россия R&amp;D</t>
  </si>
  <si>
    <t>Маркетолог Китай</t>
  </si>
  <si>
    <t>Менеджеры по продажам Китай</t>
  </si>
  <si>
    <t>Директор по производству Китай</t>
  </si>
  <si>
    <t>Социальные взносы</t>
  </si>
  <si>
    <t>Аренда офиса и склада</t>
  </si>
  <si>
    <t>Транспортные расходы на доставку</t>
  </si>
  <si>
    <t>Командировочные расходы</t>
  </si>
  <si>
    <t>ИНВЕСТИЦИОННЫЕ ЗАТРАТЫ</t>
  </si>
  <si>
    <t>Патентование</t>
  </si>
  <si>
    <t>Рабочие места, оборудование</t>
  </si>
  <si>
    <t>Сертификация</t>
  </si>
  <si>
    <t>Открытие юридического лица в США</t>
  </si>
  <si>
    <t>ФИНАНСОВАЯ ДЕЯТЕЛЬНОСТЬ</t>
  </si>
  <si>
    <t>Инвестиции из фондов</t>
  </si>
  <si>
    <t>Получение кредитов</t>
  </si>
  <si>
    <t>Возврат кредитов и инвестиций</t>
  </si>
  <si>
    <t>Денежный поток</t>
  </si>
  <si>
    <t>Начальный баланс</t>
  </si>
  <si>
    <t>Баланс в конце</t>
  </si>
  <si>
    <t xml:space="preserve">ЧИСТАЯ ПРИБЫЛЬ </t>
  </si>
  <si>
    <t>НАЛОГ НА ПРИБЫЛЬ</t>
  </si>
  <si>
    <t xml:space="preserve">ОПЕРАЦИОННЫЕ РАСХОДЫ </t>
  </si>
  <si>
    <t>Директор по развитию</t>
  </si>
  <si>
    <t>Руководитель отдела маркетинга и продаж в России</t>
  </si>
  <si>
    <t>Менеджер по продажам Россия</t>
  </si>
  <si>
    <t>Начальник сервисного отдела Россия</t>
  </si>
  <si>
    <t>Сборщик продукции Россия</t>
  </si>
  <si>
    <t>Сервисный инженер Китай</t>
  </si>
  <si>
    <t>Маркетолог Индия</t>
  </si>
  <si>
    <t>Менеджеры по продажам Индия</t>
  </si>
  <si>
    <t>Сервисный инженер Индия</t>
  </si>
  <si>
    <t>Кол-во</t>
  </si>
  <si>
    <t>Зарплата за месяц</t>
  </si>
  <si>
    <t>НДС</t>
  </si>
  <si>
    <t>Project Manager</t>
  </si>
  <si>
    <t>Аналитик</t>
  </si>
  <si>
    <t>Дизайнер</t>
  </si>
  <si>
    <t>Разработчик Front-end</t>
  </si>
  <si>
    <t>Разработчик Back-end</t>
  </si>
  <si>
    <t>Разработчик мобильных приложений</t>
  </si>
  <si>
    <t>Методолог</t>
  </si>
  <si>
    <t>A</t>
  </si>
  <si>
    <t xml:space="preserve">Стоимость компании на начало </t>
  </si>
  <si>
    <t>Инвестиции Фонда</t>
  </si>
  <si>
    <t>Выручка</t>
  </si>
  <si>
    <t>себестоимость</t>
  </si>
  <si>
    <t>Прибыль</t>
  </si>
  <si>
    <t xml:space="preserve">Выплата фонду </t>
  </si>
  <si>
    <t>ПРИБЫЛЬ ПОСЛЕ УПЛАТЫ НАЛОГА</t>
  </si>
  <si>
    <t>Итого</t>
  </si>
  <si>
    <t>доля себестоимости в продукте</t>
  </si>
  <si>
    <t>Итого модуль</t>
  </si>
  <si>
    <t>Итого хаб</t>
  </si>
  <si>
    <t>Итого пальцы (отдельно)</t>
  </si>
  <si>
    <t>Итого катушка</t>
  </si>
  <si>
    <t>Итого перчатки (вместе с пальцами)</t>
  </si>
  <si>
    <t>Итого упаковка</t>
  </si>
  <si>
    <t>Элемент</t>
  </si>
  <si>
    <t>количество в наборе</t>
  </si>
  <si>
    <t>Стоимость, $</t>
  </si>
  <si>
    <t>отношение к затратам к части</t>
  </si>
  <si>
    <t>Основной измерительный модуль TM12+TP12</t>
  </si>
  <si>
    <t>модуль</t>
  </si>
  <si>
    <t>аккумулятор 3.7V 602035 380mah</t>
  </si>
  <si>
    <t>Изготовление корпуса модуля</t>
  </si>
  <si>
    <t>Изготовление держателя для модуля</t>
  </si>
  <si>
    <t>аксессуар</t>
  </si>
  <si>
    <t>Удаленные датчики TS12</t>
  </si>
  <si>
    <t>пальцы</t>
  </si>
  <si>
    <t>Плата разветвителя Type-C USB_conn</t>
  </si>
  <si>
    <t>Провода и пайка разветвителя</t>
  </si>
  <si>
    <t>Хаб USB</t>
  </si>
  <si>
    <t>хаб</t>
  </si>
  <si>
    <t>Корпус (хаба)</t>
  </si>
  <si>
    <t>Корпус (для удаленных датчиков - с креплением на пальцы)</t>
  </si>
  <si>
    <t>Корпус type-c разъема-разветвителя</t>
  </si>
  <si>
    <t>прочее</t>
  </si>
  <si>
    <t>Stencil Cost (изготовление трафарета печатных плат (разово 120$)</t>
  </si>
  <si>
    <t>Удаленные датчики TS11</t>
  </si>
  <si>
    <t>Хаб TG12
FR4/135x140.87mm/1.6mm/4
layers/HASL/1oZ/Green Solder
Mask &amp; White Silkscreen+raspbery</t>
  </si>
  <si>
    <t>micro SD карта</t>
  </si>
  <si>
    <t>Блок питания GST90A24-P1M + EU-3P</t>
  </si>
  <si>
    <t>Катушка индуктивности в виде печатной платы(380*380*6мм) или гибкого коврика с медной нитью TC10
FR4/273.13x266.06mm/1.6mm/
2 layers/HASL/3oZ/Green Solder
Mask &amp; White Silkscreen</t>
  </si>
  <si>
    <t>катушка</t>
  </si>
  <si>
    <t>Корпус катушки</t>
  </si>
  <si>
    <t>CashFlow (конец)</t>
  </si>
  <si>
    <t>Стоимость компании на Exit</t>
  </si>
  <si>
    <t>Сумм</t>
  </si>
  <si>
    <t>Маржа</t>
  </si>
  <si>
    <t>Наименование учреждения</t>
  </si>
  <si>
    <t>Курс</t>
  </si>
  <si>
    <t>Стоимость</t>
  </si>
  <si>
    <t>ДВИПРАЗ</t>
  </si>
  <si>
    <t>Использование (применение) средств индивидуальной защиты (СИЗ)</t>
  </si>
  <si>
    <t>дистанционно</t>
  </si>
  <si>
    <t>как с практическими занятиями?</t>
  </si>
  <si>
    <t>Оказание первой помощи пострадавшим</t>
  </si>
  <si>
    <t>Учебные заведения</t>
  </si>
  <si>
    <t>Общие вопросы охраны труда и функционирования системы управления охраной труда</t>
  </si>
  <si>
    <t>Обучение безопасным методам и приемам выполнения работ при воздействии вредных и (или) опасных производственных факторов, источников опасности, идентифицированных в рамках СОУТ и оценки профессиональных рисков</t>
  </si>
  <si>
    <t>объектах защиты, в которых могут одновременно находиться 50 и более человек, объектах защиты, отнесенных к категориям повышенной взрывопожароопасности, взрывопожароопасности, пожароопасности</t>
  </si>
  <si>
    <t>Профессиональной переподготовки для получения квалификации «Специалист по противопожарной профилактике</t>
  </si>
  <si>
    <t>повышения квалификации (по одной выбранной программе)</t>
  </si>
  <si>
    <t>Общие и специальные требования промышленной безопасности</t>
  </si>
  <si>
    <t>ИТЦ ПТМ http://noudpo.ru/obuchenie/kursy-obucheniya/okhrana-truda.html</t>
  </si>
  <si>
    <t>ДВИПРАЗ https://dvipraz.ru/news/13_okhrana_truda_i%C2%A0tb</t>
  </si>
  <si>
    <t>90 тыс. манекен для первой помощи пострадавшим</t>
  </si>
  <si>
    <t>15-20</t>
  </si>
  <si>
    <t>Строители, нефтяники, газ</t>
  </si>
  <si>
    <t>Оказание первой помощи, СИЗ, ОТ и ТБ</t>
  </si>
  <si>
    <t>"ЦЕНТР ДОПОЛНИТЕЛЬНОГО ПРОФЕССИОНАЛЬНОГО ОБРАЗОВАНИЯ "ПИК" https://obrazovanie27.ru/</t>
  </si>
  <si>
    <t>Нет</t>
  </si>
  <si>
    <t>1. Ощущаете Вы повышение спроса  на курсы по ОТ и ТБ в связи с Постановлением 2464?</t>
  </si>
  <si>
    <t>2. Какие курсы наиболее востребованы?</t>
  </si>
  <si>
    <t>3. Компании из какой отрасли сейчас чаще других заказывают обучение?</t>
  </si>
  <si>
    <t>4. Как сейчас заказывают обучение крупные компании? Через конкурсы, неконкурентные закупки?</t>
  </si>
  <si>
    <t>5. По сколько специалистов обучают крупные заказчики одновременно?</t>
  </si>
  <si>
    <t>7. Какие контролирующие органы в Хабаровске будет проверять, прошли ли обучение сотрудники?</t>
  </si>
  <si>
    <t>8. Вы будете проводить практические занятия на курсах?</t>
  </si>
  <si>
    <t>9. Сколько примерно стоит оборудование для практических занятий:</t>
  </si>
  <si>
    <t>да. Есть оборудованные классы с пособиями.</t>
  </si>
  <si>
    <t>Кто отвечал на вопросы</t>
  </si>
  <si>
    <t>Аушев Петр Анатольевич преподаватель по ТБ и ОТ</t>
  </si>
  <si>
    <t>Анастасия Юрьевна Куницына нач. отдела по ОТ и ТБ ot10@dvipraz.ru</t>
  </si>
  <si>
    <t>Нефедова Светлана Анатольевна директор zaparina@itc-ptm.ru</t>
  </si>
  <si>
    <t xml:space="preserve">Дальневосточный региональный центр https://dvrcot-edu.ru/contacts/
охраны труда </t>
  </si>
  <si>
    <t>Константин - руководитель отдела ОТ и ТБ 8(4232)244-333 #401</t>
  </si>
  <si>
    <t>Экостандарт https://ecostandardgroup.ru/</t>
  </si>
  <si>
    <t>Безопасные методы и приемы выполнения работ при воздействии вредных и (или) опасных производственных факторов</t>
  </si>
  <si>
    <t>Безопасные методы и приемы выполнения работ повышенной опасности</t>
  </si>
  <si>
    <t>Использование (применение) и ношение средств индивидуальной защиты (СИЗ)</t>
  </si>
  <si>
    <t>https://ecostandardgroup.ru/about/experts/</t>
  </si>
  <si>
    <t>Хабаровск
680063, г. Хабаровск
ул. Дикопольцева д. 48, оф. 308 khb-team@ecostandard.ru</t>
  </si>
  <si>
    <t>Экостандарт Групп Мария Попова Партнер компании, директор по развитию бизнеса в сферах ОТ, СОУТ и УЦ</t>
  </si>
  <si>
    <t>Приказ Минтруда России от 29.10.2021 г №766 н. вводит правила использования средств индивидуальной защиты (СИЗ). Действует с 1 сентября 2023 г по 1 сентября 2029 г.</t>
  </si>
  <si>
    <t>Да</t>
  </si>
  <si>
    <t>Все</t>
  </si>
  <si>
    <t>6. Оцените, сколько человек пройдет обучение по ОТ и ТБ  в этом году через Вашу компанию</t>
  </si>
  <si>
    <t>Государственная инспекция по труду Хабаровского края</t>
  </si>
  <si>
    <t>Первая помощь и Пожарная безопасность</t>
  </si>
  <si>
    <t>Приморский Водоканал</t>
  </si>
  <si>
    <t>Сбор КП</t>
  </si>
  <si>
    <t>401 чел в год на курсах, 900 чел внутри Водоканала</t>
  </si>
  <si>
    <t xml:space="preserve">СИЗ есть Манекены есть. Стоимость 100-150 тыс. </t>
  </si>
  <si>
    <t>Нач. отдела по ОТ и ТБ</t>
  </si>
  <si>
    <t>ТЭЦ3 Хабаровск</t>
  </si>
  <si>
    <t>Нехороших Сергей Геннадьевич 26-48-50, 26-61-11 Костюк Владимир Феофанович</t>
  </si>
  <si>
    <t>Центр подготовки персонала филиала «Хабаровская генерация» им. Долженко</t>
  </si>
  <si>
    <t>Оплата за производство и комплектующие за TAU</t>
  </si>
  <si>
    <t>Ноутбук</t>
  </si>
  <si>
    <t>Работник склада</t>
  </si>
  <si>
    <t>Главный бухгалтер Москва</t>
  </si>
  <si>
    <t>бухгалтер Москва</t>
  </si>
  <si>
    <t>Финансовые индикаторы</t>
  </si>
  <si>
    <t>Чистая прибыль, млн.руб</t>
  </si>
  <si>
    <t>Тестеровщик Россия</t>
  </si>
  <si>
    <t>Расчет прайсовой цены</t>
  </si>
  <si>
    <t>Плановая маржинальность</t>
  </si>
  <si>
    <t>Расчет себестоимости при партии 30 изделий, настольная версия для двух рук TAU Tracker</t>
  </si>
  <si>
    <t>Катушка индуктивности в виде  гибкого коврика с медной нитью</t>
  </si>
  <si>
    <t>Расчет себестоимости при партии 30 изделий, TAU Suit</t>
  </si>
  <si>
    <t>Расчет себестоимости при партии 100 изделий, USB версия для двух рук Haptic</t>
  </si>
  <si>
    <t>Расчет себестоимости при партии 100 изделий, USB версия для двух рук Easy</t>
  </si>
  <si>
    <t>TAU Easy</t>
  </si>
  <si>
    <t>VR очки</t>
  </si>
  <si>
    <t>Базовые станции</t>
  </si>
  <si>
    <t>Трекер Vive</t>
  </si>
  <si>
    <t>Штатив</t>
  </si>
  <si>
    <t>Итого TAU</t>
  </si>
  <si>
    <t>Итого сторонних производителей</t>
  </si>
  <si>
    <t>Добавочная стоимость</t>
  </si>
  <si>
    <t>Стоимость разработки</t>
  </si>
  <si>
    <t>Точка безубыточности</t>
  </si>
  <si>
    <t>администрация</t>
  </si>
  <si>
    <t>R&amp;D</t>
  </si>
  <si>
    <t>Прогноз капитальных затрат (инвестиционный план)</t>
  </si>
  <si>
    <t>Показатели</t>
  </si>
  <si>
    <t>Капитальные затраты - САРЕХ</t>
  </si>
  <si>
    <t>Доработка TAU Easy</t>
  </si>
  <si>
    <t>Доработка TAU HAPTIC</t>
  </si>
  <si>
    <t>Доработка TAU SUIT</t>
  </si>
  <si>
    <t>Прогноз переменных материальных расходов</t>
  </si>
  <si>
    <t>Переменные материальные расходы</t>
  </si>
  <si>
    <t>Росатом</t>
  </si>
  <si>
    <t>всего сотрудников</t>
  </si>
  <si>
    <t>нужно рабочих мест</t>
  </si>
  <si>
    <t>VR ПБ и ПП</t>
  </si>
  <si>
    <t>VR РВ и ОТ</t>
  </si>
  <si>
    <t xml:space="preserve">Доля на VR </t>
  </si>
  <si>
    <t>Россети</t>
  </si>
  <si>
    <t xml:space="preserve">Доля TAU </t>
  </si>
  <si>
    <t>Конкурент ARPort SafetyVR</t>
  </si>
  <si>
    <t>РЖД</t>
  </si>
  <si>
    <t xml:space="preserve">Конкурент </t>
  </si>
  <si>
    <t>Газпром</t>
  </si>
  <si>
    <t>Конкурент Modum Lab</t>
  </si>
  <si>
    <t>Роснефть</t>
  </si>
  <si>
    <t>Интер РАО</t>
  </si>
  <si>
    <t>Русгидро</t>
  </si>
  <si>
    <t>Лукойл</t>
  </si>
  <si>
    <t>Сургутнефтегаз</t>
  </si>
  <si>
    <t>Газпромнефть</t>
  </si>
  <si>
    <t>Татнефть</t>
  </si>
  <si>
    <t>Евраз</t>
  </si>
  <si>
    <t>Русал</t>
  </si>
  <si>
    <t>НЛМК</t>
  </si>
  <si>
    <t>Сибур</t>
  </si>
  <si>
    <t>Северсталь</t>
  </si>
  <si>
    <t>УГМК</t>
  </si>
  <si>
    <t>ММК</t>
  </si>
  <si>
    <t>СУЭК</t>
  </si>
  <si>
    <t>Т Плюс</t>
  </si>
  <si>
    <t>Мечел</t>
  </si>
  <si>
    <t>Полюс</t>
  </si>
  <si>
    <t>Евросиб Энерго</t>
  </si>
  <si>
    <t>ОМК</t>
  </si>
  <si>
    <t>ТМК</t>
  </si>
  <si>
    <t>Полиметалл</t>
  </si>
  <si>
    <t>Металлоинвест</t>
  </si>
  <si>
    <t>Директор по производству Россия</t>
  </si>
  <si>
    <t>Производство</t>
  </si>
  <si>
    <t>аутсорс</t>
  </si>
  <si>
    <t>Продажи</t>
  </si>
  <si>
    <t>Поддержка</t>
  </si>
  <si>
    <t>Аутсорс?</t>
  </si>
  <si>
    <t>Администрация</t>
  </si>
  <si>
    <t>Специалист по тендерам</t>
  </si>
  <si>
    <t>Тестеровщик Китай</t>
  </si>
  <si>
    <t>Сервис</t>
  </si>
  <si>
    <t>Сервисный инженер Россия</t>
  </si>
  <si>
    <t>Разработка трекера</t>
  </si>
  <si>
    <t>Количество реализуемых TAU HAPTIC (шт.)</t>
  </si>
  <si>
    <t>Количество реализуемых TAU SUIT (шт.)</t>
  </si>
  <si>
    <t>Грант Фонда Сколково</t>
  </si>
  <si>
    <t>Прогноз расходов на персонал</t>
  </si>
  <si>
    <t>Расходы на  управленческий персонал, включая налоги на ФОТ</t>
  </si>
  <si>
    <t>Прогноз постоянных общепроизводственных расходов</t>
  </si>
  <si>
    <t>Постоянные общепроизводственные расходы</t>
  </si>
  <si>
    <t>Дополнительная информация для прогноза доходов и расходов:</t>
  </si>
  <si>
    <t>Амортизация</t>
  </si>
  <si>
    <t>Расходы на аренду офиса и склада</t>
  </si>
  <si>
    <t>Расходы на связь, расходные материалы для офиса</t>
  </si>
  <si>
    <t>Связь, расходные материалы</t>
  </si>
  <si>
    <t>Расходы на оплату труда исполнителей (коммерческого и производственного персонала), включая исполнителей по гражданскому договору и налоги на ФОТ</t>
  </si>
  <si>
    <t>Прочие постоянные общепроизводственные расходы (РКО, тендерные площадки, CRM, доменное имя)</t>
  </si>
  <si>
    <t>Прочие постоянные общепроизводственные расходы (РКО, тендерные площадки, CRM, ЭДО, доменное имя)</t>
  </si>
  <si>
    <t>Прогноз запасов</t>
  </si>
  <si>
    <t>Величина кредиторской задолженности перед поставщиками материалов и оборудования 10%, руб</t>
  </si>
  <si>
    <t>Прогноз движения денежных средств по дебиторской задолженности</t>
  </si>
  <si>
    <t>Расходы на маркетинг</t>
  </si>
  <si>
    <t>Комерческие расходы</t>
  </si>
  <si>
    <t>Каналы продаж</t>
  </si>
  <si>
    <t>Плата за выставку</t>
  </si>
  <si>
    <t>Реклама, ролики, сайт</t>
  </si>
  <si>
    <t>Основная (операционная) деятельность</t>
  </si>
  <si>
    <t>Движение денежных средств по основной деятельности</t>
  </si>
  <si>
    <t>Инвестиционная деятельность</t>
  </si>
  <si>
    <t>Движение денежных средств по инвестиционной деятельности</t>
  </si>
  <si>
    <t>Финансирование проекта</t>
  </si>
  <si>
    <t>Движение денежных средств по финансовой деятельности</t>
  </si>
  <si>
    <t>Итого движение денежных средств</t>
  </si>
  <si>
    <t>Остаток денежных средств накопительным итогом</t>
  </si>
  <si>
    <t>Оценка эффективности инвестиционного проекта</t>
  </si>
  <si>
    <t>годы</t>
  </si>
  <si>
    <t>Свободный денежный поток (по операционной и инвестиционной деятельности)</t>
  </si>
  <si>
    <t>Свободный денежный поток накопительным итогом</t>
  </si>
  <si>
    <t>Дисконтированный свободный денежный поток</t>
  </si>
  <si>
    <t>Дисконтированный свободный денежный поток накопительным итогом</t>
  </si>
  <si>
    <t>NPV (чистый денежный поток)</t>
  </si>
  <si>
    <t>IRR (внутренняя ставка доходности)</t>
  </si>
  <si>
    <t>PBP (период окупаемости)</t>
  </si>
  <si>
    <t>DPBP (дисконтированный период окупаемости)</t>
  </si>
  <si>
    <t>PI (индекс прибыльности)</t>
  </si>
  <si>
    <t>Прогноз доходов и расходов (план по прибылям и убыткам)</t>
  </si>
  <si>
    <t>Маржинальная (валовая) прибыль</t>
  </si>
  <si>
    <t>Прибыль до начисления амортизации, выплаты процентов и налогов (EBITDA)</t>
  </si>
  <si>
    <t>Налогооблагаемая прибыль</t>
  </si>
  <si>
    <t>Налог на прибыль</t>
  </si>
  <si>
    <t>Чистая прибыль</t>
  </si>
  <si>
    <t>Справочно:</t>
  </si>
  <si>
    <t>Нераспределенная прибыль (убыток) отчетного периода</t>
  </si>
  <si>
    <t>Нераспределенная прибыль накопительным итогом</t>
  </si>
  <si>
    <t>Прогнозный баланс</t>
  </si>
  <si>
    <t>Активы</t>
  </si>
  <si>
    <t>Внеоборотные активы</t>
  </si>
  <si>
    <t>Первоначальная стоимость</t>
  </si>
  <si>
    <t xml:space="preserve">Амортизация </t>
  </si>
  <si>
    <t>Итого внеоборотные активы</t>
  </si>
  <si>
    <t>Оборотные активы</t>
  </si>
  <si>
    <t>Запасы</t>
  </si>
  <si>
    <t>Дебиторская задолженность</t>
  </si>
  <si>
    <t>Деньги</t>
  </si>
  <si>
    <t>Итого оборотные активы</t>
  </si>
  <si>
    <t>Итого активов</t>
  </si>
  <si>
    <t>Пассивы</t>
  </si>
  <si>
    <t>Собственный капитал</t>
  </si>
  <si>
    <t xml:space="preserve">Нераспределенная прибыль </t>
  </si>
  <si>
    <t>Итого собственный капитал</t>
  </si>
  <si>
    <t>Заемный капитал (обязательства)</t>
  </si>
  <si>
    <t>Долгосрочные обязательства</t>
  </si>
  <si>
    <t>Краткосрочные обязательства</t>
  </si>
  <si>
    <t>Итого заемный капитал (обязательства)</t>
  </si>
  <si>
    <t>Итого пассивов</t>
  </si>
  <si>
    <t>Контрольная строка</t>
  </si>
  <si>
    <t>Основные финансовые коэффициенты</t>
  </si>
  <si>
    <t>Среднее значение</t>
  </si>
  <si>
    <t>ROS (чистая прибыль/ выручка)</t>
  </si>
  <si>
    <t>ROA (чистая прибыль/ активы)</t>
  </si>
  <si>
    <t>ROE (чистая прибыль/акционерный капитал)</t>
  </si>
  <si>
    <t>AT (выручка/активы)</t>
  </si>
  <si>
    <t>Активы/Капитал</t>
  </si>
  <si>
    <t>FL (обязательства/активы)</t>
  </si>
  <si>
    <t>Current Ratio (оборотные активы/краткосрочные обязательства)</t>
  </si>
  <si>
    <t>Капитал/Стоимость капитала</t>
  </si>
  <si>
    <t>Прибыль/Стоимость капитала</t>
  </si>
  <si>
    <t>Зависимость NPV от ставки дисконтирования</t>
  </si>
  <si>
    <t>Ставка дисконтирования</t>
  </si>
  <si>
    <t>NPV</t>
  </si>
  <si>
    <t>Денежное дерево</t>
  </si>
  <si>
    <t>* по среднему значению за все годы</t>
  </si>
  <si>
    <t>Оценка бизнеса методом капитализации прибыли</t>
  </si>
  <si>
    <t>Рентабельность собственного капитала</t>
  </si>
  <si>
    <t>Прибыль/Капитал</t>
  </si>
  <si>
    <t>Рентабельность активов</t>
  </si>
  <si>
    <t>Прибыль/Активы</t>
  </si>
  <si>
    <t>Рентабельность продаж</t>
  </si>
  <si>
    <t>Прибыль/Выручка</t>
  </si>
  <si>
    <t>Ликвидность</t>
  </si>
  <si>
    <t>Расходы на персонал</t>
  </si>
  <si>
    <t>Рабочие места</t>
  </si>
  <si>
    <t>Финансовые прогнозы на основе планирования источников финансирования</t>
  </si>
  <si>
    <t>Ставка налога на прибыль</t>
  </si>
  <si>
    <t>Прогноз финансирования</t>
  </si>
  <si>
    <t>Дивиденды</t>
  </si>
  <si>
    <t>Движение денежных средств по заемному капиталу</t>
  </si>
  <si>
    <t>Проценты</t>
  </si>
  <si>
    <t>Оплата за промдизайн</t>
  </si>
  <si>
    <t>Промдизайн</t>
  </si>
  <si>
    <t>Движение денежных средств по капиталу Фонда</t>
  </si>
  <si>
    <t>годы 2023-2029</t>
  </si>
  <si>
    <t>ГМК «Норникель»</t>
  </si>
  <si>
    <t>Полюс Золото</t>
  </si>
  <si>
    <t>Силовые Машины</t>
  </si>
  <si>
    <t>Интерпорт</t>
  </si>
  <si>
    <t>Транснефть</t>
  </si>
  <si>
    <t>Прочие</t>
  </si>
  <si>
    <t>Выручка от прямых продаж в комплектах</t>
  </si>
  <si>
    <t>Количество реализуемых TAU EASY, включая в комплекте  тренажером (шт.)</t>
  </si>
  <si>
    <t>Оплата подрядчикам заказных проектов</t>
  </si>
  <si>
    <t>Расходы на субподрядчиков в заказных проектах</t>
  </si>
  <si>
    <t>Финансовые прогнозы на основе маркетинга</t>
  </si>
  <si>
    <t>Прогноз выручки (план продаж)</t>
  </si>
  <si>
    <t>Выручка от реализации</t>
  </si>
  <si>
    <t>Количество TAU Tracker (шт.)</t>
  </si>
  <si>
    <t>Количество TAU Easy ,без учета тренажеров (шт.)</t>
  </si>
  <si>
    <t>Количество TAU HAPTIC (шт.)</t>
  </si>
  <si>
    <t>Количество TAU SUIT (шт.)</t>
  </si>
  <si>
    <t>Расчет прайсовой цены минимального тенажера</t>
  </si>
  <si>
    <t xml:space="preserve">Расчет прайсовой цены тренажера на 3 сценария (Среднего) </t>
  </si>
  <si>
    <t>Разработка 1 сценария</t>
  </si>
  <si>
    <t>Цена TAU Easy</t>
  </si>
  <si>
    <t xml:space="preserve">Цена TAU Tracker </t>
  </si>
  <si>
    <t xml:space="preserve">Цена TAU HAPTIC </t>
  </si>
  <si>
    <t>Движение денежных средств по формированию запасов</t>
  </si>
  <si>
    <t>Величина запасов</t>
  </si>
  <si>
    <t>Грант</t>
  </si>
  <si>
    <t>Движение денежных средств Грант</t>
  </si>
  <si>
    <t>свыше 1 года</t>
  </si>
  <si>
    <t>свыше 2 лет</t>
  </si>
  <si>
    <t>2023-2027</t>
  </si>
  <si>
    <t>Финансовый рычаг</t>
  </si>
  <si>
    <t>Выручка/Активы</t>
  </si>
  <si>
    <t>Оборачиваемость активов</t>
  </si>
  <si>
    <t>Стоимость бизнеса</t>
  </si>
  <si>
    <t xml:space="preserve">"Капитализация капитала" </t>
  </si>
  <si>
    <t>Количество проданных тренажеров</t>
  </si>
  <si>
    <t>TAU EASY</t>
  </si>
  <si>
    <t>Пожарная безопасность</t>
  </si>
  <si>
    <t>Заказные курсы/Пилоты</t>
  </si>
  <si>
    <t>Расчет прайсовой цены по кстомизаци тренажеров</t>
  </si>
  <si>
    <t>Кастомизация</t>
  </si>
  <si>
    <t>Количество проданных услуг</t>
  </si>
  <si>
    <t>Расчет прайсовой цены тренажера на 10 сценариев 3 раб. Места</t>
  </si>
  <si>
    <t>Количество реализуемых кастомизаций (шт.)</t>
  </si>
  <si>
    <t>Расходы на субподрядчиков в проектах по кастомизации</t>
  </si>
  <si>
    <t>Расходы на доставку</t>
  </si>
  <si>
    <t>Количество реализуемых коробочных VR тренажеров (шт.)</t>
  </si>
  <si>
    <t>Количество пилотов/ заказных проектов</t>
  </si>
  <si>
    <t xml:space="preserve">Цена коробочного  VR тренажеров </t>
  </si>
  <si>
    <t>Цена кастомизации VR тренажера минимального</t>
  </si>
  <si>
    <t xml:space="preserve">Цена пилота/заказного тренажера </t>
  </si>
  <si>
    <t xml:space="preserve">Цена TAU SUIT </t>
  </si>
  <si>
    <t>Оплата за разработку контент курсов</t>
  </si>
  <si>
    <t>ИТЦПТМ Хабаровск, ЧУ ДПО «Учебный центр «ИТЦПТМ»</t>
  </si>
  <si>
    <t>КОЛБИН ЮРИЙ ВЛАДИМИРОВИЧ +7 (962) 220-45-01, +7 (924) 100-55-60,  7 (914) 160-03-21,</t>
  </si>
  <si>
    <t>Программа профпереподготовки (256 часов) - 13 000 руб, документ - диплом.
Программа повышения квалификации (16 часов) - 2 100 руб. Для имеющих удостоверение противопожарного минимума, документ - удостоверение о повышении квалификации.
В связи с выходом ПП РФ от 16 сентября 2020 года N 1479 "Об утверждении Правил противопожарного режима в Российской Федерации", всем работникам, у которых имеется удостоверение по пожарной безопасности не зависимо от сроков предыдущей проверки знаний требуется внеочередная проверка. Стоимость внеочередной проверки знаний - 650 руб.</t>
  </si>
  <si>
    <t>Сколько человек проходит обучение?</t>
  </si>
  <si>
    <t>Комплект с компьютером</t>
  </si>
  <si>
    <t>Комплект с автономным шлемом</t>
  </si>
  <si>
    <t>Расчет прайсовой цены по Пожарной безопасности автономный</t>
  </si>
  <si>
    <t>Расчет себестоимости курсов с компьютером</t>
  </si>
  <si>
    <t>Расчет себестоимости курсов с автономным шлемом</t>
  </si>
  <si>
    <t>Расчет прайсовой цены тренажера на 10 сценариев 3 раб. Места с ИИ</t>
  </si>
  <si>
    <t>Расчет прайсовой цены по Пожарной безопасности с ИИ</t>
  </si>
  <si>
    <t>Курс $</t>
  </si>
  <si>
    <t>Q1 2028</t>
  </si>
  <si>
    <t>Q2 2028</t>
  </si>
  <si>
    <t>Q3 2028</t>
  </si>
  <si>
    <t>Q4 2028</t>
  </si>
  <si>
    <t>Q1 2029</t>
  </si>
  <si>
    <t>Заказные курсы/Пилоты ИИ</t>
  </si>
  <si>
    <t>Пожарная безопасность ИИ</t>
  </si>
  <si>
    <t>Количество проданных комплектов в тренажерах</t>
  </si>
  <si>
    <t>Количество реализуемых коробочных ИИ VR тренажеров (шт.)</t>
  </si>
  <si>
    <t>Количество пилотов ИИ/ заказных проектов ИИ</t>
  </si>
  <si>
    <t xml:space="preserve">Цена коробочного ИИ   VR тренажеров </t>
  </si>
  <si>
    <t>Цена пилота ИИ/заказного тренажера  ИИ</t>
  </si>
  <si>
    <t>Оплата поставщикам оборудования для коробочных тренажеров</t>
  </si>
  <si>
    <t xml:space="preserve">Создание виртуального ассистента </t>
  </si>
  <si>
    <t>Разработка виртуальнго ассистента</t>
  </si>
  <si>
    <t>Data Scientist</t>
  </si>
  <si>
    <t>Python-разработчик</t>
  </si>
  <si>
    <r>
      <t xml:space="preserve">Количество реализуемых коробочных курсов </t>
    </r>
    <r>
      <rPr>
        <sz val="10"/>
        <color rgb="FFFF0000"/>
        <rFont val="Calibri"/>
        <family val="2"/>
        <charset val="204"/>
        <scheme val="minor"/>
      </rPr>
      <t>Пожарная безопасность</t>
    </r>
    <r>
      <rPr>
        <sz val="10"/>
        <rFont val="Calibri"/>
        <family val="2"/>
        <charset val="204"/>
        <scheme val="minor"/>
      </rPr>
      <t xml:space="preserve">  (шт.)</t>
    </r>
  </si>
  <si>
    <r>
      <t>Количество реализуемых коробочных курсов</t>
    </r>
    <r>
      <rPr>
        <sz val="10"/>
        <color rgb="FFFF0000"/>
        <rFont val="Calibri"/>
        <family val="2"/>
        <charset val="204"/>
        <scheme val="minor"/>
      </rPr>
      <t xml:space="preserve"> Пожарная безопасность ИИ</t>
    </r>
    <r>
      <rPr>
        <sz val="10"/>
        <rFont val="Calibri"/>
        <family val="2"/>
        <charset val="204"/>
        <scheme val="minor"/>
      </rPr>
      <t xml:space="preserve"> (шт.)</t>
    </r>
  </si>
  <si>
    <r>
      <t>Количество реализуемых</t>
    </r>
    <r>
      <rPr>
        <sz val="10"/>
        <color rgb="FFFF0000"/>
        <rFont val="Calibri"/>
        <family val="2"/>
        <charset val="204"/>
        <scheme val="minor"/>
      </rPr>
      <t xml:space="preserve"> заказных курсов</t>
    </r>
    <r>
      <rPr>
        <sz val="10"/>
        <rFont val="Calibri"/>
        <family val="2"/>
        <charset val="204"/>
        <scheme val="minor"/>
      </rPr>
      <t xml:space="preserve">  (шт.)</t>
    </r>
  </si>
  <si>
    <r>
      <t>Количество реализуемых</t>
    </r>
    <r>
      <rPr>
        <sz val="10"/>
        <color rgb="FFFF0000"/>
        <rFont val="Calibri"/>
        <family val="2"/>
        <charset val="204"/>
        <scheme val="minor"/>
      </rPr>
      <t xml:space="preserve"> заказных курсов ИИ</t>
    </r>
    <r>
      <rPr>
        <sz val="10"/>
        <rFont val="Calibri"/>
        <family val="2"/>
        <charset val="204"/>
        <scheme val="minor"/>
      </rPr>
      <t xml:space="preserve"> (шт.)</t>
    </r>
  </si>
  <si>
    <r>
      <t xml:space="preserve">Количество реализуемых </t>
    </r>
    <r>
      <rPr>
        <sz val="10"/>
        <color rgb="FFFF0000"/>
        <rFont val="Calibri"/>
        <family val="2"/>
        <charset val="204"/>
        <scheme val="minor"/>
      </rPr>
      <t>кастомизаций</t>
    </r>
    <r>
      <rPr>
        <sz val="10"/>
        <rFont val="Calibri"/>
        <family val="2"/>
        <charset val="204"/>
        <scheme val="minor"/>
      </rPr>
      <t xml:space="preserve"> (шт.)</t>
    </r>
  </si>
  <si>
    <t>Разработка 10 сценариев</t>
  </si>
  <si>
    <t>Потребность в инвестициях</t>
  </si>
  <si>
    <t>годы 2024-2028</t>
  </si>
  <si>
    <t>Выручка за коробочный тренажер</t>
  </si>
  <si>
    <t>Выручка за пилоты/заказные тренажеры</t>
  </si>
  <si>
    <t>Выручка за пилоты/заказные тренажеры ИИ</t>
  </si>
  <si>
    <t>Выручка за TAU Tracker</t>
  </si>
  <si>
    <t>Выручка за TAU Easy</t>
  </si>
  <si>
    <t>Выручка за TAU Haptic</t>
  </si>
  <si>
    <t>Выручка за TAU Suit</t>
  </si>
  <si>
    <t>Выручка за астомизацию</t>
  </si>
  <si>
    <t>2024</t>
  </si>
  <si>
    <t>2025</t>
  </si>
  <si>
    <t>2026</t>
  </si>
  <si>
    <t>2027</t>
  </si>
  <si>
    <t>2028</t>
  </si>
  <si>
    <r>
      <t xml:space="preserve">Величина материальных расходов на все тренажеры </t>
    </r>
    <r>
      <rPr>
        <sz val="10"/>
        <color rgb="FFFF0000"/>
        <rFont val="Calibri"/>
        <family val="2"/>
        <charset val="204"/>
        <scheme val="minor"/>
      </rPr>
      <t>Пожарная безопасность</t>
    </r>
    <r>
      <rPr>
        <sz val="10"/>
        <rFont val="Calibri"/>
        <family val="2"/>
        <charset val="204"/>
        <scheme val="minor"/>
      </rPr>
      <t xml:space="preserve"> без учета TAU EASY </t>
    </r>
  </si>
  <si>
    <r>
      <t xml:space="preserve">Величина материальных расходов на все тренажеры </t>
    </r>
    <r>
      <rPr>
        <sz val="10"/>
        <color rgb="FFFF0000"/>
        <rFont val="Calibri"/>
        <family val="2"/>
        <charset val="204"/>
        <scheme val="minor"/>
      </rPr>
      <t>Пожарная безопасность ИИ</t>
    </r>
    <r>
      <rPr>
        <sz val="10"/>
        <rFont val="Calibri"/>
        <family val="2"/>
        <charset val="204"/>
        <scheme val="minor"/>
      </rPr>
      <t xml:space="preserve">  без учета TAU EASY </t>
    </r>
  </si>
  <si>
    <r>
      <t>Величина материальных расходов на</t>
    </r>
    <r>
      <rPr>
        <sz val="10"/>
        <color rgb="FFFF0000"/>
        <rFont val="Calibri"/>
        <family val="2"/>
        <charset val="204"/>
        <scheme val="minor"/>
      </rPr>
      <t xml:space="preserve"> все Пилоты или заказные тренажеры   </t>
    </r>
    <r>
      <rPr>
        <sz val="10"/>
        <rFont val="Calibri"/>
        <family val="2"/>
        <charset val="204"/>
        <scheme val="minor"/>
      </rPr>
      <t xml:space="preserve">без учета TAU EASY </t>
    </r>
  </si>
  <si>
    <r>
      <t>Величина материальных расходов на все</t>
    </r>
    <r>
      <rPr>
        <sz val="10"/>
        <color rgb="FFFF0000"/>
        <rFont val="Calibri"/>
        <family val="2"/>
        <charset val="204"/>
        <scheme val="minor"/>
      </rPr>
      <t xml:space="preserve"> Пилоты или заказные тренажеры с ИИ  </t>
    </r>
    <r>
      <rPr>
        <sz val="10"/>
        <rFont val="Calibri"/>
        <family val="2"/>
        <charset val="204"/>
        <scheme val="minor"/>
      </rPr>
      <t xml:space="preserve">без учета TAU EASY </t>
    </r>
  </si>
  <si>
    <r>
      <t xml:space="preserve">Величина материальных расходов на единицу тренажера </t>
    </r>
    <r>
      <rPr>
        <sz val="10"/>
        <color rgb="FFFF0000"/>
        <rFont val="Calibri"/>
        <family val="2"/>
        <charset val="204"/>
        <scheme val="minor"/>
      </rPr>
      <t>Пожарная безопасность</t>
    </r>
    <r>
      <rPr>
        <sz val="10"/>
        <rFont val="Calibri"/>
        <family val="2"/>
        <charset val="204"/>
        <scheme val="minor"/>
      </rPr>
      <t xml:space="preserve"> без учета TAU EASY </t>
    </r>
  </si>
  <si>
    <r>
      <t xml:space="preserve">Величина материальных расходов на  единицу тренажера </t>
    </r>
    <r>
      <rPr>
        <sz val="10"/>
        <color rgb="FFFF0000"/>
        <rFont val="Calibri"/>
        <family val="2"/>
        <charset val="204"/>
        <scheme val="minor"/>
      </rPr>
      <t>Пожарная безопасность ИИ</t>
    </r>
    <r>
      <rPr>
        <sz val="10"/>
        <rFont val="Calibri"/>
        <family val="2"/>
        <charset val="204"/>
        <scheme val="minor"/>
      </rPr>
      <t xml:space="preserve">  без учета TAU EASY </t>
    </r>
  </si>
  <si>
    <r>
      <t xml:space="preserve">Величина материальных расходов на единицу </t>
    </r>
    <r>
      <rPr>
        <sz val="10"/>
        <color rgb="FFFF0000"/>
        <rFont val="Calibri"/>
        <family val="2"/>
        <charset val="204"/>
        <scheme val="minor"/>
      </rPr>
      <t xml:space="preserve"> Пилота или заказного тренажера   </t>
    </r>
    <r>
      <rPr>
        <sz val="10"/>
        <rFont val="Calibri"/>
        <family val="2"/>
        <charset val="204"/>
        <scheme val="minor"/>
      </rPr>
      <t xml:space="preserve">без учета TAU EASY </t>
    </r>
  </si>
  <si>
    <r>
      <t xml:space="preserve">Величина материальных расходов на единицу </t>
    </r>
    <r>
      <rPr>
        <sz val="10"/>
        <color rgb="FFFF0000"/>
        <rFont val="Calibri"/>
        <family val="2"/>
        <charset val="204"/>
        <scheme val="minor"/>
      </rPr>
      <t xml:space="preserve">Пилота или заказного тренажера с ИИ  </t>
    </r>
    <r>
      <rPr>
        <sz val="10"/>
        <rFont val="Calibri"/>
        <family val="2"/>
        <charset val="204"/>
        <scheme val="minor"/>
      </rPr>
      <t xml:space="preserve">без учета TAU EASY </t>
    </r>
  </si>
  <si>
    <r>
      <t>Величина материальных расходов на все</t>
    </r>
    <r>
      <rPr>
        <sz val="10"/>
        <color rgb="FFFF0000"/>
        <rFont val="Calibri"/>
        <family val="2"/>
        <charset val="204"/>
        <scheme val="minor"/>
      </rPr>
      <t xml:space="preserve"> </t>
    </r>
    <r>
      <rPr>
        <sz val="10"/>
        <rFont val="Calibri"/>
        <family val="2"/>
        <charset val="204"/>
        <scheme val="minor"/>
      </rPr>
      <t xml:space="preserve">TAU EASY </t>
    </r>
  </si>
  <si>
    <t>Величина материальных расходов на единицу TAU EASY</t>
  </si>
  <si>
    <r>
      <t>Величина материальных расходов на все</t>
    </r>
    <r>
      <rPr>
        <sz val="10"/>
        <color rgb="FFFF0000"/>
        <rFont val="Calibri"/>
        <family val="2"/>
        <charset val="204"/>
        <scheme val="minor"/>
      </rPr>
      <t xml:space="preserve"> </t>
    </r>
    <r>
      <rPr>
        <sz val="10"/>
        <rFont val="Calibri"/>
        <family val="2"/>
        <charset val="204"/>
        <scheme val="minor"/>
      </rPr>
      <t xml:space="preserve">TAU HAPTIC </t>
    </r>
  </si>
  <si>
    <t xml:space="preserve">Величина материальных расходов на единицу TAU SUIT </t>
  </si>
  <si>
    <t xml:space="preserve">Величина материальных расходов на единицу TAU HAPTIC </t>
  </si>
  <si>
    <t xml:space="preserve">Величина материальных расходов на все TAU SUIT </t>
  </si>
  <si>
    <t>Величина расходов на субподрядные организации для заказных тренажеров</t>
  </si>
  <si>
    <t>Величина расходов на субподрядные организации для кастомизаций</t>
  </si>
  <si>
    <t>Величина запасов 10% TAU EASY</t>
  </si>
  <si>
    <t xml:space="preserve">Величина запасов 3% для  курсов </t>
  </si>
  <si>
    <t xml:space="preserve">Величина запасов 10% TAU HAPTIC </t>
  </si>
  <si>
    <t xml:space="preserve">Величина запасов 10% TAU SUIT </t>
  </si>
  <si>
    <t>Величина дебиторской задолженности  от оборота   (30 дней)</t>
  </si>
  <si>
    <t>Маркетолог Европа</t>
  </si>
  <si>
    <t>Менеджеры по продажам Европа</t>
  </si>
  <si>
    <t>Сервисный инженер Европа</t>
  </si>
  <si>
    <t>Открытие юридического лица за рубежом</t>
  </si>
  <si>
    <t>Аренда офиса и склада Китай</t>
  </si>
  <si>
    <t>Открытие юридического лица в Европе</t>
  </si>
  <si>
    <t>Открытие юридического лица в Индии</t>
  </si>
  <si>
    <t>Выручка, млн.$</t>
  </si>
  <si>
    <t>Прибыль до налога, млн.$</t>
  </si>
  <si>
    <t>Открытие юридического лица в ОАЭ</t>
  </si>
  <si>
    <t>Логист Вьетнам</t>
  </si>
  <si>
    <t>Открытие юридического лица в Китае/Вьетнаме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</si>
</sst>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164" formatCode="m/d"/>
    <numFmt numFmtId="165" formatCode="[$$-409]#,##0.00"/>
    <numFmt numFmtId="166" formatCode="[$$]#,##0.00"/>
    <numFmt numFmtId="167" formatCode="#,##0.00\ &quot;₽&quot;"/>
    <numFmt numFmtId="168" formatCode="#,##0.00&quot;р.&quot;"/>
    <numFmt numFmtId="169" formatCode="&quot;$&quot;#,##0.00"/>
    <numFmt numFmtId="170" formatCode="#,##0;[Red]\-#,##0"/>
    <numFmt numFmtId="171" formatCode="#,##0_ ;[Red]\-#,##0\ "/>
    <numFmt numFmtId="172" formatCode="#,##0.00;[Red]\-#,##0.00"/>
    <numFmt numFmtId="173" formatCode="0_ ;[Red]\-0\ "/>
    <numFmt numFmtId="174" formatCode="#,##0;\(#,##0\)"/>
    <numFmt numFmtId="175" formatCode="0.0"/>
    <numFmt numFmtId="176" formatCode="_(* #,##0_);_(* \(#,##0\);_(* \-??_);_(@_)"/>
    <numFmt numFmtId="177" formatCode="_(* #,##0_);_(* \(#,##0\);_(* \-_);_(@_)"/>
    <numFmt numFmtId="178" formatCode="#,##0.000;[Red]\-#,##0.000"/>
    <numFmt numFmtId="179" formatCode="#,##0.0_р_у_б;[Red]\-#,##0.0_р_у_б"/>
    <numFmt numFmtId="180" formatCode="#,##0_р_у_б;[Red]\-#,##0_р_у_б"/>
    <numFmt numFmtId="181" formatCode="[$$-45C]#,##0.00"/>
    <numFmt numFmtId="182" formatCode="#,##0.0_ ;[Red]\-#,##0.0\ "/>
    <numFmt numFmtId="183" formatCode="#,##0.00_ ;[Red]\-#,##0.00\ "/>
    <numFmt numFmtId="184" formatCode="#,##0.00000"/>
  </numFmts>
  <fonts count="98">
    <font>
      <sz val="12"/>
      <color rgb="FF000000"/>
      <name val="Calibri"/>
      <scheme val="minor"/>
    </font>
    <font>
      <sz val="12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2"/>
      <color rgb="FF000000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sz val="10"/>
      <color rgb="FFFFFFFF"/>
      <name val="Arimo"/>
    </font>
    <font>
      <sz val="12"/>
      <name val="Calibri"/>
      <family val="2"/>
      <charset val="204"/>
    </font>
    <font>
      <sz val="12"/>
      <color rgb="FF000000"/>
      <name val="Calibri"/>
      <family val="2"/>
      <charset val="204"/>
    </font>
    <font>
      <sz val="12"/>
      <color rgb="FF000000"/>
      <name val="Calibri"/>
      <family val="2"/>
      <charset val="204"/>
      <scheme val="minor"/>
    </font>
    <font>
      <b/>
      <sz val="5"/>
      <color theme="1"/>
      <name val="Calibri"/>
      <family val="2"/>
      <charset val="204"/>
    </font>
    <font>
      <sz val="5"/>
      <color theme="1"/>
      <name val="Calibri"/>
      <family val="2"/>
      <charset val="204"/>
    </font>
    <font>
      <sz val="5"/>
      <color rgb="FF000000"/>
      <name val="Calibri"/>
      <family val="2"/>
      <charset val="204"/>
      <scheme val="minor"/>
    </font>
    <font>
      <b/>
      <i/>
      <sz val="5"/>
      <color theme="1"/>
      <name val="Calibri"/>
      <family val="2"/>
      <charset val="204"/>
    </font>
    <font>
      <i/>
      <sz val="5"/>
      <color theme="1"/>
      <name val="Calibri"/>
      <family val="2"/>
      <charset val="204"/>
    </font>
    <font>
      <sz val="5"/>
      <color rgb="FF000000"/>
      <name val="Calibri"/>
      <family val="2"/>
      <charset val="204"/>
    </font>
    <font>
      <b/>
      <sz val="11"/>
      <color theme="1"/>
      <name val="Arimo"/>
    </font>
    <font>
      <sz val="11"/>
      <color theme="1"/>
      <name val="Arimo"/>
    </font>
    <font>
      <i/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0"/>
      <color rgb="FF000000"/>
      <name val="Calibri"/>
      <family val="2"/>
      <charset val="204"/>
      <scheme val="minor"/>
    </font>
    <font>
      <b/>
      <sz val="18"/>
      <color rgb="FF31A0C5"/>
      <name val="Calibri"/>
      <family val="2"/>
      <charset val="204"/>
    </font>
    <font>
      <b/>
      <sz val="11"/>
      <color rgb="FF140545"/>
      <name val="Calibri"/>
      <family val="2"/>
      <charset val="204"/>
    </font>
    <font>
      <b/>
      <sz val="11"/>
      <color rgb="FF7F7F7F"/>
      <name val="Calibri"/>
      <family val="2"/>
      <charset val="204"/>
    </font>
    <font>
      <b/>
      <sz val="24"/>
      <color rgb="FFFFFFFF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4"/>
      <color rgb="FF000000"/>
      <name val="Calibri"/>
      <family val="2"/>
      <charset val="204"/>
    </font>
    <font>
      <sz val="11"/>
      <color rgb="FF7F7F7F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u/>
      <sz val="12"/>
      <color theme="10"/>
      <name val="Calibri"/>
      <family val="2"/>
      <charset val="204"/>
      <scheme val="minor"/>
    </font>
    <font>
      <b/>
      <sz val="12"/>
      <color rgb="FF000000"/>
      <name val="Calibri"/>
      <family val="2"/>
      <charset val="204"/>
    </font>
    <font>
      <sz val="11"/>
      <color theme="0" tint="-0.499984740745262"/>
      <name val="Times New Roman"/>
      <family val="1"/>
      <charset val="204"/>
    </font>
    <font>
      <sz val="11"/>
      <color theme="0" tint="-0.499984740745262"/>
      <name val="Calibri"/>
      <family val="2"/>
      <charset val="204"/>
    </font>
    <font>
      <sz val="10"/>
      <color theme="0" tint="-0.499984740745262"/>
      <name val="Calibri"/>
      <family val="2"/>
      <charset val="204"/>
      <scheme val="minor"/>
    </font>
    <font>
      <b/>
      <sz val="14"/>
      <color rgb="FF31A0C5"/>
      <name val="Calibri"/>
      <family val="2"/>
      <charset val="204"/>
    </font>
    <font>
      <b/>
      <sz val="22"/>
      <color theme="0"/>
      <name val="Calibri"/>
      <family val="2"/>
      <charset val="204"/>
    </font>
    <font>
      <b/>
      <sz val="22"/>
      <color theme="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Georgia"/>
      <family val="1"/>
      <charset val="204"/>
    </font>
    <font>
      <b/>
      <sz val="11"/>
      <name val="Georgia"/>
      <family val="1"/>
      <charset val="204"/>
    </font>
    <font>
      <sz val="11"/>
      <name val="Thonburi"/>
    </font>
    <font>
      <i/>
      <sz val="8"/>
      <name val="Georgia"/>
      <family val="1"/>
      <charset val="204"/>
    </font>
    <font>
      <b/>
      <sz val="5"/>
      <color rgb="FF000000"/>
      <name val="Calibri"/>
      <family val="2"/>
      <charset val="204"/>
      <scheme val="minor"/>
    </font>
    <font>
      <b/>
      <i/>
      <sz val="5"/>
      <color theme="0" tint="-0.499984740745262"/>
      <name val="Calibri"/>
      <family val="2"/>
      <charset val="204"/>
    </font>
    <font>
      <b/>
      <sz val="5"/>
      <color theme="0" tint="-0.499984740745262"/>
      <name val="Calibri"/>
      <family val="2"/>
      <charset val="204"/>
    </font>
    <font>
      <b/>
      <sz val="5"/>
      <color theme="0" tint="-0.499984740745262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i/>
      <sz val="10"/>
      <name val="Calibri"/>
      <family val="2"/>
      <charset val="204"/>
      <scheme val="minor"/>
    </font>
    <font>
      <i/>
      <sz val="11"/>
      <name val="Georgia"/>
      <family val="1"/>
      <charset val="204"/>
    </font>
    <font>
      <sz val="9"/>
      <color rgb="FF373E4D"/>
      <name val="Helvetica Neue"/>
    </font>
    <font>
      <sz val="8"/>
      <color rgb="FF000000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sz val="11"/>
      <color rgb="FFFFFF00"/>
      <name val="Georgia"/>
      <family val="1"/>
      <charset val="204"/>
    </font>
    <font>
      <sz val="10"/>
      <name val="Georgia"/>
      <family val="1"/>
      <charset val="204"/>
    </font>
    <font>
      <b/>
      <sz val="16"/>
      <name val="Georgia"/>
      <family val="1"/>
      <charset val="204"/>
    </font>
    <font>
      <b/>
      <sz val="12"/>
      <name val="Georgia"/>
      <family val="1"/>
      <charset val="204"/>
    </font>
    <font>
      <sz val="14"/>
      <name val="Georgia"/>
      <family val="1"/>
      <charset val="204"/>
    </font>
    <font>
      <sz val="12"/>
      <name val="Thonburi"/>
    </font>
    <font>
      <sz val="12"/>
      <name val="Georgia"/>
      <family val="1"/>
      <charset val="204"/>
    </font>
    <font>
      <b/>
      <sz val="10"/>
      <name val="Georgia"/>
      <family val="1"/>
      <charset val="204"/>
    </font>
    <font>
      <sz val="24"/>
      <name val="Georgia"/>
      <family val="1"/>
      <charset val="204"/>
    </font>
    <font>
      <i/>
      <sz val="12"/>
      <name val="Georgia"/>
      <family val="1"/>
      <charset val="204"/>
    </font>
    <font>
      <b/>
      <i/>
      <sz val="12"/>
      <name val="Georgia"/>
      <family val="1"/>
      <charset val="204"/>
    </font>
    <font>
      <sz val="10"/>
      <name val="Thonburi"/>
    </font>
    <font>
      <sz val="16"/>
      <name val="Georgia"/>
      <family val="1"/>
      <charset val="204"/>
    </font>
    <font>
      <sz val="18"/>
      <color rgb="FF993300"/>
      <name val="Thonburi"/>
    </font>
    <font>
      <b/>
      <sz val="14"/>
      <color rgb="FF0000FF"/>
      <name val="Georgia"/>
      <family val="1"/>
      <charset val="204"/>
    </font>
    <font>
      <sz val="14"/>
      <name val="Thonburi"/>
    </font>
    <font>
      <b/>
      <sz val="14"/>
      <color rgb="FF008000"/>
      <name val="Thonburi"/>
    </font>
    <font>
      <b/>
      <sz val="14"/>
      <name val="Georgia"/>
      <family val="1"/>
      <charset val="204"/>
    </font>
    <font>
      <b/>
      <sz val="10"/>
      <color rgb="FF0000FF"/>
      <name val="Georgia"/>
      <family val="1"/>
      <charset val="204"/>
    </font>
    <font>
      <b/>
      <sz val="14"/>
      <color theme="1"/>
      <name val="Georgia"/>
      <family val="1"/>
      <charset val="204"/>
    </font>
    <font>
      <b/>
      <sz val="14"/>
      <color theme="1"/>
      <name val="Calibri"/>
      <family val="2"/>
      <charset val="204"/>
    </font>
    <font>
      <b/>
      <sz val="10"/>
      <name val="Times New Roman"/>
      <family val="1"/>
      <charset val="204"/>
    </font>
    <font>
      <b/>
      <i/>
      <sz val="10"/>
      <color rgb="FFC00000"/>
      <name val="Georgia"/>
      <family val="1"/>
      <charset val="204"/>
    </font>
    <font>
      <b/>
      <sz val="10"/>
      <color rgb="FFC00000"/>
      <name val="Georgia"/>
      <family val="1"/>
      <charset val="204"/>
    </font>
    <font>
      <b/>
      <sz val="10"/>
      <color rgb="FFC00000"/>
      <name val="Times New Roman"/>
      <family val="1"/>
      <charset val="204"/>
    </font>
    <font>
      <i/>
      <sz val="5"/>
      <color theme="0" tint="-0.499984740745262"/>
      <name val="Calibri"/>
      <family val="2"/>
      <charset val="204"/>
    </font>
    <font>
      <i/>
      <sz val="5"/>
      <color theme="0" tint="-0.499984740745262"/>
      <name val="Calibri"/>
      <family val="2"/>
      <charset val="204"/>
      <scheme val="minor"/>
    </font>
    <font>
      <i/>
      <sz val="3"/>
      <color theme="0" tint="-0.499984740745262"/>
      <name val="Calibri"/>
      <family val="2"/>
      <charset val="204"/>
    </font>
    <font>
      <b/>
      <i/>
      <sz val="3"/>
      <color theme="0" tint="-0.499984740745262"/>
      <name val="Calibri"/>
      <family val="2"/>
      <charset val="204"/>
    </font>
    <font>
      <i/>
      <sz val="3"/>
      <color theme="1"/>
      <name val="Calibri"/>
      <family val="2"/>
      <charset val="204"/>
    </font>
    <font>
      <sz val="3"/>
      <color theme="1"/>
      <name val="Calibri"/>
      <family val="2"/>
      <charset val="204"/>
    </font>
    <font>
      <sz val="3"/>
      <color rgb="FF000000"/>
      <name val="Calibri"/>
      <family val="2"/>
      <charset val="204"/>
      <scheme val="minor"/>
    </font>
    <font>
      <i/>
      <sz val="8"/>
      <color theme="1"/>
      <name val="Calibri"/>
      <family val="2"/>
      <charset val="204"/>
    </font>
    <font>
      <sz val="12"/>
      <name val="Arial"/>
      <family val="2"/>
      <charset val="204"/>
    </font>
    <font>
      <sz val="12"/>
      <color rgb="FF000000"/>
      <name val="Arial"/>
      <family val="2"/>
      <charset val="204"/>
    </font>
    <font>
      <sz val="11"/>
      <name val="Calibri"/>
      <family val="2"/>
      <charset val="204"/>
      <scheme val="major"/>
    </font>
    <font>
      <sz val="10"/>
      <color rgb="FF000000"/>
      <name val="Calibri"/>
      <family val="2"/>
      <charset val="204"/>
      <scheme val="major"/>
    </font>
    <font>
      <b/>
      <sz val="11"/>
      <color theme="1"/>
      <name val="Calibri"/>
      <family val="2"/>
      <charset val="204"/>
    </font>
    <font>
      <i/>
      <sz val="12"/>
      <name val="Calibri"/>
      <family val="2"/>
      <charset val="204"/>
      <scheme val="major"/>
    </font>
    <font>
      <sz val="12"/>
      <name val="Calibri"/>
      <family val="2"/>
      <charset val="204"/>
      <scheme val="major"/>
    </font>
    <font>
      <b/>
      <sz val="12"/>
      <name val="Calibri"/>
      <family val="2"/>
      <charset val="204"/>
      <scheme val="major"/>
    </font>
    <font>
      <sz val="12"/>
      <color rgb="FF000000"/>
      <name val="Calibri"/>
      <family val="2"/>
      <charset val="204"/>
      <scheme val="major"/>
    </font>
    <font>
      <sz val="10"/>
      <color rgb="FFFF0000"/>
      <name val="Calibri"/>
      <family val="2"/>
      <charset val="204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E5DFEC"/>
        <bgColor rgb="FFE5DFEC"/>
      </patternFill>
    </fill>
    <fill>
      <patternFill patternType="solid">
        <fgColor rgb="FFEAF1DD"/>
        <bgColor rgb="FFEAF1DD"/>
      </patternFill>
    </fill>
    <fill>
      <patternFill patternType="solid">
        <fgColor rgb="FFFDE9D9"/>
        <bgColor rgb="FFFDE9D9"/>
      </patternFill>
    </fill>
    <fill>
      <patternFill patternType="solid">
        <fgColor rgb="FF000080"/>
        <bgColor rgb="FF000080"/>
      </patternFill>
    </fill>
    <fill>
      <patternFill patternType="solid">
        <fgColor rgb="FFE2FFE1"/>
        <bgColor rgb="FFCCFFCC"/>
      </patternFill>
    </fill>
    <fill>
      <patternFill patternType="solid">
        <fgColor rgb="FFE2FFE1"/>
        <bgColor indexed="64"/>
      </patternFill>
    </fill>
    <fill>
      <patternFill patternType="solid">
        <fgColor rgb="FF31A0C5"/>
        <bgColor rgb="FF31A0C5"/>
      </patternFill>
    </fill>
    <fill>
      <patternFill patternType="solid">
        <fgColor rgb="FFD1DCFF"/>
        <bgColor rgb="FFCCFFCC"/>
      </patternFill>
    </fill>
    <fill>
      <patternFill patternType="solid">
        <fgColor rgb="FFD1DC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99CC"/>
        <bgColor rgb="FFFF99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FF99CC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  <fill>
      <patternFill patternType="solid">
        <fgColor rgb="FFCCFFFF"/>
        <bgColor rgb="FFCCFFFF"/>
      </patternFill>
    </fill>
    <fill>
      <patternFill patternType="solid">
        <fgColor rgb="FFE7FFFA"/>
        <bgColor rgb="FFCCFFCC"/>
      </patternFill>
    </fill>
    <fill>
      <patternFill patternType="solid">
        <fgColor rgb="FFE7FFFA"/>
        <bgColor indexed="64"/>
      </patternFill>
    </fill>
    <fill>
      <patternFill patternType="solid">
        <fgColor rgb="FFCCCCFF"/>
        <bgColor rgb="FFE5DFEC"/>
      </patternFill>
    </fill>
    <fill>
      <patternFill patternType="solid">
        <fgColor rgb="FFCCCCFF"/>
        <bgColor rgb="FFDAEEF3"/>
      </patternFill>
    </fill>
    <fill>
      <patternFill patternType="solid">
        <fgColor rgb="FFCCCCFF"/>
        <bgColor rgb="FFCCFFCC"/>
      </patternFill>
    </fill>
    <fill>
      <patternFill patternType="solid">
        <fgColor rgb="FFCCCCFF"/>
        <bgColor indexed="64"/>
      </patternFill>
    </fill>
    <fill>
      <patternFill patternType="solid">
        <fgColor rgb="FFFFF2D1"/>
        <bgColor rgb="FFCCFFCC"/>
      </patternFill>
    </fill>
    <fill>
      <patternFill patternType="solid">
        <fgColor rgb="FFFFF2D1"/>
        <bgColor indexed="64"/>
      </patternFill>
    </fill>
    <fill>
      <patternFill patternType="solid">
        <fgColor rgb="FFCEFAF5"/>
        <bgColor rgb="FFCCFFCC"/>
      </patternFill>
    </fill>
    <fill>
      <patternFill patternType="solid">
        <fgColor rgb="FFCEFAF5"/>
        <bgColor indexed="64"/>
      </patternFill>
    </fill>
  </fills>
  <borders count="6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ck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</borders>
  <cellStyleXfs count="5">
    <xf numFmtId="0" fontId="0" fillId="0" borderId="0"/>
    <xf numFmtId="0" fontId="20" fillId="0" borderId="10"/>
    <xf numFmtId="0" fontId="29" fillId="0" borderId="0" applyNumberFormat="0" applyFill="0" applyBorder="0" applyAlignment="0" applyProtection="0"/>
    <xf numFmtId="0" fontId="37" fillId="0" borderId="10"/>
    <xf numFmtId="0" fontId="52" fillId="0" borderId="10"/>
  </cellStyleXfs>
  <cellXfs count="829">
    <xf numFmtId="0" fontId="0" fillId="0" borderId="0" xfId="0" applyFont="1" applyAlignment="1"/>
    <xf numFmtId="0" fontId="1" fillId="0" borderId="0" xfId="0" applyFont="1"/>
    <xf numFmtId="4" fontId="1" fillId="0" borderId="0" xfId="0" applyNumberFormat="1" applyFont="1"/>
    <xf numFmtId="0" fontId="3" fillId="0" borderId="1" xfId="0" applyFont="1" applyBorder="1"/>
    <xf numFmtId="0" fontId="3" fillId="0" borderId="0" xfId="0" applyFont="1"/>
    <xf numFmtId="3" fontId="1" fillId="0" borderId="1" xfId="0" applyNumberFormat="1" applyFont="1" applyBorder="1"/>
    <xf numFmtId="0" fontId="4" fillId="0" borderId="0" xfId="0" applyFont="1"/>
    <xf numFmtId="0" fontId="5" fillId="5" borderId="1" xfId="0" applyFont="1" applyFill="1" applyBorder="1"/>
    <xf numFmtId="0" fontId="8" fillId="0" borderId="0" xfId="0" applyFont="1" applyAlignment="1"/>
    <xf numFmtId="0" fontId="11" fillId="0" borderId="0" xfId="0" applyFont="1" applyAlignment="1"/>
    <xf numFmtId="0" fontId="14" fillId="0" borderId="0" xfId="0" applyFont="1"/>
    <xf numFmtId="3" fontId="9" fillId="0" borderId="13" xfId="0" applyNumberFormat="1" applyFont="1" applyBorder="1"/>
    <xf numFmtId="3" fontId="13" fillId="0" borderId="13" xfId="0" applyNumberFormat="1" applyFont="1" applyBorder="1"/>
    <xf numFmtId="9" fontId="13" fillId="0" borderId="13" xfId="0" applyNumberFormat="1" applyFont="1" applyBorder="1"/>
    <xf numFmtId="3" fontId="9" fillId="6" borderId="13" xfId="0" applyNumberFormat="1" applyFont="1" applyFill="1" applyBorder="1"/>
    <xf numFmtId="3" fontId="9" fillId="2" borderId="13" xfId="0" applyNumberFormat="1" applyFont="1" applyFill="1" applyBorder="1"/>
    <xf numFmtId="3" fontId="10" fillId="2" borderId="13" xfId="0" applyNumberFormat="1" applyFont="1" applyFill="1" applyBorder="1" applyAlignment="1"/>
    <xf numFmtId="3" fontId="13" fillId="2" borderId="13" xfId="0" applyNumberFormat="1" applyFont="1" applyFill="1" applyBorder="1"/>
    <xf numFmtId="3" fontId="12" fillId="2" borderId="13" xfId="0" applyNumberFormat="1" applyFont="1" applyFill="1" applyBorder="1"/>
    <xf numFmtId="3" fontId="10" fillId="2" borderId="13" xfId="0" applyNumberFormat="1" applyFont="1" applyFill="1" applyBorder="1"/>
    <xf numFmtId="3" fontId="9" fillId="3" borderId="13" xfId="0" applyNumberFormat="1" applyFont="1" applyFill="1" applyBorder="1"/>
    <xf numFmtId="3" fontId="10" fillId="3" borderId="13" xfId="0" applyNumberFormat="1" applyFont="1" applyFill="1" applyBorder="1"/>
    <xf numFmtId="3" fontId="13" fillId="3" borderId="13" xfId="0" applyNumberFormat="1" applyFont="1" applyFill="1" applyBorder="1"/>
    <xf numFmtId="3" fontId="12" fillId="3" borderId="13" xfId="0" applyNumberFormat="1" applyFont="1" applyFill="1" applyBorder="1"/>
    <xf numFmtId="3" fontId="9" fillId="4" borderId="13" xfId="0" applyNumberFormat="1" applyFont="1" applyFill="1" applyBorder="1"/>
    <xf numFmtId="3" fontId="10" fillId="4" borderId="13" xfId="0" applyNumberFormat="1" applyFont="1" applyFill="1" applyBorder="1"/>
    <xf numFmtId="3" fontId="10" fillId="4" borderId="13" xfId="0" applyNumberFormat="1" applyFont="1" applyFill="1" applyBorder="1" applyAlignment="1"/>
    <xf numFmtId="3" fontId="13" fillId="4" borderId="13" xfId="0" applyNumberFormat="1" applyFont="1" applyFill="1" applyBorder="1"/>
    <xf numFmtId="3" fontId="12" fillId="4" borderId="13" xfId="0" applyNumberFormat="1" applyFont="1" applyFill="1" applyBorder="1"/>
    <xf numFmtId="3" fontId="10" fillId="0" borderId="13" xfId="0" applyNumberFormat="1" applyFont="1" applyBorder="1"/>
    <xf numFmtId="3" fontId="9" fillId="0" borderId="10" xfId="0" applyNumberFormat="1" applyFont="1" applyBorder="1"/>
    <xf numFmtId="3" fontId="10" fillId="0" borderId="10" xfId="0" applyNumberFormat="1" applyFont="1" applyBorder="1"/>
    <xf numFmtId="3" fontId="14" fillId="0" borderId="10" xfId="0" applyNumberFormat="1" applyFont="1" applyBorder="1"/>
    <xf numFmtId="0" fontId="11" fillId="0" borderId="10" xfId="0" applyFont="1" applyBorder="1" applyAlignment="1"/>
    <xf numFmtId="0" fontId="10" fillId="0" borderId="10" xfId="0" applyFont="1" applyBorder="1"/>
    <xf numFmtId="165" fontId="10" fillId="0" borderId="10" xfId="0" applyNumberFormat="1" applyFont="1" applyBorder="1"/>
    <xf numFmtId="0" fontId="14" fillId="0" borderId="10" xfId="0" applyFont="1" applyBorder="1"/>
    <xf numFmtId="4" fontId="10" fillId="0" borderId="10" xfId="0" applyNumberFormat="1" applyFont="1" applyBorder="1"/>
    <xf numFmtId="0" fontId="9" fillId="0" borderId="10" xfId="0" applyFont="1" applyBorder="1"/>
    <xf numFmtId="9" fontId="13" fillId="0" borderId="10" xfId="0" applyNumberFormat="1" applyFont="1" applyBorder="1"/>
    <xf numFmtId="3" fontId="9" fillId="6" borderId="10" xfId="0" applyNumberFormat="1" applyFont="1" applyFill="1" applyBorder="1"/>
    <xf numFmtId="3" fontId="13" fillId="6" borderId="10" xfId="0" applyNumberFormat="1" applyFont="1" applyFill="1" applyBorder="1"/>
    <xf numFmtId="0" fontId="9" fillId="2" borderId="10" xfId="0" applyFont="1" applyFill="1" applyBorder="1"/>
    <xf numFmtId="3" fontId="9" fillId="2" borderId="10" xfId="0" applyNumberFormat="1" applyFont="1" applyFill="1" applyBorder="1"/>
    <xf numFmtId="3" fontId="13" fillId="2" borderId="10" xfId="0" applyNumberFormat="1" applyFont="1" applyFill="1" applyBorder="1"/>
    <xf numFmtId="3" fontId="12" fillId="2" borderId="10" xfId="0" applyNumberFormat="1" applyFont="1" applyFill="1" applyBorder="1"/>
    <xf numFmtId="0" fontId="9" fillId="3" borderId="10" xfId="0" applyFont="1" applyFill="1" applyBorder="1"/>
    <xf numFmtId="3" fontId="9" fillId="3" borderId="10" xfId="0" applyNumberFormat="1" applyFont="1" applyFill="1" applyBorder="1"/>
    <xf numFmtId="3" fontId="10" fillId="3" borderId="10" xfId="0" applyNumberFormat="1" applyFont="1" applyFill="1" applyBorder="1"/>
    <xf numFmtId="3" fontId="13" fillId="3" borderId="10" xfId="0" applyNumberFormat="1" applyFont="1" applyFill="1" applyBorder="1"/>
    <xf numFmtId="3" fontId="12" fillId="3" borderId="10" xfId="0" applyNumberFormat="1" applyFont="1" applyFill="1" applyBorder="1"/>
    <xf numFmtId="0" fontId="9" fillId="4" borderId="10" xfId="0" applyFont="1" applyFill="1" applyBorder="1"/>
    <xf numFmtId="3" fontId="9" fillId="4" borderId="10" xfId="0" applyNumberFormat="1" applyFont="1" applyFill="1" applyBorder="1"/>
    <xf numFmtId="3" fontId="10" fillId="4" borderId="10" xfId="0" applyNumberFormat="1" applyFont="1" applyFill="1" applyBorder="1"/>
    <xf numFmtId="3" fontId="13" fillId="4" borderId="10" xfId="0" applyNumberFormat="1" applyFont="1" applyFill="1" applyBorder="1"/>
    <xf numFmtId="3" fontId="12" fillId="4" borderId="10" xfId="0" applyNumberFormat="1" applyFont="1" applyFill="1" applyBorder="1"/>
    <xf numFmtId="3" fontId="13" fillId="0" borderId="10" xfId="0" applyNumberFormat="1" applyFont="1" applyBorder="1"/>
    <xf numFmtId="0" fontId="15" fillId="0" borderId="1" xfId="0" applyFont="1" applyBorder="1"/>
    <xf numFmtId="17" fontId="16" fillId="4" borderId="1" xfId="0" applyNumberFormat="1" applyFont="1" applyFill="1" applyBorder="1"/>
    <xf numFmtId="3" fontId="17" fillId="0" borderId="3" xfId="0" applyNumberFormat="1" applyFont="1" applyBorder="1" applyAlignment="1">
      <alignment horizontal="left" wrapText="1"/>
    </xf>
    <xf numFmtId="0" fontId="18" fillId="0" borderId="0" xfId="0" applyFont="1" applyAlignment="1"/>
    <xf numFmtId="4" fontId="13" fillId="0" borderId="13" xfId="0" applyNumberFormat="1" applyFont="1" applyBorder="1"/>
    <xf numFmtId="4" fontId="13" fillId="0" borderId="10" xfId="0" applyNumberFormat="1" applyFont="1" applyBorder="1"/>
    <xf numFmtId="4" fontId="11" fillId="0" borderId="0" xfId="0" applyNumberFormat="1" applyFont="1" applyAlignment="1"/>
    <xf numFmtId="4" fontId="14" fillId="0" borderId="0" xfId="0" applyNumberFormat="1" applyFont="1"/>
    <xf numFmtId="9" fontId="14" fillId="0" borderId="0" xfId="0" applyNumberFormat="1" applyFont="1"/>
    <xf numFmtId="9" fontId="11" fillId="0" borderId="0" xfId="0" applyNumberFormat="1" applyFont="1" applyAlignment="1"/>
    <xf numFmtId="3" fontId="14" fillId="0" borderId="0" xfId="0" applyNumberFormat="1" applyFont="1"/>
    <xf numFmtId="3" fontId="11" fillId="0" borderId="0" xfId="0" applyNumberFormat="1" applyFont="1" applyAlignment="1"/>
    <xf numFmtId="3" fontId="12" fillId="0" borderId="10" xfId="0" applyNumberFormat="1" applyFont="1" applyBorder="1"/>
    <xf numFmtId="14" fontId="19" fillId="0" borderId="10" xfId="1" applyNumberFormat="1" applyFont="1" applyAlignment="1">
      <alignment wrapText="1"/>
    </xf>
    <xf numFmtId="0" fontId="20" fillId="0" borderId="10" xfId="1" applyFont="1" applyAlignment="1">
      <alignment wrapText="1"/>
    </xf>
    <xf numFmtId="0" fontId="22" fillId="0" borderId="10" xfId="1" applyFont="1" applyBorder="1" applyAlignment="1">
      <alignment wrapText="1"/>
    </xf>
    <xf numFmtId="0" fontId="19" fillId="0" borderId="10" xfId="1" applyFont="1" applyBorder="1" applyAlignment="1">
      <alignment wrapText="1"/>
    </xf>
    <xf numFmtId="4" fontId="19" fillId="0" borderId="10" xfId="1" applyNumberFormat="1" applyFont="1" applyBorder="1" applyAlignment="1">
      <alignment wrapText="1"/>
    </xf>
    <xf numFmtId="4" fontId="23" fillId="0" borderId="10" xfId="1" applyNumberFormat="1" applyFont="1" applyAlignment="1">
      <alignment horizontal="right" wrapText="1"/>
    </xf>
    <xf numFmtId="0" fontId="19" fillId="0" borderId="10" xfId="1" applyFont="1" applyAlignment="1">
      <alignment wrapText="1"/>
    </xf>
    <xf numFmtId="166" fontId="24" fillId="8" borderId="10" xfId="1" applyNumberFormat="1" applyFont="1" applyFill="1" applyBorder="1" applyAlignment="1">
      <alignment horizontal="right" wrapText="1"/>
    </xf>
    <xf numFmtId="167" fontId="19" fillId="8" borderId="10" xfId="1" applyNumberFormat="1" applyFont="1" applyFill="1" applyBorder="1" applyAlignment="1">
      <alignment wrapText="1"/>
    </xf>
    <xf numFmtId="4" fontId="19" fillId="8" borderId="10" xfId="1" applyNumberFormat="1" applyFont="1" applyFill="1" applyBorder="1" applyAlignment="1">
      <alignment wrapText="1"/>
    </xf>
    <xf numFmtId="10" fontId="19" fillId="0" borderId="10" xfId="1" applyNumberFormat="1" applyFont="1" applyAlignment="1">
      <alignment wrapText="1"/>
    </xf>
    <xf numFmtId="168" fontId="19" fillId="0" borderId="10" xfId="1" applyNumberFormat="1" applyFont="1" applyAlignment="1">
      <alignment wrapText="1"/>
    </xf>
    <xf numFmtId="4" fontId="19" fillId="0" borderId="10" xfId="1" applyNumberFormat="1" applyFont="1" applyAlignment="1">
      <alignment wrapText="1"/>
    </xf>
    <xf numFmtId="0" fontId="25" fillId="0" borderId="10" xfId="1" applyFont="1" applyBorder="1" applyAlignment="1">
      <alignment wrapText="1"/>
    </xf>
    <xf numFmtId="10" fontId="26" fillId="0" borderId="10" xfId="1" applyNumberFormat="1" applyFont="1" applyAlignment="1">
      <alignment horizontal="right" wrapText="1"/>
    </xf>
    <xf numFmtId="0" fontId="27" fillId="0" borderId="10" xfId="1" applyFont="1" applyAlignment="1">
      <alignment wrapText="1"/>
    </xf>
    <xf numFmtId="0" fontId="27" fillId="0" borderId="10" xfId="1" applyFont="1" applyAlignment="1">
      <alignment horizontal="center" wrapText="1"/>
    </xf>
    <xf numFmtId="4" fontId="27" fillId="0" borderId="10" xfId="1" applyNumberFormat="1" applyFont="1" applyAlignment="1">
      <alignment horizontal="right" wrapText="1"/>
    </xf>
    <xf numFmtId="0" fontId="19" fillId="0" borderId="10" xfId="1" applyFont="1" applyAlignment="1">
      <alignment horizontal="right" wrapText="1"/>
    </xf>
    <xf numFmtId="0" fontId="28" fillId="0" borderId="10" xfId="1" applyFont="1" applyAlignment="1">
      <alignment wrapText="1"/>
    </xf>
    <xf numFmtId="0" fontId="20" fillId="0" borderId="10" xfId="1" applyFont="1" applyAlignment="1"/>
    <xf numFmtId="4" fontId="19" fillId="0" borderId="10" xfId="1" applyNumberFormat="1" applyFont="1" applyAlignment="1">
      <alignment horizontal="right" wrapText="1"/>
    </xf>
    <xf numFmtId="169" fontId="19" fillId="0" borderId="10" xfId="1" applyNumberFormat="1" applyFont="1" applyAlignment="1">
      <alignment horizontal="right" wrapText="1"/>
    </xf>
    <xf numFmtId="3" fontId="7" fillId="0" borderId="1" xfId="0" applyNumberFormat="1" applyFont="1" applyBorder="1"/>
    <xf numFmtId="0" fontId="8" fillId="0" borderId="0" xfId="0" applyFont="1" applyAlignment="1">
      <alignment vertical="top" wrapText="1"/>
    </xf>
    <xf numFmtId="0" fontId="0" fillId="0" borderId="0" xfId="0" applyFont="1" applyAlignment="1">
      <alignment vertical="top" wrapText="1"/>
    </xf>
    <xf numFmtId="0" fontId="18" fillId="0" borderId="0" xfId="0" applyFont="1" applyAlignment="1">
      <alignment vertical="top" wrapText="1"/>
    </xf>
    <xf numFmtId="0" fontId="29" fillId="0" borderId="0" xfId="2" applyAlignment="1"/>
    <xf numFmtId="0" fontId="8" fillId="0" borderId="0" xfId="0" applyFont="1" applyAlignment="1">
      <alignment wrapText="1"/>
    </xf>
    <xf numFmtId="3" fontId="9" fillId="9" borderId="13" xfId="0" applyNumberFormat="1" applyFont="1" applyFill="1" applyBorder="1"/>
    <xf numFmtId="3" fontId="9" fillId="9" borderId="10" xfId="0" applyNumberFormat="1" applyFont="1" applyFill="1" applyBorder="1"/>
    <xf numFmtId="3" fontId="13" fillId="9" borderId="10" xfId="0" applyNumberFormat="1" applyFont="1" applyFill="1" applyBorder="1"/>
    <xf numFmtId="0" fontId="30" fillId="0" borderId="1" xfId="0" applyFont="1" applyBorder="1"/>
    <xf numFmtId="0" fontId="6" fillId="0" borderId="9" xfId="0" applyFont="1" applyBorder="1"/>
    <xf numFmtId="0" fontId="20" fillId="0" borderId="10" xfId="1" applyFont="1" applyAlignment="1">
      <alignment wrapText="1"/>
    </xf>
    <xf numFmtId="0" fontId="20" fillId="0" borderId="10" xfId="1" applyFont="1" applyAlignment="1"/>
    <xf numFmtId="0" fontId="21" fillId="0" borderId="10" xfId="1" applyFont="1" applyAlignment="1">
      <alignment vertical="top" wrapText="1"/>
    </xf>
    <xf numFmtId="9" fontId="2" fillId="0" borderId="10" xfId="1" applyNumberFormat="1" applyFont="1" applyAlignment="1">
      <alignment wrapText="1"/>
    </xf>
    <xf numFmtId="9" fontId="19" fillId="0" borderId="10" xfId="1" applyNumberFormat="1" applyFont="1" applyAlignment="1">
      <alignment wrapText="1"/>
    </xf>
    <xf numFmtId="9" fontId="19" fillId="0" borderId="10" xfId="1" applyNumberFormat="1" applyFont="1" applyAlignment="1">
      <alignment horizontal="right" wrapText="1"/>
    </xf>
    <xf numFmtId="9" fontId="28" fillId="0" borderId="10" xfId="1" applyNumberFormat="1" applyFont="1" applyAlignment="1">
      <alignment wrapText="1"/>
    </xf>
    <xf numFmtId="9" fontId="20" fillId="0" borderId="10" xfId="1" applyNumberFormat="1" applyFont="1" applyAlignment="1"/>
    <xf numFmtId="0" fontId="31" fillId="0" borderId="10" xfId="0" applyFont="1" applyBorder="1" applyAlignment="1">
      <alignment horizontal="center" vertical="center" wrapText="1"/>
    </xf>
    <xf numFmtId="4" fontId="32" fillId="0" borderId="10" xfId="0" applyNumberFormat="1" applyFont="1" applyBorder="1" applyAlignment="1">
      <alignment horizontal="right" vertical="center" wrapText="1"/>
    </xf>
    <xf numFmtId="0" fontId="33" fillId="0" borderId="10" xfId="1" applyFont="1" applyAlignment="1">
      <alignment wrapText="1"/>
    </xf>
    <xf numFmtId="9" fontId="19" fillId="0" borderId="13" xfId="1" applyNumberFormat="1" applyFont="1" applyBorder="1" applyAlignment="1">
      <alignment wrapText="1"/>
    </xf>
    <xf numFmtId="0" fontId="27" fillId="0" borderId="13" xfId="1" applyFont="1" applyBorder="1" applyAlignment="1">
      <alignment wrapText="1"/>
    </xf>
    <xf numFmtId="0" fontId="28" fillId="0" borderId="13" xfId="1" applyFont="1" applyBorder="1" applyAlignment="1">
      <alignment wrapText="1"/>
    </xf>
    <xf numFmtId="165" fontId="35" fillId="11" borderId="13" xfId="1" applyNumberFormat="1" applyFont="1" applyFill="1" applyBorder="1" applyAlignment="1">
      <alignment horizontal="right" wrapText="1"/>
    </xf>
    <xf numFmtId="165" fontId="36" fillId="11" borderId="13" xfId="1" applyNumberFormat="1" applyFont="1" applyFill="1" applyBorder="1" applyAlignment="1">
      <alignment wrapText="1"/>
    </xf>
    <xf numFmtId="165" fontId="19" fillId="0" borderId="10" xfId="1" applyNumberFormat="1" applyFont="1" applyAlignment="1">
      <alignment wrapText="1"/>
    </xf>
    <xf numFmtId="165" fontId="28" fillId="0" borderId="10" xfId="1" applyNumberFormat="1" applyFont="1" applyAlignment="1">
      <alignment wrapText="1"/>
    </xf>
    <xf numFmtId="0" fontId="39" fillId="0" borderId="10" xfId="3" applyFont="1" applyAlignment="1"/>
    <xf numFmtId="0" fontId="37" fillId="0" borderId="10" xfId="3" applyFont="1" applyAlignment="1"/>
    <xf numFmtId="170" fontId="39" fillId="0" borderId="10" xfId="3" applyNumberFormat="1" applyFont="1" applyAlignment="1">
      <alignment vertical="center" wrapText="1"/>
    </xf>
    <xf numFmtId="170" fontId="40" fillId="0" borderId="1" xfId="3" applyNumberFormat="1" applyFont="1" applyBorder="1" applyAlignment="1">
      <alignment horizontal="center" vertical="top"/>
    </xf>
    <xf numFmtId="170" fontId="39" fillId="0" borderId="12" xfId="3" applyNumberFormat="1" applyFont="1" applyBorder="1" applyAlignment="1">
      <alignment horizontal="center"/>
    </xf>
    <xf numFmtId="170" fontId="39" fillId="0" borderId="2" xfId="3" applyNumberFormat="1" applyFont="1" applyBorder="1" applyAlignment="1">
      <alignment horizontal="center"/>
    </xf>
    <xf numFmtId="170" fontId="39" fillId="0" borderId="10" xfId="3" applyNumberFormat="1" applyFont="1" applyAlignment="1"/>
    <xf numFmtId="171" fontId="39" fillId="0" borderId="1" xfId="3" applyNumberFormat="1" applyFont="1" applyFill="1" applyBorder="1" applyAlignment="1">
      <alignment horizontal="center" vertical="center"/>
    </xf>
    <xf numFmtId="170" fontId="42" fillId="0" borderId="10" xfId="3" applyNumberFormat="1" applyFont="1" applyAlignment="1"/>
    <xf numFmtId="0" fontId="42" fillId="0" borderId="10" xfId="3" applyFont="1" applyAlignment="1"/>
    <xf numFmtId="170" fontId="41" fillId="0" borderId="1" xfId="3" applyNumberFormat="1" applyFont="1" applyFill="1" applyBorder="1" applyAlignment="1">
      <alignment vertical="center" wrapText="1"/>
    </xf>
    <xf numFmtId="171" fontId="39" fillId="0" borderId="2" xfId="3" applyNumberFormat="1" applyFont="1" applyFill="1" applyBorder="1" applyAlignment="1">
      <alignment horizontal="center" vertical="center"/>
    </xf>
    <xf numFmtId="171" fontId="39" fillId="0" borderId="12" xfId="3" applyNumberFormat="1" applyFont="1" applyFill="1" applyBorder="1" applyAlignment="1">
      <alignment horizontal="center" vertical="center"/>
    </xf>
    <xf numFmtId="0" fontId="39" fillId="0" borderId="10" xfId="3" applyFont="1" applyFill="1" applyAlignment="1"/>
    <xf numFmtId="0" fontId="38" fillId="0" borderId="10" xfId="3" applyFont="1" applyFill="1" applyAlignment="1"/>
    <xf numFmtId="9" fontId="39" fillId="0" borderId="10" xfId="3" applyNumberFormat="1" applyFont="1" applyAlignment="1"/>
    <xf numFmtId="170" fontId="40" fillId="0" borderId="12" xfId="3" applyNumberFormat="1" applyFont="1" applyBorder="1" applyAlignment="1">
      <alignment vertical="center"/>
    </xf>
    <xf numFmtId="0" fontId="37" fillId="0" borderId="10" xfId="3" applyFont="1" applyAlignment="1">
      <alignment vertical="top" wrapText="1"/>
    </xf>
    <xf numFmtId="4" fontId="12" fillId="0" borderId="10" xfId="0" applyNumberFormat="1" applyFont="1" applyBorder="1"/>
    <xf numFmtId="4" fontId="9" fillId="0" borderId="10" xfId="0" applyNumberFormat="1" applyFont="1" applyBorder="1"/>
    <xf numFmtId="4" fontId="45" fillId="0" borderId="10" xfId="0" applyNumberFormat="1" applyFont="1" applyBorder="1"/>
    <xf numFmtId="0" fontId="9" fillId="0" borderId="10" xfId="0" applyFont="1" applyBorder="1" applyAlignment="1"/>
    <xf numFmtId="0" fontId="9" fillId="0" borderId="10" xfId="0" applyFont="1" applyBorder="1" applyAlignment="1">
      <alignment vertical="top" wrapText="1"/>
    </xf>
    <xf numFmtId="0" fontId="9" fillId="0" borderId="10" xfId="0" applyFont="1" applyBorder="1" applyAlignment="1">
      <alignment wrapText="1"/>
    </xf>
    <xf numFmtId="9" fontId="9" fillId="0" borderId="10" xfId="0" applyNumberFormat="1" applyFont="1" applyBorder="1"/>
    <xf numFmtId="3" fontId="10" fillId="6" borderId="10" xfId="0" applyNumberFormat="1" applyFont="1" applyFill="1" applyBorder="1"/>
    <xf numFmtId="3" fontId="10" fillId="9" borderId="10" xfId="0" applyNumberFormat="1" applyFont="1" applyFill="1" applyBorder="1"/>
    <xf numFmtId="3" fontId="10" fillId="2" borderId="10" xfId="0" applyNumberFormat="1" applyFont="1" applyFill="1" applyBorder="1"/>
    <xf numFmtId="3" fontId="45" fillId="0" borderId="10" xfId="0" applyNumberFormat="1" applyFont="1" applyBorder="1"/>
    <xf numFmtId="0" fontId="10" fillId="0" borderId="10" xfId="0" applyFont="1" applyBorder="1" applyAlignment="1">
      <alignment wrapText="1"/>
    </xf>
    <xf numFmtId="9" fontId="10" fillId="0" borderId="10" xfId="0" applyNumberFormat="1" applyFont="1" applyBorder="1"/>
    <xf numFmtId="165" fontId="10" fillId="0" borderId="10" xfId="0" applyNumberFormat="1" applyFont="1" applyBorder="1" applyAlignment="1">
      <alignment wrapText="1"/>
    </xf>
    <xf numFmtId="3" fontId="11" fillId="0" borderId="10" xfId="0" applyNumberFormat="1" applyFont="1" applyBorder="1" applyAlignment="1"/>
    <xf numFmtId="164" fontId="10" fillId="0" borderId="10" xfId="0" applyNumberFormat="1" applyFont="1" applyBorder="1"/>
    <xf numFmtId="9" fontId="12" fillId="0" borderId="10" xfId="0" applyNumberFormat="1" applyFont="1" applyBorder="1"/>
    <xf numFmtId="4" fontId="9" fillId="6" borderId="10" xfId="0" applyNumberFormat="1" applyFont="1" applyFill="1" applyBorder="1"/>
    <xf numFmtId="9" fontId="9" fillId="6" borderId="10" xfId="0" applyNumberFormat="1" applyFont="1" applyFill="1" applyBorder="1"/>
    <xf numFmtId="0" fontId="10" fillId="6" borderId="10" xfId="0" applyFont="1" applyFill="1" applyBorder="1"/>
    <xf numFmtId="0" fontId="11" fillId="7" borderId="10" xfId="0" applyFont="1" applyFill="1" applyBorder="1" applyAlignment="1"/>
    <xf numFmtId="4" fontId="10" fillId="6" borderId="10" xfId="0" applyNumberFormat="1" applyFont="1" applyFill="1" applyBorder="1"/>
    <xf numFmtId="9" fontId="10" fillId="6" borderId="10" xfId="0" applyNumberFormat="1" applyFont="1" applyFill="1" applyBorder="1"/>
    <xf numFmtId="4" fontId="13" fillId="6" borderId="10" xfId="0" applyNumberFormat="1" applyFont="1" applyFill="1" applyBorder="1"/>
    <xf numFmtId="9" fontId="13" fillId="6" borderId="10" xfId="0" applyNumberFormat="1" applyFont="1" applyFill="1" applyBorder="1"/>
    <xf numFmtId="4" fontId="9" fillId="9" borderId="10" xfId="0" applyNumberFormat="1" applyFont="1" applyFill="1" applyBorder="1"/>
    <xf numFmtId="9" fontId="9" fillId="9" borderId="10" xfId="0" applyNumberFormat="1" applyFont="1" applyFill="1" applyBorder="1"/>
    <xf numFmtId="0" fontId="10" fillId="9" borderId="10" xfId="0" applyFont="1" applyFill="1" applyBorder="1"/>
    <xf numFmtId="0" fontId="11" fillId="10" borderId="10" xfId="0" applyFont="1" applyFill="1" applyBorder="1" applyAlignment="1"/>
    <xf numFmtId="4" fontId="10" fillId="9" borderId="10" xfId="0" applyNumberFormat="1" applyFont="1" applyFill="1" applyBorder="1"/>
    <xf numFmtId="4" fontId="13" fillId="9" borderId="10" xfId="0" applyNumberFormat="1" applyFont="1" applyFill="1" applyBorder="1"/>
    <xf numFmtId="9" fontId="13" fillId="9" borderId="10" xfId="0" applyNumberFormat="1" applyFont="1" applyFill="1" applyBorder="1"/>
    <xf numFmtId="4" fontId="9" fillId="2" borderId="10" xfId="0" applyNumberFormat="1" applyFont="1" applyFill="1" applyBorder="1"/>
    <xf numFmtId="0" fontId="10" fillId="2" borderId="10" xfId="0" applyFont="1" applyFill="1" applyBorder="1"/>
    <xf numFmtId="9" fontId="9" fillId="2" borderId="10" xfId="0" applyNumberFormat="1" applyFont="1" applyFill="1" applyBorder="1"/>
    <xf numFmtId="4" fontId="10" fillId="2" borderId="10" xfId="0" applyNumberFormat="1" applyFont="1" applyFill="1" applyBorder="1"/>
    <xf numFmtId="9" fontId="10" fillId="2" borderId="10" xfId="0" applyNumberFormat="1" applyFont="1" applyFill="1" applyBorder="1"/>
    <xf numFmtId="4" fontId="13" fillId="2" borderId="10" xfId="0" applyNumberFormat="1" applyFont="1" applyFill="1" applyBorder="1"/>
    <xf numFmtId="9" fontId="13" fillId="2" borderId="10" xfId="0" applyNumberFormat="1" applyFont="1" applyFill="1" applyBorder="1"/>
    <xf numFmtId="4" fontId="12" fillId="2" borderId="10" xfId="0" applyNumberFormat="1" applyFont="1" applyFill="1" applyBorder="1"/>
    <xf numFmtId="9" fontId="12" fillId="2" borderId="10" xfId="0" applyNumberFormat="1" applyFont="1" applyFill="1" applyBorder="1"/>
    <xf numFmtId="4" fontId="9" fillId="3" borderId="10" xfId="0" applyNumberFormat="1" applyFont="1" applyFill="1" applyBorder="1"/>
    <xf numFmtId="0" fontId="10" fillId="3" borderId="10" xfId="0" applyFont="1" applyFill="1" applyBorder="1"/>
    <xf numFmtId="9" fontId="9" fillId="3" borderId="10" xfId="0" applyNumberFormat="1" applyFont="1" applyFill="1" applyBorder="1"/>
    <xf numFmtId="4" fontId="10" fillId="3" borderId="10" xfId="0" applyNumberFormat="1" applyFont="1" applyFill="1" applyBorder="1"/>
    <xf numFmtId="9" fontId="10" fillId="3" borderId="10" xfId="0" applyNumberFormat="1" applyFont="1" applyFill="1" applyBorder="1"/>
    <xf numFmtId="4" fontId="13" fillId="3" borderId="10" xfId="0" applyNumberFormat="1" applyFont="1" applyFill="1" applyBorder="1"/>
    <xf numFmtId="9" fontId="13" fillId="3" borderId="10" xfId="0" applyNumberFormat="1" applyFont="1" applyFill="1" applyBorder="1"/>
    <xf numFmtId="4" fontId="12" fillId="3" borderId="10" xfId="0" applyNumberFormat="1" applyFont="1" applyFill="1" applyBorder="1"/>
    <xf numFmtId="9" fontId="12" fillId="3" borderId="10" xfId="0" applyNumberFormat="1" applyFont="1" applyFill="1" applyBorder="1"/>
    <xf numFmtId="4" fontId="9" fillId="4" borderId="10" xfId="0" applyNumberFormat="1" applyFont="1" applyFill="1" applyBorder="1"/>
    <xf numFmtId="0" fontId="10" fillId="4" borderId="10" xfId="0" applyFont="1" applyFill="1" applyBorder="1"/>
    <xf numFmtId="9" fontId="9" fillId="4" borderId="10" xfId="0" applyNumberFormat="1" applyFont="1" applyFill="1" applyBorder="1"/>
    <xf numFmtId="4" fontId="10" fillId="4" borderId="10" xfId="0" applyNumberFormat="1" applyFont="1" applyFill="1" applyBorder="1"/>
    <xf numFmtId="9" fontId="10" fillId="4" borderId="10" xfId="0" applyNumberFormat="1" applyFont="1" applyFill="1" applyBorder="1"/>
    <xf numFmtId="4" fontId="13" fillId="4" borderId="10" xfId="0" applyNumberFormat="1" applyFont="1" applyFill="1" applyBorder="1"/>
    <xf numFmtId="9" fontId="13" fillId="4" borderId="10" xfId="0" applyNumberFormat="1" applyFont="1" applyFill="1" applyBorder="1"/>
    <xf numFmtId="4" fontId="12" fillId="4" borderId="10" xfId="0" applyNumberFormat="1" applyFont="1" applyFill="1" applyBorder="1"/>
    <xf numFmtId="9" fontId="12" fillId="4" borderId="10" xfId="0" applyNumberFormat="1" applyFont="1" applyFill="1" applyBorder="1"/>
    <xf numFmtId="0" fontId="43" fillId="0" borderId="10" xfId="0" applyFont="1" applyBorder="1" applyAlignment="1"/>
    <xf numFmtId="4" fontId="11" fillId="0" borderId="10" xfId="0" applyNumberFormat="1" applyFont="1" applyBorder="1" applyAlignment="1"/>
    <xf numFmtId="4" fontId="43" fillId="0" borderId="10" xfId="0" applyNumberFormat="1" applyFont="1" applyBorder="1" applyAlignment="1"/>
    <xf numFmtId="9" fontId="45" fillId="0" borderId="10" xfId="0" applyNumberFormat="1" applyFont="1" applyBorder="1"/>
    <xf numFmtId="4" fontId="46" fillId="0" borderId="10" xfId="0" applyNumberFormat="1" applyFont="1" applyBorder="1" applyAlignment="1"/>
    <xf numFmtId="164" fontId="9" fillId="0" borderId="14" xfId="0" applyNumberFormat="1" applyFont="1" applyBorder="1" applyAlignment="1">
      <alignment wrapText="1"/>
    </xf>
    <xf numFmtId="3" fontId="9" fillId="0" borderId="14" xfId="0" applyNumberFormat="1" applyFont="1" applyBorder="1" applyAlignment="1">
      <alignment wrapText="1"/>
    </xf>
    <xf numFmtId="9" fontId="12" fillId="0" borderId="14" xfId="0" applyNumberFormat="1" applyFont="1" applyBorder="1" applyAlignment="1">
      <alignment wrapText="1"/>
    </xf>
    <xf numFmtId="3" fontId="12" fillId="0" borderId="14" xfId="0" applyNumberFormat="1" applyFont="1" applyBorder="1" applyAlignment="1">
      <alignment wrapText="1"/>
    </xf>
    <xf numFmtId="9" fontId="13" fillId="0" borderId="14" xfId="0" applyNumberFormat="1" applyFont="1" applyBorder="1" applyAlignment="1">
      <alignment wrapText="1"/>
    </xf>
    <xf numFmtId="0" fontId="9" fillId="6" borderId="14" xfId="0" applyFont="1" applyFill="1" applyBorder="1" applyAlignment="1">
      <alignment wrapText="1"/>
    </xf>
    <xf numFmtId="3" fontId="9" fillId="6" borderId="14" xfId="0" applyNumberFormat="1" applyFont="1" applyFill="1" applyBorder="1" applyAlignment="1">
      <alignment wrapText="1"/>
    </xf>
    <xf numFmtId="3" fontId="13" fillId="6" borderId="14" xfId="0" applyNumberFormat="1" applyFont="1" applyFill="1" applyBorder="1" applyAlignment="1">
      <alignment wrapText="1"/>
    </xf>
    <xf numFmtId="0" fontId="9" fillId="9" borderId="14" xfId="0" applyFont="1" applyFill="1" applyBorder="1" applyAlignment="1">
      <alignment wrapText="1"/>
    </xf>
    <xf numFmtId="3" fontId="9" fillId="9" borderId="14" xfId="0" applyNumberFormat="1" applyFont="1" applyFill="1" applyBorder="1" applyAlignment="1">
      <alignment wrapText="1"/>
    </xf>
    <xf numFmtId="3" fontId="13" fillId="9" borderId="14" xfId="0" applyNumberFormat="1" applyFont="1" applyFill="1" applyBorder="1" applyAlignment="1">
      <alignment wrapText="1"/>
    </xf>
    <xf numFmtId="0" fontId="9" fillId="2" borderId="14" xfId="0" applyFont="1" applyFill="1" applyBorder="1" applyAlignment="1">
      <alignment wrapText="1"/>
    </xf>
    <xf numFmtId="3" fontId="9" fillId="2" borderId="14" xfId="0" applyNumberFormat="1" applyFont="1" applyFill="1" applyBorder="1" applyAlignment="1">
      <alignment wrapText="1"/>
    </xf>
    <xf numFmtId="3" fontId="13" fillId="2" borderId="14" xfId="0" applyNumberFormat="1" applyFont="1" applyFill="1" applyBorder="1" applyAlignment="1">
      <alignment wrapText="1"/>
    </xf>
    <xf numFmtId="0" fontId="9" fillId="3" borderId="14" xfId="0" applyFont="1" applyFill="1" applyBorder="1" applyAlignment="1">
      <alignment wrapText="1"/>
    </xf>
    <xf numFmtId="3" fontId="9" fillId="3" borderId="14" xfId="0" applyNumberFormat="1" applyFont="1" applyFill="1" applyBorder="1" applyAlignment="1">
      <alignment wrapText="1"/>
    </xf>
    <xf numFmtId="3" fontId="13" fillId="3" borderId="14" xfId="0" applyNumberFormat="1" applyFont="1" applyFill="1" applyBorder="1" applyAlignment="1">
      <alignment wrapText="1"/>
    </xf>
    <xf numFmtId="0" fontId="9" fillId="4" borderId="14" xfId="0" applyFont="1" applyFill="1" applyBorder="1" applyAlignment="1">
      <alignment wrapText="1"/>
    </xf>
    <xf numFmtId="3" fontId="9" fillId="4" borderId="14" xfId="0" applyNumberFormat="1" applyFont="1" applyFill="1" applyBorder="1" applyAlignment="1">
      <alignment wrapText="1"/>
    </xf>
    <xf numFmtId="3" fontId="13" fillId="4" borderId="14" xfId="0" applyNumberFormat="1" applyFont="1" applyFill="1" applyBorder="1" applyAlignment="1">
      <alignment wrapText="1"/>
    </xf>
    <xf numFmtId="3" fontId="13" fillId="0" borderId="14" xfId="0" applyNumberFormat="1" applyFont="1" applyBorder="1" applyAlignment="1">
      <alignment wrapText="1"/>
    </xf>
    <xf numFmtId="3" fontId="10" fillId="0" borderId="14" xfId="0" applyNumberFormat="1" applyFont="1" applyBorder="1" applyAlignment="1">
      <alignment wrapText="1"/>
    </xf>
    <xf numFmtId="4" fontId="12" fillId="0" borderId="14" xfId="0" applyNumberFormat="1" applyFont="1" applyBorder="1" applyAlignment="1">
      <alignment horizontal="left" wrapText="1"/>
    </xf>
    <xf numFmtId="4" fontId="45" fillId="0" borderId="14" xfId="0" applyNumberFormat="1" applyFont="1" applyBorder="1" applyAlignment="1">
      <alignment horizontal="left" wrapText="1"/>
    </xf>
    <xf numFmtId="4" fontId="9" fillId="0" borderId="14" xfId="0" applyNumberFormat="1" applyFont="1" applyBorder="1" applyAlignment="1">
      <alignment horizontal="left" wrapText="1"/>
    </xf>
    <xf numFmtId="3" fontId="13" fillId="0" borderId="14" xfId="0" applyNumberFormat="1" applyFont="1" applyBorder="1" applyAlignment="1">
      <alignment horizontal="left" wrapText="1"/>
    </xf>
    <xf numFmtId="0" fontId="10" fillId="0" borderId="14" xfId="0" applyFont="1" applyBorder="1" applyAlignment="1">
      <alignment vertical="top" wrapText="1"/>
    </xf>
    <xf numFmtId="170" fontId="47" fillId="0" borderId="1" xfId="3" applyNumberFormat="1" applyFont="1" applyBorder="1" applyAlignment="1">
      <alignment vertical="center" wrapText="1"/>
    </xf>
    <xf numFmtId="170" fontId="47" fillId="0" borderId="1" xfId="3" applyNumberFormat="1" applyFont="1" applyBorder="1" applyAlignment="1">
      <alignment horizontal="center" vertical="center"/>
    </xf>
    <xf numFmtId="172" fontId="47" fillId="0" borderId="1" xfId="3" applyNumberFormat="1" applyFont="1" applyBorder="1" applyAlignment="1">
      <alignment vertical="center" wrapText="1"/>
    </xf>
    <xf numFmtId="0" fontId="47" fillId="0" borderId="10" xfId="3" applyFont="1" applyBorder="1"/>
    <xf numFmtId="0" fontId="20" fillId="0" borderId="10" xfId="3" applyFont="1" applyAlignment="1"/>
    <xf numFmtId="0" fontId="20" fillId="0" borderId="10" xfId="3" applyFont="1" applyAlignment="1">
      <alignment vertical="top" wrapText="1"/>
    </xf>
    <xf numFmtId="170" fontId="47" fillId="0" borderId="10" xfId="3" applyNumberFormat="1" applyFont="1" applyAlignment="1"/>
    <xf numFmtId="9" fontId="47" fillId="0" borderId="10" xfId="3" applyNumberFormat="1" applyFont="1" applyAlignment="1"/>
    <xf numFmtId="170" fontId="48" fillId="0" borderId="12" xfId="3" applyNumberFormat="1" applyFont="1" applyBorder="1" applyAlignment="1">
      <alignment vertical="center"/>
    </xf>
    <xf numFmtId="170" fontId="47" fillId="0" borderId="10" xfId="3" applyNumberFormat="1" applyFont="1" applyBorder="1" applyAlignment="1">
      <alignment horizontal="center"/>
    </xf>
    <xf numFmtId="170" fontId="47" fillId="0" borderId="10" xfId="3" applyNumberFormat="1" applyFont="1" applyAlignment="1">
      <alignment vertical="top" wrapText="1"/>
    </xf>
    <xf numFmtId="170" fontId="47" fillId="0" borderId="8" xfId="3" applyNumberFormat="1" applyFont="1" applyBorder="1" applyAlignment="1">
      <alignment horizontal="center" vertical="center"/>
    </xf>
    <xf numFmtId="170" fontId="47" fillId="0" borderId="10" xfId="3" applyNumberFormat="1" applyFont="1" applyBorder="1" applyAlignment="1">
      <alignment horizontal="center" vertical="center"/>
    </xf>
    <xf numFmtId="172" fontId="47" fillId="0" borderId="10" xfId="3" applyNumberFormat="1" applyFont="1" applyAlignment="1"/>
    <xf numFmtId="173" fontId="47" fillId="0" borderId="8" xfId="3" applyNumberFormat="1" applyFont="1" applyBorder="1" applyAlignment="1">
      <alignment horizontal="center" vertical="center"/>
    </xf>
    <xf numFmtId="173" fontId="47" fillId="0" borderId="10" xfId="3" applyNumberFormat="1" applyFont="1" applyBorder="1" applyAlignment="1">
      <alignment horizontal="center" vertical="center"/>
    </xf>
    <xf numFmtId="4" fontId="47" fillId="0" borderId="10" xfId="3" applyNumberFormat="1" applyFont="1" applyAlignment="1">
      <alignment horizontal="right"/>
    </xf>
    <xf numFmtId="172" fontId="48" fillId="12" borderId="1" xfId="3" applyNumberFormat="1" applyFont="1" applyFill="1" applyBorder="1" applyAlignment="1">
      <alignment vertical="center" wrapText="1"/>
    </xf>
    <xf numFmtId="171" fontId="47" fillId="0" borderId="10" xfId="3" applyNumberFormat="1" applyFont="1" applyFill="1" applyBorder="1" applyAlignment="1">
      <alignment horizontal="center" vertical="center"/>
    </xf>
    <xf numFmtId="0" fontId="47" fillId="0" borderId="10" xfId="3" applyFont="1" applyAlignment="1"/>
    <xf numFmtId="170" fontId="47" fillId="0" borderId="10" xfId="3" applyNumberFormat="1" applyFont="1" applyAlignment="1">
      <alignment vertical="center" wrapText="1"/>
    </xf>
    <xf numFmtId="170" fontId="49" fillId="0" borderId="10" xfId="3" applyNumberFormat="1" applyFont="1" applyAlignment="1"/>
    <xf numFmtId="0" fontId="49" fillId="0" borderId="10" xfId="3" applyFont="1" applyAlignment="1"/>
    <xf numFmtId="170" fontId="47" fillId="0" borderId="8" xfId="3" applyNumberFormat="1" applyFont="1" applyBorder="1" applyAlignment="1">
      <alignment vertical="center"/>
    </xf>
    <xf numFmtId="170" fontId="47" fillId="0" borderId="10" xfId="3" applyNumberFormat="1" applyFont="1" applyBorder="1" applyAlignment="1">
      <alignment horizontal="center" vertical="center"/>
    </xf>
    <xf numFmtId="170" fontId="40" fillId="0" borderId="10" xfId="3" applyNumberFormat="1" applyFont="1" applyAlignment="1"/>
    <xf numFmtId="0" fontId="53" fillId="0" borderId="11" xfId="4" applyFont="1" applyBorder="1" applyAlignment="1">
      <alignment horizontal="left" vertical="center" wrapText="1"/>
    </xf>
    <xf numFmtId="1" fontId="53" fillId="0" borderId="11" xfId="4" applyNumberFormat="1" applyFont="1" applyBorder="1" applyAlignment="1">
      <alignment horizontal="right" vertical="center"/>
    </xf>
    <xf numFmtId="4" fontId="53" fillId="0" borderId="4" xfId="4" applyNumberFormat="1" applyFont="1" applyBorder="1" applyAlignment="1">
      <alignment vertical="center" wrapText="1"/>
    </xf>
    <xf numFmtId="4" fontId="53" fillId="0" borderId="3" xfId="4" applyNumberFormat="1" applyFont="1" applyBorder="1" applyAlignment="1">
      <alignment horizontal="right" vertical="center" wrapText="1"/>
    </xf>
    <xf numFmtId="0" fontId="54" fillId="0" borderId="13" xfId="4" applyFont="1" applyFill="1" applyBorder="1" applyAlignment="1">
      <alignment horizontal="left" vertical="center"/>
    </xf>
    <xf numFmtId="0" fontId="53" fillId="0" borderId="11" xfId="4" applyFont="1" applyFill="1" applyBorder="1" applyAlignment="1">
      <alignment horizontal="left" vertical="center" wrapText="1"/>
    </xf>
    <xf numFmtId="1" fontId="53" fillId="0" borderId="11" xfId="4" applyNumberFormat="1" applyFont="1" applyFill="1" applyBorder="1" applyAlignment="1">
      <alignment horizontal="right" vertical="center"/>
    </xf>
    <xf numFmtId="4" fontId="53" fillId="0" borderId="4" xfId="4" applyNumberFormat="1" applyFont="1" applyFill="1" applyBorder="1" applyAlignment="1">
      <alignment vertical="center" wrapText="1"/>
    </xf>
    <xf numFmtId="0" fontId="53" fillId="14" borderId="11" xfId="4" applyFont="1" applyFill="1" applyBorder="1" applyAlignment="1">
      <alignment horizontal="left" vertical="center" wrapText="1"/>
    </xf>
    <xf numFmtId="175" fontId="53" fillId="0" borderId="11" xfId="4" applyNumberFormat="1" applyFont="1" applyFill="1" applyBorder="1" applyAlignment="1">
      <alignment horizontal="right" vertical="center"/>
    </xf>
    <xf numFmtId="4" fontId="53" fillId="0" borderId="4" xfId="4" applyNumberFormat="1" applyFont="1" applyFill="1" applyBorder="1" applyAlignment="1">
      <alignment horizontal="right" vertical="center" wrapText="1"/>
    </xf>
    <xf numFmtId="4" fontId="53" fillId="14" borderId="4" xfId="4" applyNumberFormat="1" applyFont="1" applyFill="1" applyBorder="1" applyAlignment="1">
      <alignment vertical="center" wrapText="1"/>
    </xf>
    <xf numFmtId="0" fontId="54" fillId="0" borderId="13" xfId="4" applyFont="1" applyFill="1" applyBorder="1" applyAlignment="1">
      <alignment horizontal="left" vertical="center" wrapText="1"/>
    </xf>
    <xf numFmtId="1" fontId="53" fillId="14" borderId="11" xfId="4" applyNumberFormat="1" applyFont="1" applyFill="1" applyBorder="1" applyAlignment="1">
      <alignment horizontal="right" vertical="center"/>
    </xf>
    <xf numFmtId="0" fontId="54" fillId="14" borderId="13" xfId="4" applyFont="1" applyFill="1" applyBorder="1" applyAlignment="1">
      <alignment horizontal="left" vertical="center" wrapText="1"/>
    </xf>
    <xf numFmtId="0" fontId="54" fillId="14" borderId="13" xfId="4" applyFont="1" applyFill="1" applyBorder="1" applyAlignment="1">
      <alignment horizontal="left" vertical="center"/>
    </xf>
    <xf numFmtId="4" fontId="53" fillId="0" borderId="3" xfId="4" applyNumberFormat="1" applyFont="1" applyFill="1" applyBorder="1" applyAlignment="1">
      <alignment vertical="center" wrapText="1"/>
    </xf>
    <xf numFmtId="0" fontId="53" fillId="0" borderId="2" xfId="4" applyFont="1" applyBorder="1" applyAlignment="1">
      <alignment horizontal="left" vertical="center" wrapText="1"/>
    </xf>
    <xf numFmtId="1" fontId="53" fillId="0" borderId="2" xfId="4" applyNumberFormat="1" applyFont="1" applyBorder="1" applyAlignment="1">
      <alignment horizontal="right" vertical="center"/>
    </xf>
    <xf numFmtId="4" fontId="53" fillId="0" borderId="15" xfId="4" applyNumberFormat="1" applyFont="1" applyFill="1" applyBorder="1" applyAlignment="1">
      <alignment vertical="center" wrapText="1"/>
    </xf>
    <xf numFmtId="0" fontId="54" fillId="0" borderId="16" xfId="4" applyFont="1" applyFill="1" applyBorder="1" applyAlignment="1">
      <alignment horizontal="left" vertical="center" wrapText="1"/>
    </xf>
    <xf numFmtId="0" fontId="53" fillId="0" borderId="13" xfId="4" applyFont="1" applyBorder="1" applyAlignment="1">
      <alignment horizontal="left" vertical="center" wrapText="1"/>
    </xf>
    <xf numFmtId="1" fontId="53" fillId="14" borderId="13" xfId="4" applyNumberFormat="1" applyFont="1" applyFill="1" applyBorder="1" applyAlignment="1">
      <alignment horizontal="right" vertical="center"/>
    </xf>
    <xf numFmtId="4" fontId="53" fillId="0" borderId="13" xfId="4" applyNumberFormat="1" applyFont="1" applyFill="1" applyBorder="1" applyAlignment="1">
      <alignment vertical="center" wrapText="1"/>
    </xf>
    <xf numFmtId="0" fontId="37" fillId="0" borderId="10" xfId="3" applyFont="1" applyAlignment="1">
      <alignment horizontal="left"/>
    </xf>
    <xf numFmtId="0" fontId="39" fillId="0" borderId="10" xfId="3" applyFont="1" applyFill="1" applyAlignment="1">
      <alignment horizontal="left"/>
    </xf>
    <xf numFmtId="0" fontId="37" fillId="0" borderId="10" xfId="3" applyFont="1" applyFill="1" applyAlignment="1"/>
    <xf numFmtId="170" fontId="39" fillId="0" borderId="10" xfId="3" applyNumberFormat="1" applyFont="1" applyFill="1" applyAlignment="1"/>
    <xf numFmtId="170" fontId="39" fillId="0" borderId="10" xfId="3" applyNumberFormat="1" applyFont="1" applyFill="1" applyAlignment="1">
      <alignment horizontal="left"/>
    </xf>
    <xf numFmtId="170" fontId="39" fillId="0" borderId="10" xfId="3" applyNumberFormat="1" applyFont="1" applyFill="1" applyAlignment="1">
      <alignment vertical="center" wrapText="1"/>
    </xf>
    <xf numFmtId="170" fontId="39" fillId="0" borderId="1" xfId="3" applyNumberFormat="1" applyFont="1" applyFill="1" applyBorder="1" applyAlignment="1">
      <alignment horizontal="center"/>
    </xf>
    <xf numFmtId="170" fontId="39" fillId="0" borderId="10" xfId="3" applyNumberFormat="1" applyFont="1" applyFill="1" applyAlignment="1">
      <alignment horizontal="center" vertical="top" wrapText="1"/>
    </xf>
    <xf numFmtId="170" fontId="40" fillId="0" borderId="10" xfId="3" applyNumberFormat="1" applyFont="1" applyFill="1" applyAlignment="1">
      <alignment horizontal="center" vertical="top"/>
    </xf>
    <xf numFmtId="170" fontId="39" fillId="0" borderId="10" xfId="3" applyNumberFormat="1" applyFont="1" applyFill="1" applyAlignment="1">
      <alignment horizontal="center"/>
    </xf>
    <xf numFmtId="170" fontId="40" fillId="0" borderId="1" xfId="3" applyNumberFormat="1" applyFont="1" applyFill="1" applyBorder="1" applyAlignment="1">
      <alignment vertical="center" wrapText="1"/>
    </xf>
    <xf numFmtId="170" fontId="40" fillId="0" borderId="10" xfId="3" applyNumberFormat="1" applyFont="1" applyFill="1" applyAlignment="1">
      <alignment horizontal="left"/>
    </xf>
    <xf numFmtId="170" fontId="40" fillId="0" borderId="10" xfId="3" applyNumberFormat="1" applyFont="1" applyFill="1" applyAlignment="1"/>
    <xf numFmtId="170" fontId="42" fillId="0" borderId="10" xfId="3" applyNumberFormat="1" applyFont="1" applyFill="1" applyAlignment="1"/>
    <xf numFmtId="0" fontId="42" fillId="0" borderId="10" xfId="3" applyFont="1" applyFill="1" applyAlignment="1"/>
    <xf numFmtId="0" fontId="51" fillId="0" borderId="10" xfId="3" applyFont="1" applyFill="1" applyBorder="1" applyAlignment="1">
      <alignment horizontal="left" wrapText="1"/>
    </xf>
    <xf numFmtId="174" fontId="39" fillId="0" borderId="10" xfId="3" applyNumberFormat="1" applyFont="1" applyFill="1" applyAlignment="1"/>
    <xf numFmtId="0" fontId="39" fillId="0" borderId="10" xfId="3" applyFont="1" applyFill="1" applyAlignment="1">
      <alignment wrapText="1"/>
    </xf>
    <xf numFmtId="170" fontId="40" fillId="0" borderId="12" xfId="3" applyNumberFormat="1" applyFont="1" applyFill="1" applyBorder="1" applyAlignment="1">
      <alignment vertical="center"/>
    </xf>
    <xf numFmtId="171" fontId="55" fillId="0" borderId="1" xfId="3" applyNumberFormat="1" applyFont="1" applyFill="1" applyBorder="1" applyAlignment="1">
      <alignment horizontal="center" vertical="center"/>
    </xf>
    <xf numFmtId="0" fontId="40" fillId="12" borderId="17" xfId="3" applyFont="1" applyFill="1" applyBorder="1" applyAlignment="1"/>
    <xf numFmtId="171" fontId="39" fillId="15" borderId="1" xfId="3" applyNumberFormat="1" applyFont="1" applyFill="1" applyBorder="1" applyAlignment="1">
      <alignment horizontal="center" vertical="center"/>
    </xf>
    <xf numFmtId="170" fontId="47" fillId="0" borderId="8" xfId="3" applyNumberFormat="1" applyFont="1" applyBorder="1" applyAlignment="1">
      <alignment horizontal="center" vertical="center"/>
    </xf>
    <xf numFmtId="170" fontId="47" fillId="0" borderId="10" xfId="3" applyNumberFormat="1" applyFont="1" applyBorder="1" applyAlignment="1">
      <alignment horizontal="center" vertical="center"/>
    </xf>
    <xf numFmtId="0" fontId="20" fillId="0" borderId="10" xfId="1" applyFont="1" applyAlignment="1"/>
    <xf numFmtId="4" fontId="47" fillId="0" borderId="10" xfId="3" applyNumberFormat="1" applyFont="1" applyAlignment="1"/>
    <xf numFmtId="4" fontId="20" fillId="0" borderId="10" xfId="3" applyNumberFormat="1" applyFont="1" applyAlignment="1"/>
    <xf numFmtId="49" fontId="47" fillId="0" borderId="10" xfId="3" applyNumberFormat="1" applyFont="1" applyBorder="1" applyAlignment="1">
      <alignment horizontal="center"/>
    </xf>
    <xf numFmtId="49" fontId="47" fillId="0" borderId="10" xfId="3" applyNumberFormat="1" applyFont="1" applyAlignment="1">
      <alignment vertical="top" wrapText="1"/>
    </xf>
    <xf numFmtId="49" fontId="20" fillId="0" borderId="10" xfId="3" applyNumberFormat="1" applyFont="1" applyAlignment="1">
      <alignment vertical="top" wrapText="1"/>
    </xf>
    <xf numFmtId="49" fontId="37" fillId="0" borderId="10" xfId="3" applyNumberFormat="1" applyFont="1" applyAlignment="1">
      <alignment vertical="top" wrapText="1"/>
    </xf>
    <xf numFmtId="49" fontId="37" fillId="0" borderId="10" xfId="3" applyNumberFormat="1" applyFont="1" applyAlignment="1"/>
    <xf numFmtId="49" fontId="48" fillId="0" borderId="13" xfId="3" applyNumberFormat="1" applyFont="1" applyBorder="1" applyAlignment="1">
      <alignment vertical="center"/>
    </xf>
    <xf numFmtId="49" fontId="47" fillId="0" borderId="13" xfId="3" applyNumberFormat="1" applyFont="1" applyBorder="1" applyAlignment="1">
      <alignment horizontal="center"/>
    </xf>
    <xf numFmtId="172" fontId="47" fillId="0" borderId="13" xfId="3" applyNumberFormat="1" applyFont="1" applyBorder="1" applyAlignment="1">
      <alignment vertical="center" wrapText="1"/>
    </xf>
    <xf numFmtId="4" fontId="47" fillId="0" borderId="13" xfId="3" applyNumberFormat="1" applyFont="1" applyBorder="1" applyAlignment="1">
      <alignment horizontal="center" vertical="center"/>
    </xf>
    <xf numFmtId="170" fontId="47" fillId="0" borderId="13" xfId="3" applyNumberFormat="1" applyFont="1" applyBorder="1" applyAlignment="1">
      <alignment vertical="center" wrapText="1"/>
    </xf>
    <xf numFmtId="172" fontId="48" fillId="12" borderId="13" xfId="3" applyNumberFormat="1" applyFont="1" applyFill="1" applyBorder="1" applyAlignment="1">
      <alignment vertical="center" wrapText="1"/>
    </xf>
    <xf numFmtId="4" fontId="47" fillId="12" borderId="13" xfId="3" applyNumberFormat="1" applyFont="1" applyFill="1" applyBorder="1" applyAlignment="1">
      <alignment horizontal="center" vertical="center"/>
    </xf>
    <xf numFmtId="170" fontId="39" fillId="0" borderId="1" xfId="0" applyNumberFormat="1" applyFont="1" applyBorder="1" applyAlignment="1">
      <alignment vertical="center" wrapText="1"/>
    </xf>
    <xf numFmtId="170" fontId="41" fillId="0" borderId="1" xfId="0" applyNumberFormat="1" applyFont="1" applyBorder="1" applyAlignment="1">
      <alignment vertical="center" wrapText="1"/>
    </xf>
    <xf numFmtId="170" fontId="39" fillId="0" borderId="1" xfId="3" applyNumberFormat="1" applyFont="1" applyBorder="1" applyAlignment="1"/>
    <xf numFmtId="170" fontId="39" fillId="0" borderId="1" xfId="3" applyNumberFormat="1" applyFont="1" applyBorder="1" applyAlignment="1">
      <alignment vertical="center" wrapText="1"/>
    </xf>
    <xf numFmtId="0" fontId="50" fillId="0" borderId="10" xfId="3" applyFont="1" applyFill="1" applyAlignment="1"/>
    <xf numFmtId="170" fontId="41" fillId="0" borderId="12" xfId="0" applyNumberFormat="1" applyFont="1" applyBorder="1" applyAlignment="1">
      <alignment vertical="center" wrapText="1"/>
    </xf>
    <xf numFmtId="172" fontId="40" fillId="16" borderId="13" xfId="0" applyNumberFormat="1" applyFont="1" applyFill="1" applyBorder="1" applyAlignment="1">
      <alignment vertical="center" wrapText="1"/>
    </xf>
    <xf numFmtId="170" fontId="39" fillId="13" borderId="13" xfId="3" applyNumberFormat="1" applyFont="1" applyFill="1" applyBorder="1" applyAlignment="1"/>
    <xf numFmtId="0" fontId="37" fillId="0" borderId="10" xfId="3" applyFont="1" applyAlignment="1"/>
    <xf numFmtId="170" fontId="57" fillId="0" borderId="10" xfId="3" applyNumberFormat="1" applyFont="1" applyAlignment="1">
      <alignment wrapText="1"/>
    </xf>
    <xf numFmtId="170" fontId="57" fillId="0" borderId="10" xfId="3" applyNumberFormat="1" applyFont="1" applyAlignment="1"/>
    <xf numFmtId="170" fontId="56" fillId="0" borderId="10" xfId="3" applyNumberFormat="1" applyFont="1" applyAlignment="1">
      <alignment horizontal="center"/>
    </xf>
    <xf numFmtId="170" fontId="56" fillId="0" borderId="10" xfId="3" applyNumberFormat="1" applyFont="1" applyAlignment="1"/>
    <xf numFmtId="170" fontId="58" fillId="0" borderId="10" xfId="3" applyNumberFormat="1" applyFont="1" applyAlignment="1">
      <alignment horizontal="center" vertical="top"/>
    </xf>
    <xf numFmtId="170" fontId="56" fillId="0" borderId="20" xfId="3" applyNumberFormat="1" applyFont="1" applyBorder="1" applyAlignment="1">
      <alignment horizontal="center"/>
    </xf>
    <xf numFmtId="0" fontId="56" fillId="0" borderId="10" xfId="3" applyFont="1" applyAlignment="1"/>
    <xf numFmtId="170" fontId="59" fillId="0" borderId="10" xfId="3" applyNumberFormat="1" applyFont="1" applyAlignment="1"/>
    <xf numFmtId="170" fontId="60" fillId="0" borderId="1" xfId="3" applyNumberFormat="1" applyFont="1" applyBorder="1" applyAlignment="1">
      <alignment wrapText="1"/>
    </xf>
    <xf numFmtId="171" fontId="61" fillId="0" borderId="1" xfId="3" applyNumberFormat="1" applyFont="1" applyBorder="1" applyAlignment="1">
      <alignment horizontal="center" vertical="center"/>
    </xf>
    <xf numFmtId="171" fontId="61" fillId="0" borderId="3" xfId="3" applyNumberFormat="1" applyFont="1" applyBorder="1" applyAlignment="1">
      <alignment horizontal="center" vertical="center"/>
    </xf>
    <xf numFmtId="170" fontId="60" fillId="0" borderId="1" xfId="3" applyNumberFormat="1" applyFont="1" applyBorder="1" applyAlignment="1">
      <alignment horizontal="left" wrapText="1"/>
    </xf>
    <xf numFmtId="170" fontId="61" fillId="0" borderId="1" xfId="3" applyNumberFormat="1" applyFont="1" applyBorder="1" applyAlignment="1">
      <alignment wrapText="1"/>
    </xf>
    <xf numFmtId="10" fontId="56" fillId="0" borderId="10" xfId="3" applyNumberFormat="1" applyFont="1" applyAlignment="1"/>
    <xf numFmtId="170" fontId="58" fillId="0" borderId="1" xfId="3" applyNumberFormat="1" applyFont="1" applyBorder="1" applyAlignment="1">
      <alignment wrapText="1"/>
    </xf>
    <xf numFmtId="171" fontId="58" fillId="0" borderId="1" xfId="3" applyNumberFormat="1" applyFont="1" applyBorder="1" applyAlignment="1">
      <alignment horizontal="center" vertical="center"/>
    </xf>
    <xf numFmtId="170" fontId="62" fillId="0" borderId="10" xfId="3" applyNumberFormat="1" applyFont="1" applyAlignment="1"/>
    <xf numFmtId="0" fontId="62" fillId="0" borderId="10" xfId="3" applyFont="1" applyAlignment="1"/>
    <xf numFmtId="171" fontId="58" fillId="0" borderId="3" xfId="3" applyNumberFormat="1" applyFont="1" applyBorder="1" applyAlignment="1">
      <alignment horizontal="center" vertical="center"/>
    </xf>
    <xf numFmtId="170" fontId="62" fillId="0" borderId="10" xfId="3" applyNumberFormat="1" applyFont="1" applyAlignment="1">
      <alignment wrapText="1"/>
    </xf>
    <xf numFmtId="170" fontId="56" fillId="0" borderId="10" xfId="3" applyNumberFormat="1" applyFont="1" applyAlignment="1">
      <alignment wrapText="1"/>
    </xf>
    <xf numFmtId="170" fontId="63" fillId="0" borderId="10" xfId="3" applyNumberFormat="1" applyFont="1" applyAlignment="1"/>
    <xf numFmtId="170" fontId="59" fillId="0" borderId="10" xfId="3" applyNumberFormat="1" applyFont="1" applyAlignment="1">
      <alignment horizontal="center" wrapText="1"/>
    </xf>
    <xf numFmtId="170" fontId="59" fillId="0" borderId="10" xfId="3" applyNumberFormat="1" applyFont="1" applyAlignment="1">
      <alignment horizontal="center"/>
    </xf>
    <xf numFmtId="170" fontId="61" fillId="16" borderId="10" xfId="3" applyNumberFormat="1" applyFont="1" applyFill="1" applyBorder="1" applyAlignment="1">
      <alignment wrapText="1"/>
    </xf>
    <xf numFmtId="9" fontId="61" fillId="16" borderId="10" xfId="3" applyNumberFormat="1" applyFont="1" applyFill="1" applyBorder="1" applyAlignment="1"/>
    <xf numFmtId="170" fontId="61" fillId="0" borderId="10" xfId="3" applyNumberFormat="1" applyFont="1" applyAlignment="1">
      <alignment horizontal="center"/>
    </xf>
    <xf numFmtId="170" fontId="61" fillId="0" borderId="10" xfId="3" applyNumberFormat="1" applyFont="1" applyAlignment="1"/>
    <xf numFmtId="170" fontId="61" fillId="0" borderId="10" xfId="3" applyNumberFormat="1" applyFont="1" applyAlignment="1">
      <alignment horizontal="center" wrapText="1"/>
    </xf>
    <xf numFmtId="170" fontId="61" fillId="0" borderId="20" xfId="3" applyNumberFormat="1" applyFont="1" applyBorder="1" applyAlignment="1">
      <alignment horizontal="center"/>
    </xf>
    <xf numFmtId="170" fontId="61" fillId="0" borderId="1" xfId="3" applyNumberFormat="1" applyFont="1" applyBorder="1" applyAlignment="1">
      <alignment horizontal="left" wrapText="1"/>
    </xf>
    <xf numFmtId="170" fontId="58" fillId="16" borderId="1" xfId="3" applyNumberFormat="1" applyFont="1" applyFill="1" applyBorder="1" applyAlignment="1">
      <alignment wrapText="1"/>
    </xf>
    <xf numFmtId="10" fontId="58" fillId="0" borderId="1" xfId="3" applyNumberFormat="1" applyFont="1" applyBorder="1" applyAlignment="1"/>
    <xf numFmtId="2" fontId="58" fillId="0" borderId="1" xfId="3" applyNumberFormat="1" applyFont="1" applyBorder="1" applyAlignment="1"/>
    <xf numFmtId="172" fontId="61" fillId="0" borderId="10" xfId="3" applyNumberFormat="1" applyFont="1" applyAlignment="1"/>
    <xf numFmtId="170" fontId="56" fillId="16" borderId="21" xfId="3" applyNumberFormat="1" applyFont="1" applyFill="1" applyBorder="1" applyAlignment="1"/>
    <xf numFmtId="9" fontId="38" fillId="17" borderId="22" xfId="3" applyNumberFormat="1" applyFont="1" applyFill="1" applyBorder="1" applyAlignment="1"/>
    <xf numFmtId="170" fontId="58" fillId="0" borderId="10" xfId="3" applyNumberFormat="1" applyFont="1" applyAlignment="1"/>
    <xf numFmtId="170" fontId="64" fillId="17" borderId="1" xfId="3" applyNumberFormat="1" applyFont="1" applyFill="1" applyBorder="1" applyAlignment="1">
      <alignment wrapText="1"/>
    </xf>
    <xf numFmtId="171" fontId="61" fillId="17" borderId="1" xfId="3" applyNumberFormat="1" applyFont="1" applyFill="1" applyBorder="1" applyAlignment="1">
      <alignment horizontal="center" vertical="center"/>
    </xf>
    <xf numFmtId="170" fontId="61" fillId="17" borderId="1" xfId="3" applyNumberFormat="1" applyFont="1" applyFill="1" applyBorder="1" applyAlignment="1">
      <alignment wrapText="1"/>
    </xf>
    <xf numFmtId="170" fontId="65" fillId="0" borderId="1" xfId="3" applyNumberFormat="1" applyFont="1" applyBorder="1" applyAlignment="1">
      <alignment horizontal="center" wrapText="1"/>
    </xf>
    <xf numFmtId="173" fontId="61" fillId="0" borderId="5" xfId="3" applyNumberFormat="1" applyFont="1" applyBorder="1" applyAlignment="1">
      <alignment horizontal="right"/>
    </xf>
    <xf numFmtId="173" fontId="61" fillId="0" borderId="6" xfId="3" applyNumberFormat="1" applyFont="1" applyBorder="1" applyAlignment="1">
      <alignment horizontal="right"/>
    </xf>
    <xf numFmtId="170" fontId="62" fillId="0" borderId="1" xfId="3" applyNumberFormat="1" applyFont="1" applyBorder="1" applyAlignment="1">
      <alignment horizontal="right" wrapText="1"/>
    </xf>
    <xf numFmtId="171" fontId="62" fillId="0" borderId="1" xfId="3" applyNumberFormat="1" applyFont="1" applyBorder="1" applyAlignment="1">
      <alignment horizontal="center" vertical="center"/>
    </xf>
    <xf numFmtId="170" fontId="61" fillId="0" borderId="1" xfId="3" applyNumberFormat="1" applyFont="1" applyBorder="1" applyAlignment="1">
      <alignment horizontal="right" wrapText="1"/>
    </xf>
    <xf numFmtId="170" fontId="61" fillId="0" borderId="10" xfId="3" applyNumberFormat="1" applyFont="1" applyAlignment="1">
      <alignment horizontal="left"/>
    </xf>
    <xf numFmtId="170" fontId="61" fillId="0" borderId="5" xfId="3" applyNumberFormat="1" applyFont="1" applyBorder="1" applyAlignment="1">
      <alignment horizontal="left" wrapText="1"/>
    </xf>
    <xf numFmtId="0" fontId="58" fillId="0" borderId="1" xfId="3" applyFont="1" applyBorder="1" applyAlignment="1"/>
    <xf numFmtId="9" fontId="56" fillId="0" borderId="1" xfId="3" applyNumberFormat="1" applyFont="1" applyBorder="1" applyAlignment="1"/>
    <xf numFmtId="9" fontId="56" fillId="0" borderId="3" xfId="3" applyNumberFormat="1" applyFont="1" applyBorder="1" applyAlignment="1"/>
    <xf numFmtId="172" fontId="56" fillId="0" borderId="1" xfId="3" applyNumberFormat="1" applyFont="1" applyBorder="1" applyAlignment="1"/>
    <xf numFmtId="172" fontId="56" fillId="0" borderId="1" xfId="3" applyNumberFormat="1" applyFont="1" applyBorder="1" applyAlignment="1">
      <alignment horizontal="right"/>
    </xf>
    <xf numFmtId="172" fontId="56" fillId="0" borderId="3" xfId="3" applyNumberFormat="1" applyFont="1" applyBorder="1" applyAlignment="1">
      <alignment horizontal="right"/>
    </xf>
    <xf numFmtId="176" fontId="56" fillId="0" borderId="1" xfId="3" applyNumberFormat="1" applyFont="1" applyBorder="1" applyAlignment="1"/>
    <xf numFmtId="170" fontId="67" fillId="0" borderId="10" xfId="3" applyNumberFormat="1" applyFont="1" applyAlignment="1"/>
    <xf numFmtId="9" fontId="61" fillId="0" borderId="1" xfId="3" applyNumberFormat="1" applyFont="1" applyBorder="1" applyAlignment="1"/>
    <xf numFmtId="171" fontId="61" fillId="0" borderId="1" xfId="3" applyNumberFormat="1" applyFont="1" applyBorder="1" applyAlignment="1">
      <alignment horizontal="right"/>
    </xf>
    <xf numFmtId="170" fontId="56" fillId="0" borderId="10" xfId="3" applyNumberFormat="1" applyFont="1" applyAlignment="1">
      <alignment horizontal="left" wrapText="1"/>
    </xf>
    <xf numFmtId="170" fontId="68" fillId="0" borderId="10" xfId="3" applyNumberFormat="1" applyFont="1" applyAlignment="1">
      <alignment horizontal="center" vertical="center"/>
    </xf>
    <xf numFmtId="170" fontId="59" fillId="0" borderId="10" xfId="3" applyNumberFormat="1" applyFont="1" applyAlignment="1">
      <alignment wrapText="1"/>
    </xf>
    <xf numFmtId="170" fontId="69" fillId="0" borderId="10" xfId="3" applyNumberFormat="1" applyFont="1" applyAlignment="1"/>
    <xf numFmtId="170" fontId="69" fillId="0" borderId="10" xfId="3" applyNumberFormat="1" applyFont="1" applyAlignment="1">
      <alignment horizontal="center"/>
    </xf>
    <xf numFmtId="170" fontId="61" fillId="0" borderId="10" xfId="3" applyNumberFormat="1" applyFont="1" applyAlignment="1">
      <alignment horizontal="left" wrapText="1"/>
    </xf>
    <xf numFmtId="170" fontId="70" fillId="0" borderId="10" xfId="3" applyNumberFormat="1" applyFont="1" applyAlignment="1">
      <alignment horizontal="left"/>
    </xf>
    <xf numFmtId="170" fontId="71" fillId="0" borderId="10" xfId="3" applyNumberFormat="1" applyFont="1" applyAlignment="1">
      <alignment horizontal="center"/>
    </xf>
    <xf numFmtId="170" fontId="72" fillId="0" borderId="10" xfId="3" applyNumberFormat="1" applyFont="1" applyAlignment="1"/>
    <xf numFmtId="170" fontId="70" fillId="0" borderId="10" xfId="3" applyNumberFormat="1" applyFont="1" applyAlignment="1"/>
    <xf numFmtId="9" fontId="69" fillId="0" borderId="10" xfId="3" applyNumberFormat="1" applyFont="1" applyAlignment="1">
      <alignment horizontal="center"/>
    </xf>
    <xf numFmtId="170" fontId="72" fillId="0" borderId="10" xfId="3" applyNumberFormat="1" applyFont="1" applyAlignment="1">
      <alignment horizontal="center"/>
    </xf>
    <xf numFmtId="170" fontId="71" fillId="0" borderId="10" xfId="3" applyNumberFormat="1" applyFont="1" applyAlignment="1"/>
    <xf numFmtId="177" fontId="69" fillId="0" borderId="10" xfId="3" applyNumberFormat="1" applyFont="1" applyAlignment="1"/>
    <xf numFmtId="177" fontId="71" fillId="0" borderId="10" xfId="3" applyNumberFormat="1" applyFont="1" applyAlignment="1"/>
    <xf numFmtId="178" fontId="69" fillId="0" borderId="10" xfId="3" applyNumberFormat="1" applyFont="1" applyAlignment="1"/>
    <xf numFmtId="2" fontId="69" fillId="0" borderId="10" xfId="3" applyNumberFormat="1" applyFont="1" applyAlignment="1">
      <alignment horizontal="center"/>
    </xf>
    <xf numFmtId="170" fontId="73" fillId="0" borderId="10" xfId="3" applyNumberFormat="1" applyFont="1" applyAlignment="1"/>
    <xf numFmtId="170" fontId="56" fillId="0" borderId="10" xfId="3" applyNumberFormat="1" applyFont="1" applyAlignment="1">
      <alignment vertical="center"/>
    </xf>
    <xf numFmtId="170" fontId="74" fillId="13" borderId="12" xfId="3" applyNumberFormat="1" applyFont="1" applyFill="1" applyBorder="1" applyAlignment="1">
      <alignment vertical="center"/>
    </xf>
    <xf numFmtId="0" fontId="75" fillId="13" borderId="1" xfId="0" applyFont="1" applyFill="1" applyBorder="1"/>
    <xf numFmtId="170" fontId="40" fillId="0" borderId="12" xfId="3" applyNumberFormat="1" applyFont="1" applyFill="1" applyBorder="1" applyAlignment="1">
      <alignment vertical="center" wrapText="1"/>
    </xf>
    <xf numFmtId="0" fontId="40" fillId="0" borderId="13" xfId="3" applyFont="1" applyFill="1" applyBorder="1" applyAlignment="1"/>
    <xf numFmtId="171" fontId="39" fillId="0" borderId="13" xfId="3" applyNumberFormat="1" applyFont="1" applyFill="1" applyBorder="1" applyAlignment="1"/>
    <xf numFmtId="170" fontId="50" fillId="18" borderId="25" xfId="3" applyNumberFormat="1" applyFont="1" applyFill="1" applyBorder="1" applyAlignment="1">
      <alignment wrapText="1"/>
    </xf>
    <xf numFmtId="171" fontId="39" fillId="18" borderId="26" xfId="3" applyNumberFormat="1" applyFont="1" applyFill="1" applyBorder="1" applyAlignment="1">
      <alignment horizontal="center" vertical="center"/>
    </xf>
    <xf numFmtId="170" fontId="50" fillId="19" borderId="25" xfId="3" applyNumberFormat="1" applyFont="1" applyFill="1" applyBorder="1" applyAlignment="1">
      <alignment wrapText="1"/>
    </xf>
    <xf numFmtId="171" fontId="39" fillId="19" borderId="26" xfId="3" applyNumberFormat="1" applyFont="1" applyFill="1" applyBorder="1" applyAlignment="1">
      <alignment horizontal="center" vertical="center"/>
    </xf>
    <xf numFmtId="170" fontId="61" fillId="0" borderId="13" xfId="3" applyNumberFormat="1" applyFont="1" applyBorder="1" applyAlignment="1">
      <alignment horizontal="center"/>
    </xf>
    <xf numFmtId="170" fontId="61" fillId="0" borderId="13" xfId="3" applyNumberFormat="1" applyFont="1" applyBorder="1" applyAlignment="1">
      <alignment horizontal="left"/>
    </xf>
    <xf numFmtId="173" fontId="61" fillId="0" borderId="13" xfId="3" applyNumberFormat="1" applyFont="1" applyBorder="1" applyAlignment="1">
      <alignment horizontal="right"/>
    </xf>
    <xf numFmtId="170" fontId="61" fillId="0" borderId="13" xfId="3" applyNumberFormat="1" applyFont="1" applyBorder="1" applyAlignment="1">
      <alignment horizontal="right" wrapText="1"/>
    </xf>
    <xf numFmtId="171" fontId="61" fillId="0" borderId="13" xfId="3" applyNumberFormat="1" applyFont="1" applyBorder="1" applyAlignment="1">
      <alignment horizontal="center" vertical="center"/>
    </xf>
    <xf numFmtId="170" fontId="62" fillId="0" borderId="13" xfId="3" applyNumberFormat="1" applyFont="1" applyBorder="1" applyAlignment="1">
      <alignment horizontal="right" wrapText="1"/>
    </xf>
    <xf numFmtId="171" fontId="62" fillId="0" borderId="13" xfId="3" applyNumberFormat="1" applyFont="1" applyBorder="1" applyAlignment="1">
      <alignment horizontal="center" vertical="center"/>
    </xf>
    <xf numFmtId="170" fontId="61" fillId="0" borderId="13" xfId="3" applyNumberFormat="1" applyFont="1" applyBorder="1" applyAlignment="1">
      <alignment horizontal="left" wrapText="1"/>
    </xf>
    <xf numFmtId="170" fontId="58" fillId="0" borderId="13" xfId="3" applyNumberFormat="1" applyFont="1" applyBorder="1" applyAlignment="1">
      <alignment wrapText="1"/>
    </xf>
    <xf numFmtId="171" fontId="58" fillId="0" borderId="13" xfId="3" applyNumberFormat="1" applyFont="1" applyBorder="1" applyAlignment="1">
      <alignment horizontal="center" vertical="center"/>
    </xf>
    <xf numFmtId="0" fontId="77" fillId="0" borderId="10" xfId="3" applyFont="1" applyAlignment="1"/>
    <xf numFmtId="170" fontId="77" fillId="0" borderId="10" xfId="3" applyNumberFormat="1" applyFont="1" applyAlignment="1"/>
    <xf numFmtId="170" fontId="78" fillId="0" borderId="10" xfId="3" applyNumberFormat="1" applyFont="1" applyAlignment="1"/>
    <xf numFmtId="0" fontId="79" fillId="0" borderId="10" xfId="3" applyFont="1" applyAlignment="1"/>
    <xf numFmtId="170" fontId="58" fillId="0" borderId="0" xfId="0" applyNumberFormat="1" applyFont="1" applyAlignment="1">
      <alignment vertical="center" wrapText="1"/>
    </xf>
    <xf numFmtId="170" fontId="66" fillId="0" borderId="0" xfId="0" applyNumberFormat="1" applyFont="1" applyAlignment="1">
      <alignment horizontal="center" vertical="center"/>
    </xf>
    <xf numFmtId="9" fontId="56" fillId="0" borderId="1" xfId="0" applyNumberFormat="1" applyFont="1" applyBorder="1" applyAlignment="1"/>
    <xf numFmtId="172" fontId="56" fillId="0" borderId="1" xfId="0" applyNumberFormat="1" applyFont="1" applyBorder="1" applyAlignment="1">
      <alignment horizontal="right"/>
    </xf>
    <xf numFmtId="176" fontId="56" fillId="0" borderId="1" xfId="0" applyNumberFormat="1" applyFont="1" applyBorder="1" applyAlignment="1"/>
    <xf numFmtId="170" fontId="47" fillId="0" borderId="29" xfId="3" applyNumberFormat="1" applyFont="1" applyBorder="1" applyAlignment="1">
      <alignment horizontal="center" vertical="center"/>
    </xf>
    <xf numFmtId="172" fontId="47" fillId="0" borderId="29" xfId="3" applyNumberFormat="1" applyFont="1" applyBorder="1" applyAlignment="1"/>
    <xf numFmtId="170" fontId="47" fillId="0" borderId="29" xfId="3" applyNumberFormat="1" applyFont="1" applyBorder="1" applyAlignment="1"/>
    <xf numFmtId="0" fontId="20" fillId="0" borderId="30" xfId="3" applyFont="1" applyBorder="1" applyAlignment="1"/>
    <xf numFmtId="4" fontId="47" fillId="0" borderId="10" xfId="3" applyNumberFormat="1" applyFont="1" applyBorder="1" applyAlignment="1">
      <alignment horizontal="right"/>
    </xf>
    <xf numFmtId="170" fontId="47" fillId="0" borderId="10" xfId="3" applyNumberFormat="1" applyFont="1" applyBorder="1" applyAlignment="1"/>
    <xf numFmtId="0" fontId="20" fillId="0" borderId="32" xfId="3" applyFont="1" applyBorder="1" applyAlignment="1"/>
    <xf numFmtId="172" fontId="47" fillId="0" borderId="10" xfId="3" applyNumberFormat="1" applyFont="1" applyBorder="1" applyAlignment="1"/>
    <xf numFmtId="170" fontId="47" fillId="0" borderId="31" xfId="3" applyNumberFormat="1" applyFont="1" applyBorder="1" applyAlignment="1">
      <alignment vertical="center"/>
    </xf>
    <xf numFmtId="0" fontId="20" fillId="0" borderId="10" xfId="3" applyFont="1" applyBorder="1" applyAlignment="1"/>
    <xf numFmtId="3" fontId="37" fillId="0" borderId="10" xfId="3" applyNumberFormat="1" applyFont="1" applyAlignment="1"/>
    <xf numFmtId="3" fontId="80" fillId="0" borderId="10" xfId="0" applyNumberFormat="1" applyFont="1" applyBorder="1"/>
    <xf numFmtId="4" fontId="80" fillId="0" borderId="10" xfId="0" applyNumberFormat="1" applyFont="1" applyBorder="1"/>
    <xf numFmtId="3" fontId="81" fillId="0" borderId="10" xfId="0" applyNumberFormat="1" applyFont="1" applyBorder="1" applyAlignment="1"/>
    <xf numFmtId="3" fontId="11" fillId="7" borderId="10" xfId="0" applyNumberFormat="1" applyFont="1" applyFill="1" applyBorder="1" applyAlignment="1"/>
    <xf numFmtId="3" fontId="11" fillId="10" borderId="10" xfId="0" applyNumberFormat="1" applyFont="1" applyFill="1" applyBorder="1" applyAlignment="1"/>
    <xf numFmtId="3" fontId="82" fillId="0" borderId="14" xfId="0" applyNumberFormat="1" applyFont="1" applyBorder="1" applyAlignment="1">
      <alignment wrapText="1"/>
    </xf>
    <xf numFmtId="3" fontId="82" fillId="0" borderId="13" xfId="0" applyNumberFormat="1" applyFont="1" applyBorder="1"/>
    <xf numFmtId="3" fontId="83" fillId="0" borderId="14" xfId="0" applyNumberFormat="1" applyFont="1" applyBorder="1" applyAlignment="1">
      <alignment horizontal="left" wrapText="1"/>
    </xf>
    <xf numFmtId="3" fontId="84" fillId="0" borderId="10" xfId="0" applyNumberFormat="1" applyFont="1" applyBorder="1"/>
    <xf numFmtId="4" fontId="84" fillId="0" borderId="10" xfId="0" applyNumberFormat="1" applyFont="1" applyBorder="1"/>
    <xf numFmtId="9" fontId="84" fillId="0" borderId="10" xfId="0" applyNumberFormat="1" applyFont="1" applyBorder="1"/>
    <xf numFmtId="0" fontId="85" fillId="0" borderId="10" xfId="0" applyFont="1" applyBorder="1"/>
    <xf numFmtId="0" fontId="86" fillId="0" borderId="10" xfId="0" applyFont="1" applyBorder="1" applyAlignment="1"/>
    <xf numFmtId="4" fontId="82" fillId="0" borderId="14" xfId="0" applyNumberFormat="1" applyFont="1" applyBorder="1" applyAlignment="1">
      <alignment horizontal="left" wrapText="1"/>
    </xf>
    <xf numFmtId="4" fontId="82" fillId="0" borderId="13" xfId="0" applyNumberFormat="1" applyFont="1" applyBorder="1"/>
    <xf numFmtId="4" fontId="85" fillId="0" borderId="10" xfId="0" applyNumberFormat="1" applyFont="1" applyBorder="1"/>
    <xf numFmtId="4" fontId="86" fillId="0" borderId="10" xfId="0" applyNumberFormat="1" applyFont="1" applyBorder="1" applyAlignment="1"/>
    <xf numFmtId="3" fontId="82" fillId="0" borderId="14" xfId="0" applyNumberFormat="1" applyFont="1" applyBorder="1" applyAlignment="1">
      <alignment horizontal="left" wrapText="1"/>
    </xf>
    <xf numFmtId="170" fontId="20" fillId="0" borderId="10" xfId="3" applyNumberFormat="1" applyFont="1" applyAlignment="1"/>
    <xf numFmtId="4" fontId="87" fillId="0" borderId="10" xfId="0" applyNumberFormat="1" applyFont="1" applyBorder="1"/>
    <xf numFmtId="4" fontId="39" fillId="0" borderId="10" xfId="3" applyNumberFormat="1" applyFont="1" applyFill="1" applyAlignment="1"/>
    <xf numFmtId="170" fontId="39" fillId="0" borderId="1" xfId="3" applyNumberFormat="1" applyFont="1" applyFill="1" applyBorder="1" applyAlignment="1"/>
    <xf numFmtId="10" fontId="76" fillId="0" borderId="1" xfId="3" applyNumberFormat="1" applyFont="1" applyFill="1" applyBorder="1" applyAlignment="1"/>
    <xf numFmtId="170" fontId="39" fillId="0" borderId="3" xfId="3" applyNumberFormat="1" applyFont="1" applyFill="1" applyBorder="1" applyAlignment="1"/>
    <xf numFmtId="10" fontId="76" fillId="0" borderId="4" xfId="3" applyNumberFormat="1" applyFont="1" applyFill="1" applyBorder="1" applyAlignment="1"/>
    <xf numFmtId="0" fontId="38" fillId="0" borderId="10" xfId="3" applyFont="1" applyAlignment="1"/>
    <xf numFmtId="170" fontId="39" fillId="0" borderId="10" xfId="3" applyNumberFormat="1" applyFont="1" applyAlignment="1">
      <alignment wrapText="1"/>
    </xf>
    <xf numFmtId="170" fontId="39" fillId="0" borderId="10" xfId="3" applyNumberFormat="1" applyFont="1" applyAlignment="1">
      <alignment horizontal="center" wrapText="1"/>
    </xf>
    <xf numFmtId="172" fontId="39" fillId="0" borderId="10" xfId="3" applyNumberFormat="1" applyFont="1" applyAlignment="1">
      <alignment vertical="center" wrapText="1"/>
    </xf>
    <xf numFmtId="170" fontId="39" fillId="0" borderId="10" xfId="3" applyNumberFormat="1" applyFont="1" applyAlignment="1">
      <alignment horizontal="center" vertical="top" wrapText="1"/>
    </xf>
    <xf numFmtId="172" fontId="39" fillId="0" borderId="10" xfId="3" applyNumberFormat="1" applyFont="1" applyAlignment="1">
      <alignment wrapText="1"/>
    </xf>
    <xf numFmtId="179" fontId="39" fillId="0" borderId="10" xfId="3" applyNumberFormat="1" applyFont="1" applyAlignment="1">
      <alignment wrapText="1"/>
    </xf>
    <xf numFmtId="4" fontId="14" fillId="0" borderId="10" xfId="0" applyNumberFormat="1" applyFont="1" applyBorder="1"/>
    <xf numFmtId="3" fontId="40" fillId="16" borderId="1" xfId="0" applyNumberFormat="1" applyFont="1" applyFill="1" applyBorder="1" applyAlignment="1">
      <alignment horizontal="center" vertical="center" wrapText="1"/>
    </xf>
    <xf numFmtId="170" fontId="39" fillId="0" borderId="0" xfId="0" applyNumberFormat="1" applyFont="1" applyAlignment="1">
      <alignment wrapText="1"/>
    </xf>
    <xf numFmtId="171" fontId="39" fillId="0" borderId="10" xfId="3" applyNumberFormat="1" applyFont="1" applyFill="1" applyAlignment="1"/>
    <xf numFmtId="170" fontId="40" fillId="12" borderId="1" xfId="0" applyNumberFormat="1" applyFont="1" applyFill="1" applyBorder="1" applyAlignment="1">
      <alignment horizontal="left" vertical="center" wrapText="1"/>
    </xf>
    <xf numFmtId="171" fontId="39" fillId="12" borderId="1" xfId="0" applyNumberFormat="1" applyFont="1" applyFill="1" applyBorder="1" applyAlignment="1">
      <alignment horizontal="center" vertical="center"/>
    </xf>
    <xf numFmtId="170" fontId="40" fillId="0" borderId="0" xfId="0" applyNumberFormat="1" applyFont="1" applyAlignment="1"/>
    <xf numFmtId="172" fontId="48" fillId="0" borderId="13" xfId="3" applyNumberFormat="1" applyFont="1" applyFill="1" applyBorder="1" applyAlignment="1">
      <alignment vertical="center" wrapText="1"/>
    </xf>
    <xf numFmtId="4" fontId="47" fillId="0" borderId="13" xfId="3" applyNumberFormat="1" applyFont="1" applyFill="1" applyBorder="1" applyAlignment="1">
      <alignment horizontal="center" vertical="center"/>
    </xf>
    <xf numFmtId="172" fontId="47" fillId="0" borderId="10" xfId="3" applyNumberFormat="1" applyFont="1" applyFill="1" applyAlignment="1"/>
    <xf numFmtId="170" fontId="47" fillId="0" borderId="10" xfId="3" applyNumberFormat="1" applyFont="1" applyFill="1" applyAlignment="1"/>
    <xf numFmtId="0" fontId="20" fillId="0" borderId="10" xfId="3" applyFont="1" applyFill="1" applyAlignment="1"/>
    <xf numFmtId="170" fontId="88" fillId="18" borderId="23" xfId="3" applyNumberFormat="1" applyFont="1" applyFill="1" applyBorder="1" applyAlignment="1">
      <alignment wrapText="1"/>
    </xf>
    <xf numFmtId="171" fontId="88" fillId="18" borderId="24" xfId="3" applyNumberFormat="1" applyFont="1" applyFill="1" applyBorder="1" applyAlignment="1">
      <alignment horizontal="center" vertical="center"/>
    </xf>
    <xf numFmtId="170" fontId="88" fillId="0" borderId="10" xfId="3" applyNumberFormat="1" applyFont="1" applyAlignment="1"/>
    <xf numFmtId="0" fontId="89" fillId="0" borderId="10" xfId="3" applyFont="1" applyAlignment="1"/>
    <xf numFmtId="171" fontId="88" fillId="18" borderId="27" xfId="3" applyNumberFormat="1" applyFont="1" applyFill="1" applyBorder="1" applyAlignment="1">
      <alignment horizontal="center" vertical="center"/>
    </xf>
    <xf numFmtId="170" fontId="88" fillId="18" borderId="17" xfId="3" applyNumberFormat="1" applyFont="1" applyFill="1" applyBorder="1" applyAlignment="1">
      <alignment wrapText="1"/>
    </xf>
    <xf numFmtId="171" fontId="61" fillId="0" borderId="10" xfId="0" applyNumberFormat="1" applyFont="1" applyBorder="1" applyAlignment="1">
      <alignment horizontal="right"/>
    </xf>
    <xf numFmtId="0" fontId="56" fillId="0" borderId="10" xfId="3" applyFont="1" applyBorder="1" applyAlignment="1"/>
    <xf numFmtId="170" fontId="56" fillId="0" borderId="10" xfId="3" applyNumberFormat="1" applyFont="1" applyBorder="1" applyAlignment="1"/>
    <xf numFmtId="9" fontId="61" fillId="0" borderId="3" xfId="3" applyNumberFormat="1" applyFont="1" applyBorder="1" applyAlignment="1"/>
    <xf numFmtId="171" fontId="61" fillId="0" borderId="3" xfId="3" applyNumberFormat="1" applyFont="1" applyBorder="1" applyAlignment="1">
      <alignment horizontal="right"/>
    </xf>
    <xf numFmtId="9" fontId="61" fillId="0" borderId="13" xfId="3" applyNumberFormat="1" applyFont="1" applyBorder="1" applyAlignment="1"/>
    <xf numFmtId="9" fontId="61" fillId="0" borderId="13" xfId="0" applyNumberFormat="1" applyFont="1" applyBorder="1" applyAlignment="1"/>
    <xf numFmtId="171" fontId="61" fillId="0" borderId="13" xfId="3" applyNumberFormat="1" applyFont="1" applyBorder="1" applyAlignment="1">
      <alignment horizontal="right"/>
    </xf>
    <xf numFmtId="9" fontId="61" fillId="0" borderId="10" xfId="0" applyNumberFormat="1" applyFont="1" applyBorder="1" applyAlignment="1"/>
    <xf numFmtId="171" fontId="61" fillId="0" borderId="10" xfId="3" applyNumberFormat="1" applyFont="1" applyBorder="1" applyAlignment="1">
      <alignment horizontal="right"/>
    </xf>
    <xf numFmtId="4" fontId="69" fillId="0" borderId="10" xfId="3" applyNumberFormat="1" applyFont="1" applyAlignment="1">
      <alignment horizontal="center"/>
    </xf>
    <xf numFmtId="170" fontId="71" fillId="0" borderId="0" xfId="0" applyNumberFormat="1" applyFont="1" applyAlignment="1"/>
    <xf numFmtId="9" fontId="69" fillId="0" borderId="0" xfId="0" applyNumberFormat="1" applyFont="1" applyAlignment="1"/>
    <xf numFmtId="0" fontId="72" fillId="0" borderId="0" xfId="0" applyFont="1" applyAlignment="1"/>
    <xf numFmtId="9" fontId="70" fillId="0" borderId="0" xfId="0" applyNumberFormat="1" applyFont="1" applyAlignment="1"/>
    <xf numFmtId="170" fontId="59" fillId="0" borderId="0" xfId="0" applyNumberFormat="1" applyFont="1" applyAlignment="1"/>
    <xf numFmtId="178" fontId="69" fillId="0" borderId="0" xfId="0" applyNumberFormat="1" applyFont="1" applyAlignment="1"/>
    <xf numFmtId="2" fontId="69" fillId="0" borderId="0" xfId="0" applyNumberFormat="1" applyFont="1" applyAlignment="1">
      <alignment horizontal="center"/>
    </xf>
    <xf numFmtId="170" fontId="69" fillId="0" borderId="0" xfId="0" applyNumberFormat="1" applyFont="1" applyAlignment="1"/>
    <xf numFmtId="178" fontId="71" fillId="0" borderId="0" xfId="0" applyNumberFormat="1" applyFont="1" applyAlignment="1"/>
    <xf numFmtId="178" fontId="72" fillId="0" borderId="0" xfId="0" applyNumberFormat="1" applyFont="1" applyAlignment="1"/>
    <xf numFmtId="170" fontId="70" fillId="0" borderId="0" xfId="0" applyNumberFormat="1" applyFont="1" applyAlignment="1"/>
    <xf numFmtId="170" fontId="73" fillId="0" borderId="0" xfId="0" applyNumberFormat="1" applyFont="1" applyAlignment="1"/>
    <xf numFmtId="170" fontId="56" fillId="0" borderId="0" xfId="0" applyNumberFormat="1" applyFont="1" applyAlignment="1"/>
    <xf numFmtId="2" fontId="56" fillId="0" borderId="1" xfId="0" applyNumberFormat="1" applyFont="1" applyBorder="1" applyAlignment="1"/>
    <xf numFmtId="170" fontId="72" fillId="0" borderId="0" xfId="0" applyNumberFormat="1" applyFont="1" applyAlignment="1"/>
    <xf numFmtId="171" fontId="61" fillId="0" borderId="13" xfId="3" applyNumberFormat="1" applyFont="1" applyFill="1" applyBorder="1" applyAlignment="1">
      <alignment horizontal="center" vertical="center"/>
    </xf>
    <xf numFmtId="170" fontId="61" fillId="0" borderId="10" xfId="3" applyNumberFormat="1" applyFont="1" applyFill="1" applyAlignment="1"/>
    <xf numFmtId="170" fontId="61" fillId="0" borderId="13" xfId="3" applyNumberFormat="1" applyFont="1" applyFill="1" applyBorder="1" applyAlignment="1">
      <alignment horizontal="right" wrapText="1"/>
    </xf>
    <xf numFmtId="181" fontId="19" fillId="0" borderId="10" xfId="1" applyNumberFormat="1" applyFont="1" applyAlignment="1">
      <alignment wrapText="1"/>
    </xf>
    <xf numFmtId="0" fontId="37" fillId="0" borderId="10" xfId="3" applyFont="1" applyAlignment="1"/>
    <xf numFmtId="0" fontId="37" fillId="0" borderId="10" xfId="3" applyFont="1" applyAlignment="1"/>
    <xf numFmtId="0" fontId="9" fillId="20" borderId="14" xfId="0" applyFont="1" applyFill="1" applyBorder="1" applyAlignment="1">
      <alignment wrapText="1"/>
    </xf>
    <xf numFmtId="3" fontId="9" fillId="20" borderId="13" xfId="0" applyNumberFormat="1" applyFont="1" applyFill="1" applyBorder="1"/>
    <xf numFmtId="4" fontId="9" fillId="20" borderId="10" xfId="0" applyNumberFormat="1" applyFont="1" applyFill="1" applyBorder="1"/>
    <xf numFmtId="3" fontId="9" fillId="20" borderId="10" xfId="0" applyNumberFormat="1" applyFont="1" applyFill="1" applyBorder="1"/>
    <xf numFmtId="9" fontId="9" fillId="20" borderId="10" xfId="0" applyNumberFormat="1" applyFont="1" applyFill="1" applyBorder="1"/>
    <xf numFmtId="0" fontId="10" fillId="20" borderId="10" xfId="0" applyFont="1" applyFill="1" applyBorder="1"/>
    <xf numFmtId="0" fontId="11" fillId="21" borderId="10" xfId="0" applyFont="1" applyFill="1" applyBorder="1" applyAlignment="1"/>
    <xf numFmtId="3" fontId="9" fillId="20" borderId="14" xfId="0" applyNumberFormat="1" applyFont="1" applyFill="1" applyBorder="1" applyAlignment="1">
      <alignment wrapText="1"/>
    </xf>
    <xf numFmtId="3" fontId="13" fillId="20" borderId="14" xfId="0" applyNumberFormat="1" applyFont="1" applyFill="1" applyBorder="1" applyAlignment="1">
      <alignment wrapText="1"/>
    </xf>
    <xf numFmtId="4" fontId="10" fillId="20" borderId="10" xfId="0" applyNumberFormat="1" applyFont="1" applyFill="1" applyBorder="1"/>
    <xf numFmtId="3" fontId="10" fillId="20" borderId="10" xfId="0" applyNumberFormat="1" applyFont="1" applyFill="1" applyBorder="1"/>
    <xf numFmtId="3" fontId="11" fillId="21" borderId="10" xfId="0" applyNumberFormat="1" applyFont="1" applyFill="1" applyBorder="1" applyAlignment="1"/>
    <xf numFmtId="4" fontId="13" fillId="20" borderId="10" xfId="0" applyNumberFormat="1" applyFont="1" applyFill="1" applyBorder="1"/>
    <xf numFmtId="3" fontId="13" fillId="20" borderId="10" xfId="0" applyNumberFormat="1" applyFont="1" applyFill="1" applyBorder="1"/>
    <xf numFmtId="9" fontId="13" fillId="20" borderId="10" xfId="0" applyNumberFormat="1" applyFont="1" applyFill="1" applyBorder="1"/>
    <xf numFmtId="0" fontId="10" fillId="0" borderId="33" xfId="0" applyFont="1" applyBorder="1"/>
    <xf numFmtId="0" fontId="10" fillId="0" borderId="34" xfId="0" applyFont="1" applyBorder="1"/>
    <xf numFmtId="0" fontId="10" fillId="0" borderId="35" xfId="0" applyFont="1" applyBorder="1"/>
    <xf numFmtId="0" fontId="10" fillId="0" borderId="36" xfId="0" applyFont="1" applyBorder="1"/>
    <xf numFmtId="0" fontId="10" fillId="0" borderId="37" xfId="0" applyFont="1" applyBorder="1"/>
    <xf numFmtId="0" fontId="14" fillId="0" borderId="36" xfId="0" applyFont="1" applyBorder="1"/>
    <xf numFmtId="0" fontId="14" fillId="0" borderId="37" xfId="0" applyFont="1" applyBorder="1"/>
    <xf numFmtId="0" fontId="11" fillId="0" borderId="36" xfId="0" applyFont="1" applyBorder="1" applyAlignment="1"/>
    <xf numFmtId="0" fontId="11" fillId="0" borderId="37" xfId="0" applyFont="1" applyBorder="1" applyAlignment="1"/>
    <xf numFmtId="0" fontId="9" fillId="0" borderId="33" xfId="0" applyFont="1" applyBorder="1" applyAlignment="1">
      <alignment vertical="top" wrapText="1"/>
    </xf>
    <xf numFmtId="3" fontId="14" fillId="0" borderId="36" xfId="0" applyNumberFormat="1" applyFont="1" applyBorder="1"/>
    <xf numFmtId="0" fontId="9" fillId="22" borderId="14" xfId="0" applyFont="1" applyFill="1" applyBorder="1" applyAlignment="1">
      <alignment wrapText="1"/>
    </xf>
    <xf numFmtId="3" fontId="9" fillId="23" borderId="13" xfId="0" applyNumberFormat="1" applyFont="1" applyFill="1" applyBorder="1"/>
    <xf numFmtId="4" fontId="9" fillId="23" borderId="10" xfId="0" applyNumberFormat="1" applyFont="1" applyFill="1" applyBorder="1"/>
    <xf numFmtId="3" fontId="9" fillId="23" borderId="10" xfId="0" applyNumberFormat="1" applyFont="1" applyFill="1" applyBorder="1"/>
    <xf numFmtId="3" fontId="10" fillId="24" borderId="10" xfId="0" applyNumberFormat="1" applyFont="1" applyFill="1" applyBorder="1"/>
    <xf numFmtId="9" fontId="10" fillId="24" borderId="10" xfId="0" applyNumberFormat="1" applyFont="1" applyFill="1" applyBorder="1"/>
    <xf numFmtId="0" fontId="10" fillId="23" borderId="10" xfId="0" applyFont="1" applyFill="1" applyBorder="1"/>
    <xf numFmtId="0" fontId="11" fillId="25" borderId="10" xfId="0" applyFont="1" applyFill="1" applyBorder="1" applyAlignment="1"/>
    <xf numFmtId="3" fontId="9" fillId="23" borderId="14" xfId="0" applyNumberFormat="1" applyFont="1" applyFill="1" applyBorder="1" applyAlignment="1">
      <alignment wrapText="1"/>
    </xf>
    <xf numFmtId="9" fontId="9" fillId="23" borderId="10" xfId="0" applyNumberFormat="1" applyFont="1" applyFill="1" applyBorder="1"/>
    <xf numFmtId="3" fontId="13" fillId="23" borderId="14" xfId="0" applyNumberFormat="1" applyFont="1" applyFill="1" applyBorder="1" applyAlignment="1">
      <alignment wrapText="1"/>
    </xf>
    <xf numFmtId="4" fontId="10" fillId="23" borderId="10" xfId="0" applyNumberFormat="1" applyFont="1" applyFill="1" applyBorder="1"/>
    <xf numFmtId="3" fontId="10" fillId="23" borderId="10" xfId="0" applyNumberFormat="1" applyFont="1" applyFill="1" applyBorder="1"/>
    <xf numFmtId="9" fontId="10" fillId="23" borderId="10" xfId="0" applyNumberFormat="1" applyFont="1" applyFill="1" applyBorder="1"/>
    <xf numFmtId="4" fontId="13" fillId="23" borderId="10" xfId="0" applyNumberFormat="1" applyFont="1" applyFill="1" applyBorder="1"/>
    <xf numFmtId="3" fontId="13" fillId="23" borderId="10" xfId="0" applyNumberFormat="1" applyFont="1" applyFill="1" applyBorder="1"/>
    <xf numFmtId="9" fontId="13" fillId="23" borderId="10" xfId="0" applyNumberFormat="1" applyFont="1" applyFill="1" applyBorder="1"/>
    <xf numFmtId="3" fontId="12" fillId="23" borderId="13" xfId="0" applyNumberFormat="1" applyFont="1" applyFill="1" applyBorder="1"/>
    <xf numFmtId="4" fontId="12" fillId="23" borderId="10" xfId="0" applyNumberFormat="1" applyFont="1" applyFill="1" applyBorder="1"/>
    <xf numFmtId="3" fontId="12" fillId="23" borderId="10" xfId="0" applyNumberFormat="1" applyFont="1" applyFill="1" applyBorder="1"/>
    <xf numFmtId="9" fontId="12" fillId="23" borderId="10" xfId="0" applyNumberFormat="1" applyFont="1" applyFill="1" applyBorder="1"/>
    <xf numFmtId="0" fontId="9" fillId="23" borderId="10" xfId="0" applyFont="1" applyFill="1" applyBorder="1"/>
    <xf numFmtId="3" fontId="10" fillId="23" borderId="13" xfId="0" applyNumberFormat="1" applyFont="1" applyFill="1" applyBorder="1"/>
    <xf numFmtId="3" fontId="13" fillId="23" borderId="13" xfId="0" applyNumberFormat="1" applyFont="1" applyFill="1" applyBorder="1"/>
    <xf numFmtId="3" fontId="90" fillId="0" borderId="10" xfId="3" applyNumberFormat="1" applyFont="1" applyAlignment="1"/>
    <xf numFmtId="3" fontId="91" fillId="0" borderId="10" xfId="3" applyNumberFormat="1" applyFont="1" applyAlignment="1"/>
    <xf numFmtId="4" fontId="0" fillId="0" borderId="0" xfId="0" applyNumberFormat="1" applyFont="1" applyAlignment="1"/>
    <xf numFmtId="0" fontId="8" fillId="0" borderId="0" xfId="0" applyFont="1" applyAlignment="1">
      <alignment vertical="top"/>
    </xf>
    <xf numFmtId="0" fontId="0" fillId="0" borderId="0" xfId="0" applyFont="1" applyAlignment="1">
      <alignment vertical="top"/>
    </xf>
    <xf numFmtId="0" fontId="37" fillId="0" borderId="10" xfId="3" applyFont="1" applyAlignment="1"/>
    <xf numFmtId="0" fontId="20" fillId="0" borderId="10" xfId="1" applyFont="1" applyAlignment="1"/>
    <xf numFmtId="0" fontId="92" fillId="0" borderId="10" xfId="1" applyFont="1" applyAlignment="1">
      <alignment wrapText="1"/>
    </xf>
    <xf numFmtId="167" fontId="19" fillId="0" borderId="10" xfId="1" applyNumberFormat="1" applyFont="1" applyAlignment="1">
      <alignment wrapText="1"/>
    </xf>
    <xf numFmtId="3" fontId="10" fillId="6" borderId="13" xfId="0" applyNumberFormat="1" applyFont="1" applyFill="1" applyBorder="1" applyAlignment="1"/>
    <xf numFmtId="4" fontId="10" fillId="9" borderId="13" xfId="0" applyNumberFormat="1" applyFont="1" applyFill="1" applyBorder="1" applyAlignment="1"/>
    <xf numFmtId="4" fontId="10" fillId="20" borderId="13" xfId="0" applyNumberFormat="1" applyFont="1" applyFill="1" applyBorder="1" applyAlignment="1"/>
    <xf numFmtId="4" fontId="12" fillId="0" borderId="13" xfId="0" applyNumberFormat="1" applyFont="1" applyBorder="1"/>
    <xf numFmtId="164" fontId="9" fillId="0" borderId="39" xfId="0" applyNumberFormat="1" applyFont="1" applyBorder="1"/>
    <xf numFmtId="164" fontId="9" fillId="0" borderId="40" xfId="0" applyNumberFormat="1" applyFont="1" applyBorder="1"/>
    <xf numFmtId="164" fontId="9" fillId="0" borderId="41" xfId="0" applyNumberFormat="1" applyFont="1" applyBorder="1"/>
    <xf numFmtId="3" fontId="9" fillId="0" borderId="42" xfId="0" applyNumberFormat="1" applyFont="1" applyBorder="1"/>
    <xf numFmtId="3" fontId="9" fillId="0" borderId="43" xfId="0" applyNumberFormat="1" applyFont="1" applyBorder="1"/>
    <xf numFmtId="3" fontId="13" fillId="0" borderId="42" xfId="0" applyNumberFormat="1" applyFont="1" applyBorder="1"/>
    <xf numFmtId="9" fontId="13" fillId="0" borderId="43" xfId="0" applyNumberFormat="1" applyFont="1" applyBorder="1"/>
    <xf numFmtId="3" fontId="13" fillId="0" borderId="43" xfId="0" applyNumberFormat="1" applyFont="1" applyBorder="1"/>
    <xf numFmtId="3" fontId="9" fillId="6" borderId="42" xfId="0" applyNumberFormat="1" applyFont="1" applyFill="1" applyBorder="1"/>
    <xf numFmtId="3" fontId="9" fillId="6" borderId="43" xfId="0" applyNumberFormat="1" applyFont="1" applyFill="1" applyBorder="1"/>
    <xf numFmtId="3" fontId="10" fillId="6" borderId="42" xfId="0" applyNumberFormat="1" applyFont="1" applyFill="1" applyBorder="1" applyAlignment="1"/>
    <xf numFmtId="3" fontId="10" fillId="6" borderId="43" xfId="0" applyNumberFormat="1" applyFont="1" applyFill="1" applyBorder="1" applyAlignment="1"/>
    <xf numFmtId="3" fontId="13" fillId="6" borderId="42" xfId="0" applyNumberFormat="1" applyFont="1" applyFill="1" applyBorder="1"/>
    <xf numFmtId="3" fontId="9" fillId="9" borderId="42" xfId="0" applyNumberFormat="1" applyFont="1" applyFill="1" applyBorder="1"/>
    <xf numFmtId="3" fontId="9" fillId="9" borderId="43" xfId="0" applyNumberFormat="1" applyFont="1" applyFill="1" applyBorder="1"/>
    <xf numFmtId="4" fontId="10" fillId="9" borderId="42" xfId="0" applyNumberFormat="1" applyFont="1" applyFill="1" applyBorder="1" applyAlignment="1"/>
    <xf numFmtId="4" fontId="10" fillId="9" borderId="43" xfId="0" applyNumberFormat="1" applyFont="1" applyFill="1" applyBorder="1" applyAlignment="1"/>
    <xf numFmtId="3" fontId="13" fillId="9" borderId="42" xfId="0" applyNumberFormat="1" applyFont="1" applyFill="1" applyBorder="1"/>
    <xf numFmtId="3" fontId="9" fillId="20" borderId="42" xfId="0" applyNumberFormat="1" applyFont="1" applyFill="1" applyBorder="1"/>
    <xf numFmtId="3" fontId="9" fillId="20" borderId="43" xfId="0" applyNumberFormat="1" applyFont="1" applyFill="1" applyBorder="1"/>
    <xf numFmtId="4" fontId="10" fillId="20" borderId="42" xfId="0" applyNumberFormat="1" applyFont="1" applyFill="1" applyBorder="1" applyAlignment="1"/>
    <xf numFmtId="4" fontId="10" fillId="20" borderId="43" xfId="0" applyNumberFormat="1" applyFont="1" applyFill="1" applyBorder="1" applyAlignment="1"/>
    <xf numFmtId="3" fontId="13" fillId="20" borderId="42" xfId="0" applyNumberFormat="1" applyFont="1" applyFill="1" applyBorder="1"/>
    <xf numFmtId="3" fontId="9" fillId="2" borderId="42" xfId="0" applyNumberFormat="1" applyFont="1" applyFill="1" applyBorder="1"/>
    <xf numFmtId="3" fontId="9" fillId="2" borderId="43" xfId="0" applyNumberFormat="1" applyFont="1" applyFill="1" applyBorder="1"/>
    <xf numFmtId="3" fontId="10" fillId="2" borderId="42" xfId="0" applyNumberFormat="1" applyFont="1" applyFill="1" applyBorder="1" applyAlignment="1"/>
    <xf numFmtId="3" fontId="10" fillId="2" borderId="43" xfId="0" applyNumberFormat="1" applyFont="1" applyFill="1" applyBorder="1" applyAlignment="1"/>
    <xf numFmtId="3" fontId="13" fillId="2" borderId="42" xfId="0" applyNumberFormat="1" applyFont="1" applyFill="1" applyBorder="1"/>
    <xf numFmtId="3" fontId="13" fillId="2" borderId="43" xfId="0" applyNumberFormat="1" applyFont="1" applyFill="1" applyBorder="1"/>
    <xf numFmtId="3" fontId="12" fillId="2" borderId="42" xfId="0" applyNumberFormat="1" applyFont="1" applyFill="1" applyBorder="1"/>
    <xf numFmtId="3" fontId="12" fillId="2" borderId="43" xfId="0" applyNumberFormat="1" applyFont="1" applyFill="1" applyBorder="1"/>
    <xf numFmtId="3" fontId="10" fillId="2" borderId="42" xfId="0" applyNumberFormat="1" applyFont="1" applyFill="1" applyBorder="1"/>
    <xf numFmtId="3" fontId="10" fillId="2" borderId="43" xfId="0" applyNumberFormat="1" applyFont="1" applyFill="1" applyBorder="1"/>
    <xf numFmtId="3" fontId="9" fillId="23" borderId="42" xfId="0" applyNumberFormat="1" applyFont="1" applyFill="1" applyBorder="1"/>
    <xf numFmtId="3" fontId="9" fillId="23" borderId="43" xfId="0" applyNumberFormat="1" applyFont="1" applyFill="1" applyBorder="1"/>
    <xf numFmtId="3" fontId="10" fillId="23" borderId="42" xfId="0" applyNumberFormat="1" applyFont="1" applyFill="1" applyBorder="1"/>
    <xf numFmtId="3" fontId="10" fillId="23" borderId="43" xfId="0" applyNumberFormat="1" applyFont="1" applyFill="1" applyBorder="1"/>
    <xf numFmtId="3" fontId="13" fillId="23" borderId="42" xfId="0" applyNumberFormat="1" applyFont="1" applyFill="1" applyBorder="1"/>
    <xf numFmtId="3" fontId="13" fillId="23" borderId="43" xfId="0" applyNumberFormat="1" applyFont="1" applyFill="1" applyBorder="1"/>
    <xf numFmtId="3" fontId="12" fillId="23" borderId="42" xfId="0" applyNumberFormat="1" applyFont="1" applyFill="1" applyBorder="1"/>
    <xf numFmtId="3" fontId="12" fillId="23" borderId="43" xfId="0" applyNumberFormat="1" applyFont="1" applyFill="1" applyBorder="1"/>
    <xf numFmtId="3" fontId="9" fillId="3" borderId="42" xfId="0" applyNumberFormat="1" applyFont="1" applyFill="1" applyBorder="1"/>
    <xf numFmtId="3" fontId="9" fillId="3" borderId="43" xfId="0" applyNumberFormat="1" applyFont="1" applyFill="1" applyBorder="1"/>
    <xf numFmtId="3" fontId="10" fillId="3" borderId="42" xfId="0" applyNumberFormat="1" applyFont="1" applyFill="1" applyBorder="1"/>
    <xf numFmtId="3" fontId="10" fillId="3" borderId="43" xfId="0" applyNumberFormat="1" applyFont="1" applyFill="1" applyBorder="1"/>
    <xf numFmtId="3" fontId="13" fillId="3" borderId="42" xfId="0" applyNumberFormat="1" applyFont="1" applyFill="1" applyBorder="1"/>
    <xf numFmtId="3" fontId="13" fillId="3" borderId="43" xfId="0" applyNumberFormat="1" applyFont="1" applyFill="1" applyBorder="1"/>
    <xf numFmtId="3" fontId="12" fillId="3" borderId="42" xfId="0" applyNumberFormat="1" applyFont="1" applyFill="1" applyBorder="1"/>
    <xf numFmtId="3" fontId="12" fillId="3" borderId="43" xfId="0" applyNumberFormat="1" applyFont="1" applyFill="1" applyBorder="1"/>
    <xf numFmtId="3" fontId="9" fillId="4" borderId="42" xfId="0" applyNumberFormat="1" applyFont="1" applyFill="1" applyBorder="1"/>
    <xf numFmtId="3" fontId="9" fillId="4" borderId="43" xfId="0" applyNumberFormat="1" applyFont="1" applyFill="1" applyBorder="1"/>
    <xf numFmtId="3" fontId="10" fillId="4" borderId="42" xfId="0" applyNumberFormat="1" applyFont="1" applyFill="1" applyBorder="1"/>
    <xf numFmtId="3" fontId="10" fillId="4" borderId="43" xfId="0" applyNumberFormat="1" applyFont="1" applyFill="1" applyBorder="1"/>
    <xf numFmtId="3" fontId="13" fillId="4" borderId="42" xfId="0" applyNumberFormat="1" applyFont="1" applyFill="1" applyBorder="1"/>
    <xf numFmtId="3" fontId="13" fillId="4" borderId="43" xfId="0" applyNumberFormat="1" applyFont="1" applyFill="1" applyBorder="1"/>
    <xf numFmtId="3" fontId="12" fillId="4" borderId="42" xfId="0" applyNumberFormat="1" applyFont="1" applyFill="1" applyBorder="1"/>
    <xf numFmtId="3" fontId="12" fillId="4" borderId="43" xfId="0" applyNumberFormat="1" applyFont="1" applyFill="1" applyBorder="1"/>
    <xf numFmtId="3" fontId="10" fillId="0" borderId="42" xfId="0" applyNumberFormat="1" applyFont="1" applyBorder="1"/>
    <xf numFmtId="3" fontId="10" fillId="0" borderId="43" xfId="0" applyNumberFormat="1" applyFont="1" applyBorder="1"/>
    <xf numFmtId="3" fontId="82" fillId="0" borderId="42" xfId="0" applyNumberFormat="1" applyFont="1" applyBorder="1"/>
    <xf numFmtId="3" fontId="82" fillId="0" borderId="43" xfId="0" applyNumberFormat="1" applyFont="1" applyBorder="1"/>
    <xf numFmtId="4" fontId="82" fillId="0" borderId="42" xfId="0" applyNumberFormat="1" applyFont="1" applyBorder="1"/>
    <xf numFmtId="4" fontId="82" fillId="0" borderId="43" xfId="0" applyNumberFormat="1" applyFont="1" applyBorder="1"/>
    <xf numFmtId="4" fontId="12" fillId="0" borderId="42" xfId="0" applyNumberFormat="1" applyFont="1" applyBorder="1"/>
    <xf numFmtId="4" fontId="44" fillId="0" borderId="42" xfId="0" applyNumberFormat="1" applyFont="1" applyBorder="1"/>
    <xf numFmtId="4" fontId="13" fillId="0" borderId="42" xfId="0" applyNumberFormat="1" applyFont="1" applyBorder="1"/>
    <xf numFmtId="4" fontId="13" fillId="0" borderId="43" xfId="0" applyNumberFormat="1" applyFont="1" applyBorder="1"/>
    <xf numFmtId="3" fontId="10" fillId="0" borderId="44" xfId="0" applyNumberFormat="1" applyFont="1" applyBorder="1"/>
    <xf numFmtId="3" fontId="10" fillId="0" borderId="45" xfId="0" applyNumberFormat="1" applyFont="1" applyBorder="1"/>
    <xf numFmtId="3" fontId="10" fillId="0" borderId="46" xfId="0" applyNumberFormat="1" applyFont="1" applyBorder="1"/>
    <xf numFmtId="3" fontId="10" fillId="0" borderId="47" xfId="0" applyNumberFormat="1" applyFont="1" applyBorder="1" applyAlignment="1">
      <alignment wrapText="1"/>
    </xf>
    <xf numFmtId="9" fontId="14" fillId="0" borderId="10" xfId="0" applyNumberFormat="1" applyFont="1" applyBorder="1"/>
    <xf numFmtId="9" fontId="13" fillId="0" borderId="42" xfId="0" applyNumberFormat="1" applyFont="1" applyBorder="1"/>
    <xf numFmtId="3" fontId="10" fillId="0" borderId="48" xfId="0" applyNumberFormat="1" applyFont="1" applyBorder="1"/>
    <xf numFmtId="3" fontId="10" fillId="0" borderId="38" xfId="0" applyNumberFormat="1" applyFont="1" applyBorder="1"/>
    <xf numFmtId="3" fontId="10" fillId="0" borderId="49" xfId="0" applyNumberFormat="1" applyFont="1" applyBorder="1"/>
    <xf numFmtId="164" fontId="9" fillId="0" borderId="50" xfId="0" applyNumberFormat="1" applyFont="1" applyBorder="1"/>
    <xf numFmtId="3" fontId="9" fillId="0" borderId="51" xfId="0" applyNumberFormat="1" applyFont="1" applyBorder="1"/>
    <xf numFmtId="9" fontId="13" fillId="0" borderId="51" xfId="0" applyNumberFormat="1" applyFont="1" applyBorder="1"/>
    <xf numFmtId="3" fontId="13" fillId="0" borderId="51" xfId="0" applyNumberFormat="1" applyFont="1" applyBorder="1"/>
    <xf numFmtId="3" fontId="9" fillId="6" borderId="51" xfId="0" applyNumberFormat="1" applyFont="1" applyFill="1" applyBorder="1"/>
    <xf numFmtId="3" fontId="9" fillId="9" borderId="51" xfId="0" applyNumberFormat="1" applyFont="1" applyFill="1" applyBorder="1"/>
    <xf numFmtId="4" fontId="10" fillId="9" borderId="51" xfId="0" applyNumberFormat="1" applyFont="1" applyFill="1" applyBorder="1" applyAlignment="1"/>
    <xf numFmtId="3" fontId="9" fillId="20" borderId="51" xfId="0" applyNumberFormat="1" applyFont="1" applyFill="1" applyBorder="1"/>
    <xf numFmtId="4" fontId="10" fillId="20" borderId="51" xfId="0" applyNumberFormat="1" applyFont="1" applyFill="1" applyBorder="1" applyAlignment="1"/>
    <xf numFmtId="3" fontId="9" fillId="2" borderId="51" xfId="0" applyNumberFormat="1" applyFont="1" applyFill="1" applyBorder="1"/>
    <xf numFmtId="3" fontId="10" fillId="2" borderId="51" xfId="0" applyNumberFormat="1" applyFont="1" applyFill="1" applyBorder="1" applyAlignment="1"/>
    <xf numFmtId="3" fontId="13" fillId="2" borderId="51" xfId="0" applyNumberFormat="1" applyFont="1" applyFill="1" applyBorder="1"/>
    <xf numFmtId="3" fontId="12" fillId="2" borderId="51" xfId="0" applyNumberFormat="1" applyFont="1" applyFill="1" applyBorder="1"/>
    <xf numFmtId="3" fontId="10" fillId="2" borderId="51" xfId="0" applyNumberFormat="1" applyFont="1" applyFill="1" applyBorder="1"/>
    <xf numFmtId="3" fontId="9" fillId="23" borderId="51" xfId="0" applyNumberFormat="1" applyFont="1" applyFill="1" applyBorder="1"/>
    <xf numFmtId="3" fontId="10" fillId="23" borderId="51" xfId="0" applyNumberFormat="1" applyFont="1" applyFill="1" applyBorder="1"/>
    <xf numFmtId="3" fontId="13" fillId="23" borderId="51" xfId="0" applyNumberFormat="1" applyFont="1" applyFill="1" applyBorder="1"/>
    <xf numFmtId="3" fontId="12" fillId="23" borderId="51" xfId="0" applyNumberFormat="1" applyFont="1" applyFill="1" applyBorder="1"/>
    <xf numFmtId="3" fontId="9" fillId="3" borderId="51" xfId="0" applyNumberFormat="1" applyFont="1" applyFill="1" applyBorder="1"/>
    <xf numFmtId="3" fontId="13" fillId="3" borderId="51" xfId="0" applyNumberFormat="1" applyFont="1" applyFill="1" applyBorder="1"/>
    <xf numFmtId="3" fontId="12" fillId="3" borderId="51" xfId="0" applyNumberFormat="1" applyFont="1" applyFill="1" applyBorder="1"/>
    <xf numFmtId="3" fontId="9" fillId="4" borderId="51" xfId="0" applyNumberFormat="1" applyFont="1" applyFill="1" applyBorder="1"/>
    <xf numFmtId="3" fontId="13" fillId="4" borderId="51" xfId="0" applyNumberFormat="1" applyFont="1" applyFill="1" applyBorder="1"/>
    <xf numFmtId="3" fontId="12" fillId="4" borderId="51" xfId="0" applyNumberFormat="1" applyFont="1" applyFill="1" applyBorder="1"/>
    <xf numFmtId="3" fontId="10" fillId="0" borderId="51" xfId="0" applyNumberFormat="1" applyFont="1" applyBorder="1"/>
    <xf numFmtId="3" fontId="82" fillId="0" borderId="51" xfId="0" applyNumberFormat="1" applyFont="1" applyBorder="1"/>
    <xf numFmtId="4" fontId="82" fillId="0" borderId="51" xfId="0" applyNumberFormat="1" applyFont="1" applyBorder="1"/>
    <xf numFmtId="4" fontId="13" fillId="0" borderId="51" xfId="0" applyNumberFormat="1" applyFont="1" applyBorder="1"/>
    <xf numFmtId="3" fontId="10" fillId="0" borderId="52" xfId="0" applyNumberFormat="1" applyFont="1" applyBorder="1"/>
    <xf numFmtId="0" fontId="9" fillId="26" borderId="14" xfId="0" applyFont="1" applyFill="1" applyBorder="1" applyAlignment="1">
      <alignment wrapText="1"/>
    </xf>
    <xf numFmtId="3" fontId="9" fillId="26" borderId="42" xfId="0" applyNumberFormat="1" applyFont="1" applyFill="1" applyBorder="1"/>
    <xf numFmtId="3" fontId="9" fillId="26" borderId="13" xfId="0" applyNumberFormat="1" applyFont="1" applyFill="1" applyBorder="1"/>
    <xf numFmtId="3" fontId="9" fillId="26" borderId="43" xfId="0" applyNumberFormat="1" applyFont="1" applyFill="1" applyBorder="1"/>
    <xf numFmtId="3" fontId="9" fillId="26" borderId="51" xfId="0" applyNumberFormat="1" applyFont="1" applyFill="1" applyBorder="1"/>
    <xf numFmtId="4" fontId="9" fillId="26" borderId="10" xfId="0" applyNumberFormat="1" applyFont="1" applyFill="1" applyBorder="1"/>
    <xf numFmtId="3" fontId="9" fillId="26" borderId="10" xfId="0" applyNumberFormat="1" applyFont="1" applyFill="1" applyBorder="1"/>
    <xf numFmtId="9" fontId="9" fillId="26" borderId="10" xfId="0" applyNumberFormat="1" applyFont="1" applyFill="1" applyBorder="1"/>
    <xf numFmtId="0" fontId="10" fillId="26" borderId="10" xfId="0" applyFont="1" applyFill="1" applyBorder="1"/>
    <xf numFmtId="0" fontId="11" fillId="27" borderId="10" xfId="0" applyFont="1" applyFill="1" applyBorder="1" applyAlignment="1"/>
    <xf numFmtId="3" fontId="9" fillId="26" borderId="14" xfId="0" applyNumberFormat="1" applyFont="1" applyFill="1" applyBorder="1" applyAlignment="1">
      <alignment wrapText="1"/>
    </xf>
    <xf numFmtId="3" fontId="13" fillId="26" borderId="14" xfId="0" applyNumberFormat="1" applyFont="1" applyFill="1" applyBorder="1" applyAlignment="1">
      <alignment wrapText="1"/>
    </xf>
    <xf numFmtId="4" fontId="10" fillId="26" borderId="42" xfId="0" applyNumberFormat="1" applyFont="1" applyFill="1" applyBorder="1" applyAlignment="1"/>
    <xf numFmtId="4" fontId="10" fillId="26" borderId="13" xfId="0" applyNumberFormat="1" applyFont="1" applyFill="1" applyBorder="1" applyAlignment="1"/>
    <xf numFmtId="4" fontId="10" fillId="26" borderId="43" xfId="0" applyNumberFormat="1" applyFont="1" applyFill="1" applyBorder="1" applyAlignment="1"/>
    <xf numFmtId="4" fontId="10" fillId="26" borderId="51" xfId="0" applyNumberFormat="1" applyFont="1" applyFill="1" applyBorder="1" applyAlignment="1"/>
    <xf numFmtId="4" fontId="10" fillId="26" borderId="10" xfId="0" applyNumberFormat="1" applyFont="1" applyFill="1" applyBorder="1"/>
    <xf numFmtId="3" fontId="10" fillId="26" borderId="10" xfId="0" applyNumberFormat="1" applyFont="1" applyFill="1" applyBorder="1"/>
    <xf numFmtId="3" fontId="11" fillId="27" borderId="10" xfId="0" applyNumberFormat="1" applyFont="1" applyFill="1" applyBorder="1" applyAlignment="1"/>
    <xf numFmtId="3" fontId="13" fillId="26" borderId="42" xfId="0" applyNumberFormat="1" applyFont="1" applyFill="1" applyBorder="1"/>
    <xf numFmtId="4" fontId="13" fillId="26" borderId="10" xfId="0" applyNumberFormat="1" applyFont="1" applyFill="1" applyBorder="1"/>
    <xf numFmtId="3" fontId="13" fillId="26" borderId="10" xfId="0" applyNumberFormat="1" applyFont="1" applyFill="1" applyBorder="1"/>
    <xf numFmtId="9" fontId="13" fillId="26" borderId="10" xfId="0" applyNumberFormat="1" applyFont="1" applyFill="1" applyBorder="1"/>
    <xf numFmtId="0" fontId="9" fillId="28" borderId="14" xfId="0" applyFont="1" applyFill="1" applyBorder="1" applyAlignment="1">
      <alignment wrapText="1"/>
    </xf>
    <xf numFmtId="3" fontId="9" fillId="28" borderId="42" xfId="0" applyNumberFormat="1" applyFont="1" applyFill="1" applyBorder="1"/>
    <xf numFmtId="3" fontId="9" fillId="28" borderId="13" xfId="0" applyNumberFormat="1" applyFont="1" applyFill="1" applyBorder="1"/>
    <xf numFmtId="3" fontId="9" fillId="28" borderId="43" xfId="0" applyNumberFormat="1" applyFont="1" applyFill="1" applyBorder="1"/>
    <xf numFmtId="3" fontId="9" fillId="28" borderId="51" xfId="0" applyNumberFormat="1" applyFont="1" applyFill="1" applyBorder="1"/>
    <xf numFmtId="4" fontId="9" fillId="28" borderId="10" xfId="0" applyNumberFormat="1" applyFont="1" applyFill="1" applyBorder="1"/>
    <xf numFmtId="3" fontId="9" fillId="28" borderId="10" xfId="0" applyNumberFormat="1" applyFont="1" applyFill="1" applyBorder="1"/>
    <xf numFmtId="9" fontId="9" fillId="28" borderId="10" xfId="0" applyNumberFormat="1" applyFont="1" applyFill="1" applyBorder="1"/>
    <xf numFmtId="0" fontId="10" fillId="28" borderId="10" xfId="0" applyFont="1" applyFill="1" applyBorder="1"/>
    <xf numFmtId="0" fontId="11" fillId="29" borderId="10" xfId="0" applyFont="1" applyFill="1" applyBorder="1" applyAlignment="1"/>
    <xf numFmtId="3" fontId="9" fillId="28" borderId="14" xfId="0" applyNumberFormat="1" applyFont="1" applyFill="1" applyBorder="1" applyAlignment="1">
      <alignment wrapText="1"/>
    </xf>
    <xf numFmtId="3" fontId="13" fillId="28" borderId="14" xfId="0" applyNumberFormat="1" applyFont="1" applyFill="1" applyBorder="1" applyAlignment="1">
      <alignment wrapText="1"/>
    </xf>
    <xf numFmtId="3" fontId="10" fillId="28" borderId="42" xfId="0" applyNumberFormat="1" applyFont="1" applyFill="1" applyBorder="1" applyAlignment="1"/>
    <xf numFmtId="3" fontId="10" fillId="28" borderId="13" xfId="0" applyNumberFormat="1" applyFont="1" applyFill="1" applyBorder="1" applyAlignment="1"/>
    <xf numFmtId="3" fontId="10" fillId="28" borderId="43" xfId="0" applyNumberFormat="1" applyFont="1" applyFill="1" applyBorder="1" applyAlignment="1"/>
    <xf numFmtId="4" fontId="10" fillId="28" borderId="10" xfId="0" applyNumberFormat="1" applyFont="1" applyFill="1" applyBorder="1"/>
    <xf numFmtId="3" fontId="10" fillId="28" borderId="10" xfId="0" applyNumberFormat="1" applyFont="1" applyFill="1" applyBorder="1"/>
    <xf numFmtId="3" fontId="11" fillId="29" borderId="10" xfId="0" applyNumberFormat="1" applyFont="1" applyFill="1" applyBorder="1" applyAlignment="1"/>
    <xf numFmtId="3" fontId="13" fillId="28" borderId="42" xfId="0" applyNumberFormat="1" applyFont="1" applyFill="1" applyBorder="1"/>
    <xf numFmtId="4" fontId="13" fillId="28" borderId="10" xfId="0" applyNumberFormat="1" applyFont="1" applyFill="1" applyBorder="1"/>
    <xf numFmtId="3" fontId="13" fillId="28" borderId="10" xfId="0" applyNumberFormat="1" applyFont="1" applyFill="1" applyBorder="1"/>
    <xf numFmtId="9" fontId="13" fillId="28" borderId="10" xfId="0" applyNumberFormat="1" applyFont="1" applyFill="1" applyBorder="1"/>
    <xf numFmtId="170" fontId="93" fillId="0" borderId="10" xfId="3" applyNumberFormat="1" applyFont="1" applyAlignment="1">
      <alignment horizontal="left" vertical="center" wrapText="1"/>
    </xf>
    <xf numFmtId="180" fontId="94" fillId="0" borderId="1" xfId="3" applyNumberFormat="1" applyFont="1" applyBorder="1" applyAlignment="1">
      <alignment horizontal="center" vertical="center" wrapText="1"/>
    </xf>
    <xf numFmtId="180" fontId="94" fillId="0" borderId="1" xfId="3" applyNumberFormat="1" applyFont="1" applyFill="1" applyBorder="1" applyAlignment="1">
      <alignment horizontal="center" vertical="center" wrapText="1"/>
    </xf>
    <xf numFmtId="170" fontId="95" fillId="16" borderId="1" xfId="0" applyNumberFormat="1" applyFont="1" applyFill="1" applyBorder="1" applyAlignment="1">
      <alignment vertical="center" wrapText="1"/>
    </xf>
    <xf numFmtId="3" fontId="95" fillId="16" borderId="1" xfId="0" applyNumberFormat="1" applyFont="1" applyFill="1" applyBorder="1" applyAlignment="1">
      <alignment horizontal="center" vertical="center" wrapText="1"/>
    </xf>
    <xf numFmtId="3" fontId="94" fillId="0" borderId="10" xfId="3" applyNumberFormat="1" applyFont="1" applyAlignment="1"/>
    <xf numFmtId="0" fontId="96" fillId="0" borderId="10" xfId="3" applyFont="1" applyAlignment="1"/>
    <xf numFmtId="167" fontId="35" fillId="11" borderId="13" xfId="1" applyNumberFormat="1" applyFont="1" applyFill="1" applyBorder="1" applyAlignment="1">
      <alignment horizontal="right" wrapText="1"/>
    </xf>
    <xf numFmtId="167" fontId="36" fillId="11" borderId="13" xfId="1" applyNumberFormat="1" applyFont="1" applyFill="1" applyBorder="1" applyAlignment="1">
      <alignment wrapText="1"/>
    </xf>
    <xf numFmtId="167" fontId="28" fillId="0" borderId="10" xfId="1" applyNumberFormat="1" applyFont="1" applyAlignment="1">
      <alignment wrapText="1"/>
    </xf>
    <xf numFmtId="167" fontId="2" fillId="0" borderId="10" xfId="1" applyNumberFormat="1" applyFont="1" applyAlignment="1">
      <alignment wrapText="1"/>
    </xf>
    <xf numFmtId="167" fontId="27" fillId="0" borderId="10" xfId="1" applyNumberFormat="1" applyFont="1" applyAlignment="1">
      <alignment wrapText="1"/>
    </xf>
    <xf numFmtId="0" fontId="37" fillId="0" borderId="10" xfId="3" applyFont="1" applyAlignment="1"/>
    <xf numFmtId="0" fontId="37" fillId="0" borderId="10" xfId="3" applyFont="1" applyAlignment="1"/>
    <xf numFmtId="0" fontId="37" fillId="0" borderId="10" xfId="3" applyFont="1" applyAlignment="1"/>
    <xf numFmtId="171" fontId="39" fillId="0" borderId="10" xfId="3" applyNumberFormat="1" applyFont="1" applyAlignment="1"/>
    <xf numFmtId="170" fontId="94" fillId="0" borderId="12" xfId="3" applyNumberFormat="1" applyFont="1" applyBorder="1" applyAlignment="1">
      <alignment horizontal="center" wrapText="1"/>
    </xf>
    <xf numFmtId="170" fontId="94" fillId="0" borderId="53" xfId="3" applyNumberFormat="1" applyFont="1" applyBorder="1" applyAlignment="1">
      <alignment vertical="center" wrapText="1"/>
    </xf>
    <xf numFmtId="170" fontId="94" fillId="0" borderId="54" xfId="3" applyNumberFormat="1" applyFont="1" applyFill="1" applyBorder="1" applyAlignment="1">
      <alignment horizontal="center" vertical="center" wrapText="1"/>
    </xf>
    <xf numFmtId="170" fontId="94" fillId="0" borderId="55" xfId="3" applyNumberFormat="1" applyFont="1" applyFill="1" applyBorder="1" applyAlignment="1">
      <alignment horizontal="center" vertical="center" wrapText="1"/>
    </xf>
    <xf numFmtId="170" fontId="94" fillId="0" borderId="56" xfId="3" applyNumberFormat="1" applyFont="1" applyBorder="1" applyAlignment="1">
      <alignment vertical="center" wrapText="1"/>
    </xf>
    <xf numFmtId="180" fontId="94" fillId="0" borderId="57" xfId="3" applyNumberFormat="1" applyFont="1" applyBorder="1" applyAlignment="1">
      <alignment horizontal="center" vertical="center" wrapText="1"/>
    </xf>
    <xf numFmtId="170" fontId="94" fillId="0" borderId="58" xfId="3" applyNumberFormat="1" applyFont="1" applyBorder="1" applyAlignment="1">
      <alignment vertical="center" wrapText="1"/>
    </xf>
    <xf numFmtId="180" fontId="94" fillId="0" borderId="59" xfId="3" applyNumberFormat="1" applyFont="1" applyBorder="1" applyAlignment="1">
      <alignment horizontal="center" vertical="center" wrapText="1"/>
    </xf>
    <xf numFmtId="180" fontId="94" fillId="0" borderId="60" xfId="3" applyNumberFormat="1" applyFont="1" applyBorder="1" applyAlignment="1">
      <alignment horizontal="center" vertical="center" wrapText="1"/>
    </xf>
    <xf numFmtId="170" fontId="94" fillId="0" borderId="53" xfId="3" applyNumberFormat="1" applyFont="1" applyFill="1" applyBorder="1" applyAlignment="1">
      <alignment horizontal="center" vertical="center" wrapText="1"/>
    </xf>
    <xf numFmtId="180" fontId="94" fillId="0" borderId="58" xfId="3" applyNumberFormat="1" applyFont="1" applyBorder="1" applyAlignment="1">
      <alignment horizontal="center" vertical="center" wrapText="1"/>
    </xf>
    <xf numFmtId="180" fontId="94" fillId="0" borderId="61" xfId="3" applyNumberFormat="1" applyFont="1" applyBorder="1" applyAlignment="1">
      <alignment horizontal="center" vertical="center" wrapText="1"/>
    </xf>
    <xf numFmtId="182" fontId="94" fillId="0" borderId="54" xfId="3" applyNumberFormat="1" applyFont="1" applyFill="1" applyBorder="1" applyAlignment="1">
      <alignment horizontal="center" vertical="center" wrapText="1"/>
    </xf>
    <xf numFmtId="182" fontId="94" fillId="0" borderId="55" xfId="3" applyNumberFormat="1" applyFont="1" applyFill="1" applyBorder="1" applyAlignment="1">
      <alignment horizontal="center" vertical="center" wrapText="1"/>
    </xf>
    <xf numFmtId="183" fontId="94" fillId="0" borderId="54" xfId="3" applyNumberFormat="1" applyFont="1" applyFill="1" applyBorder="1" applyAlignment="1">
      <alignment horizontal="center" vertical="center" wrapText="1"/>
    </xf>
    <xf numFmtId="183" fontId="94" fillId="0" borderId="55" xfId="3" applyNumberFormat="1" applyFont="1" applyFill="1" applyBorder="1" applyAlignment="1">
      <alignment horizontal="center" vertical="center" wrapText="1"/>
    </xf>
    <xf numFmtId="170" fontId="94" fillId="0" borderId="62" xfId="3" applyNumberFormat="1" applyFont="1" applyFill="1" applyBorder="1" applyAlignment="1">
      <alignment horizontal="center" vertical="center" wrapText="1"/>
    </xf>
    <xf numFmtId="180" fontId="94" fillId="0" borderId="57" xfId="3" applyNumberFormat="1" applyFont="1" applyFill="1" applyBorder="1" applyAlignment="1">
      <alignment horizontal="center" vertical="center" wrapText="1"/>
    </xf>
    <xf numFmtId="170" fontId="94" fillId="0" borderId="56" xfId="3" applyNumberFormat="1" applyFont="1" applyFill="1" applyBorder="1" applyAlignment="1">
      <alignment vertical="center" wrapText="1"/>
    </xf>
    <xf numFmtId="4" fontId="47" fillId="0" borderId="5" xfId="3" applyNumberFormat="1" applyFont="1" applyBorder="1" applyAlignment="1">
      <alignment horizontal="center"/>
    </xf>
    <xf numFmtId="4" fontId="47" fillId="0" borderId="1" xfId="3" applyNumberFormat="1" applyFont="1" applyBorder="1" applyAlignment="1">
      <alignment horizontal="center" vertical="center"/>
    </xf>
    <xf numFmtId="4" fontId="47" fillId="12" borderId="1" xfId="3" applyNumberFormat="1" applyFont="1" applyFill="1" applyBorder="1" applyAlignment="1">
      <alignment horizontal="center" vertical="center"/>
    </xf>
    <xf numFmtId="4" fontId="90" fillId="0" borderId="10" xfId="3" applyNumberFormat="1" applyFont="1" applyAlignment="1"/>
    <xf numFmtId="184" fontId="90" fillId="0" borderId="10" xfId="3" applyNumberFormat="1" applyFont="1" applyAlignment="1"/>
    <xf numFmtId="184" fontId="94" fillId="0" borderId="10" xfId="3" applyNumberFormat="1" applyFont="1" applyAlignment="1"/>
    <xf numFmtId="184" fontId="91" fillId="0" borderId="10" xfId="3" applyNumberFormat="1" applyFont="1" applyAlignment="1"/>
    <xf numFmtId="4" fontId="1" fillId="0" borderId="1" xfId="0" applyNumberFormat="1" applyFont="1" applyBorder="1"/>
    <xf numFmtId="9" fontId="1" fillId="0" borderId="1" xfId="0" applyNumberFormat="1" applyFont="1" applyBorder="1"/>
    <xf numFmtId="170" fontId="93" fillId="16" borderId="10" xfId="3" applyNumberFormat="1" applyFont="1" applyFill="1" applyBorder="1" applyAlignment="1">
      <alignment horizontal="left" vertical="center" wrapText="1"/>
    </xf>
    <xf numFmtId="0" fontId="94" fillId="0" borderId="10" xfId="3" applyFont="1" applyBorder="1"/>
    <xf numFmtId="170" fontId="95" fillId="0" borderId="19" xfId="3" applyNumberFormat="1" applyFont="1" applyBorder="1" applyAlignment="1">
      <alignment horizontal="center" vertical="center" wrapText="1"/>
    </xf>
    <xf numFmtId="0" fontId="94" fillId="0" borderId="19" xfId="3" applyFont="1" applyBorder="1"/>
    <xf numFmtId="170" fontId="95" fillId="0" borderId="3" xfId="3" applyNumberFormat="1" applyFont="1" applyBorder="1" applyAlignment="1">
      <alignment horizontal="center" vertical="center" wrapText="1"/>
    </xf>
    <xf numFmtId="170" fontId="95" fillId="0" borderId="4" xfId="3" applyNumberFormat="1" applyFont="1" applyBorder="1" applyAlignment="1">
      <alignment horizontal="center" vertical="center" wrapText="1"/>
    </xf>
    <xf numFmtId="170" fontId="57" fillId="0" borderId="10" xfId="3" applyNumberFormat="1" applyFont="1" applyAlignment="1">
      <alignment horizontal="center" wrapText="1"/>
    </xf>
    <xf numFmtId="0" fontId="37" fillId="0" borderId="10" xfId="3" applyFont="1" applyAlignment="1"/>
    <xf numFmtId="170" fontId="58" fillId="0" borderId="12" xfId="3" applyNumberFormat="1" applyFont="1" applyBorder="1" applyAlignment="1">
      <alignment horizontal="center" vertical="center"/>
    </xf>
    <xf numFmtId="0" fontId="38" fillId="0" borderId="5" xfId="3" applyFont="1" applyBorder="1"/>
    <xf numFmtId="170" fontId="57" fillId="0" borderId="3" xfId="3" applyNumberFormat="1" applyFont="1" applyBorder="1" applyAlignment="1">
      <alignment horizontal="center" wrapText="1"/>
    </xf>
    <xf numFmtId="0" fontId="38" fillId="0" borderId="4" xfId="3" applyFont="1" applyBorder="1"/>
    <xf numFmtId="170" fontId="58" fillId="0" borderId="3" xfId="3" applyNumberFormat="1" applyFont="1" applyBorder="1" applyAlignment="1">
      <alignment horizontal="center" wrapText="1"/>
    </xf>
    <xf numFmtId="0" fontId="57" fillId="0" borderId="10" xfId="3" applyFont="1" applyAlignment="1">
      <alignment horizontal="center"/>
    </xf>
    <xf numFmtId="170" fontId="58" fillId="13" borderId="8" xfId="3" applyNumberFormat="1" applyFont="1" applyFill="1" applyBorder="1" applyAlignment="1">
      <alignment horizontal="center" vertical="center" wrapText="1"/>
    </xf>
    <xf numFmtId="170" fontId="58" fillId="13" borderId="10" xfId="3" applyNumberFormat="1" applyFont="1" applyFill="1" applyBorder="1" applyAlignment="1">
      <alignment horizontal="center" vertical="center" wrapText="1"/>
    </xf>
    <xf numFmtId="170" fontId="58" fillId="0" borderId="8" xfId="3" applyNumberFormat="1" applyFont="1" applyBorder="1" applyAlignment="1">
      <alignment horizontal="center" vertical="center" wrapText="1"/>
    </xf>
    <xf numFmtId="170" fontId="58" fillId="0" borderId="10" xfId="3" applyNumberFormat="1" applyFont="1" applyBorder="1" applyAlignment="1">
      <alignment horizontal="center" vertical="center" wrapText="1"/>
    </xf>
    <xf numFmtId="170" fontId="58" fillId="0" borderId="13" xfId="3" applyNumberFormat="1" applyFont="1" applyBorder="1" applyAlignment="1">
      <alignment horizontal="center" vertical="center" wrapText="1"/>
    </xf>
    <xf numFmtId="170" fontId="58" fillId="0" borderId="13" xfId="3" applyNumberFormat="1" applyFont="1" applyBorder="1" applyAlignment="1">
      <alignment horizontal="center"/>
    </xf>
    <xf numFmtId="170" fontId="58" fillId="0" borderId="13" xfId="3" applyNumberFormat="1" applyFont="1" applyBorder="1" applyAlignment="1">
      <alignment horizontal="center" vertical="center"/>
    </xf>
    <xf numFmtId="0" fontId="38" fillId="0" borderId="13" xfId="3" applyFont="1" applyBorder="1"/>
    <xf numFmtId="170" fontId="58" fillId="0" borderId="8" xfId="3" applyNumberFormat="1" applyFont="1" applyBorder="1" applyAlignment="1">
      <alignment horizontal="center" wrapText="1"/>
    </xf>
    <xf numFmtId="0" fontId="38" fillId="0" borderId="10" xfId="3" applyFont="1" applyBorder="1"/>
    <xf numFmtId="170" fontId="40" fillId="0" borderId="7" xfId="3" applyNumberFormat="1" applyFont="1" applyBorder="1" applyAlignment="1">
      <alignment horizontal="center" vertical="center" wrapText="1"/>
    </xf>
    <xf numFmtId="0" fontId="39" fillId="0" borderId="7" xfId="3" applyFont="1" applyBorder="1"/>
    <xf numFmtId="170" fontId="40" fillId="0" borderId="6" xfId="3" applyNumberFormat="1" applyFont="1" applyBorder="1" applyAlignment="1">
      <alignment horizontal="center" vertical="center" wrapText="1"/>
    </xf>
    <xf numFmtId="0" fontId="21" fillId="0" borderId="10" xfId="1" applyFont="1" applyAlignment="1">
      <alignment horizontal="center" wrapText="1"/>
    </xf>
    <xf numFmtId="0" fontId="20" fillId="0" borderId="10" xfId="1" applyFont="1" applyAlignment="1"/>
    <xf numFmtId="0" fontId="34" fillId="0" borderId="13" xfId="1" applyFont="1" applyBorder="1" applyAlignment="1">
      <alignment horizontal="center" vertical="top" wrapText="1"/>
    </xf>
    <xf numFmtId="170" fontId="40" fillId="0" borderId="3" xfId="3" applyNumberFormat="1" applyFont="1" applyFill="1" applyBorder="1" applyAlignment="1">
      <alignment horizontal="center" vertical="center" wrapText="1"/>
    </xf>
    <xf numFmtId="0" fontId="38" fillId="0" borderId="4" xfId="3" applyFont="1" applyFill="1" applyBorder="1"/>
    <xf numFmtId="170" fontId="48" fillId="0" borderId="3" xfId="3" applyNumberFormat="1" applyFont="1" applyBorder="1" applyAlignment="1">
      <alignment horizontal="center" vertical="center" wrapText="1"/>
    </xf>
    <xf numFmtId="0" fontId="47" fillId="0" borderId="4" xfId="3" applyFont="1" applyBorder="1"/>
    <xf numFmtId="170" fontId="48" fillId="0" borderId="15" xfId="3" applyNumberFormat="1" applyFont="1" applyBorder="1" applyAlignment="1">
      <alignment horizontal="center" vertical="center" wrapText="1"/>
    </xf>
    <xf numFmtId="0" fontId="47" fillId="0" borderId="18" xfId="3" applyFont="1" applyBorder="1"/>
    <xf numFmtId="170" fontId="50" fillId="0" borderId="10" xfId="3" applyNumberFormat="1" applyFont="1" applyFill="1" applyBorder="1" applyAlignment="1">
      <alignment horizontal="left" vertical="center" wrapText="1"/>
    </xf>
    <xf numFmtId="0" fontId="38" fillId="0" borderId="10" xfId="3" applyFont="1" applyFill="1" applyBorder="1"/>
    <xf numFmtId="0" fontId="20" fillId="0" borderId="10" xfId="1" applyFont="1" applyAlignment="1">
      <alignment wrapText="1"/>
    </xf>
    <xf numFmtId="170" fontId="47" fillId="0" borderId="28" xfId="3" applyNumberFormat="1" applyFont="1" applyBorder="1" applyAlignment="1">
      <alignment vertical="center"/>
    </xf>
    <xf numFmtId="170" fontId="47" fillId="0" borderId="31" xfId="3" applyNumberFormat="1" applyFont="1" applyBorder="1" applyAlignment="1">
      <alignment vertical="center"/>
    </xf>
    <xf numFmtId="170" fontId="47" fillId="0" borderId="8" xfId="3" applyNumberFormat="1" applyFont="1" applyBorder="1" applyAlignment="1">
      <alignment vertical="center"/>
    </xf>
    <xf numFmtId="170" fontId="47" fillId="0" borderId="10" xfId="3" applyNumberFormat="1" applyFont="1" applyBorder="1" applyAlignment="1">
      <alignment vertical="center"/>
    </xf>
    <xf numFmtId="0" fontId="20" fillId="0" borderId="31" xfId="3" applyFont="1" applyBorder="1" applyAlignment="1"/>
  </cellXfs>
  <cellStyles count="5">
    <cellStyle name="Гиперссылка" xfId="2" builtinId="8"/>
    <cellStyle name="Обычный" xfId="0" builtinId="0"/>
    <cellStyle name="Обычный 2" xfId="1"/>
    <cellStyle name="Обычный 2 2" xfId="4"/>
    <cellStyle name="Обычный 3" xfId="3"/>
  </cellStyles>
  <dxfs count="0"/>
  <tableStyles count="0" defaultTableStyle="TableStyleMedium2" defaultPivotStyle="PivotStyleLight16"/>
  <colors>
    <mruColors>
      <color rgb="FFCEFAF5"/>
      <color rgb="FFFFF2D1"/>
      <color rgb="FFCCCCFF"/>
      <color rgb="FFE8FEFC"/>
      <color rgb="FFE7FFFA"/>
      <color rgb="FFEFFEE8"/>
      <color rgb="FFB7ECFF"/>
      <color rgb="FFE3E5FD"/>
      <color rgb="FFF7E2FE"/>
      <color rgb="FFD1D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Общтй доход</c:v>
          </c:tx>
          <c:marker>
            <c:symbol val="none"/>
          </c:marker>
          <c:cat>
            <c:numRef>
              <c:f>Осн.Показ!$B$1:$F$1</c:f>
              <c:numCache>
                <c:formatCode>General</c:formatCode>
                <c:ptCount val="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</c:numCache>
            </c:numRef>
          </c:cat>
          <c:val>
            <c:numRef>
              <c:f>Осн.Показ!$B$2:$F$2</c:f>
              <c:numCache>
                <c:formatCode>#,##0.00</c:formatCode>
                <c:ptCount val="5"/>
                <c:pt idx="0">
                  <c:v>4.917695644444444E-2</c:v>
                </c:pt>
                <c:pt idx="1">
                  <c:v>1.7851527573333332</c:v>
                </c:pt>
                <c:pt idx="2">
                  <c:v>9.4784121333333324</c:v>
                </c:pt>
                <c:pt idx="3">
                  <c:v>79.332404622222214</c:v>
                </c:pt>
                <c:pt idx="4">
                  <c:v>810.58503786666665</c:v>
                </c:pt>
              </c:numCache>
            </c:numRef>
          </c:val>
          <c:smooth val="0"/>
        </c:ser>
        <c:ser>
          <c:idx val="1"/>
          <c:order val="1"/>
          <c:tx>
            <c:v>Прибыль до налогообложения</c:v>
          </c:tx>
          <c:marker>
            <c:symbol val="none"/>
          </c:marker>
          <c:cat>
            <c:numRef>
              <c:f>Осн.Показ!$B$1:$F$1</c:f>
              <c:numCache>
                <c:formatCode>General</c:formatCode>
                <c:ptCount val="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</c:numCache>
            </c:numRef>
          </c:cat>
          <c:val>
            <c:numRef>
              <c:f>Осн.Показ!$B$3:$F$3</c:f>
              <c:numCache>
                <c:formatCode>#,##0.00</c:formatCode>
                <c:ptCount val="5"/>
                <c:pt idx="0">
                  <c:v>-0.21544935022222222</c:v>
                </c:pt>
                <c:pt idx="1">
                  <c:v>0.10237861427777761</c:v>
                </c:pt>
                <c:pt idx="2">
                  <c:v>2.2459815480034715</c:v>
                </c:pt>
                <c:pt idx="3">
                  <c:v>30.531274488989794</c:v>
                </c:pt>
                <c:pt idx="4">
                  <c:v>358.15241013273311</c:v>
                </c:pt>
              </c:numCache>
            </c:numRef>
          </c:val>
          <c:smooth val="0"/>
        </c:ser>
        <c:ser>
          <c:idx val="2"/>
          <c:order val="2"/>
          <c:tx>
            <c:v>Операционные расходы</c:v>
          </c:tx>
          <c:marker>
            <c:symbol val="none"/>
          </c:marker>
          <c:cat>
            <c:numRef>
              <c:f>Осн.Показ!$B$1:$F$1</c:f>
              <c:numCache>
                <c:formatCode>General</c:formatCode>
                <c:ptCount val="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</c:numCache>
            </c:numRef>
          </c:cat>
          <c:val>
            <c:numRef>
              <c:f>Осн.Показ!#REF!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3"/>
          <c:order val="3"/>
          <c:tx>
            <c:v>Чистая прибыль после выплаты налогов</c:v>
          </c:tx>
          <c:marker>
            <c:symbol val="none"/>
          </c:marker>
          <c:cat>
            <c:numRef>
              <c:f>Осн.Показ!$B$1:$F$1</c:f>
              <c:numCache>
                <c:formatCode>General</c:formatCode>
                <c:ptCount val="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</c:numCache>
            </c:numRef>
          </c:cat>
          <c:val>
            <c:numRef>
              <c:f>Осн.Показ!$B$4:$F$4</c:f>
              <c:numCache>
                <c:formatCode>#,##0.00</c:formatCode>
                <c:ptCount val="5"/>
                <c:pt idx="0">
                  <c:v>-0.19353490577777777</c:v>
                </c:pt>
                <c:pt idx="1">
                  <c:v>0.16038505872222206</c:v>
                </c:pt>
                <c:pt idx="2">
                  <c:v>1.8614719939583328</c:v>
                </c:pt>
                <c:pt idx="3">
                  <c:v>24.54350794674739</c:v>
                </c:pt>
                <c:pt idx="4">
                  <c:v>286.69326179507533</c:v>
                </c:pt>
              </c:numCache>
            </c:numRef>
          </c:val>
          <c:smooth val="0"/>
        </c:ser>
        <c:ser>
          <c:idx val="5"/>
          <c:order val="4"/>
          <c:tx>
            <c:v>Инвестиции</c:v>
          </c:tx>
          <c:marker>
            <c:symbol val="none"/>
          </c:marker>
          <c:cat>
            <c:numRef>
              <c:f>Осн.Показ!$B$1:$F$1</c:f>
              <c:numCache>
                <c:formatCode>General</c:formatCode>
                <c:ptCount val="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</c:numCache>
            </c:numRef>
          </c:cat>
          <c:val>
            <c:numRef>
              <c:f>Осн.Показ!#REF!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030592"/>
        <c:axId val="88040576"/>
      </c:lineChart>
      <c:catAx>
        <c:axId val="8803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8040576"/>
        <c:crosses val="autoZero"/>
        <c:auto val="1"/>
        <c:lblAlgn val="ctr"/>
        <c:lblOffset val="100"/>
        <c:noMultiLvlLbl val="0"/>
      </c:catAx>
      <c:valAx>
        <c:axId val="88040576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88030592"/>
        <c:crosses val="autoZero"/>
        <c:crossBetween val="between"/>
      </c:valAx>
    </c:plotArea>
    <c:legend>
      <c:legendPos val="r"/>
      <c:legendEntry>
        <c:idx val="2"/>
        <c:delete val="1"/>
      </c:legendEntry>
      <c:legendEntry>
        <c:idx val="4"/>
        <c:delete val="1"/>
      </c:legendEntry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954560"/>
        <c:axId val="87956096"/>
      </c:lineChart>
      <c:catAx>
        <c:axId val="87954560"/>
        <c:scaling>
          <c:orientation val="minMax"/>
        </c:scaling>
        <c:delete val="0"/>
        <c:axPos val="b"/>
        <c:majorTickMark val="none"/>
        <c:minorTickMark val="none"/>
        <c:tickLblPos val="nextTo"/>
        <c:crossAx val="87956096"/>
        <c:crosses val="autoZero"/>
        <c:auto val="1"/>
        <c:lblAlgn val="ctr"/>
        <c:lblOffset val="100"/>
        <c:noMultiLvlLbl val="0"/>
      </c:catAx>
      <c:valAx>
        <c:axId val="87956096"/>
        <c:scaling>
          <c:orientation val="minMax"/>
        </c:scaling>
        <c:delete val="0"/>
        <c:axPos val="l"/>
        <c:majorGridlines/>
        <c:title>
          <c:overlay val="0"/>
        </c:title>
        <c:majorTickMark val="none"/>
        <c:minorTickMark val="none"/>
        <c:tickLblPos val="nextTo"/>
        <c:crossAx val="87954560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Лист1!$A$2</c:f>
              <c:strCache>
                <c:ptCount val="1"/>
                <c:pt idx="0">
                  <c:v>Выручка от реализации</c:v>
                </c:pt>
              </c:strCache>
            </c:strRef>
          </c:tx>
          <c:marker>
            <c:symbol val="none"/>
          </c:marker>
          <c:cat>
            <c:numRef>
              <c:f>Лист1!$B$1:$F$1</c:f>
              <c:numCache>
                <c:formatCode>General</c:formatCode>
                <c:ptCount val="5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</c:numCache>
            </c:numRef>
          </c:cat>
          <c:val>
            <c:numRef>
              <c:f>Лист1!$B$2:$F$2</c:f>
              <c:numCache>
                <c:formatCode>General</c:formatCode>
                <c:ptCount val="5"/>
                <c:pt idx="0">
                  <c:v>0.1</c:v>
                </c:pt>
                <c:pt idx="1">
                  <c:v>0.60000000000000009</c:v>
                </c:pt>
                <c:pt idx="2">
                  <c:v>1.3</c:v>
                </c:pt>
                <c:pt idx="3">
                  <c:v>2.9000000000000004</c:v>
                </c:pt>
                <c:pt idx="4">
                  <c:v>6.4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Лист1!$A$3</c:f>
              <c:strCache>
                <c:ptCount val="1"/>
                <c:pt idx="0">
                  <c:v>Маржинальная (валовая) прибыль</c:v>
                </c:pt>
              </c:strCache>
            </c:strRef>
          </c:tx>
          <c:marker>
            <c:symbol val="none"/>
          </c:marker>
          <c:cat>
            <c:numRef>
              <c:f>Лист1!$B$1:$F$1</c:f>
              <c:numCache>
                <c:formatCode>General</c:formatCode>
                <c:ptCount val="5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</c:numCache>
            </c:numRef>
          </c:cat>
          <c:val>
            <c:numRef>
              <c:f>Лист1!$B$3:$F$3</c:f>
              <c:numCache>
                <c:formatCode>General</c:formatCode>
                <c:ptCount val="5"/>
                <c:pt idx="0">
                  <c:v>0.1</c:v>
                </c:pt>
                <c:pt idx="1">
                  <c:v>0.4</c:v>
                </c:pt>
                <c:pt idx="2">
                  <c:v>0.70000000000000007</c:v>
                </c:pt>
                <c:pt idx="3">
                  <c:v>1.7000000000000002</c:v>
                </c:pt>
                <c:pt idx="4">
                  <c:v>3.7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Лист1!$A$4</c:f>
              <c:strCache>
                <c:ptCount val="1"/>
                <c:pt idx="0">
                  <c:v>Чистая прибыль</c:v>
                </c:pt>
              </c:strCache>
            </c:strRef>
          </c:tx>
          <c:marker>
            <c:symbol val="none"/>
          </c:marker>
          <c:cat>
            <c:numRef>
              <c:f>Лист1!$B$1:$F$1</c:f>
              <c:numCache>
                <c:formatCode>General</c:formatCode>
                <c:ptCount val="5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</c:numCache>
            </c:numRef>
          </c:cat>
          <c:val>
            <c:numRef>
              <c:f>Лист1!$B$4:$F$4</c:f>
              <c:numCache>
                <c:formatCode>General</c:formatCode>
                <c:ptCount val="5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1.1000000000000001</c:v>
                </c:pt>
                <c:pt idx="4">
                  <c:v>2.1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988096"/>
        <c:axId val="87989632"/>
      </c:lineChart>
      <c:catAx>
        <c:axId val="8798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87989632"/>
        <c:crosses val="autoZero"/>
        <c:auto val="1"/>
        <c:lblAlgn val="ctr"/>
        <c:lblOffset val="100"/>
        <c:noMultiLvlLbl val="0"/>
      </c:catAx>
      <c:valAx>
        <c:axId val="87989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ru-RU"/>
                  <a:t>Млн. </a:t>
                </a:r>
                <a:r>
                  <a:rPr lang="en-US"/>
                  <a:t>$</a:t>
                </a:r>
                <a:endParaRPr lang="ru-RU"/>
              </a:p>
            </c:rich>
          </c:tx>
          <c:layout>
            <c:manualLayout>
              <c:xMode val="edge"/>
              <c:yMode val="edge"/>
              <c:x val="0.14166666666666666"/>
              <c:y val="4.1942986293379995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8798809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1138767</xdr:colOff>
      <xdr:row>127</xdr:row>
      <xdr:rowOff>40923</xdr:rowOff>
    </xdr:from>
    <xdr:to>
      <xdr:col>5</xdr:col>
      <xdr:colOff>986367</xdr:colOff>
      <xdr:row>131</xdr:row>
      <xdr:rowOff>231423</xdr:rowOff>
    </xdr:to>
    <xdr:pic>
      <xdr:nvPicPr>
        <xdr:cNvPr id="2" name="image1.jpg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952827" y="32829783"/>
          <a:ext cx="2590800" cy="2689860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0</xdr:row>
      <xdr:rowOff>152400</xdr:rowOff>
    </xdr:from>
    <xdr:to>
      <xdr:col>22</xdr:col>
      <xdr:colOff>464820</xdr:colOff>
      <xdr:row>19</xdr:row>
      <xdr:rowOff>167640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403860</xdr:colOff>
      <xdr:row>7</xdr:row>
      <xdr:rowOff>106680</xdr:rowOff>
    </xdr:from>
    <xdr:to>
      <xdr:col>9</xdr:col>
      <xdr:colOff>68580</xdr:colOff>
      <xdr:row>21</xdr:row>
      <xdr:rowOff>76200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541020</xdr:colOff>
      <xdr:row>7</xdr:row>
      <xdr:rowOff>60960</xdr:rowOff>
    </xdr:from>
    <xdr:to>
      <xdr:col>9</xdr:col>
      <xdr:colOff>205740</xdr:colOff>
      <xdr:row>21</xdr:row>
      <xdr:rowOff>30480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0;&#1080;&#1085;&#1072;&#1085;&#1089;&#1086;&#1074;&#1072;&#1103;%20&#1084;&#1086;&#1076;&#1077;&#1083;&#1100;%202023-202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- маркетинг"/>
      <sheetName val="2 - маркетинг"/>
      <sheetName val="3 - маркетинг"/>
      <sheetName val="4 - операции"/>
      <sheetName val="5 - операции"/>
      <sheetName val="6 - операции"/>
      <sheetName val="7 - операции"/>
      <sheetName val="8 - операции"/>
      <sheetName val="9 - сотрудники"/>
      <sheetName val="10 - капитал"/>
      <sheetName val="11 - Финансовая модель"/>
      <sheetName val="12 - Оценка эффективности"/>
      <sheetName val="Финансовый профиль проекта"/>
    </sheetNames>
    <sheetDataSet>
      <sheetData sheetId="0">
        <row r="14">
          <cell r="A14" t="str">
            <v>Выручка от реализации</v>
          </cell>
          <cell r="B14">
            <v>22990000</v>
          </cell>
          <cell r="C14">
            <v>61410000</v>
          </cell>
          <cell r="D14">
            <v>119888000</v>
          </cell>
          <cell r="E14">
            <v>192348400</v>
          </cell>
          <cell r="F14">
            <v>295141950</v>
          </cell>
          <cell r="G14">
            <v>432363306</v>
          </cell>
        </row>
      </sheetData>
      <sheetData sheetId="1">
        <row r="7">
          <cell r="A7" t="str">
            <v>Прогноз движения денежных средств по дебиторской задолженности</v>
          </cell>
        </row>
      </sheetData>
      <sheetData sheetId="2">
        <row r="9">
          <cell r="A9" t="str">
            <v>Прочие коммерческие расходы (командировки, 7 командировок в квартал)</v>
          </cell>
        </row>
      </sheetData>
      <sheetData sheetId="3">
        <row r="9">
          <cell r="A9" t="str">
            <v>Капитальные затраты - САРЕХ</v>
          </cell>
        </row>
      </sheetData>
      <sheetData sheetId="4">
        <row r="14">
          <cell r="A14" t="str">
            <v>Переменные материальные расходы</v>
          </cell>
        </row>
      </sheetData>
      <sheetData sheetId="5">
        <row r="9">
          <cell r="A9" t="str">
            <v>Постоянные общепроизводственные расходы</v>
          </cell>
        </row>
        <row r="11">
          <cell r="A11" t="str">
            <v>Амортизация</v>
          </cell>
        </row>
      </sheetData>
      <sheetData sheetId="6">
        <row r="7">
          <cell r="A7" t="str">
            <v>Движение денежных средств по формированию запасов</v>
          </cell>
        </row>
      </sheetData>
      <sheetData sheetId="7">
        <row r="7">
          <cell r="A7" t="str">
            <v>Движение денежных средств по формированию кредиторской задолженности перед поставщиками и подрядчиками</v>
          </cell>
        </row>
      </sheetData>
      <sheetData sheetId="8">
        <row r="6">
          <cell r="A6" t="str">
            <v>Расходы на  управленческий персонал, включая налоги на ФОТ</v>
          </cell>
        </row>
        <row r="7">
          <cell r="A7" t="str">
            <v>Расходы на оплату труда исполнителей (коммерческого и производственного персонала), включая налоги на ФОТ</v>
          </cell>
        </row>
      </sheetData>
      <sheetData sheetId="9">
        <row r="2">
          <cell r="A2" t="str">
            <v>Ставка дисконтирования</v>
          </cell>
        </row>
        <row r="3">
          <cell r="A3" t="str">
            <v>Ставка налога на прибыль</v>
          </cell>
        </row>
        <row r="8">
          <cell r="A8" t="str">
            <v>Дивиденды</v>
          </cell>
        </row>
        <row r="11">
          <cell r="A11" t="str">
            <v>Проценты</v>
          </cell>
        </row>
      </sheetData>
      <sheetData sheetId="10"/>
      <sheetData sheetId="11"/>
      <sheetData sheetId="12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ecostandardgroup.ru/about/experts/" TargetMode="Externa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1016"/>
  <sheetViews>
    <sheetView topLeftCell="A14" zoomScale="85" zoomScaleNormal="85" workbookViewId="0">
      <selection activeCell="A3" sqref="A3:F33"/>
    </sheetView>
  </sheetViews>
  <sheetFormatPr defaultColWidth="15.59765625" defaultRowHeight="15" customHeight="1"/>
  <cols>
    <col min="1" max="1" width="39.296875" style="747" customWidth="1"/>
    <col min="2" max="2" width="15.3984375" style="747" customWidth="1"/>
    <col min="3" max="3" width="17.69921875" style="747" customWidth="1"/>
    <col min="4" max="4" width="15.59765625" style="747" customWidth="1"/>
    <col min="5" max="5" width="18" style="747" customWidth="1"/>
    <col min="6" max="6" width="18.8984375" style="747" customWidth="1"/>
    <col min="7" max="7" width="18.3984375" style="328" customWidth="1"/>
    <col min="8" max="8" width="12.69921875" style="328" customWidth="1"/>
    <col min="9" max="9" width="24" style="328" customWidth="1"/>
    <col min="10" max="16" width="8" style="328" customWidth="1"/>
    <col min="17" max="25" width="15.3984375" style="328" customWidth="1"/>
    <col min="26" max="16384" width="15.59765625" style="328"/>
  </cols>
  <sheetData>
    <row r="1" spans="1:9" ht="18.75" customHeight="1">
      <c r="A1" s="785" t="s">
        <v>391</v>
      </c>
      <c r="B1" s="786"/>
      <c r="C1" s="786"/>
      <c r="D1" s="786"/>
      <c r="E1" s="786"/>
      <c r="F1" s="786"/>
      <c r="G1" s="124"/>
      <c r="H1" s="472"/>
      <c r="I1" s="472"/>
    </row>
    <row r="2" spans="1:9" ht="18.75" customHeight="1">
      <c r="A2" s="741"/>
      <c r="B2" s="741"/>
      <c r="C2" s="741"/>
      <c r="D2" s="741"/>
      <c r="E2" s="741"/>
      <c r="F2" s="741"/>
      <c r="G2" s="124"/>
      <c r="H2" s="472"/>
      <c r="I2" s="472"/>
    </row>
    <row r="3" spans="1:9" ht="22.5" customHeight="1">
      <c r="A3" s="789" t="s">
        <v>392</v>
      </c>
      <c r="B3" s="790"/>
      <c r="C3" s="790"/>
      <c r="D3" s="790"/>
      <c r="E3" s="790"/>
      <c r="F3" s="790"/>
      <c r="G3" s="473"/>
      <c r="H3" s="472"/>
      <c r="I3" s="472"/>
    </row>
    <row r="4" spans="1:9" ht="28.5" customHeight="1">
      <c r="A4" s="787" t="s">
        <v>217</v>
      </c>
      <c r="B4" s="789" t="s">
        <v>470</v>
      </c>
      <c r="C4" s="790"/>
      <c r="D4" s="790"/>
      <c r="E4" s="790"/>
      <c r="F4" s="790"/>
      <c r="G4" s="474"/>
      <c r="H4" s="474"/>
      <c r="I4" s="472"/>
    </row>
    <row r="5" spans="1:9" ht="12.75" customHeight="1" thickBot="1">
      <c r="A5" s="788"/>
      <c r="B5" s="757">
        <v>2024</v>
      </c>
      <c r="C5" s="757">
        <v>2025</v>
      </c>
      <c r="D5" s="757">
        <v>2026</v>
      </c>
      <c r="E5" s="757">
        <v>2027</v>
      </c>
      <c r="F5" s="757">
        <v>2028</v>
      </c>
      <c r="G5" s="475"/>
      <c r="H5" s="472"/>
      <c r="I5" s="473"/>
    </row>
    <row r="6" spans="1:9" ht="31.5" customHeight="1">
      <c r="A6" s="758" t="s">
        <v>427</v>
      </c>
      <c r="B6" s="771">
        <f>SUM(План!B7:E7)</f>
        <v>3</v>
      </c>
      <c r="C6" s="771">
        <f>SUM(План!F9:I9)</f>
        <v>0</v>
      </c>
      <c r="D6" s="771">
        <f>SUM(План!J9:M9)</f>
        <v>0</v>
      </c>
      <c r="E6" s="771">
        <f>SUM(План!N9:Q9)</f>
        <v>0</v>
      </c>
      <c r="F6" s="772">
        <f>SUM(План!R9:U9)</f>
        <v>0</v>
      </c>
      <c r="G6" s="476"/>
      <c r="H6" s="472"/>
      <c r="I6" s="472"/>
    </row>
    <row r="7" spans="1:9" ht="15.75" customHeight="1">
      <c r="A7" s="761" t="s">
        <v>429</v>
      </c>
      <c r="B7" s="742">
        <f>'VR курсы'!$G$8/План!$A$1</f>
        <v>6635.2</v>
      </c>
      <c r="C7" s="742">
        <f>'VR курсы'!$G$8/План!$A$1</f>
        <v>6635.2</v>
      </c>
      <c r="D7" s="742">
        <f>'VR курсы'!$G$8/План!$A$1</f>
        <v>6635.2</v>
      </c>
      <c r="E7" s="742">
        <f>'VR курсы'!$G$8/План!$A$1</f>
        <v>6635.2</v>
      </c>
      <c r="F7" s="762">
        <f>'VR курсы'!$G$8/План!$A$1</f>
        <v>6635.2</v>
      </c>
      <c r="G7" s="476"/>
      <c r="H7" s="477"/>
      <c r="I7" s="477"/>
    </row>
    <row r="8" spans="1:9" s="754" customFormat="1" ht="15.75" customHeight="1" thickBot="1">
      <c r="A8" s="763" t="s">
        <v>471</v>
      </c>
      <c r="B8" s="764">
        <f>B6*B7</f>
        <v>19905.599999999999</v>
      </c>
      <c r="C8" s="764">
        <f t="shared" ref="C8:F8" si="0">C6*C7</f>
        <v>0</v>
      </c>
      <c r="D8" s="764">
        <f t="shared" si="0"/>
        <v>0</v>
      </c>
      <c r="E8" s="764">
        <f t="shared" si="0"/>
        <v>0</v>
      </c>
      <c r="F8" s="765">
        <f t="shared" si="0"/>
        <v>0</v>
      </c>
      <c r="G8" s="476">
        <f>SUM(B8:F8)</f>
        <v>19905.599999999999</v>
      </c>
      <c r="H8" s="477"/>
      <c r="I8" s="477"/>
    </row>
    <row r="9" spans="1:9" s="583" customFormat="1" ht="31.5" customHeight="1">
      <c r="A9" s="758" t="s">
        <v>454</v>
      </c>
      <c r="B9" s="759">
        <f>SUM(План!B13:E13)</f>
        <v>0</v>
      </c>
      <c r="C9" s="759">
        <f>SUM(План!F13:I13)</f>
        <v>20</v>
      </c>
      <c r="D9" s="773">
        <f>SUM(План!J13:M13)</f>
        <v>61</v>
      </c>
      <c r="E9" s="766">
        <f>SUM(План!N13:Q13)</f>
        <v>239</v>
      </c>
      <c r="F9" s="760">
        <f>SUM(План!R13:U13)</f>
        <v>1066</v>
      </c>
      <c r="G9" s="476">
        <f>SUM(B9:F9)</f>
        <v>1386</v>
      </c>
      <c r="H9" s="472"/>
      <c r="I9" s="472"/>
    </row>
    <row r="10" spans="1:9" s="583" customFormat="1" ht="15.75" customHeight="1">
      <c r="A10" s="761" t="s">
        <v>456</v>
      </c>
      <c r="B10" s="742">
        <f>'VR курсы'!$I$8/План!$A$1</f>
        <v>11379.377777777778</v>
      </c>
      <c r="C10" s="742">
        <f>'VR курсы'!$I$8/План!$A$1</f>
        <v>11379.377777777778</v>
      </c>
      <c r="D10" s="742">
        <f>'VR курсы'!$I$8/План!$A$1</f>
        <v>11379.377777777778</v>
      </c>
      <c r="E10" s="742">
        <f>'VR курсы'!$I$8/План!$A$1</f>
        <v>11379.377777777778</v>
      </c>
      <c r="F10" s="762">
        <f>'VR курсы'!$I$8/План!$A$1</f>
        <v>11379.377777777778</v>
      </c>
      <c r="G10" s="476"/>
      <c r="H10" s="477"/>
      <c r="I10" s="477"/>
    </row>
    <row r="11" spans="1:9" s="754" customFormat="1" ht="15.75" customHeight="1" thickBot="1">
      <c r="A11" s="763" t="s">
        <v>471</v>
      </c>
      <c r="B11" s="764">
        <f>B9*B10</f>
        <v>0</v>
      </c>
      <c r="C11" s="764">
        <f t="shared" ref="C11" si="1">C9*C10</f>
        <v>227587.55555555556</v>
      </c>
      <c r="D11" s="768">
        <f t="shared" ref="D11" si="2">D9*D10</f>
        <v>694142.04444444447</v>
      </c>
      <c r="E11" s="767">
        <f t="shared" ref="E11" si="3">E9*E10</f>
        <v>2719671.2888888889</v>
      </c>
      <c r="F11" s="765">
        <f t="shared" ref="F11" si="4">F9*F10</f>
        <v>12130416.711111112</v>
      </c>
      <c r="G11" s="476">
        <f>SUM(B11:F11)</f>
        <v>15771817.600000001</v>
      </c>
      <c r="H11" s="477"/>
      <c r="I11" s="477"/>
    </row>
    <row r="12" spans="1:9" s="527" customFormat="1" ht="31.5" customHeight="1">
      <c r="A12" s="758" t="s">
        <v>428</v>
      </c>
      <c r="B12" s="769">
        <f>SUM(План!B17:E17)</f>
        <v>0.1</v>
      </c>
      <c r="C12" s="769">
        <f>SUM(План!F17:I17)</f>
        <v>1</v>
      </c>
      <c r="D12" s="769">
        <f>SUM(План!J17:M17)</f>
        <v>0</v>
      </c>
      <c r="E12" s="769">
        <f>SUM(План!N17:Q17)</f>
        <v>0</v>
      </c>
      <c r="F12" s="770">
        <f>SUM(План!R17:U17)</f>
        <v>0</v>
      </c>
      <c r="G12" s="476">
        <f>SUM(B12:F12)</f>
        <v>1.1000000000000001</v>
      </c>
      <c r="H12" s="472"/>
      <c r="I12" s="472"/>
    </row>
    <row r="13" spans="1:9" s="583" customFormat="1" ht="26.55" customHeight="1">
      <c r="A13" s="761" t="s">
        <v>431</v>
      </c>
      <c r="B13" s="742">
        <f>'VR курсы'!$R$8/План!$A$1</f>
        <v>208623.11111111112</v>
      </c>
      <c r="C13" s="742">
        <f>'VR курсы'!$R$8/План!$A$1</f>
        <v>208623.11111111112</v>
      </c>
      <c r="D13" s="742">
        <f>'VR курсы'!$R$8/План!$A$1</f>
        <v>208623.11111111112</v>
      </c>
      <c r="E13" s="742">
        <f>'VR курсы'!$R$8/План!$A$1</f>
        <v>208623.11111111112</v>
      </c>
      <c r="F13" s="762">
        <f>'VR курсы'!$R$8/План!$A$1</f>
        <v>208623.11111111112</v>
      </c>
      <c r="G13" s="476"/>
      <c r="H13" s="477"/>
      <c r="I13" s="477"/>
    </row>
    <row r="14" spans="1:9" s="754" customFormat="1" ht="15.75" customHeight="1" thickBot="1">
      <c r="A14" s="763" t="s">
        <v>472</v>
      </c>
      <c r="B14" s="764">
        <f>B12*B13</f>
        <v>20862.311111111114</v>
      </c>
      <c r="C14" s="764">
        <f t="shared" ref="C14" si="5">C12*C13</f>
        <v>208623.11111111112</v>
      </c>
      <c r="D14" s="768">
        <f t="shared" ref="D14" si="6">D12*D13</f>
        <v>0</v>
      </c>
      <c r="E14" s="767">
        <f t="shared" ref="E14" si="7">E12*E13</f>
        <v>0</v>
      </c>
      <c r="F14" s="765">
        <f t="shared" ref="F14" si="8">F12*F13</f>
        <v>0</v>
      </c>
      <c r="G14" s="476">
        <f>SUM(B14:F14)</f>
        <v>229485.42222222223</v>
      </c>
      <c r="H14" s="477"/>
      <c r="I14" s="477"/>
    </row>
    <row r="15" spans="1:9" s="583" customFormat="1" ht="31.5" customHeight="1">
      <c r="A15" s="758" t="s">
        <v>455</v>
      </c>
      <c r="B15" s="771">
        <f>SUM(План!B21:E21)</f>
        <v>0</v>
      </c>
      <c r="C15" s="771">
        <f>SUM(План!F21:I21)</f>
        <v>1</v>
      </c>
      <c r="D15" s="771">
        <f>SUM(План!J21:M21)</f>
        <v>0.5</v>
      </c>
      <c r="E15" s="771">
        <f>SUM(План!N21:Q21)</f>
        <v>0</v>
      </c>
      <c r="F15" s="772">
        <f>SUM(План!R21:U21)</f>
        <v>0</v>
      </c>
      <c r="G15" s="476">
        <f>SUM(B15:F15)</f>
        <v>1.5</v>
      </c>
      <c r="H15" s="472"/>
      <c r="I15" s="472"/>
    </row>
    <row r="16" spans="1:9" ht="26.55" customHeight="1">
      <c r="A16" s="761" t="s">
        <v>457</v>
      </c>
      <c r="B16" s="742">
        <f>'VR курсы'!$T$8/План!$A$1</f>
        <v>407760.8</v>
      </c>
      <c r="C16" s="742">
        <f>'VR курсы'!$T$8/План!$A$1</f>
        <v>407760.8</v>
      </c>
      <c r="D16" s="742">
        <f>'VR курсы'!$T$8/План!$A$1</f>
        <v>407760.8</v>
      </c>
      <c r="E16" s="742">
        <f>'VR курсы'!$T$8/План!$A$1</f>
        <v>407760.8</v>
      </c>
      <c r="F16" s="762">
        <f>'VR курсы'!$T$8/План!$A$1</f>
        <v>407760.8</v>
      </c>
      <c r="G16" s="476"/>
      <c r="H16" s="477"/>
      <c r="I16" s="477"/>
    </row>
    <row r="17" spans="1:11" s="754" customFormat="1" ht="15.75" customHeight="1" thickBot="1">
      <c r="A17" s="763" t="s">
        <v>473</v>
      </c>
      <c r="B17" s="764">
        <f>B15*B16</f>
        <v>0</v>
      </c>
      <c r="C17" s="764">
        <f t="shared" ref="C17" si="9">C15*C16</f>
        <v>407760.8</v>
      </c>
      <c r="D17" s="768">
        <f t="shared" ref="D17" si="10">D15*D16</f>
        <v>203880.4</v>
      </c>
      <c r="E17" s="767">
        <f t="shared" ref="E17" si="11">E15*E16</f>
        <v>0</v>
      </c>
      <c r="F17" s="765">
        <f t="shared" ref="F17" si="12">F15*F16</f>
        <v>0</v>
      </c>
      <c r="G17" s="476">
        <f>SUM(B17:F17)</f>
        <v>611641.19999999995</v>
      </c>
      <c r="H17" s="477"/>
      <c r="I17" s="477"/>
    </row>
    <row r="18" spans="1:11" s="527" customFormat="1" ht="31.5" customHeight="1">
      <c r="A18" s="758" t="s">
        <v>424</v>
      </c>
      <c r="B18" s="759">
        <f>SUM(План!B25:E25)</f>
        <v>0</v>
      </c>
      <c r="C18" s="759">
        <f>SUM(План!F25:I25)</f>
        <v>1</v>
      </c>
      <c r="D18" s="759">
        <f>SUM(План!J25:M25)</f>
        <v>10</v>
      </c>
      <c r="E18" s="759">
        <f>SUM(План!N25:Q25)</f>
        <v>15</v>
      </c>
      <c r="F18" s="760">
        <f>SUM(План!R25:U25)</f>
        <v>20</v>
      </c>
      <c r="G18" s="476">
        <f>SUM(B18:F18)</f>
        <v>46</v>
      </c>
      <c r="H18" s="472"/>
      <c r="I18" s="472"/>
    </row>
    <row r="19" spans="1:11" ht="26.55" customHeight="1">
      <c r="A19" s="761" t="s">
        <v>430</v>
      </c>
      <c r="B19" s="742">
        <f>'VR курсы'!$K$8/План!$A$1</f>
        <v>15835.555555555555</v>
      </c>
      <c r="C19" s="742">
        <f>'VR курсы'!$K$8/План!$A$1</f>
        <v>15835.555555555555</v>
      </c>
      <c r="D19" s="742">
        <f>'VR курсы'!$K$8/План!$A$1</f>
        <v>15835.555555555555</v>
      </c>
      <c r="E19" s="742">
        <f>'VR курсы'!$K$8/План!$A$1</f>
        <v>15835.555555555555</v>
      </c>
      <c r="F19" s="762">
        <f>'VR курсы'!$K$8/План!$A$1</f>
        <v>15835.555555555555</v>
      </c>
      <c r="G19" s="476"/>
      <c r="H19" s="477"/>
      <c r="I19" s="477"/>
    </row>
    <row r="20" spans="1:11" s="754" customFormat="1" ht="15.75" customHeight="1" thickBot="1">
      <c r="A20" s="763" t="s">
        <v>478</v>
      </c>
      <c r="B20" s="764">
        <f>B18*B19</f>
        <v>0</v>
      </c>
      <c r="C20" s="764">
        <f t="shared" ref="C20" si="13">C18*C19</f>
        <v>15835.555555555555</v>
      </c>
      <c r="D20" s="768">
        <f t="shared" ref="D20" si="14">D18*D19</f>
        <v>158355.55555555556</v>
      </c>
      <c r="E20" s="767">
        <f t="shared" ref="E20" si="15">E18*E19</f>
        <v>237533.33333333331</v>
      </c>
      <c r="F20" s="765">
        <f t="shared" ref="F20" si="16">F18*F19</f>
        <v>316711.11111111112</v>
      </c>
      <c r="G20" s="476">
        <f>SUM(B20:F20)</f>
        <v>728435.5555555555</v>
      </c>
      <c r="H20" s="477"/>
      <c r="I20" s="477"/>
    </row>
    <row r="21" spans="1:11" ht="31.5" customHeight="1">
      <c r="A21" s="758" t="s">
        <v>394</v>
      </c>
      <c r="B21" s="759">
        <f>SUM(План!B27:E27)</f>
        <v>1</v>
      </c>
      <c r="C21" s="759">
        <f>SUM(План!F27:I27)</f>
        <v>2</v>
      </c>
      <c r="D21" s="759">
        <f>SUM(План!J27:M27)</f>
        <v>0</v>
      </c>
      <c r="E21" s="759">
        <f>SUM(План!N27:Q27)</f>
        <v>0</v>
      </c>
      <c r="F21" s="760">
        <f>SUM(План!R27:U27)</f>
        <v>0</v>
      </c>
      <c r="G21" s="476">
        <f>SUM(B21:F21)</f>
        <v>3</v>
      </c>
      <c r="H21" s="472"/>
      <c r="I21" s="472"/>
    </row>
    <row r="22" spans="1:11" ht="26.55" customHeight="1">
      <c r="A22" s="761" t="s">
        <v>402</v>
      </c>
      <c r="B22" s="743">
        <f>'TAU Tracker'!$G$3/План!$A$1</f>
        <v>1181.3120000000001</v>
      </c>
      <c r="C22" s="743">
        <f>'TAU Tracker'!$G$3/План!$A$1</f>
        <v>1181.3120000000001</v>
      </c>
      <c r="D22" s="743">
        <f>'TAU Tracker'!$G$3/План!$A$1</f>
        <v>1181.3120000000001</v>
      </c>
      <c r="E22" s="743">
        <f>'TAU Tracker'!$G$3/План!$A$1</f>
        <v>1181.3120000000001</v>
      </c>
      <c r="F22" s="774">
        <f>'TAU Tracker'!$G$3/План!$A$1</f>
        <v>1181.3120000000001</v>
      </c>
      <c r="G22" s="476"/>
      <c r="H22" s="477"/>
      <c r="I22" s="477"/>
    </row>
    <row r="23" spans="1:11" s="754" customFormat="1" ht="15.75" customHeight="1" thickBot="1">
      <c r="A23" s="763" t="s">
        <v>474</v>
      </c>
      <c r="B23" s="764">
        <f>B21*B22</f>
        <v>1181.3120000000001</v>
      </c>
      <c r="C23" s="764">
        <f t="shared" ref="C23" si="17">C21*C22</f>
        <v>2362.6240000000003</v>
      </c>
      <c r="D23" s="768">
        <f t="shared" ref="D23" si="18">D21*D22</f>
        <v>0</v>
      </c>
      <c r="E23" s="767">
        <f t="shared" ref="E23" si="19">E21*E22</f>
        <v>0</v>
      </c>
      <c r="F23" s="765">
        <f t="shared" ref="F23" si="20">F21*F22</f>
        <v>0</v>
      </c>
      <c r="G23" s="476">
        <f>SUM(B23:F23)</f>
        <v>3543.9360000000006</v>
      </c>
      <c r="H23" s="477"/>
      <c r="I23" s="477"/>
    </row>
    <row r="24" spans="1:11" ht="31.5" customHeight="1">
      <c r="A24" s="758" t="s">
        <v>395</v>
      </c>
      <c r="B24" s="759">
        <f>SUM(План!B37:E37)</f>
        <v>7</v>
      </c>
      <c r="C24" s="759">
        <f>SUM(План!F37:I37)</f>
        <v>60</v>
      </c>
      <c r="D24" s="759">
        <f>SUM(План!J37:M37)</f>
        <v>89</v>
      </c>
      <c r="E24" s="759">
        <f>SUM(План!N37:Q37)</f>
        <v>225</v>
      </c>
      <c r="F24" s="760">
        <f>SUM(План!R37:U37)</f>
        <v>488</v>
      </c>
      <c r="G24" s="476">
        <f>SUM(B24:F24)</f>
        <v>869</v>
      </c>
      <c r="H24" s="472"/>
      <c r="I24" s="472"/>
      <c r="J24" s="472"/>
      <c r="K24" s="472"/>
    </row>
    <row r="25" spans="1:11" ht="27" customHeight="1">
      <c r="A25" s="761" t="s">
        <v>401</v>
      </c>
      <c r="B25" s="743">
        <f>'TAU Easy'!$F$3/План!$A$1</f>
        <v>1032.5333333333333</v>
      </c>
      <c r="C25" s="743">
        <f>'TAU Easy'!$F$3/План!$A$1</f>
        <v>1032.5333333333333</v>
      </c>
      <c r="D25" s="743">
        <f>'TAU Easy'!$F$3/План!$A$1</f>
        <v>1032.5333333333333</v>
      </c>
      <c r="E25" s="743">
        <f>'TAU Easy'!$F$3/План!$A$1</f>
        <v>1032.5333333333333</v>
      </c>
      <c r="F25" s="774">
        <f>'TAU Easy'!$F$3/План!$A$1</f>
        <v>1032.5333333333333</v>
      </c>
      <c r="G25" s="476"/>
      <c r="H25" s="477"/>
      <c r="I25" s="477"/>
    </row>
    <row r="26" spans="1:11" s="754" customFormat="1" ht="15.75" customHeight="1" thickBot="1">
      <c r="A26" s="763" t="s">
        <v>475</v>
      </c>
      <c r="B26" s="764">
        <f>B24*B25</f>
        <v>7227.7333333333336</v>
      </c>
      <c r="C26" s="764">
        <f t="shared" ref="C26" si="21">C24*C25</f>
        <v>61952</v>
      </c>
      <c r="D26" s="768">
        <f t="shared" ref="D26" si="22">D24*D25</f>
        <v>91895.46666666666</v>
      </c>
      <c r="E26" s="767">
        <f t="shared" ref="E26" si="23">E24*E25</f>
        <v>232320</v>
      </c>
      <c r="F26" s="765">
        <f t="shared" ref="F26" si="24">F24*F25</f>
        <v>503876.26666666666</v>
      </c>
      <c r="G26" s="476">
        <f>SUM(B26:F26)</f>
        <v>897271.46666666667</v>
      </c>
      <c r="H26" s="477"/>
      <c r="I26" s="477"/>
    </row>
    <row r="27" spans="1:11" ht="31.5" customHeight="1">
      <c r="A27" s="758" t="s">
        <v>396</v>
      </c>
      <c r="B27" s="759">
        <f>SUM(План!B47:E47)</f>
        <v>0</v>
      </c>
      <c r="C27" s="759">
        <f>SUM(План!F47:I47)</f>
        <v>595</v>
      </c>
      <c r="D27" s="759">
        <f>SUM(План!J47:M47)</f>
        <v>4842</v>
      </c>
      <c r="E27" s="759">
        <f>SUM(План!N47:Q47)</f>
        <v>37755</v>
      </c>
      <c r="F27" s="760">
        <f>SUM(План!R47:U47)</f>
        <v>313396</v>
      </c>
      <c r="G27" s="476">
        <f>SUM(B27:F27)</f>
        <v>356588</v>
      </c>
      <c r="H27" s="472"/>
      <c r="I27" s="472"/>
    </row>
    <row r="28" spans="1:11" ht="26.4" customHeight="1">
      <c r="A28" s="775" t="s">
        <v>403</v>
      </c>
      <c r="B28" s="743">
        <f>'TAU Haptic'!$F$3/План!$A$1</f>
        <v>1447.1111111111111</v>
      </c>
      <c r="C28" s="743">
        <f>'TAU Haptic'!$F$3/План!$A$1</f>
        <v>1447.1111111111111</v>
      </c>
      <c r="D28" s="743">
        <f>'TAU Haptic'!$F$3/План!$A$1</f>
        <v>1447.1111111111111</v>
      </c>
      <c r="E28" s="743">
        <f>'TAU Haptic'!$F$3/План!$A$1</f>
        <v>1447.1111111111111</v>
      </c>
      <c r="F28" s="774">
        <f>'TAU Haptic'!$F$3/План!$A$1</f>
        <v>1447.1111111111111</v>
      </c>
      <c r="G28" s="472"/>
      <c r="H28" s="472"/>
      <c r="I28" s="472"/>
    </row>
    <row r="29" spans="1:11" s="754" customFormat="1" ht="15.75" customHeight="1" thickBot="1">
      <c r="A29" s="763" t="s">
        <v>476</v>
      </c>
      <c r="B29" s="764">
        <f>B27*B28</f>
        <v>0</v>
      </c>
      <c r="C29" s="764">
        <f t="shared" ref="C29" si="25">C27*C28</f>
        <v>861031.11111111112</v>
      </c>
      <c r="D29" s="768">
        <f t="shared" ref="D29" si="26">D27*D28</f>
        <v>7006912</v>
      </c>
      <c r="E29" s="767">
        <f t="shared" ref="E29" si="27">E27*E28</f>
        <v>54635680</v>
      </c>
      <c r="F29" s="765">
        <f t="shared" ref="F29" si="28">F27*F28</f>
        <v>453518833.77777779</v>
      </c>
      <c r="G29" s="476">
        <f>SUM(B29:F29)</f>
        <v>516022456.8888889</v>
      </c>
      <c r="H29" s="477"/>
      <c r="I29" s="477"/>
    </row>
    <row r="30" spans="1:11" ht="31.5" customHeight="1">
      <c r="A30" s="758" t="s">
        <v>397</v>
      </c>
      <c r="B30" s="759">
        <f>SUM(План!B57:E57)</f>
        <v>0</v>
      </c>
      <c r="C30" s="759">
        <f>SUM(План!F57:I57)</f>
        <v>0</v>
      </c>
      <c r="D30" s="759">
        <f>SUM(План!J57:M57)</f>
        <v>347</v>
      </c>
      <c r="E30" s="759">
        <f>SUM(План!N57:Q57)</f>
        <v>5640</v>
      </c>
      <c r="F30" s="760">
        <f>SUM(План!R57:U57)</f>
        <v>90240</v>
      </c>
      <c r="G30" s="476">
        <f>SUM(B30:F30)</f>
        <v>96227</v>
      </c>
      <c r="H30" s="472"/>
      <c r="I30" s="472"/>
    </row>
    <row r="31" spans="1:11" ht="26.4" customHeight="1">
      <c r="A31" s="775" t="s">
        <v>432</v>
      </c>
      <c r="B31" s="743">
        <f>'TAU Suit'!$G$3/План!$A$1</f>
        <v>3813.3333333333335</v>
      </c>
      <c r="C31" s="743">
        <f>'TAU Suit'!$G$3/План!$A$1</f>
        <v>3813.3333333333335</v>
      </c>
      <c r="D31" s="743">
        <f>'TAU Suit'!$G$3/План!$A$1</f>
        <v>3813.3333333333335</v>
      </c>
      <c r="E31" s="743">
        <f>'TAU Suit'!$G$3/План!$A$1</f>
        <v>3813.3333333333335</v>
      </c>
      <c r="F31" s="774">
        <f>'TAU Suit'!$G$3/План!$A$1</f>
        <v>3813.3333333333335</v>
      </c>
      <c r="G31" s="472"/>
      <c r="H31" s="472"/>
      <c r="I31" s="472"/>
    </row>
    <row r="32" spans="1:11" s="754" customFormat="1" ht="15.75" customHeight="1" thickBot="1">
      <c r="A32" s="763" t="s">
        <v>477</v>
      </c>
      <c r="B32" s="764">
        <f>B30*B31</f>
        <v>0</v>
      </c>
      <c r="C32" s="764">
        <f t="shared" ref="C32" si="29">C30*C31</f>
        <v>0</v>
      </c>
      <c r="D32" s="768">
        <f t="shared" ref="D32" si="30">D30*D31</f>
        <v>1323226.6666666667</v>
      </c>
      <c r="E32" s="767">
        <f t="shared" ref="E32" si="31">E30*E31</f>
        <v>21507200</v>
      </c>
      <c r="F32" s="765">
        <f t="shared" ref="F32" si="32">F30*F31</f>
        <v>344115200</v>
      </c>
      <c r="G32" s="476">
        <f>SUM(B32:F32)</f>
        <v>366945626.66666669</v>
      </c>
      <c r="H32" s="477"/>
      <c r="I32" s="477"/>
    </row>
    <row r="33" spans="1:10" customFormat="1" ht="30" customHeight="1">
      <c r="A33" s="744" t="s">
        <v>393</v>
      </c>
      <c r="B33" s="745">
        <f>B8+B11+B14+B17+B20+B23+B26+B29+B32</f>
        <v>49176.95644444444</v>
      </c>
      <c r="C33" s="745">
        <f t="shared" ref="C33:E33" si="33">C8+C11+C14+C17+C20+C23+C26+C29+C32</f>
        <v>1785152.7573333331</v>
      </c>
      <c r="D33" s="745">
        <f t="shared" si="33"/>
        <v>9478412.1333333328</v>
      </c>
      <c r="E33" s="745">
        <f t="shared" si="33"/>
        <v>79332404.622222215</v>
      </c>
      <c r="F33" s="745">
        <f>F8+F11+F14+F17+F20+F23+F26+F29+F32</f>
        <v>810585037.86666667</v>
      </c>
      <c r="G33" s="479">
        <f>SUM(B33:F33)</f>
        <v>901230184.33599997</v>
      </c>
      <c r="H33" s="480"/>
      <c r="I33" s="480"/>
      <c r="J33" s="480"/>
    </row>
    <row r="34" spans="1:10" s="579" customFormat="1" ht="16.8" customHeight="1">
      <c r="A34" s="746"/>
      <c r="B34" s="746"/>
      <c r="C34" s="746"/>
      <c r="D34" s="746"/>
      <c r="E34" s="746"/>
      <c r="F34" s="746"/>
      <c r="G34" s="578"/>
      <c r="H34" s="578"/>
      <c r="I34" s="780"/>
    </row>
    <row r="35" spans="1:10" s="782" customFormat="1" ht="12.75" customHeight="1">
      <c r="A35" s="781"/>
      <c r="B35" s="781"/>
      <c r="C35" s="781"/>
      <c r="D35" s="781"/>
      <c r="E35" s="781"/>
      <c r="F35" s="781"/>
      <c r="G35" s="780"/>
      <c r="H35" s="780"/>
      <c r="I35" s="780"/>
    </row>
    <row r="36" spans="1:10" s="579" customFormat="1" ht="12.75" customHeight="1">
      <c r="A36" s="746"/>
      <c r="B36" s="746"/>
      <c r="C36" s="746"/>
      <c r="D36" s="746"/>
      <c r="E36" s="746"/>
      <c r="F36" s="746"/>
      <c r="G36" s="779"/>
      <c r="H36" s="578"/>
      <c r="I36" s="578"/>
    </row>
    <row r="37" spans="1:10" s="579" customFormat="1" ht="12.75" customHeight="1">
      <c r="A37" s="746"/>
      <c r="B37" s="746"/>
      <c r="C37" s="746"/>
      <c r="D37" s="746"/>
      <c r="E37" s="746"/>
      <c r="F37" s="746"/>
      <c r="G37" s="578"/>
      <c r="H37" s="578"/>
      <c r="I37" s="578"/>
    </row>
    <row r="38" spans="1:10" s="579" customFormat="1" ht="12.75" customHeight="1">
      <c r="A38" s="746"/>
      <c r="B38" s="746"/>
      <c r="C38" s="746"/>
      <c r="D38" s="746"/>
      <c r="E38" s="746"/>
      <c r="F38" s="746"/>
      <c r="G38" s="578"/>
      <c r="H38" s="578"/>
      <c r="I38" s="578"/>
    </row>
    <row r="39" spans="1:10" ht="15.6"/>
    <row r="40" spans="1:10" ht="15.6"/>
    <row r="41" spans="1:10" ht="15.6"/>
    <row r="42" spans="1:10" ht="15.6"/>
    <row r="43" spans="1:10" ht="15.6"/>
    <row r="44" spans="1:10" ht="15.6"/>
    <row r="45" spans="1:10" ht="15.6"/>
    <row r="46" spans="1:10" ht="15.6"/>
    <row r="47" spans="1:10" ht="15.6"/>
    <row r="48" spans="1:10" ht="15.6"/>
    <row r="49" ht="15.6"/>
    <row r="50" ht="15.6"/>
    <row r="51" ht="15.6"/>
    <row r="52" ht="15.6"/>
    <row r="53" ht="15.6"/>
    <row r="54" ht="15.6"/>
    <row r="55" ht="15.6"/>
    <row r="56" ht="15.6"/>
    <row r="57" ht="15.6"/>
    <row r="58" ht="15.6"/>
    <row r="59" ht="15.6"/>
    <row r="60" ht="15.6"/>
    <row r="61" ht="15.6"/>
    <row r="62" ht="15.6"/>
    <row r="63" ht="15.6"/>
    <row r="64" ht="15.6"/>
    <row r="65" ht="15.6"/>
    <row r="66" ht="15.6"/>
    <row r="67" ht="15.6"/>
    <row r="68" ht="15.6"/>
    <row r="69" ht="15.6"/>
    <row r="70" ht="15.6"/>
    <row r="71" ht="15.6"/>
    <row r="72" ht="15.6"/>
    <row r="73" ht="15.6"/>
    <row r="74" ht="15.6"/>
    <row r="75" ht="15.6"/>
    <row r="76" ht="15.6"/>
    <row r="77" ht="15.6"/>
    <row r="78" ht="15.6"/>
    <row r="79" ht="15.6"/>
    <row r="80" ht="15.6"/>
    <row r="81" ht="15.6"/>
    <row r="82" ht="15.6"/>
    <row r="83" ht="15.6"/>
    <row r="84" ht="15.6"/>
    <row r="85" ht="15.6"/>
    <row r="86" ht="15.6"/>
    <row r="87" ht="15.6"/>
    <row r="88" ht="15.6"/>
    <row r="89" ht="15.6"/>
    <row r="90" ht="15.6"/>
    <row r="91" ht="15.6"/>
    <row r="92" ht="15.6"/>
    <row r="93" ht="15.6"/>
    <row r="94" ht="15.6"/>
    <row r="95" ht="15.6"/>
    <row r="96" ht="15.6"/>
    <row r="97" ht="15.6"/>
    <row r="98" ht="15.6"/>
    <row r="99" ht="15.6"/>
    <row r="100" ht="15.6"/>
    <row r="101" ht="15.6"/>
    <row r="102" ht="15.6"/>
    <row r="103" ht="15.6"/>
    <row r="104" ht="15.6"/>
    <row r="105" ht="15.6"/>
    <row r="106" ht="15.6"/>
    <row r="107" ht="15.6"/>
    <row r="108" ht="15.6"/>
    <row r="109" ht="15.6"/>
    <row r="110" ht="15.6"/>
    <row r="111" ht="15.6"/>
    <row r="112" ht="15.6"/>
    <row r="113" ht="15.6"/>
    <row r="114" ht="15.6"/>
    <row r="115" ht="15.6"/>
    <row r="116" ht="15.6"/>
    <row r="117" ht="15.6"/>
    <row r="118" ht="15.6"/>
    <row r="119" ht="15.6"/>
    <row r="120" ht="15.6"/>
    <row r="121" ht="15.6"/>
    <row r="122" ht="15.6"/>
    <row r="123" ht="15.6"/>
    <row r="124" ht="15.6"/>
    <row r="125" ht="15.6"/>
    <row r="126" ht="15.6"/>
    <row r="127" ht="15.6"/>
    <row r="128" ht="15.6"/>
    <row r="129" ht="15.6"/>
    <row r="130" ht="15.6"/>
    <row r="131" ht="15.6"/>
    <row r="132" ht="15.6"/>
    <row r="133" ht="15.6"/>
    <row r="134" ht="15.6"/>
    <row r="135" ht="15.6"/>
    <row r="136" ht="15.6"/>
    <row r="137" ht="15.6"/>
    <row r="138" ht="15.6"/>
    <row r="139" ht="15.6"/>
    <row r="140" ht="15.6"/>
    <row r="141" ht="15.6"/>
    <row r="142" ht="15.6"/>
    <row r="143" ht="15.6"/>
    <row r="144" ht="15.6"/>
    <row r="145" ht="15.6"/>
    <row r="146" ht="15.6"/>
    <row r="147" ht="15.6"/>
    <row r="148" ht="15.6"/>
    <row r="149" ht="15.6"/>
    <row r="150" ht="15.6"/>
    <row r="151" ht="15.6"/>
    <row r="152" ht="15.6"/>
    <row r="153" ht="15.6"/>
    <row r="154" ht="15.6"/>
    <row r="155" ht="15.6"/>
    <row r="156" ht="15.6"/>
    <row r="157" ht="15.6"/>
    <row r="158" ht="15.6"/>
    <row r="159" ht="15.6"/>
    <row r="160" ht="15.6"/>
    <row r="161" ht="15.6"/>
    <row r="162" ht="15.6"/>
    <row r="163" ht="15.6"/>
    <row r="164" ht="15.6"/>
    <row r="165" ht="15.6"/>
    <row r="166" ht="15.6"/>
    <row r="167" ht="15.6"/>
    <row r="168" ht="15.6"/>
    <row r="169" ht="15.6"/>
    <row r="170" ht="15.6"/>
    <row r="171" ht="15.6"/>
    <row r="172" ht="15.6"/>
    <row r="173" ht="15.6"/>
    <row r="174" ht="15.6"/>
    <row r="175" ht="15.6"/>
    <row r="176" ht="15.6"/>
    <row r="177" ht="15.6"/>
    <row r="178" ht="15.6"/>
    <row r="179" ht="15.6"/>
    <row r="180" ht="15.6"/>
    <row r="181" ht="15.6"/>
    <row r="182" ht="15.6"/>
    <row r="183" ht="15.6"/>
    <row r="184" ht="15.6"/>
    <row r="185" ht="15.6"/>
    <row r="186" ht="15.6"/>
    <row r="187" ht="15.6"/>
    <row r="188" ht="15.6"/>
    <row r="189" ht="15.6"/>
    <row r="190" ht="15.6"/>
    <row r="191" ht="15.6"/>
    <row r="192" ht="15.6"/>
    <row r="193" ht="15.6"/>
    <row r="194" ht="15.6"/>
    <row r="195" ht="15.6"/>
    <row r="196" ht="15.6"/>
    <row r="197" ht="15.6"/>
    <row r="198" ht="15.6"/>
    <row r="199" ht="15.6"/>
    <row r="200" ht="15.6"/>
    <row r="201" ht="15.6"/>
    <row r="202" ht="15.6"/>
    <row r="203" ht="15.6"/>
    <row r="204" ht="15.6"/>
    <row r="205" ht="15.6"/>
    <row r="206" ht="15.6"/>
    <row r="207" ht="15.6"/>
    <row r="208" ht="15.6"/>
    <row r="209" ht="15.6"/>
    <row r="210" ht="15.6"/>
    <row r="211" ht="15.6"/>
    <row r="212" ht="15.6"/>
    <row r="213" ht="15.6"/>
    <row r="214" ht="15.6"/>
    <row r="215" ht="15.6"/>
    <row r="216" ht="15.6"/>
    <row r="217" ht="15.6"/>
    <row r="218" ht="15.6"/>
    <row r="219" ht="15.6"/>
    <row r="220" ht="15.6"/>
    <row r="221" ht="15.6"/>
    <row r="222" ht="15.6"/>
    <row r="223" ht="15.6"/>
    <row r="224" ht="15.6"/>
    <row r="225" ht="15.6"/>
    <row r="226" ht="15.6"/>
    <row r="227" ht="15.6"/>
    <row r="228" ht="15.6"/>
    <row r="229" ht="15.6"/>
    <row r="230" ht="15.6"/>
    <row r="231" ht="15.6"/>
    <row r="232" ht="15.6"/>
    <row r="233" ht="15.6"/>
    <row r="234" ht="15.6"/>
    <row r="235" ht="15.6"/>
    <row r="236" ht="15.6"/>
    <row r="237" ht="15.6"/>
    <row r="238" ht="15.6"/>
    <row r="239" ht="15.6"/>
    <row r="240" ht="15.6"/>
    <row r="241" ht="15.6"/>
    <row r="242" ht="15.6"/>
    <row r="243" ht="15.6"/>
    <row r="244" ht="15.6"/>
    <row r="245" ht="15.6"/>
    <row r="246" ht="15.6"/>
    <row r="247" ht="15.6"/>
    <row r="248" ht="15.6"/>
    <row r="249" ht="15.6"/>
    <row r="250" ht="15.6"/>
    <row r="251" ht="15.6"/>
    <row r="252" ht="15.6"/>
    <row r="253" ht="15.6"/>
    <row r="254" ht="15.6"/>
    <row r="255" ht="15.6"/>
    <row r="256" ht="15.6"/>
    <row r="257" ht="15.6"/>
    <row r="258" ht="15.6"/>
    <row r="259" ht="15.6"/>
    <row r="260" ht="15.6"/>
    <row r="261" ht="15.6"/>
    <row r="262" ht="15.6"/>
    <row r="263" ht="15.6"/>
    <row r="264" ht="15.6"/>
    <row r="265" ht="15.6"/>
    <row r="266" ht="15.6"/>
    <row r="267" ht="15.6"/>
    <row r="268" ht="15.6"/>
    <row r="269" ht="15.6"/>
    <row r="270" ht="15.6"/>
    <row r="271" ht="15.6"/>
    <row r="272" ht="15.6"/>
    <row r="273" ht="15.6"/>
    <row r="274" ht="15.6"/>
    <row r="275" ht="15.6"/>
    <row r="276" ht="15.6"/>
    <row r="277" ht="15.6"/>
    <row r="278" ht="15.6"/>
    <row r="279" ht="15.6"/>
    <row r="280" ht="15.6"/>
    <row r="281" ht="15.6"/>
    <row r="282" ht="15.6"/>
    <row r="283" ht="15.6"/>
    <row r="284" ht="15.6"/>
    <row r="285" ht="15.6"/>
    <row r="286" ht="15.6"/>
    <row r="287" ht="15.6"/>
    <row r="288" ht="15.6"/>
    <row r="289" ht="15.6"/>
    <row r="290" ht="15.6"/>
    <row r="291" ht="15.6"/>
    <row r="292" ht="15.6"/>
    <row r="293" ht="15.6"/>
    <row r="294" ht="15.6"/>
    <row r="295" ht="15.6"/>
    <row r="296" ht="15.6"/>
    <row r="297" ht="15.6"/>
    <row r="298" ht="15.6"/>
    <row r="299" ht="15.6"/>
    <row r="300" ht="15.6"/>
    <row r="301" ht="15.6"/>
    <row r="302" ht="15.6"/>
    <row r="303" ht="15.6"/>
    <row r="304" ht="15.6"/>
    <row r="305" ht="15.6"/>
    <row r="306" ht="15.6"/>
    <row r="307" ht="15.6"/>
    <row r="308" ht="15.6"/>
    <row r="309" ht="15.6"/>
    <row r="310" ht="15.6"/>
    <row r="311" ht="15.6"/>
    <row r="312" ht="15.6"/>
    <row r="313" ht="15.6"/>
    <row r="314" ht="15.6"/>
    <row r="315" ht="15.6"/>
    <row r="316" ht="15.6"/>
    <row r="317" ht="15.6"/>
    <row r="318" ht="15.6"/>
    <row r="319" ht="15.6"/>
    <row r="320" ht="15.6"/>
    <row r="321" ht="15.6"/>
    <row r="322" ht="15.6"/>
    <row r="323" ht="15.6"/>
    <row r="324" ht="15.6"/>
    <row r="325" ht="15.6"/>
    <row r="326" ht="15.6"/>
    <row r="327" ht="15.6"/>
    <row r="328" ht="15.6"/>
    <row r="329" ht="15.6"/>
    <row r="330" ht="15.6"/>
    <row r="331" ht="15.6"/>
    <row r="332" ht="15.6"/>
    <row r="333" ht="15.6"/>
    <row r="334" ht="15.6"/>
    <row r="335" ht="15.6"/>
    <row r="336" ht="15.6"/>
    <row r="337" ht="15.6"/>
    <row r="338" ht="15.6"/>
    <row r="339" ht="15.6"/>
    <row r="340" ht="15.6"/>
    <row r="341" ht="15.6"/>
    <row r="342" ht="15.6"/>
    <row r="343" ht="15.6"/>
    <row r="344" ht="15.6"/>
    <row r="345" ht="15.6"/>
    <row r="346" ht="15.6"/>
    <row r="347" ht="15.6"/>
    <row r="348" ht="15.6"/>
    <row r="349" ht="15.6"/>
    <row r="350" ht="15.6"/>
    <row r="351" ht="15.6"/>
    <row r="352" ht="15.6"/>
    <row r="353" ht="15.6"/>
    <row r="354" ht="15.6"/>
    <row r="355" ht="15.6"/>
    <row r="356" ht="15.6"/>
    <row r="357" ht="15.6"/>
    <row r="358" ht="15.6"/>
    <row r="359" ht="15.6"/>
    <row r="360" ht="15.6"/>
    <row r="361" ht="15.6"/>
    <row r="362" ht="15.6"/>
    <row r="363" ht="15.6"/>
    <row r="364" ht="15.6"/>
    <row r="365" ht="15.6"/>
    <row r="366" ht="15.6"/>
    <row r="367" ht="15.6"/>
    <row r="368" ht="15.6"/>
    <row r="369" ht="15.6"/>
    <row r="370" ht="15.6"/>
    <row r="371" ht="15.6"/>
    <row r="372" ht="15.6"/>
    <row r="373" ht="15.6"/>
    <row r="374" ht="15.6"/>
    <row r="375" ht="15.6"/>
    <row r="376" ht="15.6"/>
    <row r="377" ht="15.6"/>
    <row r="378" ht="15.6"/>
    <row r="379" ht="15.6"/>
    <row r="380" ht="15.6"/>
    <row r="381" ht="15.6"/>
    <row r="382" ht="15.6"/>
    <row r="383" ht="15.6"/>
    <row r="384" ht="15.6"/>
    <row r="385" ht="15.6"/>
    <row r="386" ht="15.6"/>
    <row r="387" ht="15.6"/>
    <row r="388" ht="15.6"/>
    <row r="389" ht="15.6"/>
    <row r="390" ht="15.6"/>
    <row r="391" ht="15.6"/>
    <row r="392" ht="15.6"/>
    <row r="393" ht="15.6"/>
    <row r="394" ht="15.6"/>
    <row r="395" ht="15.6"/>
    <row r="396" ht="15.6"/>
    <row r="397" ht="15.6"/>
    <row r="398" ht="15.6"/>
    <row r="399" ht="15.6"/>
    <row r="400" ht="15.6"/>
    <row r="401" ht="15.6"/>
    <row r="402" ht="15.6"/>
    <row r="403" ht="15.6"/>
    <row r="404" ht="15.6"/>
    <row r="405" ht="15.6"/>
    <row r="406" ht="15.6"/>
    <row r="407" ht="15.6"/>
    <row r="408" ht="15.6"/>
    <row r="409" ht="15.6"/>
    <row r="410" ht="15.6"/>
    <row r="411" ht="15.6"/>
    <row r="412" ht="15.6"/>
    <row r="413" ht="15.6"/>
    <row r="414" ht="15.6"/>
    <row r="415" ht="15.6"/>
    <row r="416" ht="15.6"/>
    <row r="417" ht="15.6"/>
    <row r="418" ht="15.6"/>
    <row r="419" ht="15.6"/>
    <row r="420" ht="15.6"/>
    <row r="421" ht="15.6"/>
    <row r="422" ht="15.6"/>
    <row r="423" ht="15.6"/>
    <row r="424" ht="15.6"/>
    <row r="425" ht="15.6"/>
    <row r="426" ht="15.6"/>
    <row r="427" ht="15.6"/>
    <row r="428" ht="15.6"/>
    <row r="429" ht="15.6"/>
    <row r="430" ht="15.6"/>
    <row r="431" ht="15.6"/>
    <row r="432" ht="15.6"/>
    <row r="433" ht="15.6"/>
    <row r="434" ht="15.6"/>
    <row r="435" ht="15.6"/>
    <row r="436" ht="15.6"/>
    <row r="437" ht="15.6"/>
    <row r="438" ht="15.6"/>
    <row r="439" ht="15.6"/>
    <row r="440" ht="15.6"/>
    <row r="441" ht="15.6"/>
    <row r="442" ht="15.6"/>
    <row r="443" ht="15.6"/>
    <row r="444" ht="15.6"/>
    <row r="445" ht="15.6"/>
    <row r="446" ht="15.6"/>
    <row r="447" ht="15.6"/>
    <row r="448" ht="15.6"/>
    <row r="449" ht="15.6"/>
    <row r="450" ht="15.6"/>
    <row r="451" ht="15.6"/>
    <row r="452" ht="15.6"/>
    <row r="453" ht="15.6"/>
    <row r="454" ht="15.6"/>
    <row r="455" ht="15.6"/>
    <row r="456" ht="15.6"/>
    <row r="457" ht="15.6"/>
    <row r="458" ht="15.6"/>
    <row r="459" ht="15.6"/>
    <row r="460" ht="15.6"/>
    <row r="461" ht="15.6"/>
    <row r="462" ht="15.6"/>
    <row r="463" ht="15.6"/>
    <row r="464" ht="15.6"/>
    <row r="465" ht="15.6"/>
    <row r="466" ht="15.6"/>
    <row r="467" ht="15.6"/>
    <row r="468" ht="15.6"/>
    <row r="469" ht="15.6"/>
    <row r="470" ht="15.6"/>
    <row r="471" ht="15.6"/>
    <row r="472" ht="15.6"/>
    <row r="473" ht="15.6"/>
    <row r="474" ht="15.6"/>
    <row r="475" ht="15.6"/>
    <row r="476" ht="15.6"/>
    <row r="477" ht="15.6"/>
    <row r="478" ht="15.6"/>
    <row r="479" ht="15.6"/>
    <row r="480" ht="15.6"/>
    <row r="481" ht="15.6"/>
    <row r="482" ht="15.6"/>
    <row r="483" ht="15.6"/>
    <row r="484" ht="15.6"/>
    <row r="485" ht="15.6"/>
    <row r="486" ht="15.6"/>
    <row r="487" ht="15.6"/>
    <row r="488" ht="15.6"/>
    <row r="489" ht="15.6"/>
    <row r="490" ht="15.6"/>
    <row r="491" ht="15.6"/>
    <row r="492" ht="15.6"/>
    <row r="493" ht="15.6"/>
    <row r="494" ht="15.6"/>
    <row r="495" ht="15.6"/>
    <row r="496" ht="15.6"/>
    <row r="497" ht="15.6"/>
    <row r="498" ht="15.6"/>
    <row r="499" ht="15.6"/>
    <row r="500" ht="15.6"/>
    <row r="501" ht="15.6"/>
    <row r="502" ht="15.6"/>
    <row r="503" ht="15.6"/>
    <row r="504" ht="15.6"/>
    <row r="505" ht="15.6"/>
    <row r="506" ht="15.6"/>
    <row r="507" ht="15.6"/>
    <row r="508" ht="15.6"/>
    <row r="509" ht="15.6"/>
    <row r="510" ht="15.6"/>
    <row r="511" ht="15.6"/>
    <row r="512" ht="15.6"/>
    <row r="513" ht="15.6"/>
    <row r="514" ht="15.6"/>
    <row r="515" ht="15.6"/>
    <row r="516" ht="15.6"/>
    <row r="517" ht="15.6"/>
    <row r="518" ht="15.6"/>
    <row r="519" ht="15.6"/>
    <row r="520" ht="15.6"/>
    <row r="521" ht="15.6"/>
    <row r="522" ht="15.6"/>
    <row r="523" ht="15.6"/>
    <row r="524" ht="15.6"/>
    <row r="525" ht="15.6"/>
    <row r="526" ht="15.6"/>
    <row r="527" ht="15.6"/>
    <row r="528" ht="15.6"/>
    <row r="529" ht="15.6"/>
    <row r="530" ht="15.6"/>
    <row r="531" ht="15.6"/>
    <row r="532" ht="15.6"/>
    <row r="533" ht="15.6"/>
    <row r="534" ht="15.6"/>
    <row r="535" ht="15.6"/>
    <row r="536" ht="15.6"/>
    <row r="537" ht="15.6"/>
    <row r="538" ht="15.6"/>
    <row r="539" ht="15.6"/>
    <row r="540" ht="15.6"/>
    <row r="541" ht="15.6"/>
    <row r="542" ht="15.6"/>
    <row r="543" ht="15.6"/>
    <row r="544" ht="15.6"/>
    <row r="545" ht="15.6"/>
    <row r="546" ht="15.6"/>
    <row r="547" ht="15.6"/>
    <row r="548" ht="15.6"/>
    <row r="549" ht="15.6"/>
    <row r="550" ht="15.6"/>
    <row r="551" ht="15.6"/>
    <row r="552" ht="15.6"/>
    <row r="553" ht="15.6"/>
    <row r="554" ht="15.6"/>
    <row r="555" ht="15.6"/>
    <row r="556" ht="15.6"/>
    <row r="557" ht="15.6"/>
    <row r="558" ht="15.6"/>
    <row r="559" ht="15.6"/>
    <row r="560" ht="15.6"/>
    <row r="561" ht="15.6"/>
    <row r="562" ht="15.6"/>
    <row r="563" ht="15.6"/>
    <row r="564" ht="15.6"/>
    <row r="565" ht="15.6"/>
    <row r="566" ht="15.6"/>
    <row r="567" ht="15.6"/>
    <row r="568" ht="15.6"/>
    <row r="569" ht="15.6"/>
    <row r="570" ht="15.6"/>
    <row r="571" ht="15.6"/>
    <row r="572" ht="15.6"/>
    <row r="573" ht="15.6"/>
    <row r="574" ht="15.6"/>
    <row r="575" ht="15.6"/>
    <row r="576" ht="15.6"/>
    <row r="577" ht="15.6"/>
    <row r="578" ht="15.6"/>
    <row r="579" ht="15.6"/>
    <row r="580" ht="15.6"/>
    <row r="581" ht="15.6"/>
    <row r="582" ht="15.6"/>
    <row r="583" ht="15.6"/>
    <row r="584" ht="15.6"/>
    <row r="585" ht="15.6"/>
    <row r="586" ht="15.6"/>
    <row r="587" ht="15.6"/>
    <row r="588" ht="15.6"/>
    <row r="589" ht="15.6"/>
    <row r="590" ht="15.6"/>
    <row r="591" ht="15.6"/>
    <row r="592" ht="15.6"/>
    <row r="593" ht="15.6"/>
    <row r="594" ht="15.6"/>
    <row r="595" ht="15.6"/>
    <row r="596" ht="15.6"/>
    <row r="597" ht="15.6"/>
    <row r="598" ht="15.6"/>
    <row r="599" ht="15.6"/>
    <row r="600" ht="15.6"/>
    <row r="601" ht="15.6"/>
    <row r="602" ht="15.6"/>
    <row r="603" ht="15.6"/>
    <row r="604" ht="15.6"/>
    <row r="605" ht="15.6"/>
    <row r="606" ht="15.6"/>
    <row r="607" ht="15.6"/>
    <row r="608" ht="15.6"/>
    <row r="609" ht="15.6"/>
    <row r="610" ht="15.6"/>
    <row r="611" ht="15.6"/>
    <row r="612" ht="15.6"/>
    <row r="613" ht="15.6"/>
    <row r="614" ht="15.6"/>
    <row r="615" ht="15.6"/>
    <row r="616" ht="15.6"/>
    <row r="617" ht="15.6"/>
    <row r="618" ht="15.6"/>
    <row r="619" ht="15.6"/>
    <row r="620" ht="15.6"/>
    <row r="621" ht="15.6"/>
    <row r="622" ht="15.6"/>
    <row r="623" ht="15.6"/>
    <row r="624" ht="15.6"/>
    <row r="625" ht="15.6"/>
    <row r="626" ht="15.6"/>
    <row r="627" ht="15.6"/>
    <row r="628" ht="15.6"/>
    <row r="629" ht="15.6"/>
    <row r="630" ht="15.6"/>
    <row r="631" ht="15.6"/>
    <row r="632" ht="15.6"/>
    <row r="633" ht="15.6"/>
    <row r="634" ht="15.6"/>
    <row r="635" ht="15.6"/>
    <row r="636" ht="15.6"/>
    <row r="637" ht="15.6"/>
    <row r="638" ht="15.6"/>
    <row r="639" ht="15.6"/>
    <row r="640" ht="15.6"/>
    <row r="641" ht="15.6"/>
    <row r="642" ht="15.6"/>
    <row r="643" ht="15.6"/>
    <row r="644" ht="15.6"/>
    <row r="645" ht="15.6"/>
    <row r="646" ht="15.6"/>
    <row r="647" ht="15.6"/>
    <row r="648" ht="15.6"/>
    <row r="649" ht="15.6"/>
    <row r="650" ht="15.6"/>
    <row r="651" ht="15.6"/>
    <row r="652" ht="15.6"/>
    <row r="653" ht="15.6"/>
    <row r="654" ht="15.6"/>
    <row r="655" ht="15.6"/>
    <row r="656" ht="15.6"/>
    <row r="657" ht="15.6"/>
    <row r="658" ht="15.6"/>
    <row r="659" ht="15.6"/>
    <row r="660" ht="15.6"/>
    <row r="661" ht="15.6"/>
    <row r="662" ht="15.6"/>
    <row r="663" ht="15.6"/>
    <row r="664" ht="15.6"/>
    <row r="665" ht="15.6"/>
    <row r="666" ht="15.6"/>
    <row r="667" ht="15.6"/>
    <row r="668" ht="15.6"/>
    <row r="669" ht="15.6"/>
    <row r="670" ht="15.6"/>
    <row r="671" ht="15.6"/>
    <row r="672" ht="15.6"/>
    <row r="673" ht="15.6"/>
    <row r="674" ht="15.6"/>
    <row r="675" ht="15.6"/>
    <row r="676" ht="15.6"/>
    <row r="677" ht="15.6"/>
    <row r="678" ht="15.6"/>
    <row r="679" ht="15.6"/>
    <row r="680" ht="15.6"/>
    <row r="681" ht="15.6"/>
    <row r="682" ht="15.6"/>
    <row r="683" ht="15.6"/>
    <row r="684" ht="15.6"/>
    <row r="685" ht="15.6"/>
    <row r="686" ht="15.6"/>
    <row r="687" ht="15.6"/>
    <row r="688" ht="15.6"/>
    <row r="689" ht="15.6"/>
    <row r="690" ht="15.6"/>
    <row r="691" ht="15.6"/>
    <row r="692" ht="15.6"/>
    <row r="693" ht="15.6"/>
    <row r="694" ht="15.6"/>
    <row r="695" ht="15.6"/>
    <row r="696" ht="15.6"/>
    <row r="697" ht="15.6"/>
    <row r="698" ht="15.6"/>
    <row r="699" ht="15.6"/>
    <row r="700" ht="15.6"/>
    <row r="701" ht="15.6"/>
    <row r="702" ht="15.6"/>
    <row r="703" ht="15.6"/>
    <row r="704" ht="15.6"/>
    <row r="705" ht="15.6"/>
    <row r="706" ht="15.6"/>
    <row r="707" ht="15.6"/>
    <row r="708" ht="15.6"/>
    <row r="709" ht="15.6"/>
    <row r="710" ht="15.6"/>
    <row r="711" ht="15.6"/>
    <row r="712" ht="15.6"/>
    <row r="713" ht="15.6"/>
    <row r="714" ht="15.6"/>
    <row r="715" ht="15.6"/>
    <row r="716" ht="15.6"/>
    <row r="717" ht="15.6"/>
    <row r="718" ht="15.6"/>
    <row r="719" ht="15.6"/>
    <row r="720" ht="15.6"/>
    <row r="721" ht="15.6"/>
    <row r="722" ht="15.6"/>
    <row r="723" ht="15.6"/>
    <row r="724" ht="15.6"/>
    <row r="725" ht="15.6"/>
    <row r="726" ht="15.6"/>
    <row r="727" ht="15.6"/>
    <row r="728" ht="15.6"/>
    <row r="729" ht="15.6"/>
    <row r="730" ht="15.6"/>
    <row r="731" ht="15.6"/>
    <row r="732" ht="15.6"/>
    <row r="733" ht="15.6"/>
    <row r="734" ht="15.6"/>
    <row r="735" ht="15.6"/>
    <row r="736" ht="15.6"/>
    <row r="737" ht="15.6"/>
    <row r="738" ht="15.6"/>
    <row r="739" ht="15.6"/>
    <row r="740" ht="15.6"/>
    <row r="741" ht="15.6"/>
    <row r="742" ht="15.6"/>
    <row r="743" ht="15.6"/>
    <row r="744" ht="15.6"/>
    <row r="745" ht="15.6"/>
    <row r="746" ht="15.6"/>
    <row r="747" ht="15.6"/>
    <row r="748" ht="15.6"/>
    <row r="749" ht="15.6"/>
    <row r="750" ht="15.6"/>
    <row r="751" ht="15.6"/>
    <row r="752" ht="15.6"/>
    <row r="753" ht="15.6"/>
    <row r="754" ht="15.6"/>
    <row r="755" ht="15.6"/>
    <row r="756" ht="15.6"/>
    <row r="757" ht="15.6"/>
    <row r="758" ht="15.6"/>
    <row r="759" ht="15.6"/>
    <row r="760" ht="15.6"/>
    <row r="761" ht="15.6"/>
    <row r="762" ht="15.6"/>
    <row r="763" ht="15.6"/>
    <row r="764" ht="15.6"/>
    <row r="765" ht="15.6"/>
    <row r="766" ht="15.6"/>
    <row r="767" ht="15.6"/>
    <row r="768" ht="15.6"/>
    <row r="769" ht="15.6"/>
    <row r="770" ht="15.6"/>
    <row r="771" ht="15.6"/>
    <row r="772" ht="15.6"/>
    <row r="773" ht="15.6"/>
    <row r="774" ht="15.6"/>
    <row r="775" ht="15.6"/>
    <row r="776" ht="15.6"/>
    <row r="777" ht="15.6"/>
    <row r="778" ht="15.6"/>
    <row r="779" ht="15.6"/>
    <row r="780" ht="15.6"/>
    <row r="781" ht="15.6"/>
    <row r="782" ht="15.6"/>
    <row r="783" ht="15.6"/>
    <row r="784" ht="15.6"/>
    <row r="785" ht="15.6"/>
    <row r="786" ht="15.6"/>
    <row r="787" ht="15.6"/>
    <row r="788" ht="15.6"/>
    <row r="789" ht="15.6"/>
    <row r="790" ht="15.6"/>
    <row r="791" ht="15.6"/>
    <row r="792" ht="15.6"/>
    <row r="793" ht="15.6"/>
    <row r="794" ht="15.6"/>
    <row r="795" ht="15.6"/>
    <row r="796" ht="15.6"/>
    <row r="797" ht="15.6"/>
    <row r="798" ht="15.6"/>
    <row r="799" ht="15.6"/>
    <row r="800" ht="15.6"/>
    <row r="801" ht="15.6"/>
    <row r="802" ht="15.6"/>
    <row r="803" ht="15.6"/>
    <row r="804" ht="15.6"/>
    <row r="805" ht="15.6"/>
    <row r="806" ht="15.6"/>
    <row r="807" ht="15.6"/>
    <row r="808" ht="15.6"/>
    <row r="809" ht="15.6"/>
    <row r="810" ht="15.6"/>
    <row r="811" ht="15.6"/>
    <row r="812" ht="15.6"/>
    <row r="813" ht="15.6"/>
    <row r="814" ht="15.6"/>
    <row r="815" ht="15.6"/>
    <row r="816" ht="15.6"/>
    <row r="817" ht="15.6"/>
    <row r="818" ht="15.6"/>
    <row r="819" ht="15.6"/>
    <row r="820" ht="15.6"/>
    <row r="821" ht="15.6"/>
    <row r="822" ht="15.6"/>
    <row r="823" ht="15.6"/>
    <row r="824" ht="15.6"/>
    <row r="825" ht="15.6"/>
    <row r="826" ht="15.6"/>
    <row r="827" ht="15.6"/>
    <row r="828" ht="15.6"/>
    <row r="829" ht="15.6"/>
    <row r="830" ht="15.6"/>
    <row r="831" ht="15.6"/>
    <row r="832" ht="15.6"/>
    <row r="833" ht="15.6"/>
    <row r="834" ht="15.6"/>
    <row r="835" ht="15.6"/>
    <row r="836" ht="15.6"/>
    <row r="837" ht="15.6"/>
    <row r="838" ht="15.6"/>
    <row r="839" ht="15.6"/>
    <row r="840" ht="15.6"/>
    <row r="841" ht="15.6"/>
    <row r="842" ht="15.6"/>
    <row r="843" ht="15.6"/>
    <row r="844" ht="15.6"/>
    <row r="845" ht="15.6"/>
    <row r="846" ht="15.6"/>
    <row r="847" ht="15.6"/>
    <row r="848" ht="15.6"/>
    <row r="849" ht="15.6"/>
    <row r="850" ht="15.6"/>
    <row r="851" ht="15.6"/>
    <row r="852" ht="15.6"/>
    <row r="853" ht="15.6"/>
    <row r="854" ht="15.6"/>
    <row r="855" ht="15.6"/>
    <row r="856" ht="15.6"/>
    <row r="857" ht="15.6"/>
    <row r="858" ht="15.6"/>
    <row r="859" ht="15.6"/>
    <row r="860" ht="15.6"/>
    <row r="861" ht="15.6"/>
    <row r="862" ht="15.6"/>
    <row r="863" ht="15.6"/>
    <row r="864" ht="15.6"/>
    <row r="865" ht="15.6"/>
    <row r="866" ht="15.6"/>
    <row r="867" ht="15.6"/>
    <row r="868" ht="15.6"/>
    <row r="869" ht="15.6"/>
    <row r="870" ht="15.6"/>
    <row r="871" ht="15.6"/>
    <row r="872" ht="15.6"/>
    <row r="873" ht="15.6"/>
    <row r="874" ht="15.6"/>
    <row r="875" ht="15.6"/>
    <row r="876" ht="15.6"/>
    <row r="877" ht="15.6"/>
    <row r="878" ht="15.6"/>
    <row r="879" ht="15.6"/>
    <row r="880" ht="15.6"/>
    <row r="881" ht="15.6"/>
    <row r="882" ht="15.6"/>
    <row r="883" ht="15.6"/>
    <row r="884" ht="15.6"/>
    <row r="885" ht="15.6"/>
    <row r="886" ht="15.6"/>
    <row r="887" ht="15.6"/>
    <row r="888" ht="15.6"/>
    <row r="889" ht="15.6"/>
    <row r="890" ht="15.6"/>
    <row r="891" ht="15.6"/>
    <row r="892" ht="15.6"/>
    <row r="893" ht="15.6"/>
    <row r="894" ht="15.6"/>
    <row r="895" ht="15.6"/>
    <row r="896" ht="15.6"/>
    <row r="897" ht="15.6"/>
    <row r="898" ht="15.6"/>
    <row r="899" ht="15.6"/>
    <row r="900" ht="15.6"/>
    <row r="901" ht="15.6"/>
    <row r="902" ht="15.6"/>
    <row r="903" ht="15.6"/>
    <row r="904" ht="15.6"/>
    <row r="905" ht="15.6"/>
    <row r="906" ht="15.6"/>
    <row r="907" ht="15.6"/>
    <row r="908" ht="15.6"/>
    <row r="909" ht="15.6"/>
    <row r="910" ht="15.6"/>
    <row r="911" ht="15.6"/>
    <row r="912" ht="15.6"/>
    <row r="913" ht="15.6"/>
    <row r="914" ht="15.6"/>
    <row r="915" ht="15.6"/>
    <row r="916" ht="15.6"/>
    <row r="917" ht="15.6"/>
    <row r="918" ht="15.6"/>
    <row r="919" ht="15.6"/>
    <row r="920" ht="15.6"/>
    <row r="921" ht="15.6"/>
    <row r="922" ht="15.6"/>
    <row r="923" ht="15.6"/>
    <row r="924" ht="15.6"/>
    <row r="925" ht="15.6"/>
    <row r="926" ht="15.6"/>
    <row r="927" ht="15.6"/>
    <row r="928" ht="15.6"/>
    <row r="929" ht="15.6"/>
    <row r="930" ht="15.6"/>
    <row r="931" ht="15.6"/>
    <row r="932" ht="15.6"/>
    <row r="933" ht="15.6"/>
    <row r="934" ht="15.6"/>
    <row r="935" ht="15.6"/>
    <row r="936" ht="15.6"/>
    <row r="937" ht="15.6"/>
    <row r="938" ht="15.6"/>
    <row r="939" ht="15.6"/>
    <row r="940" ht="15.6"/>
    <row r="941" ht="15.6"/>
    <row r="942" ht="15.6"/>
    <row r="943" ht="15.6"/>
    <row r="944" ht="15.6"/>
    <row r="945" ht="15.6"/>
    <row r="946" ht="15.6"/>
    <row r="947" ht="15.6"/>
    <row r="948" ht="15.6"/>
    <row r="949" ht="15.6"/>
    <row r="950" ht="15.6"/>
    <row r="951" ht="15.6"/>
    <row r="952" ht="15.6"/>
    <row r="953" ht="15.6"/>
    <row r="954" ht="15.6"/>
    <row r="955" ht="15.6"/>
    <row r="956" ht="15.6"/>
    <row r="957" ht="15.6"/>
    <row r="958" ht="15.6"/>
    <row r="959" ht="15.6"/>
    <row r="960" ht="15.6"/>
    <row r="961" ht="15.6"/>
    <row r="962" ht="15.6"/>
    <row r="963" ht="15.6"/>
    <row r="964" ht="15.6"/>
    <row r="965" ht="15.6"/>
    <row r="966" ht="15.6"/>
    <row r="967" ht="15.6"/>
    <row r="968" ht="15.6"/>
    <row r="969" ht="15.6"/>
    <row r="970" ht="15.6"/>
    <row r="971" ht="15.6"/>
    <row r="972" ht="15.6"/>
    <row r="973" ht="15.6"/>
    <row r="974" ht="15.6"/>
    <row r="975" ht="15.6"/>
    <row r="976" ht="15.6"/>
    <row r="977" ht="15.6"/>
    <row r="978" ht="15.6"/>
    <row r="979" ht="15.6"/>
    <row r="980" ht="15.6"/>
    <row r="981" ht="15.6"/>
    <row r="982" ht="15.6"/>
    <row r="983" ht="15.6"/>
    <row r="984" ht="15.6"/>
    <row r="985" ht="15.6"/>
    <row r="986" ht="15.6"/>
    <row r="987" ht="15.6"/>
    <row r="988" ht="15.6"/>
    <row r="989" ht="15.6"/>
    <row r="990" ht="15.6"/>
    <row r="991" ht="15.6"/>
    <row r="992" ht="15.6"/>
    <row r="993" ht="15.6"/>
    <row r="994" ht="15.6"/>
    <row r="995" ht="15.6"/>
    <row r="996" ht="15.6"/>
    <row r="997" ht="15.6"/>
    <row r="998" ht="15.6"/>
    <row r="999" ht="15.6"/>
    <row r="1000" ht="15.6"/>
    <row r="1001" ht="15.6"/>
    <row r="1002" ht="15.6"/>
    <row r="1003" ht="15.6"/>
    <row r="1004" ht="15.6"/>
    <row r="1005" ht="15.6"/>
    <row r="1006" ht="15.6"/>
    <row r="1007" ht="15.6"/>
    <row r="1008" ht="15.6"/>
    <row r="1009" ht="15.6"/>
    <row r="1010" ht="15.6"/>
    <row r="1011" ht="15.6"/>
    <row r="1012" ht="15.6"/>
    <row r="1013" ht="15.6"/>
    <row r="1014" ht="15.6"/>
    <row r="1015" ht="15.6"/>
    <row r="1016" ht="15.6"/>
  </sheetData>
  <mergeCells count="4">
    <mergeCell ref="A1:F1"/>
    <mergeCell ref="A4:A5"/>
    <mergeCell ref="B4:F4"/>
    <mergeCell ref="A3:F3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W1018"/>
  <sheetViews>
    <sheetView topLeftCell="A28" zoomScale="145" zoomScaleNormal="145" workbookViewId="0">
      <selection activeCell="C21" sqref="C21"/>
    </sheetView>
  </sheetViews>
  <sheetFormatPr defaultColWidth="15.59765625" defaultRowHeight="15" customHeight="1"/>
  <cols>
    <col min="1" max="1" width="30.8984375" style="235" customWidth="1"/>
    <col min="2" max="5" width="12.5" style="307" customWidth="1"/>
    <col min="6" max="6" width="16.19921875" style="307" customWidth="1"/>
    <col min="7" max="7" width="15.8984375" style="235" customWidth="1"/>
    <col min="8" max="8" width="20.19921875" style="235" customWidth="1"/>
    <col min="9" max="9" width="15.8984375" style="235" customWidth="1"/>
    <col min="10" max="10" width="21.3984375" style="235" customWidth="1"/>
    <col min="11" max="11" width="17.796875" style="235" customWidth="1"/>
    <col min="12" max="13" width="18.3984375" style="235" customWidth="1"/>
    <col min="14" max="14" width="22.5" style="235" customWidth="1"/>
    <col min="15" max="15" width="15" style="123" customWidth="1"/>
    <col min="16" max="19" width="8" style="123" customWidth="1"/>
    <col min="20" max="28" width="15.3984375" style="123" customWidth="1"/>
    <col min="29" max="16384" width="15.59765625" style="123"/>
  </cols>
  <sheetData>
    <row r="1" spans="1:23" ht="22.5" customHeight="1">
      <c r="A1" s="817" t="s">
        <v>222</v>
      </c>
      <c r="B1" s="818"/>
      <c r="C1" s="818"/>
      <c r="D1" s="818"/>
      <c r="E1" s="818"/>
      <c r="F1" s="818"/>
      <c r="G1" s="234"/>
      <c r="H1" s="234"/>
      <c r="I1" s="234"/>
      <c r="J1" s="237"/>
      <c r="K1" s="238"/>
      <c r="L1" s="237"/>
    </row>
    <row r="2" spans="1:23" ht="14.25" customHeight="1">
      <c r="A2" s="239" t="s">
        <v>217</v>
      </c>
      <c r="B2" s="776">
        <v>2024</v>
      </c>
      <c r="C2" s="776">
        <v>2025</v>
      </c>
      <c r="D2" s="776">
        <v>2026</v>
      </c>
      <c r="E2" s="776">
        <v>2027</v>
      </c>
      <c r="F2" s="776">
        <v>2028</v>
      </c>
      <c r="G2" s="240"/>
      <c r="O2" s="139"/>
      <c r="P2" s="139"/>
      <c r="Q2" s="139"/>
      <c r="R2" s="139"/>
      <c r="S2" s="139"/>
      <c r="T2" s="139"/>
      <c r="U2" s="139"/>
      <c r="V2" s="139"/>
      <c r="W2" s="139"/>
    </row>
    <row r="3" spans="1:23" ht="25.05" customHeight="1">
      <c r="A3" s="231" t="s">
        <v>463</v>
      </c>
      <c r="B3" s="777">
        <f>SUM(План!B9:E9)</f>
        <v>3</v>
      </c>
      <c r="C3" s="777">
        <f>SUM(План!F9:I9)</f>
        <v>0</v>
      </c>
      <c r="D3" s="777">
        <f>SUM(План!J9:M9)</f>
        <v>0</v>
      </c>
      <c r="E3" s="777">
        <f>SUM(План!N9:Q9)</f>
        <v>0</v>
      </c>
      <c r="F3" s="777">
        <f>SUM(План!R9:U9)</f>
        <v>0</v>
      </c>
      <c r="G3" s="242">
        <f t="shared" ref="G3:G8" si="0">SUM(B3:F3)</f>
        <v>3</v>
      </c>
    </row>
    <row r="4" spans="1:23" s="753" customFormat="1" ht="25.05" customHeight="1">
      <c r="A4" s="231" t="s">
        <v>464</v>
      </c>
      <c r="B4" s="777">
        <f>SUM(План!B13:E13)</f>
        <v>0</v>
      </c>
      <c r="C4" s="777">
        <f>SUM(План!F13:I13)</f>
        <v>20</v>
      </c>
      <c r="D4" s="777">
        <f>SUM(План!J13:M13)</f>
        <v>61</v>
      </c>
      <c r="E4" s="777">
        <f>SUM(План!N13:Q13)</f>
        <v>239</v>
      </c>
      <c r="F4" s="777">
        <f>SUM(План!R13:U13)</f>
        <v>1066</v>
      </c>
      <c r="G4" s="303">
        <f t="shared" si="0"/>
        <v>1386</v>
      </c>
      <c r="H4" s="235"/>
      <c r="I4" s="235"/>
      <c r="J4" s="235"/>
      <c r="K4" s="235"/>
      <c r="L4" s="235"/>
      <c r="M4" s="235"/>
      <c r="N4" s="235"/>
    </row>
    <row r="5" spans="1:23" s="753" customFormat="1" ht="25.05" customHeight="1">
      <c r="A5" s="231" t="s">
        <v>465</v>
      </c>
      <c r="B5" s="777">
        <f>SUM(План!B17:E17)</f>
        <v>0.1</v>
      </c>
      <c r="C5" s="777">
        <f>SUM(План!F17:I17)</f>
        <v>1</v>
      </c>
      <c r="D5" s="777">
        <f>SUM(План!J17:M17)</f>
        <v>0</v>
      </c>
      <c r="E5" s="777">
        <f>SUM(План!N17:Q17)</f>
        <v>0</v>
      </c>
      <c r="F5" s="777">
        <f>SUM(План!R17:U17)</f>
        <v>0</v>
      </c>
      <c r="G5" s="303">
        <f t="shared" si="0"/>
        <v>1.1000000000000001</v>
      </c>
      <c r="H5" s="235"/>
      <c r="I5" s="235"/>
      <c r="J5" s="235"/>
      <c r="K5" s="235"/>
      <c r="L5" s="235"/>
      <c r="M5" s="235"/>
      <c r="N5" s="235"/>
    </row>
    <row r="6" spans="1:23" s="753" customFormat="1" ht="25.05" customHeight="1">
      <c r="A6" s="231" t="s">
        <v>466</v>
      </c>
      <c r="B6" s="777">
        <f>SUM(План!B21:E21)</f>
        <v>0</v>
      </c>
      <c r="C6" s="777">
        <f>SUM(План!F21:I21)</f>
        <v>1</v>
      </c>
      <c r="D6" s="777">
        <f>SUM(План!J21:M21)</f>
        <v>0.5</v>
      </c>
      <c r="E6" s="777">
        <f>SUM(План!N21:Q21)</f>
        <v>0</v>
      </c>
      <c r="F6" s="777">
        <f>SUM(План!R21:U21)</f>
        <v>0</v>
      </c>
      <c r="G6" s="303">
        <f t="shared" si="0"/>
        <v>1.5</v>
      </c>
      <c r="H6" s="235"/>
      <c r="I6" s="235"/>
      <c r="J6" s="235"/>
      <c r="K6" s="235"/>
      <c r="L6" s="235"/>
      <c r="M6" s="235"/>
      <c r="N6" s="235"/>
    </row>
    <row r="7" spans="1:23" s="526" customFormat="1" ht="25.05" customHeight="1">
      <c r="A7" s="231" t="s">
        <v>467</v>
      </c>
      <c r="B7" s="777">
        <f>SUM(План!B25:E25)</f>
        <v>0</v>
      </c>
      <c r="C7" s="777">
        <f>SUM(План!F25:I25)</f>
        <v>1</v>
      </c>
      <c r="D7" s="777">
        <f>SUM(План!J25:M25)</f>
        <v>10</v>
      </c>
      <c r="E7" s="777">
        <f>SUM(План!N25:Q25)</f>
        <v>15</v>
      </c>
      <c r="F7" s="777">
        <f>SUM(План!R25:U25)</f>
        <v>20</v>
      </c>
      <c r="G7" s="303">
        <f t="shared" si="0"/>
        <v>46</v>
      </c>
      <c r="H7" s="235"/>
      <c r="I7" s="235"/>
      <c r="J7" s="235"/>
      <c r="K7" s="235"/>
      <c r="L7" s="235"/>
      <c r="M7" s="235"/>
      <c r="N7" s="235"/>
    </row>
    <row r="8" spans="1:23" s="471" customFormat="1" ht="25.05" customHeight="1">
      <c r="A8" s="231" t="s">
        <v>425</v>
      </c>
      <c r="B8" s="777">
        <f>'VR курсы'!$C$41/План!$A$1*B7</f>
        <v>0</v>
      </c>
      <c r="C8" s="777">
        <f>'VR курсы'!$C$41/План!$A$1*C7</f>
        <v>5655.5555555555557</v>
      </c>
      <c r="D8" s="777">
        <f>'VR курсы'!$C$41/План!$A$1*D7</f>
        <v>56555.555555555555</v>
      </c>
      <c r="E8" s="777">
        <f>'VR курсы'!$C$41/План!$A$1*E7</f>
        <v>84833.333333333328</v>
      </c>
      <c r="F8" s="777">
        <f>'VR курсы'!$C$41/План!$A$1*F7</f>
        <v>113111.11111111111</v>
      </c>
      <c r="G8" s="303">
        <f t="shared" si="0"/>
        <v>260155.55555555556</v>
      </c>
      <c r="H8" s="250"/>
      <c r="I8" s="250"/>
      <c r="J8" s="250"/>
      <c r="K8" s="250"/>
      <c r="L8" s="250"/>
      <c r="M8" s="250"/>
      <c r="N8" s="250"/>
    </row>
    <row r="9" spans="1:23" ht="41.4" customHeight="1">
      <c r="A9" s="233" t="s">
        <v>488</v>
      </c>
      <c r="B9" s="777">
        <f>'VR курсы'!$B$16/План!$A$1</f>
        <v>3476.6444444444446</v>
      </c>
      <c r="C9" s="777">
        <f>'VR курсы'!$B$16/План!$A$1</f>
        <v>3476.6444444444446</v>
      </c>
      <c r="D9" s="777">
        <f>'VR курсы'!$B$16/План!$A$1</f>
        <v>3476.6444444444446</v>
      </c>
      <c r="E9" s="777">
        <f>'VR курсы'!$B$16/План!$A$1</f>
        <v>3476.6444444444446</v>
      </c>
      <c r="F9" s="777">
        <f>'VR курсы'!$B$16/План!$A$1</f>
        <v>3476.6444444444446</v>
      </c>
      <c r="G9" s="243"/>
    </row>
    <row r="10" spans="1:23" s="753" customFormat="1" ht="41.4" customHeight="1">
      <c r="A10" s="233" t="s">
        <v>489</v>
      </c>
      <c r="B10" s="777">
        <f>'VR курсы'!$B$8/План!$A$1</f>
        <v>5240.6222222222214</v>
      </c>
      <c r="C10" s="777">
        <f>'VR курсы'!$B$8/План!$A$1</f>
        <v>5240.6222222222214</v>
      </c>
      <c r="D10" s="777">
        <f>'VR курсы'!$B$8/План!$A$1</f>
        <v>5240.6222222222214</v>
      </c>
      <c r="E10" s="777">
        <f>'VR курсы'!$B$8/План!$A$1</f>
        <v>5240.6222222222214</v>
      </c>
      <c r="F10" s="777">
        <f>'VR курсы'!$B$8/План!$A$1</f>
        <v>5240.6222222222214</v>
      </c>
      <c r="G10" s="304"/>
      <c r="H10" s="235"/>
      <c r="I10" s="235"/>
      <c r="J10" s="235"/>
      <c r="K10" s="235"/>
      <c r="L10" s="235"/>
      <c r="M10" s="235"/>
      <c r="N10" s="235"/>
    </row>
    <row r="11" spans="1:23" s="753" customFormat="1" ht="41.4" customHeight="1">
      <c r="A11" s="233" t="s">
        <v>490</v>
      </c>
      <c r="B11" s="777">
        <f>'VR курсы'!$B$8/План!$A$1</f>
        <v>5240.6222222222214</v>
      </c>
      <c r="C11" s="777">
        <f>'VR курсы'!$B$8/План!$A$1</f>
        <v>5240.6222222222214</v>
      </c>
      <c r="D11" s="777">
        <f>'VR курсы'!$B$8/План!$A$1</f>
        <v>5240.6222222222214</v>
      </c>
      <c r="E11" s="777">
        <f>'VR курсы'!$B$8/План!$A$1</f>
        <v>5240.6222222222214</v>
      </c>
      <c r="F11" s="777">
        <f>'VR курсы'!$B$8/План!$A$1</f>
        <v>5240.6222222222214</v>
      </c>
      <c r="G11" s="304"/>
      <c r="H11" s="235"/>
      <c r="I11" s="235"/>
      <c r="J11" s="235"/>
      <c r="K11" s="235"/>
      <c r="L11" s="235"/>
      <c r="M11" s="235"/>
      <c r="N11" s="235"/>
    </row>
    <row r="12" spans="1:23" s="753" customFormat="1" ht="41.4" customHeight="1">
      <c r="A12" s="233" t="s">
        <v>491</v>
      </c>
      <c r="B12" s="777">
        <f>'VR курсы'!$B$8/План!$A$1</f>
        <v>5240.6222222222214</v>
      </c>
      <c r="C12" s="777">
        <f>'VR курсы'!$B$8/План!$A$1</f>
        <v>5240.6222222222214</v>
      </c>
      <c r="D12" s="777">
        <f>'VR курсы'!$B$8/План!$A$1</f>
        <v>5240.6222222222214</v>
      </c>
      <c r="E12" s="777">
        <f>'VR курсы'!$B$8/План!$A$1</f>
        <v>5240.6222222222214</v>
      </c>
      <c r="F12" s="777">
        <f>'VR курсы'!$B$8/План!$A$1</f>
        <v>5240.6222222222214</v>
      </c>
      <c r="G12" s="304"/>
      <c r="H12" s="235"/>
      <c r="I12" s="235"/>
      <c r="J12" s="235"/>
      <c r="K12" s="235"/>
      <c r="L12" s="235"/>
      <c r="M12" s="235"/>
      <c r="N12" s="235"/>
    </row>
    <row r="13" spans="1:23" s="471" customFormat="1" ht="25.05" customHeight="1">
      <c r="A13" s="231" t="s">
        <v>390</v>
      </c>
      <c r="B13" s="777">
        <f>(B5*'VR курсы'!$C$42+B6*('VR курсы'!$C$42+4500000))/План!$A$1</f>
        <v>2465.5555555555557</v>
      </c>
      <c r="C13" s="777">
        <f>(C5*'VR курсы'!$C$42+C6*('VR курсы'!$C$42+4500000))/План!$A$1</f>
        <v>99311.111111111109</v>
      </c>
      <c r="D13" s="777">
        <f>(D5*'VR курсы'!$C$42+D6*('VR курсы'!$C$42+4500000))/План!$A$1</f>
        <v>37327.777777777781</v>
      </c>
      <c r="E13" s="777">
        <f>(E5*'VR курсы'!$C$42+E6*('VR курсы'!$C$42+4500000))/План!$A$1</f>
        <v>0</v>
      </c>
      <c r="F13" s="777">
        <f>(F5*'VR курсы'!$C$42+F6*('VR курсы'!$C$42+4500000))/План!$A$1</f>
        <v>0</v>
      </c>
      <c r="G13" s="303">
        <f>SUM(B13:F13)</f>
        <v>139104.44444444444</v>
      </c>
      <c r="H13" s="250"/>
      <c r="I13" s="250"/>
      <c r="J13" s="250"/>
      <c r="K13" s="250"/>
      <c r="L13" s="250"/>
      <c r="M13" s="250"/>
      <c r="N13" s="250"/>
    </row>
    <row r="14" spans="1:23" ht="34.799999999999997" customHeight="1">
      <c r="A14" s="231" t="s">
        <v>388</v>
      </c>
      <c r="B14" s="777">
        <f>SUM(План!B37:E37)</f>
        <v>7</v>
      </c>
      <c r="C14" s="777">
        <f>SUM(План!F37:I37)</f>
        <v>60</v>
      </c>
      <c r="D14" s="777">
        <f>SUM(План!J37:M37)</f>
        <v>89</v>
      </c>
      <c r="E14" s="777">
        <f>SUM(План!N37:Q37)</f>
        <v>225</v>
      </c>
      <c r="F14" s="777">
        <f>SUM(План!R37:U37)</f>
        <v>488</v>
      </c>
      <c r="G14" s="242">
        <f>SUM(B14:F14)</f>
        <v>869</v>
      </c>
      <c r="H14" s="464"/>
    </row>
    <row r="15" spans="1:23" ht="25.05" customHeight="1">
      <c r="A15" s="233" t="s">
        <v>493</v>
      </c>
      <c r="B15" s="777">
        <f>'TAU Easy'!$B$3/План!$A$1</f>
        <v>448.8</v>
      </c>
      <c r="C15" s="777">
        <f>IF(C14&lt;1000,'TAU Easy'!$B$3/План!$A$1,IF(C14&lt;3000,'TAU Easy'!$B$3/План!$A$1*0.8,IF(C14&lt;10000,'TAU Easy'!$B$3/План!$A$1*0.7,'TAU Easy'!$B$3/План!$A$1*0.65)))</f>
        <v>448.8</v>
      </c>
      <c r="D15" s="777">
        <f>IF(D14&lt;1000,'TAU Easy'!$B$3/План!$A$1,IF(D14&lt;3000,'TAU Easy'!$B$3/План!$A$1*0.8,IF(D14&lt;10000,'TAU Easy'!$B$3/План!$A$1*0.7,'TAU Easy'!$B$3/План!$A$1*0.65)))</f>
        <v>448.8</v>
      </c>
      <c r="E15" s="777">
        <f>IF(E14&lt;1000,'TAU Easy'!$B$3/План!$A$1,IF(E14&lt;3000,'TAU Easy'!$B$3/План!$A$1*0.8,IF(E14&lt;10000,'TAU Easy'!$B$3/План!$A$1*0.7,'TAU Easy'!$B$3/План!$A$1*0.65)))</f>
        <v>448.8</v>
      </c>
      <c r="F15" s="777">
        <f>IF(F14&lt;1000,'TAU Easy'!$B$3/План!$A$1,IF(F14&lt;3000,'TAU Easy'!$B$3/План!$A$1*0.8,IF(F14&lt;10000,'TAU Easy'!$B$3/План!$A$1*0.7,'TAU Easy'!$B$3/План!$A$1*0.65)))</f>
        <v>448.8</v>
      </c>
      <c r="G15" s="245"/>
    </row>
    <row r="16" spans="1:23" ht="25.05" customHeight="1">
      <c r="A16" s="231" t="s">
        <v>272</v>
      </c>
      <c r="B16" s="777">
        <f>SUM(План!C47:F47)</f>
        <v>0</v>
      </c>
      <c r="C16" s="777">
        <f>SUM(План!G47:J47)</f>
        <v>1094</v>
      </c>
      <c r="D16" s="777">
        <f>SUM(План!K47:N47)</f>
        <v>7959</v>
      </c>
      <c r="E16" s="777">
        <f>SUM(План!O47:R47)</f>
        <v>64047</v>
      </c>
      <c r="F16" s="777">
        <f>SUM(План!S47:V47)</f>
        <v>532325</v>
      </c>
      <c r="G16" s="242">
        <f>SUM(B16:F16)</f>
        <v>605425</v>
      </c>
      <c r="O16" s="445"/>
    </row>
    <row r="17" spans="1:14" ht="25.05" customHeight="1">
      <c r="A17" s="233" t="s">
        <v>496</v>
      </c>
      <c r="B17" s="777">
        <f>'TAU Haptic'!$B$3/План!$A$1</f>
        <v>578.84444444444443</v>
      </c>
      <c r="C17" s="777">
        <f>IF(C16&lt;1000,'TAU Haptic'!$B$3/План!$A$1,IF(C16&lt;3000,'TAU Haptic'!$B$3/План!$A$1*0.8,IF(C16&lt;10000,'TAU Haptic'!$B$3/План!$A$1*0.7,'TAU Haptic'!$B$3/План!$A$1*0.65)))</f>
        <v>463.07555555555558</v>
      </c>
      <c r="D17" s="777">
        <f>IF(D16&lt;1000,'TAU Haptic'!$B$3/План!$A$1,IF(D16&lt;3000,'TAU Haptic'!$B$3/План!$A$1*0.8,IF(D16&lt;10000,'TAU Haptic'!$B$3/План!$A$1*0.7,'TAU Haptic'!$B$3/План!$A$1*0.65)))</f>
        <v>405.19111111111107</v>
      </c>
      <c r="E17" s="777">
        <f>IF(E16&lt;1000,'TAU Haptic'!$B$3/План!$A$1,IF(E16&lt;3000,'TAU Haptic'!$B$3/План!$A$1*0.8,IF(E16&lt;10000,'TAU Haptic'!$B$3/План!$A$1*0.7,'TAU Haptic'!$B$3/План!$A$1*0.65)))</f>
        <v>376.24888888888887</v>
      </c>
      <c r="F17" s="777">
        <f>IF(F16&lt;1000,'TAU Haptic'!$B$3/План!$A$1,IF(F16&lt;3000,'TAU Haptic'!$B$3/План!$A$1*0.8,IF(F16&lt;10000,'TAU Haptic'!$B$3/План!$A$1*0.7,'TAU Haptic'!$B$3/План!$A$1*0.65)))</f>
        <v>376.24888888888887</v>
      </c>
      <c r="G17" s="245"/>
    </row>
    <row r="18" spans="1:14" ht="25.05" customHeight="1">
      <c r="A18" s="231" t="s">
        <v>273</v>
      </c>
      <c r="B18" s="777">
        <f>SUM(План!C57:F57)</f>
        <v>0</v>
      </c>
      <c r="C18" s="777">
        <f>SUM(План!G57:J57)</f>
        <v>10</v>
      </c>
      <c r="D18" s="777">
        <f>SUM(План!K57:N57)</f>
        <v>713</v>
      </c>
      <c r="E18" s="777">
        <f>SUM(План!O57:R57)</f>
        <v>11280</v>
      </c>
      <c r="F18" s="777">
        <f>SUM(План!S57:V57)</f>
        <v>180480</v>
      </c>
      <c r="G18" s="242">
        <f>SUM(B18:F18)</f>
        <v>192483</v>
      </c>
    </row>
    <row r="19" spans="1:14" ht="25.05" customHeight="1">
      <c r="A19" s="233" t="s">
        <v>495</v>
      </c>
      <c r="B19" s="777">
        <f>'TAU Suit'!$B$3/План!$A$1</f>
        <v>1271.1111111111111</v>
      </c>
      <c r="C19" s="777">
        <f>IF(C18&lt;1000,'TAU Suit'!$B$3/План!$A$1,IF(C18&lt;3000,'TAU Suit'!$B$3/План!$A$1*0.8,IF(C18&lt;10000,'TAU Suit'!$B$3/План!$A$1*0.7,'TAU Suit'!$B$3/План!$A$1*0.65)))</f>
        <v>1271.1111111111111</v>
      </c>
      <c r="D19" s="777">
        <f>IF(D18&lt;1000,'TAU Suit'!$B$3/План!$A$1,IF(D18&lt;3000,'TAU Suit'!$B$3/План!$A$1*0.8,IF(D18&lt;10000,'TAU Suit'!$B$3/План!$A$1*0.7,'TAU Suit'!$B$3/План!$A$1*0.65)))</f>
        <v>1271.1111111111111</v>
      </c>
      <c r="E19" s="777">
        <f>IF(E18&lt;1000,'TAU Suit'!$B$3/План!$A$1,IF(E18&lt;3000,'TAU Suit'!$B$3/План!$A$1*0.8,IF(E18&lt;10000,'TAU Suit'!$B$3/План!$A$1*0.7,'TAU Suit'!$B$3/План!$A$1*0.65)))</f>
        <v>826.22222222222229</v>
      </c>
      <c r="F19" s="777">
        <f>IF(F18&lt;1000,'TAU Suit'!$B$3/План!$A$1,IF(F18&lt;3000,'TAU Suit'!$B$3/План!$A$1*0.8,IF(F18&lt;10000,'TAU Suit'!$B$3/План!$A$1*0.7,'TAU Suit'!$B$3/План!$A$1*0.65)))</f>
        <v>826.22222222222229</v>
      </c>
      <c r="G19" s="242"/>
    </row>
    <row r="20" spans="1:14" s="755" customFormat="1" ht="41.4" customHeight="1">
      <c r="A20" s="233" t="s">
        <v>484</v>
      </c>
      <c r="B20" s="777">
        <f t="shared" ref="B20:F23" si="1">B3*B9</f>
        <v>10429.933333333334</v>
      </c>
      <c r="C20" s="777">
        <f t="shared" si="1"/>
        <v>0</v>
      </c>
      <c r="D20" s="777">
        <f t="shared" si="1"/>
        <v>0</v>
      </c>
      <c r="E20" s="777">
        <f t="shared" si="1"/>
        <v>0</v>
      </c>
      <c r="F20" s="777">
        <f t="shared" si="1"/>
        <v>0</v>
      </c>
      <c r="G20" s="304"/>
      <c r="H20" s="235"/>
      <c r="I20" s="235"/>
      <c r="J20" s="235"/>
      <c r="K20" s="235"/>
      <c r="L20" s="235"/>
      <c r="M20" s="235"/>
      <c r="N20" s="235"/>
    </row>
    <row r="21" spans="1:14" s="755" customFormat="1" ht="41.4" customHeight="1">
      <c r="A21" s="233" t="s">
        <v>485</v>
      </c>
      <c r="B21" s="777">
        <f t="shared" si="1"/>
        <v>0</v>
      </c>
      <c r="C21" s="777">
        <f t="shared" si="1"/>
        <v>104812.44444444442</v>
      </c>
      <c r="D21" s="777">
        <f t="shared" si="1"/>
        <v>319677.95555555553</v>
      </c>
      <c r="E21" s="777">
        <f t="shared" si="1"/>
        <v>1252508.7111111109</v>
      </c>
      <c r="F21" s="777">
        <f t="shared" si="1"/>
        <v>5586503.2888888875</v>
      </c>
      <c r="G21" s="304"/>
      <c r="H21" s="235"/>
      <c r="I21" s="235"/>
      <c r="J21" s="235"/>
      <c r="K21" s="235"/>
      <c r="L21" s="235"/>
      <c r="M21" s="235"/>
      <c r="N21" s="235"/>
    </row>
    <row r="22" spans="1:14" s="755" customFormat="1" ht="41.4" customHeight="1">
      <c r="A22" s="233" t="s">
        <v>486</v>
      </c>
      <c r="B22" s="777">
        <f t="shared" si="1"/>
        <v>524.0622222222222</v>
      </c>
      <c r="C22" s="777">
        <f t="shared" si="1"/>
        <v>5240.6222222222214</v>
      </c>
      <c r="D22" s="777">
        <f t="shared" si="1"/>
        <v>0</v>
      </c>
      <c r="E22" s="777">
        <f t="shared" si="1"/>
        <v>0</v>
      </c>
      <c r="F22" s="777">
        <f t="shared" si="1"/>
        <v>0</v>
      </c>
      <c r="G22" s="304"/>
      <c r="H22" s="235"/>
      <c r="I22" s="235"/>
      <c r="J22" s="235"/>
      <c r="K22" s="235"/>
      <c r="L22" s="235"/>
      <c r="M22" s="235"/>
      <c r="N22" s="235"/>
    </row>
    <row r="23" spans="1:14" s="755" customFormat="1" ht="41.4" customHeight="1">
      <c r="A23" s="233" t="s">
        <v>487</v>
      </c>
      <c r="B23" s="777">
        <f t="shared" si="1"/>
        <v>0</v>
      </c>
      <c r="C23" s="777">
        <f t="shared" si="1"/>
        <v>5240.6222222222214</v>
      </c>
      <c r="D23" s="777">
        <f t="shared" si="1"/>
        <v>2620.3111111111107</v>
      </c>
      <c r="E23" s="777">
        <f t="shared" si="1"/>
        <v>0</v>
      </c>
      <c r="F23" s="777">
        <f t="shared" si="1"/>
        <v>0</v>
      </c>
      <c r="G23" s="304"/>
      <c r="H23" s="235"/>
      <c r="I23" s="235"/>
      <c r="J23" s="235"/>
      <c r="K23" s="235"/>
      <c r="L23" s="235"/>
      <c r="M23" s="235"/>
      <c r="N23" s="235"/>
    </row>
    <row r="24" spans="1:14" s="755" customFormat="1" ht="41.4" customHeight="1">
      <c r="A24" s="233" t="s">
        <v>498</v>
      </c>
      <c r="B24" s="777">
        <f>B13*(B5+B6)</f>
        <v>246.55555555555557</v>
      </c>
      <c r="C24" s="777">
        <f t="shared" ref="C24:F24" si="2">C13*(C5+C6)</f>
        <v>198622.22222222222</v>
      </c>
      <c r="D24" s="777">
        <f t="shared" si="2"/>
        <v>18663.888888888891</v>
      </c>
      <c r="E24" s="777">
        <f t="shared" si="2"/>
        <v>0</v>
      </c>
      <c r="F24" s="777">
        <f t="shared" si="2"/>
        <v>0</v>
      </c>
      <c r="G24" s="304"/>
      <c r="H24" s="235"/>
      <c r="I24" s="235"/>
      <c r="J24" s="235"/>
      <c r="K24" s="235"/>
      <c r="L24" s="235"/>
      <c r="M24" s="235"/>
      <c r="N24" s="235"/>
    </row>
    <row r="25" spans="1:14" s="755" customFormat="1" ht="41.4" customHeight="1">
      <c r="A25" s="233" t="s">
        <v>499</v>
      </c>
      <c r="B25" s="777">
        <f>B7*B8</f>
        <v>0</v>
      </c>
      <c r="C25" s="777">
        <f t="shared" ref="C25:F25" si="3">C7*C8</f>
        <v>5655.5555555555557</v>
      </c>
      <c r="D25" s="777">
        <f t="shared" si="3"/>
        <v>565555.5555555555</v>
      </c>
      <c r="E25" s="777">
        <f t="shared" si="3"/>
        <v>1272500</v>
      </c>
      <c r="F25" s="777">
        <f t="shared" si="3"/>
        <v>2262222.222222222</v>
      </c>
      <c r="G25" s="304"/>
      <c r="H25" s="235"/>
      <c r="I25" s="235"/>
      <c r="J25" s="235"/>
      <c r="K25" s="235"/>
      <c r="L25" s="235"/>
      <c r="M25" s="235"/>
      <c r="N25" s="235"/>
    </row>
    <row r="26" spans="1:14" s="755" customFormat="1" ht="26.4" customHeight="1">
      <c r="A26" s="233" t="s">
        <v>492</v>
      </c>
      <c r="B26" s="777">
        <f>B14*B15</f>
        <v>3141.6</v>
      </c>
      <c r="C26" s="777">
        <f>C14*C15</f>
        <v>26928</v>
      </c>
      <c r="D26" s="777">
        <f>D14*D15</f>
        <v>39943.200000000004</v>
      </c>
      <c r="E26" s="777">
        <f>E14*E15</f>
        <v>100980</v>
      </c>
      <c r="F26" s="777">
        <f>F14*F15</f>
        <v>219014.39999999999</v>
      </c>
      <c r="G26" s="304"/>
      <c r="H26" s="235"/>
      <c r="I26" s="235"/>
      <c r="J26" s="235"/>
      <c r="K26" s="235"/>
      <c r="L26" s="235"/>
      <c r="M26" s="235"/>
      <c r="N26" s="235"/>
    </row>
    <row r="27" spans="1:14" s="755" customFormat="1" ht="26.4" customHeight="1">
      <c r="A27" s="233" t="s">
        <v>494</v>
      </c>
      <c r="B27" s="777">
        <f>B16*B17</f>
        <v>0</v>
      </c>
      <c r="C27" s="777">
        <f>C16*C17</f>
        <v>506604.65777777781</v>
      </c>
      <c r="D27" s="777">
        <f>D16*D17</f>
        <v>3224916.0533333332</v>
      </c>
      <c r="E27" s="777">
        <f>E16*E17</f>
        <v>24097612.586666666</v>
      </c>
      <c r="F27" s="777">
        <f>F16*F17</f>
        <v>200286689.77777776</v>
      </c>
      <c r="G27" s="304"/>
      <c r="H27" s="235"/>
      <c r="I27" s="235"/>
      <c r="J27" s="235"/>
      <c r="K27" s="235"/>
      <c r="L27" s="235"/>
      <c r="M27" s="235"/>
      <c r="N27" s="235"/>
    </row>
    <row r="28" spans="1:14" s="755" customFormat="1" ht="25.05" customHeight="1">
      <c r="A28" s="233" t="s">
        <v>497</v>
      </c>
      <c r="B28" s="777">
        <f>B18*B19</f>
        <v>0</v>
      </c>
      <c r="C28" s="777">
        <f>C18*C19</f>
        <v>12711.111111111111</v>
      </c>
      <c r="D28" s="777">
        <f>D18*D19</f>
        <v>906302.22222222225</v>
      </c>
      <c r="E28" s="777">
        <f>E18*E19</f>
        <v>9319786.6666666679</v>
      </c>
      <c r="F28" s="777">
        <f>F18*F19</f>
        <v>149116586.66666669</v>
      </c>
      <c r="G28" s="303"/>
      <c r="H28" s="235"/>
      <c r="I28" s="235"/>
      <c r="J28" s="235"/>
      <c r="K28" s="235"/>
      <c r="L28" s="235"/>
      <c r="M28" s="235"/>
      <c r="N28" s="235"/>
    </row>
    <row r="29" spans="1:14" s="527" customFormat="1" ht="25.05" customHeight="1">
      <c r="A29" s="233" t="s">
        <v>426</v>
      </c>
      <c r="B29" s="777">
        <f>SUM(B3:B7,B14,B16,B18)*2000/План!$A$1</f>
        <v>224.44444444444446</v>
      </c>
      <c r="C29" s="777">
        <f>SUM(C3:C7,C14,C16,C18)*2000/План!$A$1</f>
        <v>26377.777777777777</v>
      </c>
      <c r="D29" s="777">
        <f>SUM(D3:D7,D14,D16,D18)*2000/План!$A$1</f>
        <v>196277.77777777778</v>
      </c>
      <c r="E29" s="777">
        <f>SUM(E3:E7,E14,E16,E18)*2000/План!$A$1</f>
        <v>1684577.7777777778</v>
      </c>
      <c r="F29" s="777">
        <f>SUM(F3:F7,F14,F16,F18)*2000/План!$A$1</f>
        <v>15875088.888888888</v>
      </c>
      <c r="G29" s="303">
        <f>SUM(B29:F29)</f>
        <v>17782546.666666664</v>
      </c>
      <c r="H29" s="235"/>
      <c r="I29" s="235"/>
      <c r="J29" s="235"/>
      <c r="K29" s="235"/>
      <c r="L29" s="235"/>
      <c r="M29" s="235"/>
      <c r="N29" s="235"/>
    </row>
    <row r="30" spans="1:14" ht="25.05" customHeight="1">
      <c r="A30" s="248" t="s">
        <v>223</v>
      </c>
      <c r="B30" s="778">
        <f>-SUM(B20:B29)</f>
        <v>-14566.595555555557</v>
      </c>
      <c r="C30" s="778">
        <f t="shared" ref="C30:F30" si="4">-SUM(C20:C29)</f>
        <v>-892193.01333333331</v>
      </c>
      <c r="D30" s="778">
        <f t="shared" si="4"/>
        <v>-5273956.9644444445</v>
      </c>
      <c r="E30" s="778">
        <f t="shared" si="4"/>
        <v>-37727965.74222222</v>
      </c>
      <c r="F30" s="778">
        <f t="shared" si="4"/>
        <v>-373346105.24444443</v>
      </c>
      <c r="G30" s="249">
        <f>SUM(B30:F30)</f>
        <v>-417254787.56</v>
      </c>
    </row>
    <row r="31" spans="1:14" ht="25.05" customHeight="1">
      <c r="A31" s="250"/>
      <c r="B31" s="306"/>
      <c r="C31" s="306"/>
      <c r="D31" s="306"/>
      <c r="E31" s="306"/>
      <c r="F31" s="306"/>
      <c r="G31" s="250"/>
    </row>
    <row r="32" spans="1:14" ht="25.05" customHeight="1">
      <c r="A32" s="251"/>
      <c r="B32" s="306"/>
      <c r="C32" s="306"/>
      <c r="D32" s="306"/>
      <c r="E32" s="306"/>
      <c r="F32" s="306"/>
      <c r="G32" s="250"/>
    </row>
    <row r="33" spans="1:7" ht="25.05" customHeight="1">
      <c r="A33" s="252"/>
      <c r="B33" s="306"/>
      <c r="C33" s="306"/>
      <c r="D33" s="306"/>
      <c r="E33" s="306"/>
      <c r="F33" s="306"/>
      <c r="G33" s="250"/>
    </row>
    <row r="34" spans="1:7" ht="25.05" customHeight="1">
      <c r="A34" s="253"/>
      <c r="B34" s="306"/>
      <c r="C34" s="306"/>
      <c r="D34" s="306"/>
      <c r="E34" s="306"/>
      <c r="F34" s="306"/>
      <c r="G34" s="250"/>
    </row>
    <row r="35" spans="1:7" ht="25.05" customHeight="1">
      <c r="A35" s="250"/>
      <c r="B35" s="306"/>
      <c r="C35" s="306"/>
      <c r="D35" s="306"/>
      <c r="E35" s="306"/>
      <c r="F35" s="306"/>
      <c r="G35" s="250"/>
    </row>
    <row r="36" spans="1:7" ht="25.05" customHeight="1">
      <c r="A36" s="250"/>
      <c r="B36" s="306"/>
      <c r="C36" s="306"/>
      <c r="D36" s="306"/>
      <c r="E36" s="306"/>
      <c r="F36" s="306"/>
      <c r="G36" s="250"/>
    </row>
    <row r="37" spans="1:7" ht="25.05" customHeight="1">
      <c r="A37" s="250"/>
      <c r="B37" s="306"/>
      <c r="C37" s="306"/>
      <c r="D37" s="306"/>
      <c r="E37" s="306"/>
      <c r="F37" s="306"/>
      <c r="G37" s="250"/>
    </row>
    <row r="38" spans="1:7" ht="25.05" customHeight="1">
      <c r="A38" s="250"/>
      <c r="B38" s="306"/>
      <c r="C38" s="306"/>
      <c r="D38" s="306"/>
      <c r="E38" s="306"/>
      <c r="F38" s="306"/>
      <c r="G38" s="250"/>
    </row>
    <row r="39" spans="1:7" ht="25.05" customHeight="1">
      <c r="A39" s="250"/>
      <c r="B39" s="306"/>
      <c r="C39" s="306"/>
      <c r="D39" s="306"/>
      <c r="E39" s="306"/>
      <c r="F39" s="306"/>
      <c r="G39" s="250"/>
    </row>
    <row r="40" spans="1:7" ht="25.05" customHeight="1"/>
    <row r="41" spans="1:7" ht="25.05" customHeight="1"/>
    <row r="42" spans="1:7" ht="25.05" customHeight="1"/>
    <row r="43" spans="1:7" ht="25.05" customHeight="1"/>
    <row r="44" spans="1:7" ht="25.05" customHeight="1"/>
    <row r="45" spans="1:7" ht="25.05" customHeight="1"/>
    <row r="46" spans="1:7" ht="25.05" customHeight="1"/>
    <row r="47" spans="1:7" ht="25.05" customHeight="1"/>
    <row r="48" spans="1:7" ht="25.05" customHeight="1"/>
    <row r="49" ht="25.05" customHeight="1"/>
    <row r="50" ht="25.05" customHeight="1"/>
    <row r="51" ht="25.05" customHeight="1"/>
    <row r="52" ht="25.05" customHeight="1"/>
    <row r="53" ht="25.05" customHeight="1"/>
    <row r="54" ht="25.05" customHeight="1"/>
    <row r="55" ht="25.05" customHeight="1"/>
    <row r="56" ht="25.05" customHeight="1"/>
    <row r="57" ht="25.05" customHeight="1"/>
    <row r="58" ht="25.05" customHeight="1"/>
    <row r="59" ht="25.05" customHeight="1"/>
    <row r="60" ht="25.05" customHeight="1"/>
    <row r="61" ht="25.05" customHeight="1"/>
    <row r="62" ht="25.05" customHeight="1"/>
    <row r="63" ht="25.05" customHeight="1"/>
    <row r="64" ht="25.05" customHeight="1"/>
    <row r="65" ht="25.05" customHeight="1"/>
    <row r="66" ht="25.05" customHeight="1"/>
    <row r="67" ht="25.05" customHeight="1"/>
    <row r="68" ht="25.05" customHeight="1"/>
    <row r="69" ht="25.05" customHeight="1"/>
    <row r="70" ht="25.05" customHeight="1"/>
    <row r="71" ht="25.05" customHeight="1"/>
    <row r="72" ht="25.05" customHeight="1"/>
    <row r="73" ht="25.05" customHeight="1"/>
    <row r="74" ht="25.05" customHeight="1"/>
    <row r="75" ht="25.05" customHeight="1"/>
    <row r="76" ht="25.05" customHeight="1"/>
    <row r="77" ht="25.05" customHeight="1"/>
    <row r="78" ht="25.05" customHeight="1"/>
    <row r="79" ht="25.05" customHeight="1"/>
    <row r="80" ht="25.05" customHeight="1"/>
    <row r="81" ht="25.05" customHeight="1"/>
    <row r="82" ht="25.05" customHeight="1"/>
    <row r="83" ht="25.05" customHeight="1"/>
    <row r="84" ht="25.05" customHeight="1"/>
    <row r="85" ht="25.05" customHeight="1"/>
    <row r="86" ht="25.05" customHeight="1"/>
    <row r="87" ht="25.05" customHeight="1"/>
    <row r="88" ht="25.05" customHeight="1"/>
    <row r="89" ht="25.05" customHeight="1"/>
    <row r="90" ht="25.05" customHeight="1"/>
    <row r="91" ht="25.05" customHeight="1"/>
    <row r="92" ht="25.05" customHeight="1"/>
    <row r="93" ht="25.05" customHeight="1"/>
    <row r="94" ht="25.05" customHeight="1"/>
    <row r="95" ht="25.05" customHeight="1"/>
    <row r="96" ht="25.05" customHeight="1"/>
    <row r="97" ht="25.05" customHeight="1"/>
    <row r="98" ht="25.05" customHeight="1"/>
    <row r="99" ht="25.05" customHeight="1"/>
    <row r="100" ht="25.05" customHeight="1"/>
    <row r="101" ht="25.05" customHeight="1"/>
    <row r="102" ht="25.05" customHeight="1"/>
    <row r="103" ht="25.05" customHeight="1"/>
    <row r="104" ht="25.05" customHeight="1"/>
    <row r="105" ht="25.05" customHeight="1"/>
    <row r="106" ht="25.05" customHeight="1"/>
    <row r="107" ht="25.05" customHeight="1"/>
    <row r="108" ht="25.05" customHeight="1"/>
    <row r="109" ht="25.05" customHeight="1"/>
    <row r="110" ht="25.05" customHeight="1"/>
    <row r="111" ht="25.05" customHeight="1"/>
    <row r="112" ht="25.05" customHeight="1"/>
    <row r="113" ht="25.05" customHeight="1"/>
    <row r="114" ht="25.05" customHeight="1"/>
    <row r="115" ht="25.05" customHeight="1"/>
    <row r="116" ht="25.05" customHeight="1"/>
    <row r="117" ht="25.05" customHeight="1"/>
    <row r="118" ht="25.05" customHeight="1"/>
    <row r="119" ht="25.05" customHeight="1"/>
    <row r="120" ht="25.05" customHeight="1"/>
    <row r="121" ht="25.05" customHeight="1"/>
    <row r="122" ht="25.05" customHeight="1"/>
    <row r="123" ht="25.05" customHeight="1"/>
    <row r="124" ht="25.05" customHeight="1"/>
    <row r="125" ht="25.05" customHeight="1"/>
    <row r="126" ht="25.05" customHeight="1"/>
    <row r="127" ht="25.05" customHeight="1"/>
    <row r="128" ht="25.05" customHeight="1"/>
    <row r="129" ht="25.05" customHeight="1"/>
    <row r="130" ht="25.05" customHeight="1"/>
    <row r="131" ht="25.05" customHeight="1"/>
    <row r="132" ht="25.05" customHeight="1"/>
    <row r="133" ht="25.05" customHeight="1"/>
    <row r="134" ht="25.05" customHeight="1"/>
    <row r="135" ht="25.05" customHeight="1"/>
    <row r="136" ht="25.05" customHeight="1"/>
    <row r="137" ht="25.05" customHeight="1"/>
    <row r="138" ht="25.05" customHeight="1"/>
    <row r="139" ht="25.05" customHeight="1"/>
    <row r="140" ht="25.05" customHeight="1"/>
    <row r="141" ht="25.05" customHeight="1"/>
    <row r="142" ht="25.05" customHeight="1"/>
    <row r="143" ht="25.05" customHeight="1"/>
    <row r="144" ht="25.05" customHeight="1"/>
    <row r="145" ht="25.05" customHeight="1"/>
    <row r="146" ht="25.05" customHeight="1"/>
    <row r="147" ht="25.05" customHeight="1"/>
    <row r="148" ht="25.05" customHeight="1"/>
    <row r="149" ht="25.05" customHeight="1"/>
    <row r="150" ht="25.05" customHeight="1"/>
    <row r="151" ht="25.05" customHeight="1"/>
    <row r="152" ht="25.05" customHeight="1"/>
    <row r="153" ht="25.05" customHeight="1"/>
    <row r="154" ht="25.05" customHeight="1"/>
    <row r="155" ht="25.05" customHeight="1"/>
    <row r="156" ht="25.05" customHeight="1"/>
    <row r="157" ht="25.05" customHeight="1"/>
    <row r="158" ht="25.05" customHeight="1"/>
    <row r="159" ht="25.05" customHeight="1"/>
    <row r="160" ht="25.05" customHeight="1"/>
    <row r="161" ht="25.05" customHeight="1"/>
    <row r="162" ht="25.05" customHeight="1"/>
    <row r="163" ht="25.05" customHeight="1"/>
    <row r="164" ht="25.05" customHeight="1"/>
    <row r="165" ht="25.05" customHeight="1"/>
    <row r="166" ht="25.05" customHeight="1"/>
    <row r="167" ht="25.05" customHeight="1"/>
    <row r="168" ht="25.05" customHeight="1"/>
    <row r="169" ht="25.05" customHeight="1"/>
    <row r="170" ht="25.05" customHeight="1"/>
    <row r="171" ht="25.05" customHeight="1"/>
    <row r="172" ht="25.05" customHeight="1"/>
    <row r="173" ht="25.05" customHeight="1"/>
    <row r="174" ht="25.05" customHeight="1"/>
    <row r="175" ht="25.05" customHeight="1"/>
    <row r="176" ht="25.05" customHeight="1"/>
    <row r="177" ht="25.05" customHeight="1"/>
    <row r="178" ht="25.05" customHeight="1"/>
    <row r="179" ht="25.05" customHeight="1"/>
    <row r="180" ht="25.05" customHeight="1"/>
    <row r="181" ht="25.05" customHeight="1"/>
    <row r="182" ht="25.05" customHeight="1"/>
    <row r="183" ht="25.05" customHeight="1"/>
    <row r="184" ht="25.05" customHeight="1"/>
    <row r="185" ht="25.05" customHeight="1"/>
    <row r="186" ht="25.05" customHeight="1"/>
    <row r="187" ht="13.8"/>
    <row r="188" ht="13.8"/>
    <row r="189" ht="13.8"/>
    <row r="190" ht="13.8"/>
    <row r="191" ht="13.8"/>
    <row r="192" ht="13.8"/>
    <row r="193" ht="13.8"/>
    <row r="194" ht="13.8"/>
    <row r="195" ht="13.8"/>
    <row r="196" ht="13.8"/>
    <row r="197" ht="13.8"/>
    <row r="198" ht="13.8"/>
    <row r="199" ht="13.8"/>
    <row r="200" ht="13.8"/>
    <row r="201" ht="13.8"/>
    <row r="202" ht="13.8"/>
    <row r="203" ht="13.8"/>
    <row r="204" ht="13.8"/>
    <row r="205" ht="13.8"/>
    <row r="206" ht="13.8"/>
    <row r="207" ht="13.8"/>
    <row r="208" ht="13.8"/>
    <row r="209" ht="13.8"/>
    <row r="210" ht="13.8"/>
    <row r="211" ht="13.8"/>
    <row r="212" ht="13.8"/>
    <row r="213" ht="13.8"/>
    <row r="214" ht="13.8"/>
    <row r="215" ht="13.8"/>
    <row r="216" ht="13.8"/>
    <row r="217" ht="13.8"/>
    <row r="218" ht="13.8"/>
    <row r="219" ht="13.8"/>
    <row r="220" ht="13.8"/>
    <row r="221" ht="13.8"/>
    <row r="222" ht="13.8"/>
    <row r="223" ht="13.8"/>
    <row r="224" ht="13.8"/>
    <row r="225" ht="13.8"/>
    <row r="226" ht="13.8"/>
    <row r="227" ht="13.8"/>
    <row r="228" ht="13.8"/>
    <row r="229" ht="13.8"/>
    <row r="230" ht="13.8"/>
    <row r="231" ht="13.8"/>
    <row r="232" ht="13.8"/>
    <row r="233" ht="13.8"/>
    <row r="234" ht="13.8"/>
    <row r="235" ht="13.8"/>
    <row r="236" ht="13.8"/>
    <row r="237" ht="13.8"/>
    <row r="238" ht="13.8"/>
    <row r="239" ht="13.8"/>
    <row r="240" ht="13.8"/>
    <row r="241" ht="13.8"/>
    <row r="242" ht="13.8"/>
    <row r="243" ht="13.8"/>
    <row r="244" ht="13.8"/>
    <row r="245" ht="13.8"/>
    <row r="246" ht="13.8"/>
    <row r="247" ht="13.8"/>
    <row r="248" ht="13.8"/>
    <row r="249" ht="13.8"/>
    <row r="250" ht="13.8"/>
    <row r="251" ht="13.8"/>
    <row r="252" ht="13.8"/>
    <row r="253" ht="13.8"/>
    <row r="254" ht="13.8"/>
    <row r="255" ht="13.8"/>
    <row r="256" ht="13.8"/>
    <row r="257" ht="13.8"/>
    <row r="258" ht="13.8"/>
    <row r="259" ht="13.8"/>
    <row r="260" ht="13.8"/>
    <row r="261" ht="13.8"/>
    <row r="262" ht="13.8"/>
    <row r="263" ht="13.8"/>
    <row r="264" ht="13.8"/>
    <row r="265" ht="13.8"/>
    <row r="266" ht="13.8"/>
    <row r="267" ht="13.8"/>
    <row r="268" ht="13.8"/>
    <row r="269" ht="13.8"/>
    <row r="270" ht="13.8"/>
    <row r="271" ht="13.8"/>
    <row r="272" ht="13.8"/>
    <row r="273" ht="13.8"/>
    <row r="274" ht="13.8"/>
    <row r="275" ht="13.8"/>
    <row r="276" ht="13.8"/>
    <row r="277" ht="13.8"/>
    <row r="278" ht="13.8"/>
    <row r="279" ht="13.8"/>
    <row r="280" ht="13.8"/>
    <row r="281" ht="13.8"/>
    <row r="282" ht="13.8"/>
    <row r="283" ht="13.8"/>
    <row r="284" ht="13.8"/>
    <row r="285" ht="13.8"/>
    <row r="286" ht="13.8"/>
    <row r="287" ht="13.8"/>
    <row r="288" ht="13.8"/>
    <row r="289" ht="13.8"/>
    <row r="290" ht="13.8"/>
    <row r="291" ht="13.8"/>
    <row r="292" ht="13.8"/>
    <row r="293" ht="13.8"/>
    <row r="294" ht="13.8"/>
    <row r="295" ht="13.8"/>
    <row r="296" ht="13.8"/>
    <row r="297" ht="13.8"/>
    <row r="298" ht="13.8"/>
    <row r="299" ht="13.8"/>
    <row r="300" ht="13.8"/>
    <row r="301" ht="13.8"/>
    <row r="302" ht="13.8"/>
    <row r="303" ht="13.8"/>
    <row r="304" ht="13.8"/>
    <row r="305" ht="13.8"/>
    <row r="306" ht="13.8"/>
    <row r="307" ht="13.8"/>
    <row r="308" ht="13.8"/>
    <row r="309" ht="13.8"/>
    <row r="310" ht="13.8"/>
    <row r="311" ht="13.8"/>
    <row r="312" ht="13.8"/>
    <row r="313" ht="13.8"/>
    <row r="314" ht="13.8"/>
    <row r="315" ht="13.8"/>
    <row r="316" ht="13.8"/>
    <row r="317" ht="13.8"/>
    <row r="318" ht="13.8"/>
    <row r="319" ht="13.8"/>
    <row r="320" ht="13.8"/>
    <row r="321" ht="13.8"/>
    <row r="322" ht="13.8"/>
    <row r="323" ht="13.8"/>
    <row r="324" ht="13.8"/>
    <row r="325" ht="13.8"/>
    <row r="326" ht="13.8"/>
    <row r="327" ht="13.8"/>
    <row r="328" ht="13.8"/>
    <row r="329" ht="13.8"/>
    <row r="330" ht="13.8"/>
    <row r="331" ht="13.8"/>
    <row r="332" ht="13.8"/>
    <row r="333" ht="13.8"/>
    <row r="334" ht="13.8"/>
    <row r="335" ht="13.8"/>
    <row r="336" ht="13.8"/>
    <row r="337" ht="13.8"/>
    <row r="338" ht="13.8"/>
    <row r="339" ht="13.8"/>
    <row r="340" ht="13.8"/>
    <row r="341" ht="13.8"/>
    <row r="342" ht="13.8"/>
    <row r="343" ht="13.8"/>
    <row r="344" ht="13.8"/>
    <row r="345" ht="13.8"/>
    <row r="346" ht="13.8"/>
    <row r="347" ht="13.8"/>
    <row r="348" ht="13.8"/>
    <row r="349" ht="13.8"/>
    <row r="350" ht="13.8"/>
    <row r="351" ht="13.8"/>
    <row r="352" ht="13.8"/>
    <row r="353" ht="13.8"/>
    <row r="354" ht="13.8"/>
    <row r="355" ht="13.8"/>
    <row r="356" ht="13.8"/>
    <row r="357" ht="13.8"/>
    <row r="358" ht="13.8"/>
    <row r="359" ht="13.8"/>
    <row r="360" ht="13.8"/>
    <row r="361" ht="13.8"/>
    <row r="362" ht="13.8"/>
    <row r="363" ht="13.8"/>
    <row r="364" ht="13.8"/>
    <row r="365" ht="13.8"/>
    <row r="366" ht="13.8"/>
    <row r="367" ht="13.8"/>
    <row r="368" ht="13.8"/>
    <row r="369" ht="13.8"/>
    <row r="370" ht="13.8"/>
    <row r="371" ht="13.8"/>
    <row r="372" ht="13.8"/>
    <row r="373" ht="13.8"/>
    <row r="374" ht="13.8"/>
    <row r="375" ht="13.8"/>
    <row r="376" ht="13.8"/>
    <row r="377" ht="13.8"/>
    <row r="378" ht="13.8"/>
    <row r="379" ht="13.8"/>
    <row r="380" ht="13.8"/>
    <row r="381" ht="13.8"/>
    <row r="382" ht="13.8"/>
    <row r="383" ht="13.8"/>
    <row r="384" ht="13.8"/>
    <row r="385" ht="13.8"/>
    <row r="386" ht="13.8"/>
    <row r="387" ht="13.8"/>
    <row r="388" ht="13.8"/>
    <row r="389" ht="13.8"/>
    <row r="390" ht="13.8"/>
    <row r="391" ht="13.8"/>
    <row r="392" ht="13.8"/>
    <row r="393" ht="13.8"/>
    <row r="394" ht="13.8"/>
    <row r="395" ht="13.8"/>
    <row r="396" ht="13.8"/>
    <row r="397" ht="13.8"/>
    <row r="398" ht="13.8"/>
    <row r="399" ht="13.8"/>
    <row r="400" ht="13.8"/>
    <row r="401" ht="13.8"/>
    <row r="402" ht="13.8"/>
    <row r="403" ht="13.8"/>
    <row r="404" ht="13.8"/>
    <row r="405" ht="13.8"/>
    <row r="406" ht="13.8"/>
    <row r="407" ht="13.8"/>
    <row r="408" ht="13.8"/>
    <row r="409" ht="13.8"/>
    <row r="410" ht="13.8"/>
    <row r="411" ht="13.8"/>
    <row r="412" ht="13.8"/>
    <row r="413" ht="13.8"/>
    <row r="414" ht="13.8"/>
    <row r="415" ht="13.8"/>
    <row r="416" ht="13.8"/>
    <row r="417" ht="13.8"/>
    <row r="418" ht="13.8"/>
    <row r="419" ht="13.8"/>
    <row r="420" ht="13.8"/>
    <row r="421" ht="13.8"/>
    <row r="422" ht="13.8"/>
    <row r="423" ht="13.8"/>
    <row r="424" ht="13.8"/>
    <row r="425" ht="13.8"/>
    <row r="426" ht="13.8"/>
    <row r="427" ht="13.8"/>
    <row r="428" ht="13.8"/>
    <row r="429" ht="13.8"/>
    <row r="430" ht="13.8"/>
    <row r="431" ht="13.8"/>
    <row r="432" ht="13.8"/>
    <row r="433" ht="13.8"/>
    <row r="434" ht="13.8"/>
    <row r="435" ht="13.8"/>
    <row r="436" ht="13.8"/>
    <row r="437" ht="13.8"/>
    <row r="438" ht="13.8"/>
    <row r="439" ht="13.8"/>
    <row r="440" ht="13.8"/>
    <row r="441" ht="13.8"/>
    <row r="442" ht="13.8"/>
    <row r="443" ht="13.8"/>
    <row r="444" ht="13.8"/>
    <row r="445" ht="13.8"/>
    <row r="446" ht="13.8"/>
    <row r="447" ht="13.8"/>
    <row r="448" ht="13.8"/>
    <row r="449" ht="13.8"/>
    <row r="450" ht="13.8"/>
    <row r="451" ht="13.8"/>
    <row r="452" ht="13.8"/>
    <row r="453" ht="13.8"/>
    <row r="454" ht="13.8"/>
    <row r="455" ht="13.8"/>
    <row r="456" ht="13.8"/>
    <row r="457" ht="13.8"/>
    <row r="458" ht="13.8"/>
    <row r="459" ht="13.8"/>
    <row r="460" ht="13.8"/>
    <row r="461" ht="13.8"/>
    <row r="462" ht="13.8"/>
    <row r="463" ht="13.8"/>
    <row r="464" ht="13.8"/>
    <row r="465" ht="13.8"/>
    <row r="466" ht="13.8"/>
    <row r="467" ht="13.8"/>
    <row r="468" ht="13.8"/>
    <row r="469" ht="13.8"/>
    <row r="470" ht="13.8"/>
    <row r="471" ht="13.8"/>
    <row r="472" ht="13.8"/>
    <row r="473" ht="13.8"/>
    <row r="474" ht="13.8"/>
    <row r="475" ht="13.8"/>
    <row r="476" ht="13.8"/>
    <row r="477" ht="13.8"/>
    <row r="478" ht="13.8"/>
    <row r="479" ht="13.8"/>
    <row r="480" ht="13.8"/>
    <row r="481" ht="13.8"/>
    <row r="482" ht="13.8"/>
    <row r="483" ht="13.8"/>
    <row r="484" ht="13.8"/>
    <row r="485" ht="13.8"/>
    <row r="486" ht="13.8"/>
    <row r="487" ht="13.8"/>
    <row r="488" ht="13.8"/>
    <row r="489" ht="13.8"/>
    <row r="490" ht="13.8"/>
    <row r="491" ht="13.8"/>
    <row r="492" ht="13.8"/>
    <row r="493" ht="13.8"/>
    <row r="494" ht="13.8"/>
    <row r="495" ht="13.8"/>
    <row r="496" ht="13.8"/>
    <row r="497" ht="13.8"/>
    <row r="498" ht="13.8"/>
    <row r="499" ht="13.8"/>
    <row r="500" ht="13.8"/>
    <row r="501" ht="13.8"/>
    <row r="502" ht="13.8"/>
    <row r="503" ht="13.8"/>
    <row r="504" ht="13.8"/>
    <row r="505" ht="13.8"/>
    <row r="506" ht="13.8"/>
    <row r="507" ht="13.8"/>
    <row r="508" ht="13.8"/>
    <row r="509" ht="13.8"/>
    <row r="510" ht="13.8"/>
    <row r="511" ht="13.8"/>
    <row r="512" ht="13.8"/>
    <row r="513" ht="13.8"/>
    <row r="514" ht="13.8"/>
    <row r="515" ht="13.8"/>
    <row r="516" ht="13.8"/>
    <row r="517" ht="13.8"/>
    <row r="518" ht="13.8"/>
    <row r="519" ht="13.8"/>
    <row r="520" ht="13.8"/>
    <row r="521" ht="13.8"/>
    <row r="522" ht="13.8"/>
    <row r="523" ht="13.8"/>
    <row r="524" ht="13.8"/>
    <row r="525" ht="13.8"/>
    <row r="526" ht="13.8"/>
    <row r="527" ht="13.8"/>
    <row r="528" ht="13.8"/>
    <row r="529" ht="13.8"/>
    <row r="530" ht="13.8"/>
    <row r="531" ht="13.8"/>
    <row r="532" ht="13.8"/>
    <row r="533" ht="13.8"/>
    <row r="534" ht="13.8"/>
    <row r="535" ht="13.8"/>
    <row r="536" ht="13.8"/>
    <row r="537" ht="13.8"/>
    <row r="538" ht="13.8"/>
    <row r="539" ht="13.8"/>
    <row r="540" ht="13.8"/>
    <row r="541" ht="13.8"/>
    <row r="542" ht="13.8"/>
    <row r="543" ht="13.8"/>
    <row r="544" ht="13.8"/>
    <row r="545" ht="13.8"/>
    <row r="546" ht="13.8"/>
    <row r="547" ht="13.8"/>
    <row r="548" ht="13.8"/>
    <row r="549" ht="13.8"/>
    <row r="550" ht="13.8"/>
    <row r="551" ht="13.8"/>
    <row r="552" ht="13.8"/>
    <row r="553" ht="13.8"/>
    <row r="554" ht="13.8"/>
    <row r="555" ht="13.8"/>
    <row r="556" ht="13.8"/>
    <row r="557" ht="13.8"/>
    <row r="558" ht="13.8"/>
    <row r="559" ht="13.8"/>
    <row r="560" ht="13.8"/>
    <row r="561" ht="13.8"/>
    <row r="562" ht="13.8"/>
    <row r="563" ht="13.8"/>
    <row r="564" ht="13.8"/>
    <row r="565" ht="13.8"/>
    <row r="566" ht="13.8"/>
    <row r="567" ht="13.8"/>
    <row r="568" ht="13.8"/>
    <row r="569" ht="13.8"/>
    <row r="570" ht="13.8"/>
    <row r="571" ht="13.8"/>
    <row r="572" ht="13.8"/>
    <row r="573" ht="13.8"/>
    <row r="574" ht="13.8"/>
    <row r="575" ht="13.8"/>
    <row r="576" ht="13.8"/>
    <row r="577" ht="13.8"/>
    <row r="578" ht="13.8"/>
    <row r="579" ht="13.8"/>
    <row r="580" ht="13.8"/>
    <row r="581" ht="13.8"/>
    <row r="582" ht="13.8"/>
    <row r="583" ht="13.8"/>
    <row r="584" ht="13.8"/>
    <row r="585" ht="13.8"/>
    <row r="586" ht="13.8"/>
    <row r="587" ht="13.8"/>
    <row r="588" ht="13.8"/>
    <row r="589" ht="13.8"/>
    <row r="590" ht="13.8"/>
    <row r="591" ht="13.8"/>
    <row r="592" ht="13.8"/>
    <row r="593" ht="13.8"/>
    <row r="594" ht="13.8"/>
    <row r="595" ht="13.8"/>
    <row r="596" ht="13.8"/>
    <row r="597" ht="13.8"/>
    <row r="598" ht="13.8"/>
    <row r="599" ht="13.8"/>
    <row r="600" ht="13.8"/>
    <row r="601" ht="13.8"/>
    <row r="602" ht="13.8"/>
    <row r="603" ht="13.8"/>
    <row r="604" ht="13.8"/>
    <row r="605" ht="13.8"/>
    <row r="606" ht="13.8"/>
    <row r="607" ht="13.8"/>
    <row r="608" ht="13.8"/>
    <row r="609" ht="13.8"/>
    <row r="610" ht="13.8"/>
    <row r="611" ht="13.8"/>
    <row r="612" ht="13.8"/>
    <row r="613" ht="13.8"/>
    <row r="614" ht="13.8"/>
    <row r="615" ht="13.8"/>
    <row r="616" ht="13.8"/>
    <row r="617" ht="13.8"/>
    <row r="618" ht="13.8"/>
    <row r="619" ht="13.8"/>
    <row r="620" ht="13.8"/>
    <row r="621" ht="13.8"/>
    <row r="622" ht="13.8"/>
    <row r="623" ht="13.8"/>
    <row r="624" ht="13.8"/>
    <row r="625" ht="13.8"/>
    <row r="626" ht="13.8"/>
    <row r="627" ht="13.8"/>
    <row r="628" ht="13.8"/>
    <row r="629" ht="13.8"/>
    <row r="630" ht="13.8"/>
    <row r="631" ht="13.8"/>
    <row r="632" ht="13.8"/>
    <row r="633" ht="13.8"/>
    <row r="634" ht="13.8"/>
    <row r="635" ht="13.8"/>
    <row r="636" ht="13.8"/>
    <row r="637" ht="13.8"/>
    <row r="638" ht="13.8"/>
    <row r="639" ht="13.8"/>
    <row r="640" ht="13.8"/>
    <row r="641" ht="13.8"/>
    <row r="642" ht="13.8"/>
    <row r="643" ht="13.8"/>
    <row r="644" ht="13.8"/>
    <row r="645" ht="13.8"/>
    <row r="646" ht="13.8"/>
    <row r="647" ht="13.8"/>
    <row r="648" ht="13.8"/>
    <row r="649" ht="13.8"/>
    <row r="650" ht="13.8"/>
    <row r="651" ht="13.8"/>
    <row r="652" ht="13.8"/>
    <row r="653" ht="13.8"/>
    <row r="654" ht="13.8"/>
    <row r="655" ht="13.8"/>
    <row r="656" ht="13.8"/>
    <row r="657" ht="13.8"/>
    <row r="658" ht="13.8"/>
    <row r="659" ht="13.8"/>
    <row r="660" ht="13.8"/>
    <row r="661" ht="13.8"/>
    <row r="662" ht="13.8"/>
    <row r="663" ht="13.8"/>
    <row r="664" ht="13.8"/>
    <row r="665" ht="13.8"/>
    <row r="666" ht="13.8"/>
    <row r="667" ht="13.8"/>
    <row r="668" ht="13.8"/>
    <row r="669" ht="13.8"/>
    <row r="670" ht="13.8"/>
    <row r="671" ht="13.8"/>
    <row r="672" ht="13.8"/>
    <row r="673" ht="13.8"/>
    <row r="674" ht="13.8"/>
    <row r="675" ht="13.8"/>
    <row r="676" ht="13.8"/>
    <row r="677" ht="13.8"/>
    <row r="678" ht="13.8"/>
    <row r="679" ht="13.8"/>
    <row r="680" ht="13.8"/>
    <row r="681" ht="13.8"/>
    <row r="682" ht="13.8"/>
    <row r="683" ht="13.8"/>
    <row r="684" ht="13.8"/>
    <row r="685" ht="13.8"/>
    <row r="686" ht="13.8"/>
    <row r="687" ht="13.8"/>
    <row r="688" ht="13.8"/>
    <row r="689" ht="13.8"/>
    <row r="690" ht="13.8"/>
    <row r="691" ht="13.8"/>
    <row r="692" ht="13.8"/>
    <row r="693" ht="13.8"/>
    <row r="694" ht="13.8"/>
    <row r="695" ht="13.8"/>
    <row r="696" ht="13.8"/>
    <row r="697" ht="13.8"/>
    <row r="698" ht="13.8"/>
    <row r="699" ht="13.8"/>
    <row r="700" ht="13.8"/>
    <row r="701" ht="13.8"/>
    <row r="702" ht="13.8"/>
    <row r="703" ht="13.8"/>
    <row r="704" ht="13.8"/>
    <row r="705" ht="13.8"/>
    <row r="706" ht="13.8"/>
    <row r="707" ht="13.8"/>
    <row r="708" ht="13.8"/>
    <row r="709" ht="13.8"/>
    <row r="710" ht="13.8"/>
    <row r="711" ht="13.8"/>
    <row r="712" ht="13.8"/>
    <row r="713" ht="13.8"/>
    <row r="714" ht="13.8"/>
    <row r="715" ht="13.8"/>
    <row r="716" ht="13.8"/>
    <row r="717" ht="13.8"/>
    <row r="718" ht="13.8"/>
    <row r="719" ht="13.8"/>
    <row r="720" ht="13.8"/>
    <row r="721" ht="13.8"/>
    <row r="722" ht="13.8"/>
    <row r="723" ht="13.8"/>
    <row r="724" ht="13.8"/>
    <row r="725" ht="13.8"/>
    <row r="726" ht="13.8"/>
    <row r="727" ht="13.8"/>
    <row r="728" ht="13.8"/>
    <row r="729" ht="13.8"/>
    <row r="730" ht="13.8"/>
    <row r="731" ht="13.8"/>
    <row r="732" ht="13.8"/>
    <row r="733" ht="13.8"/>
    <row r="734" ht="13.8"/>
    <row r="735" ht="13.8"/>
    <row r="736" ht="13.8"/>
    <row r="737" ht="13.8"/>
    <row r="738" ht="13.8"/>
    <row r="739" ht="13.8"/>
    <row r="740" ht="13.8"/>
    <row r="741" ht="13.8"/>
    <row r="742" ht="13.8"/>
    <row r="743" ht="13.8"/>
    <row r="744" ht="13.8"/>
    <row r="745" ht="13.8"/>
    <row r="746" ht="13.8"/>
    <row r="747" ht="13.8"/>
    <row r="748" ht="13.8"/>
    <row r="749" ht="13.8"/>
    <row r="750" ht="13.8"/>
    <row r="751" ht="13.8"/>
    <row r="752" ht="13.8"/>
    <row r="753" ht="13.8"/>
    <row r="754" ht="13.8"/>
    <row r="755" ht="13.8"/>
    <row r="756" ht="13.8"/>
    <row r="757" ht="13.8"/>
    <row r="758" ht="13.8"/>
    <row r="759" ht="13.8"/>
    <row r="760" ht="13.8"/>
    <row r="761" ht="13.8"/>
    <row r="762" ht="13.8"/>
    <row r="763" ht="13.8"/>
    <row r="764" ht="13.8"/>
    <row r="765" ht="13.8"/>
    <row r="766" ht="13.8"/>
    <row r="767" ht="13.8"/>
    <row r="768" ht="13.8"/>
    <row r="769" ht="13.8"/>
    <row r="770" ht="13.8"/>
    <row r="771" ht="13.8"/>
    <row r="772" ht="13.8"/>
    <row r="773" ht="13.8"/>
    <row r="774" ht="13.8"/>
    <row r="775" ht="13.8"/>
    <row r="776" ht="13.8"/>
    <row r="777" ht="13.8"/>
    <row r="778" ht="13.8"/>
    <row r="779" ht="13.8"/>
    <row r="780" ht="13.8"/>
    <row r="781" ht="13.8"/>
    <row r="782" ht="13.8"/>
    <row r="783" ht="13.8"/>
    <row r="784" ht="13.8"/>
    <row r="785" ht="13.8"/>
    <row r="786" ht="13.8"/>
    <row r="787" ht="13.8"/>
    <row r="788" ht="13.8"/>
    <row r="789" ht="13.8"/>
    <row r="790" ht="13.8"/>
    <row r="791" ht="13.8"/>
    <row r="792" ht="13.8"/>
    <row r="793" ht="13.8"/>
    <row r="794" ht="13.8"/>
    <row r="795" ht="13.8"/>
    <row r="796" ht="13.8"/>
    <row r="797" ht="13.8"/>
    <row r="798" ht="13.8"/>
    <row r="799" ht="13.8"/>
    <row r="800" ht="13.8"/>
    <row r="801" ht="13.8"/>
    <row r="802" ht="13.8"/>
    <row r="803" ht="13.8"/>
    <row r="804" ht="13.8"/>
    <row r="805" ht="13.8"/>
    <row r="806" ht="13.8"/>
    <row r="807" ht="13.8"/>
    <row r="808" ht="13.8"/>
    <row r="809" ht="13.8"/>
    <row r="810" ht="13.8"/>
    <row r="811" ht="13.8"/>
    <row r="812" ht="13.8"/>
    <row r="813" ht="13.8"/>
    <row r="814" ht="13.8"/>
    <row r="815" ht="13.8"/>
    <row r="816" ht="13.8"/>
    <row r="817" ht="13.8"/>
    <row r="818" ht="13.8"/>
    <row r="819" ht="13.8"/>
    <row r="820" ht="13.8"/>
    <row r="821" ht="13.8"/>
    <row r="822" ht="13.8"/>
    <row r="823" ht="13.8"/>
    <row r="824" ht="13.8"/>
    <row r="825" ht="13.8"/>
    <row r="826" ht="13.8"/>
    <row r="827" ht="13.8"/>
    <row r="828" ht="13.8"/>
    <row r="829" ht="13.8"/>
    <row r="830" ht="13.8"/>
    <row r="831" ht="13.8"/>
    <row r="832" ht="13.8"/>
    <row r="833" ht="13.8"/>
    <row r="834" ht="13.8"/>
    <row r="835" ht="13.8"/>
    <row r="836" ht="13.8"/>
    <row r="837" ht="13.8"/>
    <row r="838" ht="13.8"/>
    <row r="839" ht="13.8"/>
    <row r="840" ht="13.8"/>
    <row r="841" ht="13.8"/>
    <row r="842" ht="13.8"/>
    <row r="843" ht="13.8"/>
    <row r="844" ht="13.8"/>
    <row r="845" ht="13.8"/>
    <row r="846" ht="13.8"/>
    <row r="847" ht="13.8"/>
    <row r="848" ht="13.8"/>
    <row r="849" ht="13.8"/>
    <row r="850" ht="13.8"/>
    <row r="851" ht="13.8"/>
    <row r="852" ht="13.8"/>
    <row r="853" ht="13.8"/>
    <row r="854" ht="13.8"/>
    <row r="855" ht="13.8"/>
    <row r="856" ht="13.8"/>
    <row r="857" ht="13.8"/>
    <row r="858" ht="13.8"/>
    <row r="859" ht="13.8"/>
    <row r="860" ht="13.8"/>
    <row r="861" ht="13.8"/>
    <row r="862" ht="13.8"/>
    <row r="863" ht="13.8"/>
    <row r="864" ht="13.8"/>
    <row r="865" ht="13.8"/>
    <row r="866" ht="13.8"/>
    <row r="867" ht="13.8"/>
    <row r="868" ht="13.8"/>
    <row r="869" ht="13.8"/>
    <row r="870" ht="13.8"/>
    <row r="871" ht="13.8"/>
    <row r="872" ht="13.8"/>
    <row r="873" ht="13.8"/>
    <row r="874" ht="13.8"/>
    <row r="875" ht="13.8"/>
    <row r="876" ht="13.8"/>
    <row r="877" ht="13.8"/>
    <row r="878" ht="13.8"/>
    <row r="879" ht="13.8"/>
    <row r="880" ht="13.8"/>
    <row r="881" ht="13.8"/>
    <row r="882" ht="13.8"/>
    <row r="883" ht="13.8"/>
    <row r="884" ht="13.8"/>
    <row r="885" ht="13.8"/>
    <row r="886" ht="13.8"/>
    <row r="887" ht="13.8"/>
    <row r="888" ht="13.8"/>
    <row r="889" ht="13.8"/>
    <row r="890" ht="13.8"/>
    <row r="891" ht="13.8"/>
    <row r="892" ht="13.8"/>
    <row r="893" ht="13.8"/>
    <row r="894" ht="13.8"/>
    <row r="895" ht="13.8"/>
    <row r="896" ht="13.8"/>
    <row r="897" ht="13.8"/>
    <row r="898" ht="13.8"/>
    <row r="899" ht="13.8"/>
    <row r="900" ht="13.8"/>
    <row r="901" ht="13.8"/>
    <row r="902" ht="13.8"/>
    <row r="903" ht="13.8"/>
    <row r="904" ht="13.8"/>
    <row r="905" ht="13.8"/>
    <row r="906" ht="13.8"/>
    <row r="907" ht="13.8"/>
    <row r="908" ht="13.8"/>
    <row r="909" ht="13.8"/>
    <row r="910" ht="13.8"/>
    <row r="911" ht="13.8"/>
    <row r="912" ht="13.8"/>
    <row r="913" ht="13.8"/>
    <row r="914" ht="13.8"/>
    <row r="915" ht="13.8"/>
    <row r="916" ht="13.8"/>
    <row r="917" ht="13.8"/>
    <row r="918" ht="13.8"/>
    <row r="919" ht="13.8"/>
    <row r="920" ht="13.8"/>
    <row r="921" ht="13.8"/>
    <row r="922" ht="13.8"/>
    <row r="923" ht="13.8"/>
    <row r="924" ht="13.8"/>
    <row r="925" ht="13.8"/>
    <row r="926" ht="13.8"/>
    <row r="927" ht="13.8"/>
    <row r="928" ht="13.8"/>
    <row r="929" ht="13.8"/>
    <row r="930" ht="13.8"/>
    <row r="931" ht="13.8"/>
    <row r="932" ht="13.8"/>
    <row r="933" ht="13.8"/>
    <row r="934" ht="13.8"/>
    <row r="935" ht="13.8"/>
    <row r="936" ht="13.8"/>
    <row r="937" ht="13.8"/>
    <row r="938" ht="13.8"/>
    <row r="939" ht="13.8"/>
    <row r="940" ht="13.8"/>
    <row r="941" ht="13.8"/>
    <row r="942" ht="13.8"/>
    <row r="943" ht="13.8"/>
    <row r="944" ht="13.8"/>
    <row r="945" ht="13.8"/>
    <row r="946" ht="13.8"/>
    <row r="947" ht="13.8"/>
    <row r="948" ht="13.8"/>
    <row r="949" ht="13.8"/>
    <row r="950" ht="13.8"/>
    <row r="951" ht="13.8"/>
    <row r="952" ht="13.8"/>
    <row r="953" ht="13.8"/>
    <row r="954" ht="13.8"/>
    <row r="955" ht="13.8"/>
    <row r="956" ht="13.8"/>
    <row r="957" ht="13.8"/>
    <row r="958" ht="13.8"/>
    <row r="959" ht="13.8"/>
    <row r="960" ht="13.8"/>
    <row r="961" ht="13.8"/>
    <row r="962" ht="13.8"/>
    <row r="963" ht="13.8"/>
    <row r="964" ht="13.8"/>
    <row r="965" ht="13.8"/>
    <row r="966" ht="13.8"/>
    <row r="967" ht="13.8"/>
    <row r="968" ht="13.8"/>
    <row r="969" ht="13.8"/>
    <row r="970" ht="13.8"/>
    <row r="971" ht="13.8"/>
    <row r="972" ht="13.8"/>
    <row r="973" ht="13.8"/>
    <row r="974" ht="13.8"/>
    <row r="975" ht="13.8"/>
    <row r="976" ht="13.8"/>
    <row r="977" ht="13.8"/>
    <row r="978" ht="13.8"/>
    <row r="979" ht="13.8"/>
    <row r="980" ht="13.8"/>
    <row r="981" ht="13.8"/>
    <row r="982" ht="13.8"/>
    <row r="983" ht="13.8"/>
    <row r="984" ht="13.8"/>
    <row r="985" ht="13.8"/>
    <row r="986" ht="13.8"/>
    <row r="987" ht="13.8"/>
    <row r="988" ht="13.8"/>
    <row r="989" ht="13.8"/>
    <row r="990" ht="13.8"/>
    <row r="991" ht="13.8"/>
    <row r="992" ht="13.8"/>
    <row r="993" ht="13.8"/>
    <row r="994" ht="13.8"/>
    <row r="995" ht="13.8"/>
    <row r="996" ht="13.8"/>
    <row r="997" ht="13.8"/>
    <row r="998" ht="13.8"/>
    <row r="999" ht="13.8"/>
    <row r="1000" ht="13.8"/>
    <row r="1001" ht="13.8"/>
    <row r="1002" ht="13.8"/>
    <row r="1003" ht="13.8"/>
    <row r="1004" ht="13.8"/>
    <row r="1005" ht="13.8"/>
    <row r="1006" ht="13.8"/>
    <row r="1007" ht="13.8"/>
    <row r="1008" ht="13.8"/>
    <row r="1009" ht="13.8"/>
    <row r="1010" ht="13.8"/>
    <row r="1011" ht="13.8"/>
    <row r="1012" ht="13.8"/>
    <row r="1013" ht="13.8"/>
    <row r="1014" ht="13.8"/>
    <row r="1015" ht="13.8"/>
    <row r="1016" ht="13.8"/>
    <row r="1017" ht="13.8"/>
    <row r="1018" ht="13.8"/>
  </sheetData>
  <mergeCells count="1">
    <mergeCell ref="A1:F1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4"/>
  <sheetViews>
    <sheetView zoomScaleNormal="100" workbookViewId="0">
      <selection activeCell="B8" sqref="B8"/>
    </sheetView>
  </sheetViews>
  <sheetFormatPr defaultColWidth="15.59765625" defaultRowHeight="15" customHeight="1"/>
  <cols>
    <col min="1" max="1" width="56.69921875" style="123" customWidth="1"/>
    <col min="2" max="2" width="18.19921875" style="123" customWidth="1"/>
    <col min="3" max="3" width="13.59765625" style="123" customWidth="1"/>
    <col min="4" max="6" width="12.5" style="123" customWidth="1"/>
    <col min="7" max="7" width="15.69921875" style="123" customWidth="1"/>
    <col min="8" max="8" width="15.796875" style="281" customWidth="1"/>
    <col min="9" max="16" width="8" style="123" customWidth="1"/>
    <col min="17" max="25" width="15.3984375" style="123" customWidth="1"/>
    <col min="26" max="16384" width="15.59765625" style="123"/>
  </cols>
  <sheetData>
    <row r="1" spans="1:11" s="283" customFormat="1" ht="14.25" customHeight="1">
      <c r="A1" s="284"/>
      <c r="B1" s="284"/>
      <c r="C1" s="284"/>
      <c r="D1" s="284"/>
      <c r="E1" s="284"/>
      <c r="F1" s="284"/>
      <c r="G1" s="284"/>
      <c r="H1" s="285"/>
      <c r="I1" s="284"/>
      <c r="J1" s="284"/>
      <c r="K1" s="284"/>
    </row>
    <row r="2" spans="1:11" s="283" customFormat="1" ht="22.5" customHeight="1">
      <c r="A2" s="815" t="s">
        <v>275</v>
      </c>
      <c r="B2" s="816"/>
      <c r="C2" s="816"/>
      <c r="D2" s="816"/>
      <c r="E2" s="816"/>
      <c r="F2" s="816"/>
      <c r="G2" s="286"/>
      <c r="H2" s="285"/>
      <c r="I2" s="284"/>
      <c r="J2" s="284"/>
      <c r="K2" s="284"/>
    </row>
    <row r="3" spans="1:11" s="283" customFormat="1" ht="12.75" customHeight="1">
      <c r="A3" s="299" t="s">
        <v>217</v>
      </c>
      <c r="B3" s="287">
        <v>2024</v>
      </c>
      <c r="C3" s="287">
        <v>2025</v>
      </c>
      <c r="D3" s="287">
        <v>2026</v>
      </c>
      <c r="E3" s="287">
        <v>2027</v>
      </c>
      <c r="F3" s="287">
        <v>2028</v>
      </c>
      <c r="G3" s="288"/>
      <c r="H3" s="285"/>
      <c r="I3" s="289"/>
      <c r="J3" s="290"/>
      <c r="K3" s="284"/>
    </row>
    <row r="4" spans="1:11" s="283" customFormat="1" ht="49.5" customHeight="1">
      <c r="A4" s="291" t="s">
        <v>276</v>
      </c>
      <c r="B4" s="129">
        <f>SUM(План!B70:E70)*1.14</f>
        <v>-146938.4</v>
      </c>
      <c r="C4" s="129">
        <f>SUM(План!F70:I70)*1.14</f>
        <v>-271821.59999999998</v>
      </c>
      <c r="D4" s="129">
        <f>SUM(План!J70:M70)*1.14</f>
        <v>-283244.39999999997</v>
      </c>
      <c r="E4" s="129">
        <f>SUM(План!N70:Q70)*1.14</f>
        <v>-283244.39999999997</v>
      </c>
      <c r="F4" s="129">
        <f>SUM(План!R70:U70)*1.14</f>
        <v>-283244.39999999997</v>
      </c>
      <c r="G4" s="292">
        <f>SUM(B4:F4)</f>
        <v>-1268493.1999999997</v>
      </c>
      <c r="H4" s="292"/>
      <c r="I4" s="293"/>
      <c r="J4" s="293"/>
      <c r="K4" s="293"/>
    </row>
    <row r="5" spans="1:11" s="283" customFormat="1" ht="67.5" customHeight="1">
      <c r="A5" s="409" t="s">
        <v>284</v>
      </c>
      <c r="B5" s="134">
        <f>SUM(План!B95:E95,План!B117:E117,План!B151:E151)*1.14</f>
        <v>-75513.599999999991</v>
      </c>
      <c r="C5" s="134">
        <f>SUM(План!F95:I95,План!F117:I117,План!F151:I151)*1.14</f>
        <v>-373600.8</v>
      </c>
      <c r="D5" s="134">
        <f>SUM(План!J95:M95,План!J117:M117,План!J151:M151)*1.14</f>
        <v>-742481.99999999988</v>
      </c>
      <c r="E5" s="134">
        <f>SUM(План!N95:Q95,План!N117:Q117,План!N151:Q151)*1.14</f>
        <v>-3305977.1999999997</v>
      </c>
      <c r="F5" s="134">
        <f>SUM(План!R95:U95,План!R117:U117,План!R151:U151)*1.14</f>
        <v>-5070115.8</v>
      </c>
      <c r="G5" s="292">
        <f>SUM(B5:F5)</f>
        <v>-9567689.3999999985</v>
      </c>
      <c r="H5" s="292"/>
      <c r="I5" s="293"/>
      <c r="J5" s="293"/>
      <c r="K5" s="293"/>
    </row>
    <row r="6" spans="1:11" s="283" customFormat="1" ht="18.600000000000001" customHeight="1">
      <c r="A6" s="410" t="s">
        <v>369</v>
      </c>
      <c r="B6" s="411">
        <f>B4+B5</f>
        <v>-222452</v>
      </c>
      <c r="C6" s="411">
        <f t="shared" ref="C6:F6" si="0">C4+C5</f>
        <v>-645422.39999999991</v>
      </c>
      <c r="D6" s="411">
        <f t="shared" si="0"/>
        <v>-1025726.3999999999</v>
      </c>
      <c r="E6" s="411">
        <f t="shared" si="0"/>
        <v>-3589221.5999999996</v>
      </c>
      <c r="F6" s="411">
        <f t="shared" si="0"/>
        <v>-5353360.2</v>
      </c>
      <c r="G6" s="481">
        <f>SUM(B6:F6)</f>
        <v>-10836182.6</v>
      </c>
      <c r="H6" s="282"/>
      <c r="I6" s="135"/>
      <c r="J6" s="135"/>
      <c r="K6" s="135"/>
    </row>
    <row r="7" spans="1:11" s="283" customFormat="1" ht="12.75" customHeight="1">
      <c r="A7" s="286"/>
      <c r="B7" s="135"/>
      <c r="C7" s="135"/>
      <c r="D7" s="135"/>
      <c r="E7" s="135"/>
      <c r="F7" s="135"/>
      <c r="G7" s="135"/>
      <c r="H7" s="282"/>
      <c r="I7" s="135"/>
      <c r="J7" s="135"/>
      <c r="K7" s="135"/>
    </row>
    <row r="8" spans="1:11" s="283" customFormat="1" ht="12.75" customHeight="1">
      <c r="A8" s="294"/>
      <c r="B8" s="466"/>
      <c r="C8" s="466"/>
      <c r="D8" s="466"/>
      <c r="E8" s="466"/>
      <c r="F8" s="466"/>
      <c r="G8" s="135"/>
      <c r="H8" s="282"/>
      <c r="I8" s="135"/>
      <c r="J8" s="135"/>
      <c r="K8" s="135"/>
    </row>
    <row r="9" spans="1:11" s="283" customFormat="1" ht="12.75" customHeight="1">
      <c r="A9" s="295"/>
      <c r="B9" s="135"/>
      <c r="C9" s="135"/>
      <c r="D9" s="135"/>
      <c r="E9" s="135"/>
      <c r="F9" s="135"/>
      <c r="G9" s="135"/>
      <c r="H9" s="282"/>
      <c r="I9" s="135"/>
      <c r="J9" s="135"/>
      <c r="K9" s="135"/>
    </row>
    <row r="10" spans="1:11" s="283" customFormat="1" ht="12.75" customHeight="1">
      <c r="A10" s="295"/>
      <c r="B10" s="135"/>
      <c r="C10" s="135"/>
      <c r="D10" s="135"/>
      <c r="E10" s="135"/>
      <c r="F10" s="135"/>
      <c r="G10" s="135"/>
      <c r="H10" s="282"/>
      <c r="I10" s="135"/>
      <c r="J10" s="135"/>
      <c r="K10" s="135"/>
    </row>
    <row r="11" spans="1:11" s="283" customFormat="1" ht="12.75" customHeight="1">
      <c r="A11" s="135"/>
      <c r="B11" s="135"/>
      <c r="C11" s="135"/>
      <c r="D11" s="135"/>
      <c r="E11" s="135"/>
      <c r="F11" s="135"/>
      <c r="G11" s="135"/>
      <c r="H11" s="282"/>
      <c r="I11" s="135"/>
      <c r="J11" s="135"/>
      <c r="K11" s="135"/>
    </row>
    <row r="12" spans="1:11" s="283" customFormat="1" ht="12.75" customHeight="1">
      <c r="A12" s="135"/>
      <c r="B12" s="135"/>
      <c r="C12" s="135"/>
      <c r="D12" s="135"/>
      <c r="E12" s="135"/>
      <c r="F12" s="135"/>
      <c r="G12" s="135"/>
      <c r="H12" s="282"/>
      <c r="I12" s="135"/>
      <c r="J12" s="135"/>
      <c r="K12" s="135"/>
    </row>
    <row r="13" spans="1:11" s="283" customFormat="1" ht="12.75" customHeight="1">
      <c r="A13" s="135"/>
      <c r="B13" s="135"/>
      <c r="C13" s="135"/>
      <c r="D13" s="135"/>
      <c r="E13" s="135"/>
      <c r="F13" s="135"/>
      <c r="G13" s="135"/>
      <c r="H13" s="282"/>
      <c r="I13" s="135"/>
      <c r="J13" s="135"/>
      <c r="K13" s="135"/>
    </row>
    <row r="14" spans="1:11" s="283" customFormat="1" ht="12.75" customHeight="1">
      <c r="A14" s="135"/>
      <c r="B14" s="135"/>
      <c r="C14" s="135"/>
      <c r="D14" s="135"/>
      <c r="E14" s="135"/>
      <c r="F14" s="135"/>
      <c r="G14" s="135"/>
      <c r="H14" s="282"/>
      <c r="I14" s="135"/>
      <c r="J14" s="135"/>
      <c r="K14" s="135"/>
    </row>
    <row r="15" spans="1:11" s="283" customFormat="1" ht="12.75" customHeight="1">
      <c r="A15" s="135"/>
      <c r="B15" s="135"/>
      <c r="C15" s="135"/>
      <c r="D15" s="135"/>
      <c r="E15" s="135"/>
      <c r="F15" s="135"/>
      <c r="G15" s="135"/>
      <c r="H15" s="282"/>
      <c r="I15" s="135"/>
      <c r="J15" s="135"/>
      <c r="K15" s="135"/>
    </row>
    <row r="16" spans="1:11" s="283" customFormat="1" ht="12.75" customHeight="1">
      <c r="A16" s="135"/>
      <c r="B16" s="135"/>
      <c r="C16" s="296"/>
      <c r="D16" s="135"/>
      <c r="E16" s="135"/>
      <c r="F16" s="135"/>
      <c r="G16" s="135"/>
      <c r="H16" s="282"/>
      <c r="I16" s="135"/>
      <c r="J16" s="135"/>
      <c r="K16" s="135"/>
    </row>
    <row r="17" spans="1:11" s="283" customFormat="1" ht="12.75" customHeight="1">
      <c r="A17" s="135"/>
      <c r="B17" s="297"/>
      <c r="C17" s="297"/>
      <c r="D17" s="135"/>
      <c r="E17" s="135"/>
      <c r="F17" s="135"/>
      <c r="G17" s="135"/>
      <c r="H17" s="282"/>
      <c r="I17" s="135"/>
      <c r="J17" s="135"/>
      <c r="K17" s="135"/>
    </row>
    <row r="18" spans="1:11" s="283" customFormat="1" ht="45" customHeight="1">
      <c r="A18" s="298"/>
      <c r="B18" s="297"/>
      <c r="C18" s="297"/>
      <c r="D18" s="135"/>
      <c r="E18" s="135"/>
      <c r="F18" s="135"/>
      <c r="G18" s="135"/>
      <c r="H18" s="282"/>
      <c r="I18" s="135"/>
      <c r="J18" s="135"/>
      <c r="K18" s="135"/>
    </row>
    <row r="19" spans="1:11" s="283" customFormat="1" ht="39.450000000000003" customHeight="1">
      <c r="A19" s="298"/>
      <c r="B19" s="297"/>
      <c r="C19" s="297"/>
      <c r="D19" s="135"/>
      <c r="E19" s="135"/>
      <c r="F19" s="135"/>
      <c r="G19" s="135"/>
      <c r="H19" s="282"/>
      <c r="I19" s="135"/>
      <c r="J19" s="135"/>
      <c r="K19" s="135"/>
    </row>
    <row r="20" spans="1:11" s="283" customFormat="1" ht="26.55" customHeight="1">
      <c r="A20" s="298"/>
      <c r="B20" s="297"/>
      <c r="C20" s="297"/>
      <c r="D20" s="135"/>
      <c r="E20" s="135"/>
      <c r="F20" s="135"/>
      <c r="G20" s="135"/>
      <c r="H20" s="282"/>
      <c r="I20" s="135"/>
      <c r="J20" s="135"/>
      <c r="K20" s="135"/>
    </row>
    <row r="21" spans="1:11" s="283" customFormat="1" ht="12.75" customHeight="1">
      <c r="A21" s="135"/>
      <c r="B21" s="135"/>
      <c r="C21" s="135"/>
      <c r="D21" s="135"/>
      <c r="E21" s="135"/>
      <c r="F21" s="135"/>
      <c r="G21" s="135"/>
      <c r="H21" s="282"/>
      <c r="I21" s="135"/>
      <c r="J21" s="135"/>
      <c r="K21" s="135"/>
    </row>
    <row r="22" spans="1:11" ht="13.2">
      <c r="A22" s="257"/>
      <c r="B22" s="257"/>
      <c r="C22" s="258"/>
      <c r="D22" s="259"/>
      <c r="E22" s="260"/>
      <c r="F22" s="261"/>
      <c r="H22" s="123"/>
    </row>
    <row r="23" spans="1:11" ht="13.2">
      <c r="A23" s="257"/>
      <c r="B23" s="257"/>
      <c r="C23" s="258"/>
      <c r="D23" s="259"/>
      <c r="E23" s="260"/>
      <c r="F23" s="261"/>
      <c r="H23" s="123"/>
    </row>
    <row r="24" spans="1:11" ht="13.2">
      <c r="A24" s="257"/>
      <c r="B24" s="257"/>
      <c r="C24" s="258"/>
      <c r="D24" s="259"/>
      <c r="E24" s="260"/>
      <c r="F24" s="261"/>
      <c r="H24" s="123"/>
    </row>
    <row r="25" spans="1:11" ht="13.2">
      <c r="A25" s="257"/>
      <c r="B25" s="257"/>
      <c r="C25" s="258"/>
      <c r="D25" s="259"/>
      <c r="E25" s="260"/>
      <c r="F25" s="261"/>
      <c r="H25" s="123"/>
    </row>
    <row r="26" spans="1:11" ht="13.2">
      <c r="A26" s="257"/>
      <c r="B26" s="262"/>
      <c r="C26" s="258"/>
      <c r="D26" s="259"/>
      <c r="E26" s="260"/>
      <c r="F26" s="261"/>
      <c r="H26" s="123"/>
    </row>
    <row r="27" spans="1:11" ht="13.2">
      <c r="A27" s="262"/>
      <c r="B27" s="262"/>
      <c r="C27" s="263"/>
      <c r="D27" s="264"/>
      <c r="E27" s="260"/>
      <c r="F27" s="261"/>
      <c r="H27" s="123"/>
    </row>
    <row r="28" spans="1:11" ht="13.2">
      <c r="A28" s="262"/>
      <c r="B28" s="262"/>
      <c r="C28" s="263"/>
      <c r="D28" s="264"/>
      <c r="E28" s="260"/>
      <c r="F28" s="261"/>
      <c r="H28" s="123"/>
    </row>
    <row r="29" spans="1:11" ht="13.2">
      <c r="A29" s="262"/>
      <c r="B29" s="265"/>
      <c r="C29" s="263"/>
      <c r="D29" s="264"/>
      <c r="E29" s="260"/>
      <c r="F29" s="261"/>
      <c r="H29" s="123"/>
    </row>
    <row r="30" spans="1:11" ht="13.2">
      <c r="A30" s="262"/>
      <c r="B30" s="262"/>
      <c r="C30" s="263"/>
      <c r="D30" s="264"/>
      <c r="E30" s="260"/>
      <c r="F30" s="261"/>
      <c r="H30" s="123"/>
    </row>
    <row r="31" spans="1:11" ht="13.2">
      <c r="A31" s="262"/>
      <c r="B31" s="262"/>
      <c r="C31" s="263"/>
      <c r="D31" s="264"/>
      <c r="E31" s="260"/>
      <c r="F31" s="261"/>
      <c r="H31" s="123"/>
    </row>
    <row r="32" spans="1:11" ht="13.2">
      <c r="A32" s="262"/>
      <c r="B32" s="262"/>
      <c r="C32" s="263"/>
      <c r="D32" s="264"/>
      <c r="E32" s="260"/>
      <c r="F32" s="261"/>
      <c r="H32" s="123"/>
    </row>
    <row r="33" spans="1:8" ht="13.2">
      <c r="A33" s="262"/>
      <c r="B33" s="262"/>
      <c r="C33" s="263"/>
      <c r="D33" s="264"/>
      <c r="E33" s="260"/>
      <c r="F33" s="261"/>
      <c r="H33" s="123"/>
    </row>
    <row r="34" spans="1:8" ht="13.2">
      <c r="A34" s="262"/>
      <c r="B34" s="262"/>
      <c r="C34" s="263"/>
      <c r="D34" s="264"/>
      <c r="E34" s="260"/>
      <c r="F34" s="261"/>
      <c r="H34" s="123"/>
    </row>
    <row r="35" spans="1:8" ht="13.2">
      <c r="A35" s="262"/>
      <c r="B35" s="262"/>
      <c r="C35" s="266"/>
      <c r="D35" s="264"/>
      <c r="E35" s="260"/>
      <c r="F35" s="261"/>
      <c r="H35" s="123"/>
    </row>
    <row r="36" spans="1:8" ht="13.2">
      <c r="A36" s="262"/>
      <c r="B36" s="262"/>
      <c r="C36" s="263"/>
      <c r="D36" s="267"/>
      <c r="E36" s="260"/>
      <c r="F36" s="261"/>
      <c r="H36" s="123"/>
    </row>
    <row r="37" spans="1:8" ht="13.2">
      <c r="A37" s="262"/>
      <c r="B37" s="262"/>
      <c r="C37" s="263"/>
      <c r="D37" s="268"/>
      <c r="E37" s="260"/>
      <c r="F37" s="261"/>
      <c r="H37" s="123"/>
    </row>
    <row r="38" spans="1:8" ht="13.2">
      <c r="A38" s="262"/>
      <c r="B38" s="262"/>
      <c r="C38" s="263"/>
      <c r="D38" s="264"/>
      <c r="E38" s="260"/>
      <c r="F38" s="261"/>
      <c r="H38" s="123"/>
    </row>
    <row r="39" spans="1:8" ht="13.2">
      <c r="A39" s="262"/>
      <c r="B39" s="262"/>
      <c r="C39" s="263"/>
      <c r="D39" s="264"/>
      <c r="E39" s="260"/>
      <c r="F39" s="269"/>
      <c r="H39" s="123"/>
    </row>
    <row r="40" spans="1:8" ht="13.2">
      <c r="A40" s="262"/>
      <c r="B40" s="265"/>
      <c r="C40" s="270"/>
      <c r="D40" s="264"/>
      <c r="E40" s="260"/>
      <c r="F40" s="271"/>
      <c r="H40" s="123"/>
    </row>
    <row r="41" spans="1:8" ht="13.2">
      <c r="A41" s="262"/>
      <c r="B41" s="262"/>
      <c r="C41" s="263"/>
      <c r="D41" s="264"/>
      <c r="E41" s="260"/>
      <c r="F41" s="261"/>
      <c r="H41" s="123"/>
    </row>
    <row r="42" spans="1:8" ht="13.2">
      <c r="A42" s="257"/>
      <c r="B42" s="257"/>
      <c r="C42" s="258"/>
      <c r="D42" s="259"/>
      <c r="E42" s="260"/>
      <c r="F42" s="261"/>
      <c r="H42" s="123"/>
    </row>
    <row r="43" spans="1:8" ht="13.2">
      <c r="A43" s="265"/>
      <c r="B43" s="265"/>
      <c r="C43" s="270"/>
      <c r="D43" s="268"/>
      <c r="E43" s="260"/>
      <c r="F43" s="272"/>
      <c r="H43" s="123"/>
    </row>
    <row r="44" spans="1:8" ht="13.2">
      <c r="A44" s="257"/>
      <c r="B44" s="257"/>
      <c r="C44" s="258"/>
      <c r="D44" s="259"/>
      <c r="E44" s="260"/>
      <c r="F44" s="261"/>
      <c r="H44" s="123"/>
    </row>
    <row r="45" spans="1:8" ht="13.2">
      <c r="A45" s="262"/>
      <c r="B45" s="262"/>
      <c r="C45" s="263"/>
      <c r="D45" s="268"/>
      <c r="E45" s="260"/>
      <c r="F45" s="261"/>
      <c r="H45" s="123"/>
    </row>
    <row r="46" spans="1:8" ht="13.2">
      <c r="A46" s="262"/>
      <c r="B46" s="262"/>
      <c r="C46" s="263"/>
      <c r="D46" s="268"/>
      <c r="E46" s="260"/>
      <c r="F46" s="261"/>
      <c r="H46" s="123"/>
    </row>
    <row r="47" spans="1:8" ht="13.2">
      <c r="A47" s="262"/>
      <c r="B47" s="262"/>
      <c r="C47" s="263"/>
      <c r="D47" s="264"/>
      <c r="E47" s="260"/>
      <c r="F47" s="261"/>
      <c r="H47" s="123"/>
    </row>
    <row r="48" spans="1:8" ht="13.2">
      <c r="A48" s="262"/>
      <c r="B48" s="262"/>
      <c r="C48" s="263"/>
      <c r="D48" s="273"/>
      <c r="E48" s="260"/>
      <c r="F48" s="261"/>
      <c r="H48" s="123"/>
    </row>
    <row r="49" spans="1:8" ht="13.2">
      <c r="A49" s="262"/>
      <c r="B49" s="257"/>
      <c r="C49" s="263"/>
      <c r="D49" s="273"/>
      <c r="E49" s="260"/>
      <c r="F49" s="261"/>
      <c r="H49" s="123"/>
    </row>
    <row r="50" spans="1:8" ht="13.2">
      <c r="A50" s="274"/>
      <c r="B50" s="274"/>
      <c r="C50" s="275"/>
      <c r="D50" s="276"/>
      <c r="E50" s="260"/>
      <c r="F50" s="277"/>
      <c r="H50" s="123"/>
    </row>
    <row r="51" spans="1:8" ht="13.2">
      <c r="A51" s="278"/>
      <c r="B51" s="278"/>
      <c r="C51" s="279"/>
      <c r="D51" s="280"/>
      <c r="E51" s="260"/>
      <c r="F51" s="269"/>
      <c r="H51" s="123"/>
    </row>
    <row r="52" spans="1:8" ht="13.2"/>
    <row r="53" spans="1:8" ht="13.2"/>
    <row r="54" spans="1:8" ht="13.2"/>
    <row r="55" spans="1:8" ht="13.2"/>
    <row r="56" spans="1:8" ht="13.2"/>
    <row r="57" spans="1:8" ht="13.2"/>
    <row r="58" spans="1:8" ht="13.2"/>
    <row r="59" spans="1:8" ht="13.2"/>
    <row r="60" spans="1:8" ht="13.2"/>
    <row r="61" spans="1:8" ht="13.2"/>
    <row r="62" spans="1:8" ht="13.2"/>
    <row r="63" spans="1:8" ht="13.2"/>
    <row r="64" spans="1:8" ht="13.2"/>
    <row r="65" ht="13.2"/>
    <row r="66" ht="13.2"/>
    <row r="67" ht="13.2"/>
    <row r="68" ht="13.05" customHeight="1"/>
    <row r="69" ht="13.2"/>
    <row r="70" ht="13.2"/>
    <row r="71" ht="13.2"/>
    <row r="72" ht="13.2"/>
    <row r="73" ht="13.2"/>
    <row r="74" ht="13.2"/>
    <row r="75" ht="13.2"/>
    <row r="76" ht="13.2"/>
    <row r="77" ht="13.2"/>
    <row r="78" ht="13.2"/>
    <row r="79" ht="13.2"/>
    <row r="80" ht="13.2"/>
    <row r="81" ht="13.2"/>
    <row r="82" ht="13.2"/>
    <row r="83" ht="13.2"/>
    <row r="84" ht="13.2"/>
    <row r="85" ht="13.2"/>
    <row r="86" ht="13.2"/>
    <row r="87" ht="13.2"/>
    <row r="88" ht="13.2"/>
    <row r="89" ht="13.2"/>
    <row r="90" ht="13.2"/>
    <row r="91" ht="13.2"/>
    <row r="92" ht="13.2"/>
    <row r="93" ht="13.2"/>
    <row r="94" ht="13.2"/>
    <row r="95" ht="13.2"/>
    <row r="96" ht="13.2"/>
    <row r="97" ht="13.2"/>
    <row r="98" ht="13.2"/>
    <row r="99" ht="13.2"/>
    <row r="100" ht="13.2"/>
    <row r="101" ht="13.2"/>
    <row r="102" ht="13.2"/>
    <row r="103" ht="13.2"/>
    <row r="104" ht="13.2"/>
    <row r="105" ht="13.2"/>
    <row r="106" ht="13.2"/>
    <row r="107" ht="13.2"/>
    <row r="108" ht="13.2"/>
    <row r="109" ht="13.2"/>
    <row r="110" ht="13.2"/>
    <row r="111" ht="13.2"/>
    <row r="112" ht="13.2"/>
    <row r="113" ht="13.2"/>
    <row r="114" ht="13.2"/>
    <row r="115" ht="13.2"/>
    <row r="116" ht="13.2"/>
    <row r="117" ht="13.2"/>
    <row r="118" ht="13.2"/>
    <row r="119" ht="13.2"/>
    <row r="120" ht="13.2"/>
    <row r="121" ht="13.2"/>
    <row r="122" ht="13.2"/>
    <row r="123" ht="13.2"/>
    <row r="124" ht="13.2"/>
    <row r="125" ht="13.2"/>
    <row r="126" ht="13.2"/>
    <row r="127" ht="13.2"/>
    <row r="128" ht="13.2"/>
    <row r="129" ht="13.2"/>
    <row r="130" ht="13.2"/>
    <row r="131" ht="13.2"/>
    <row r="132" ht="13.2"/>
    <row r="133" ht="13.2"/>
    <row r="134" ht="13.2"/>
    <row r="135" ht="13.2"/>
    <row r="136" ht="13.2"/>
    <row r="137" ht="13.2"/>
    <row r="138" ht="13.2"/>
    <row r="139" ht="13.2"/>
    <row r="140" ht="13.2"/>
    <row r="141" ht="13.2"/>
    <row r="142" ht="13.2"/>
    <row r="143" ht="13.2"/>
    <row r="144" ht="13.2"/>
    <row r="145" ht="13.2"/>
    <row r="146" ht="13.2"/>
    <row r="147" ht="13.2"/>
    <row r="148" ht="13.2"/>
    <row r="149" ht="13.2"/>
    <row r="150" ht="13.2"/>
    <row r="151" ht="13.2"/>
    <row r="152" ht="13.2"/>
    <row r="153" ht="13.2"/>
    <row r="154" ht="13.2"/>
    <row r="155" ht="13.2"/>
    <row r="156" ht="13.2"/>
    <row r="157" ht="13.2"/>
    <row r="158" ht="13.2"/>
    <row r="159" ht="13.2"/>
    <row r="160" ht="13.2"/>
    <row r="161" ht="13.2"/>
    <row r="162" ht="13.2"/>
    <row r="163" ht="13.2"/>
    <row r="164" ht="13.2"/>
    <row r="165" ht="13.2"/>
    <row r="166" ht="13.2"/>
    <row r="167" ht="13.2"/>
    <row r="168" ht="13.2"/>
    <row r="169" ht="13.2"/>
    <row r="170" ht="13.2"/>
    <row r="171" ht="13.2"/>
    <row r="172" ht="13.2"/>
    <row r="173" ht="13.2"/>
    <row r="174" ht="13.2"/>
    <row r="175" ht="13.2"/>
    <row r="176" ht="13.2"/>
    <row r="177" ht="13.2"/>
    <row r="178" ht="13.2"/>
    <row r="179" ht="13.2"/>
    <row r="180" ht="13.2"/>
    <row r="181" ht="13.2"/>
    <row r="182" ht="13.2"/>
    <row r="183" ht="13.2"/>
    <row r="184" ht="13.2"/>
    <row r="185" ht="13.2"/>
    <row r="186" ht="13.2"/>
    <row r="187" ht="13.2"/>
    <row r="188" ht="13.2"/>
    <row r="189" ht="13.2"/>
    <row r="190" ht="13.2"/>
    <row r="191" ht="13.2"/>
    <row r="192" ht="13.2"/>
    <row r="193" ht="13.2"/>
    <row r="194" ht="13.2"/>
    <row r="195" ht="13.2"/>
    <row r="196" ht="13.2"/>
    <row r="197" ht="13.2"/>
    <row r="198" ht="13.2"/>
    <row r="199" ht="13.2"/>
    <row r="200" ht="13.2"/>
    <row r="201" ht="13.2"/>
    <row r="202" ht="13.2"/>
    <row r="203" ht="13.2"/>
    <row r="204" ht="13.2"/>
    <row r="205" ht="13.2"/>
    <row r="206" ht="13.2"/>
    <row r="207" ht="13.2"/>
    <row r="208" ht="13.2"/>
    <row r="209" ht="13.2"/>
    <row r="210" ht="13.2"/>
    <row r="211" ht="13.2"/>
    <row r="212" ht="13.2"/>
    <row r="213" ht="13.2"/>
    <row r="214" ht="13.2"/>
    <row r="215" ht="13.2"/>
    <row r="216" ht="13.2"/>
    <row r="217" ht="13.2"/>
    <row r="218" ht="13.2"/>
    <row r="219" ht="13.2"/>
    <row r="220" ht="13.2"/>
    <row r="221" ht="13.2"/>
    <row r="222" ht="13.2"/>
    <row r="223" ht="13.2"/>
    <row r="224" ht="13.2"/>
    <row r="225" ht="13.2"/>
    <row r="226" ht="13.2"/>
    <row r="227" ht="13.2"/>
    <row r="228" ht="13.2"/>
    <row r="229" ht="13.2"/>
    <row r="230" ht="13.2"/>
    <row r="231" ht="13.2"/>
    <row r="232" ht="13.2"/>
    <row r="233" ht="13.2"/>
    <row r="234" ht="13.2"/>
    <row r="235" ht="13.2"/>
    <row r="236" ht="13.2"/>
    <row r="237" ht="13.2"/>
    <row r="238" ht="13.2"/>
    <row r="239" ht="13.2"/>
    <row r="240" ht="13.2"/>
    <row r="241" ht="13.2"/>
    <row r="242" ht="13.2"/>
    <row r="243" ht="13.2"/>
    <row r="244" ht="13.2"/>
    <row r="245" ht="13.2"/>
    <row r="246" ht="13.2"/>
    <row r="247" ht="13.2"/>
    <row r="248" ht="13.2"/>
    <row r="249" ht="13.2"/>
    <row r="250" ht="13.2"/>
    <row r="251" ht="13.2"/>
    <row r="252" ht="13.2"/>
    <row r="253" ht="13.2"/>
    <row r="254" ht="13.2"/>
    <row r="255" ht="13.2"/>
    <row r="256" ht="13.2"/>
    <row r="257" ht="13.2"/>
    <row r="258" ht="13.2"/>
    <row r="259" ht="13.2"/>
    <row r="260" ht="13.2"/>
    <row r="261" ht="13.2"/>
    <row r="262" ht="13.2"/>
    <row r="263" ht="13.2"/>
    <row r="264" ht="13.2"/>
    <row r="265" ht="13.2"/>
    <row r="266" ht="13.2"/>
    <row r="267" ht="13.2"/>
    <row r="268" ht="13.2"/>
    <row r="269" ht="13.2"/>
    <row r="270" ht="13.2"/>
    <row r="271" ht="13.2"/>
    <row r="272" ht="13.2"/>
    <row r="273" ht="13.2"/>
    <row r="274" ht="13.2"/>
    <row r="275" ht="13.2"/>
    <row r="276" ht="13.2"/>
    <row r="277" ht="13.2"/>
    <row r="278" ht="13.2"/>
    <row r="279" ht="13.2"/>
    <row r="280" ht="13.2"/>
    <row r="281" ht="13.2"/>
    <row r="282" ht="13.2"/>
    <row r="283" ht="13.2"/>
    <row r="284" ht="13.2"/>
    <row r="285" ht="13.2"/>
    <row r="286" ht="13.2"/>
    <row r="287" ht="13.2"/>
    <row r="288" ht="13.2"/>
    <row r="289" ht="13.2"/>
    <row r="290" ht="13.2"/>
    <row r="291" ht="13.2"/>
    <row r="292" ht="13.2"/>
    <row r="293" ht="13.2"/>
    <row r="294" ht="13.2"/>
    <row r="295" ht="13.2"/>
    <row r="296" ht="13.2"/>
    <row r="297" ht="13.2"/>
    <row r="298" ht="13.2"/>
    <row r="299" ht="13.2"/>
    <row r="300" ht="13.2"/>
    <row r="301" ht="13.2"/>
    <row r="302" ht="13.2"/>
    <row r="303" ht="13.2"/>
    <row r="304" ht="13.2"/>
    <row r="305" ht="13.2"/>
    <row r="306" ht="13.2"/>
    <row r="307" ht="13.2"/>
    <row r="308" ht="13.2"/>
    <row r="309" ht="13.2"/>
    <row r="310" ht="13.2"/>
    <row r="311" ht="13.2"/>
    <row r="312" ht="13.2"/>
    <row r="313" ht="13.2"/>
    <row r="314" ht="13.2"/>
    <row r="315" ht="13.2"/>
    <row r="316" ht="13.2"/>
    <row r="317" ht="13.2"/>
    <row r="318" ht="13.2"/>
    <row r="319" ht="13.2"/>
    <row r="320" ht="13.2"/>
    <row r="321" ht="13.2"/>
    <row r="322" ht="13.2"/>
    <row r="323" ht="13.2"/>
    <row r="324" ht="13.2"/>
    <row r="325" ht="13.2"/>
    <row r="326" ht="13.2"/>
    <row r="327" ht="13.2"/>
    <row r="328" ht="13.2"/>
    <row r="329" ht="13.2"/>
    <row r="330" ht="13.2"/>
    <row r="331" ht="13.2"/>
    <row r="332" ht="13.2"/>
    <row r="333" ht="13.2"/>
    <row r="334" ht="13.2"/>
    <row r="335" ht="13.2"/>
    <row r="336" ht="13.2"/>
    <row r="337" ht="13.2"/>
    <row r="338" ht="13.2"/>
    <row r="339" ht="13.2"/>
    <row r="340" ht="13.2"/>
    <row r="341" ht="13.2"/>
    <row r="342" ht="13.2"/>
    <row r="343" ht="13.2"/>
    <row r="344" ht="13.2"/>
    <row r="345" ht="13.2"/>
    <row r="346" ht="13.2"/>
    <row r="347" ht="13.2"/>
    <row r="348" ht="13.2"/>
    <row r="349" ht="13.2"/>
    <row r="350" ht="13.2"/>
    <row r="351" ht="13.2"/>
    <row r="352" ht="13.2"/>
    <row r="353" ht="13.2"/>
    <row r="354" ht="13.2"/>
    <row r="355" ht="13.2"/>
    <row r="356" ht="13.2"/>
    <row r="357" ht="13.2"/>
    <row r="358" ht="13.2"/>
    <row r="359" ht="13.2"/>
    <row r="360" ht="13.2"/>
    <row r="361" ht="13.2"/>
    <row r="362" ht="13.2"/>
    <row r="363" ht="13.2"/>
    <row r="364" ht="13.2"/>
    <row r="365" ht="13.2"/>
    <row r="366" ht="13.2"/>
    <row r="367" ht="13.2"/>
    <row r="368" ht="13.2"/>
    <row r="369" ht="13.2"/>
    <row r="370" ht="13.2"/>
    <row r="371" ht="13.2"/>
    <row r="372" ht="13.2"/>
    <row r="373" ht="13.2"/>
    <row r="374" ht="13.2"/>
    <row r="375" ht="13.2"/>
    <row r="376" ht="13.2"/>
    <row r="377" ht="13.2"/>
    <row r="378" ht="13.2"/>
    <row r="379" ht="13.2"/>
    <row r="380" ht="13.2"/>
    <row r="381" ht="13.2"/>
    <row r="382" ht="13.2"/>
    <row r="383" ht="13.2"/>
    <row r="384" ht="13.2"/>
    <row r="385" ht="13.2"/>
    <row r="386" ht="13.2"/>
    <row r="387" ht="13.2"/>
    <row r="388" ht="13.2"/>
    <row r="389" ht="13.2"/>
    <row r="390" ht="13.2"/>
    <row r="391" ht="13.2"/>
    <row r="392" ht="13.2"/>
    <row r="393" ht="13.2"/>
    <row r="394" ht="13.2"/>
    <row r="395" ht="13.2"/>
    <row r="396" ht="13.2"/>
    <row r="397" ht="13.2"/>
    <row r="398" ht="13.2"/>
    <row r="399" ht="13.2"/>
    <row r="400" ht="13.2"/>
    <row r="401" ht="13.2"/>
    <row r="402" ht="13.2"/>
    <row r="403" ht="13.2"/>
    <row r="404" ht="13.2"/>
    <row r="405" ht="13.2"/>
    <row r="406" ht="13.2"/>
    <row r="407" ht="13.2"/>
    <row r="408" ht="13.2"/>
    <row r="409" ht="13.2"/>
    <row r="410" ht="13.2"/>
    <row r="411" ht="13.2"/>
    <row r="412" ht="13.2"/>
    <row r="413" ht="13.2"/>
    <row r="414" ht="13.2"/>
    <row r="415" ht="13.2"/>
    <row r="416" ht="13.2"/>
    <row r="417" ht="13.2"/>
    <row r="418" ht="13.2"/>
    <row r="419" ht="13.2"/>
    <row r="420" ht="13.2"/>
    <row r="421" ht="13.2"/>
    <row r="422" ht="13.2"/>
    <row r="423" ht="13.2"/>
    <row r="424" ht="13.2"/>
    <row r="425" ht="13.2"/>
    <row r="426" ht="13.2"/>
    <row r="427" ht="13.2"/>
    <row r="428" ht="13.2"/>
    <row r="429" ht="13.2"/>
    <row r="430" ht="13.2"/>
    <row r="431" ht="13.2"/>
    <row r="432" ht="13.2"/>
    <row r="433" ht="13.2"/>
    <row r="434" ht="13.2"/>
    <row r="435" ht="13.2"/>
    <row r="436" ht="13.2"/>
    <row r="437" ht="13.2"/>
    <row r="438" ht="13.2"/>
    <row r="439" ht="13.2"/>
    <row r="440" ht="13.2"/>
    <row r="441" ht="13.2"/>
    <row r="442" ht="13.2"/>
    <row r="443" ht="13.2"/>
    <row r="444" ht="13.2"/>
    <row r="445" ht="13.2"/>
    <row r="446" ht="13.2"/>
    <row r="447" ht="13.2"/>
    <row r="448" ht="13.2"/>
    <row r="449" ht="13.2"/>
    <row r="450" ht="13.2"/>
    <row r="451" ht="13.2"/>
    <row r="452" ht="13.2"/>
    <row r="453" ht="13.2"/>
    <row r="454" ht="13.2"/>
    <row r="455" ht="13.2"/>
    <row r="456" ht="13.2"/>
    <row r="457" ht="13.2"/>
    <row r="458" ht="13.2"/>
    <row r="459" ht="13.2"/>
    <row r="460" ht="13.2"/>
    <row r="461" ht="13.2"/>
    <row r="462" ht="13.2"/>
    <row r="463" ht="13.2"/>
    <row r="464" ht="13.2"/>
    <row r="465" ht="13.2"/>
    <row r="466" ht="13.2"/>
    <row r="467" ht="13.2"/>
    <row r="468" ht="13.2"/>
    <row r="469" ht="13.2"/>
    <row r="470" ht="13.2"/>
    <row r="471" ht="13.2"/>
    <row r="472" ht="13.2"/>
    <row r="473" ht="13.2"/>
    <row r="474" ht="13.2"/>
    <row r="475" ht="13.2"/>
    <row r="476" ht="13.2"/>
    <row r="477" ht="13.2"/>
    <row r="478" ht="13.2"/>
    <row r="479" ht="13.2"/>
    <row r="480" ht="13.2"/>
    <row r="481" ht="13.2"/>
    <row r="482" ht="13.2"/>
    <row r="483" ht="13.2"/>
    <row r="484" ht="13.2"/>
    <row r="485" ht="13.2"/>
    <row r="486" ht="13.2"/>
    <row r="487" ht="13.2"/>
    <row r="488" ht="13.2"/>
    <row r="489" ht="13.2"/>
    <row r="490" ht="13.2"/>
    <row r="491" ht="13.2"/>
    <row r="492" ht="13.2"/>
    <row r="493" ht="13.2"/>
    <row r="494" ht="13.2"/>
    <row r="495" ht="13.2"/>
    <row r="496" ht="13.2"/>
    <row r="497" ht="13.2"/>
    <row r="498" ht="13.2"/>
    <row r="499" ht="13.2"/>
    <row r="500" ht="13.2"/>
    <row r="501" ht="13.2"/>
    <row r="502" ht="13.2"/>
    <row r="503" ht="13.2"/>
    <row r="504" ht="13.2"/>
    <row r="505" ht="13.2"/>
    <row r="506" ht="13.2"/>
    <row r="507" ht="13.2"/>
    <row r="508" ht="13.2"/>
    <row r="509" ht="13.2"/>
    <row r="510" ht="13.2"/>
    <row r="511" ht="13.2"/>
    <row r="512" ht="13.2"/>
    <row r="513" ht="13.2"/>
    <row r="514" ht="13.2"/>
    <row r="515" ht="13.2"/>
    <row r="516" ht="13.2"/>
    <row r="517" ht="13.2"/>
    <row r="518" ht="13.2"/>
    <row r="519" ht="13.2"/>
    <row r="520" ht="13.2"/>
    <row r="521" ht="13.2"/>
    <row r="522" ht="13.2"/>
    <row r="523" ht="13.2"/>
    <row r="524" ht="13.2"/>
    <row r="525" ht="13.2"/>
    <row r="526" ht="13.2"/>
    <row r="527" ht="13.2"/>
    <row r="528" ht="13.2"/>
    <row r="529" ht="13.2"/>
    <row r="530" ht="13.2"/>
    <row r="531" ht="13.2"/>
    <row r="532" ht="13.2"/>
    <row r="533" ht="13.2"/>
    <row r="534" ht="13.2"/>
    <row r="535" ht="13.2"/>
    <row r="536" ht="13.2"/>
    <row r="537" ht="13.2"/>
    <row r="538" ht="13.2"/>
    <row r="539" ht="13.2"/>
    <row r="540" ht="13.2"/>
    <row r="541" ht="13.2"/>
    <row r="542" ht="13.2"/>
    <row r="543" ht="13.2"/>
    <row r="544" ht="13.2"/>
    <row r="545" ht="13.2"/>
    <row r="546" ht="13.2"/>
    <row r="547" ht="13.2"/>
    <row r="548" ht="13.2"/>
    <row r="549" ht="13.2"/>
    <row r="550" ht="13.2"/>
    <row r="551" ht="13.2"/>
    <row r="552" ht="13.2"/>
    <row r="553" ht="13.2"/>
    <row r="554" ht="13.2"/>
    <row r="555" ht="13.2"/>
    <row r="556" ht="13.2"/>
    <row r="557" ht="13.2"/>
    <row r="558" ht="13.2"/>
    <row r="559" ht="13.2"/>
    <row r="560" ht="13.2"/>
    <row r="561" ht="13.2"/>
    <row r="562" ht="13.2"/>
    <row r="563" ht="13.2"/>
    <row r="564" ht="13.2"/>
    <row r="565" ht="13.2"/>
    <row r="566" ht="13.2"/>
    <row r="567" ht="13.2"/>
    <row r="568" ht="13.2"/>
    <row r="569" ht="13.2"/>
    <row r="570" ht="13.2"/>
    <row r="571" ht="13.2"/>
    <row r="572" ht="13.2"/>
    <row r="573" ht="13.2"/>
    <row r="574" ht="13.2"/>
    <row r="575" ht="13.2"/>
    <row r="576" ht="13.2"/>
    <row r="577" ht="13.2"/>
    <row r="578" ht="13.2"/>
    <row r="579" ht="13.2"/>
    <row r="580" ht="13.2"/>
    <row r="581" ht="13.2"/>
    <row r="582" ht="13.2"/>
    <row r="583" ht="13.2"/>
    <row r="584" ht="13.2"/>
    <row r="585" ht="13.2"/>
    <row r="586" ht="13.2"/>
    <row r="587" ht="13.2"/>
    <row r="588" ht="13.2"/>
    <row r="589" ht="13.2"/>
    <row r="590" ht="13.2"/>
    <row r="591" ht="13.2"/>
    <row r="592" ht="13.2"/>
    <row r="593" ht="13.2"/>
    <row r="594" ht="13.2"/>
    <row r="595" ht="13.2"/>
    <row r="596" ht="13.2"/>
    <row r="597" ht="13.2"/>
    <row r="598" ht="13.2"/>
    <row r="599" ht="13.2"/>
    <row r="600" ht="13.2"/>
    <row r="601" ht="13.2"/>
    <row r="602" ht="13.2"/>
    <row r="603" ht="13.2"/>
    <row r="604" ht="13.2"/>
    <row r="605" ht="13.2"/>
    <row r="606" ht="13.2"/>
    <row r="607" ht="13.2"/>
    <row r="608" ht="13.2"/>
    <row r="609" ht="13.2"/>
    <row r="610" ht="13.2"/>
    <row r="611" ht="13.2"/>
    <row r="612" ht="13.2"/>
    <row r="613" ht="13.2"/>
    <row r="614" ht="13.2"/>
    <row r="615" ht="13.2"/>
    <row r="616" ht="13.2"/>
    <row r="617" ht="13.2"/>
    <row r="618" ht="13.2"/>
    <row r="619" ht="13.2"/>
    <row r="620" ht="13.2"/>
    <row r="621" ht="13.2"/>
    <row r="622" ht="13.2"/>
    <row r="623" ht="13.2"/>
    <row r="624" ht="13.2"/>
    <row r="625" ht="13.2"/>
    <row r="626" ht="13.2"/>
    <row r="627" ht="13.2"/>
    <row r="628" ht="13.2"/>
    <row r="629" ht="13.2"/>
    <row r="630" ht="13.2"/>
    <row r="631" ht="13.2"/>
    <row r="632" ht="13.2"/>
    <row r="633" ht="13.2"/>
    <row r="634" ht="13.2"/>
    <row r="635" ht="13.2"/>
    <row r="636" ht="13.2"/>
    <row r="637" ht="13.2"/>
    <row r="638" ht="13.2"/>
    <row r="639" ht="13.2"/>
    <row r="640" ht="13.2"/>
    <row r="641" ht="13.2"/>
    <row r="642" ht="13.2"/>
    <row r="643" ht="13.2"/>
    <row r="644" ht="13.2"/>
    <row r="645" ht="13.2"/>
    <row r="646" ht="13.2"/>
    <row r="647" ht="13.2"/>
    <row r="648" ht="13.2"/>
    <row r="649" ht="13.2"/>
    <row r="650" ht="13.2"/>
    <row r="651" ht="13.2"/>
    <row r="652" ht="13.2"/>
    <row r="653" ht="13.2"/>
    <row r="654" ht="13.2"/>
    <row r="655" ht="13.2"/>
    <row r="656" ht="13.2"/>
    <row r="657" ht="13.2"/>
    <row r="658" ht="13.2"/>
    <row r="659" ht="13.2"/>
    <row r="660" ht="13.2"/>
    <row r="661" ht="13.2"/>
    <row r="662" ht="13.2"/>
    <row r="663" ht="13.2"/>
    <row r="664" ht="13.2"/>
    <row r="665" ht="13.2"/>
    <row r="666" ht="13.2"/>
    <row r="667" ht="13.2"/>
    <row r="668" ht="13.2"/>
    <row r="669" ht="13.2"/>
    <row r="670" ht="13.2"/>
    <row r="671" ht="13.2"/>
    <row r="672" ht="13.2"/>
    <row r="673" ht="13.2"/>
    <row r="674" ht="13.2"/>
    <row r="675" ht="13.2"/>
    <row r="676" ht="13.2"/>
    <row r="677" ht="13.2"/>
    <row r="678" ht="13.2"/>
    <row r="679" ht="13.2"/>
    <row r="680" ht="13.2"/>
    <row r="681" ht="13.2"/>
    <row r="682" ht="13.2"/>
    <row r="683" ht="13.2"/>
    <row r="684" ht="13.2"/>
    <row r="685" ht="13.2"/>
    <row r="686" ht="13.2"/>
    <row r="687" ht="13.2"/>
    <row r="688" ht="13.2"/>
    <row r="689" ht="13.2"/>
    <row r="690" ht="13.2"/>
    <row r="691" ht="13.2"/>
    <row r="692" ht="13.2"/>
    <row r="693" ht="13.2"/>
    <row r="694" ht="13.2"/>
    <row r="695" ht="13.2"/>
    <row r="696" ht="13.2"/>
    <row r="697" ht="13.2"/>
    <row r="698" ht="13.2"/>
    <row r="699" ht="13.2"/>
    <row r="700" ht="13.2"/>
    <row r="701" ht="13.2"/>
    <row r="702" ht="13.2"/>
    <row r="703" ht="13.2"/>
    <row r="704" ht="13.2"/>
    <row r="705" ht="13.2"/>
    <row r="706" ht="13.2"/>
    <row r="707" ht="13.2"/>
    <row r="708" ht="13.2"/>
    <row r="709" ht="13.2"/>
    <row r="710" ht="13.2"/>
    <row r="711" ht="13.2"/>
    <row r="712" ht="13.2"/>
    <row r="713" ht="13.2"/>
    <row r="714" ht="13.2"/>
    <row r="715" ht="13.2"/>
    <row r="716" ht="13.2"/>
    <row r="717" ht="13.2"/>
    <row r="718" ht="13.2"/>
    <row r="719" ht="13.2"/>
    <row r="720" ht="13.2"/>
    <row r="721" ht="13.2"/>
    <row r="722" ht="13.2"/>
    <row r="723" ht="13.2"/>
    <row r="724" ht="13.2"/>
    <row r="725" ht="13.2"/>
    <row r="726" ht="13.2"/>
    <row r="727" ht="13.2"/>
    <row r="728" ht="13.2"/>
    <row r="729" ht="13.2"/>
    <row r="730" ht="13.2"/>
    <row r="731" ht="13.2"/>
    <row r="732" ht="13.2"/>
    <row r="733" ht="13.2"/>
    <row r="734" ht="13.2"/>
    <row r="735" ht="13.2"/>
    <row r="736" ht="13.2"/>
    <row r="737" ht="13.2"/>
    <row r="738" ht="13.2"/>
    <row r="739" ht="13.2"/>
    <row r="740" ht="13.2"/>
    <row r="741" ht="13.2"/>
    <row r="742" ht="13.2"/>
    <row r="743" ht="13.2"/>
    <row r="744" ht="13.2"/>
    <row r="745" ht="13.2"/>
    <row r="746" ht="13.2"/>
    <row r="747" ht="13.2"/>
    <row r="748" ht="13.2"/>
    <row r="749" ht="13.2"/>
    <row r="750" ht="13.2"/>
    <row r="751" ht="13.2"/>
    <row r="752" ht="13.2"/>
    <row r="753" ht="13.2"/>
    <row r="754" ht="13.2"/>
    <row r="755" ht="13.2"/>
    <row r="756" ht="13.2"/>
    <row r="757" ht="13.2"/>
    <row r="758" ht="13.2"/>
    <row r="759" ht="13.2"/>
    <row r="760" ht="13.2"/>
    <row r="761" ht="13.2"/>
    <row r="762" ht="13.2"/>
    <row r="763" ht="13.2"/>
    <row r="764" ht="13.2"/>
    <row r="765" ht="13.2"/>
    <row r="766" ht="13.2"/>
    <row r="767" ht="13.2"/>
    <row r="768" ht="13.2"/>
    <row r="769" ht="13.2"/>
    <row r="770" ht="13.2"/>
    <row r="771" ht="13.2"/>
    <row r="772" ht="13.2"/>
    <row r="773" ht="13.2"/>
    <row r="774" ht="13.2"/>
    <row r="775" ht="13.2"/>
    <row r="776" ht="13.2"/>
    <row r="777" ht="13.2"/>
    <row r="778" ht="13.2"/>
    <row r="779" ht="13.2"/>
    <row r="780" ht="13.2"/>
    <row r="781" ht="13.2"/>
    <row r="782" ht="13.2"/>
    <row r="783" ht="13.2"/>
    <row r="784" ht="13.2"/>
    <row r="785" ht="13.2"/>
    <row r="786" ht="13.2"/>
    <row r="787" ht="13.2"/>
    <row r="788" ht="13.2"/>
    <row r="789" ht="13.2"/>
    <row r="790" ht="13.2"/>
    <row r="791" ht="13.2"/>
    <row r="792" ht="13.2"/>
    <row r="793" ht="13.2"/>
    <row r="794" ht="13.2"/>
    <row r="795" ht="13.2"/>
    <row r="796" ht="13.2"/>
    <row r="797" ht="13.2"/>
    <row r="798" ht="13.2"/>
    <row r="799" ht="13.2"/>
    <row r="800" ht="13.2"/>
    <row r="801" ht="13.2"/>
    <row r="802" ht="13.2"/>
    <row r="803" ht="13.2"/>
    <row r="804" ht="13.2"/>
    <row r="805" ht="13.2"/>
    <row r="806" ht="13.2"/>
    <row r="807" ht="13.2"/>
    <row r="808" ht="13.2"/>
    <row r="809" ht="13.2"/>
    <row r="810" ht="13.2"/>
    <row r="811" ht="13.2"/>
    <row r="812" ht="13.2"/>
    <row r="813" ht="13.2"/>
    <row r="814" ht="13.2"/>
    <row r="815" ht="13.2"/>
    <row r="816" ht="13.2"/>
    <row r="817" ht="13.2"/>
    <row r="818" ht="13.2"/>
    <row r="819" ht="13.2"/>
    <row r="820" ht="13.2"/>
    <row r="821" ht="13.2"/>
    <row r="822" ht="13.2"/>
    <row r="823" ht="13.2"/>
    <row r="824" ht="13.2"/>
    <row r="825" ht="13.2"/>
    <row r="826" ht="13.2"/>
    <row r="827" ht="13.2"/>
    <row r="828" ht="13.2"/>
    <row r="829" ht="13.2"/>
    <row r="830" ht="13.2"/>
    <row r="831" ht="13.2"/>
    <row r="832" ht="13.2"/>
    <row r="833" ht="13.2"/>
    <row r="834" ht="13.2"/>
    <row r="835" ht="13.2"/>
    <row r="836" ht="13.2"/>
    <row r="837" ht="13.2"/>
    <row r="838" ht="13.2"/>
    <row r="839" ht="13.2"/>
    <row r="840" ht="13.2"/>
    <row r="841" ht="13.2"/>
    <row r="842" ht="13.2"/>
    <row r="843" ht="13.2"/>
    <row r="844" ht="13.2"/>
    <row r="845" ht="13.2"/>
    <row r="846" ht="13.2"/>
    <row r="847" ht="13.2"/>
    <row r="848" ht="13.2"/>
    <row r="849" ht="13.2"/>
    <row r="850" ht="13.2"/>
    <row r="851" ht="13.2"/>
    <row r="852" ht="13.2"/>
    <row r="853" ht="13.2"/>
    <row r="854" ht="13.2"/>
    <row r="855" ht="13.2"/>
    <row r="856" ht="13.2"/>
    <row r="857" ht="13.2"/>
    <row r="858" ht="13.2"/>
    <row r="859" ht="13.2"/>
    <row r="860" ht="13.2"/>
    <row r="861" ht="13.2"/>
    <row r="862" ht="13.2"/>
    <row r="863" ht="13.2"/>
    <row r="864" ht="13.2"/>
    <row r="865" ht="13.2"/>
    <row r="866" ht="13.2"/>
    <row r="867" ht="13.2"/>
    <row r="868" ht="13.2"/>
    <row r="869" ht="13.2"/>
    <row r="870" ht="13.2"/>
    <row r="871" ht="13.2"/>
    <row r="872" ht="13.2"/>
    <row r="873" ht="13.2"/>
    <row r="874" ht="13.2"/>
    <row r="875" ht="13.2"/>
    <row r="876" ht="13.2"/>
    <row r="877" ht="13.2"/>
    <row r="878" ht="13.2"/>
    <row r="879" ht="13.2"/>
    <row r="880" ht="13.2"/>
    <row r="881" ht="13.2"/>
    <row r="882" ht="13.2"/>
    <row r="883" ht="13.2"/>
    <row r="884" ht="13.2"/>
    <row r="885" ht="13.2"/>
    <row r="886" ht="13.2"/>
    <row r="887" ht="13.2"/>
    <row r="888" ht="13.2"/>
    <row r="889" ht="13.2"/>
    <row r="890" ht="13.2"/>
    <row r="891" ht="13.2"/>
    <row r="892" ht="13.2"/>
    <row r="893" ht="13.2"/>
    <row r="894" ht="13.2"/>
    <row r="895" ht="13.2"/>
    <row r="896" ht="13.2"/>
    <row r="897" ht="13.2"/>
    <row r="898" ht="13.2"/>
    <row r="899" ht="13.2"/>
    <row r="900" ht="13.2"/>
    <row r="901" ht="13.2"/>
    <row r="902" ht="13.2"/>
    <row r="903" ht="13.2"/>
    <row r="904" ht="13.2"/>
    <row r="905" ht="13.2"/>
    <row r="906" ht="13.2"/>
    <row r="907" ht="13.2"/>
    <row r="908" ht="13.2"/>
    <row r="909" ht="13.2"/>
    <row r="910" ht="13.2"/>
    <row r="911" ht="13.2"/>
    <row r="912" ht="13.2"/>
    <row r="913" ht="13.2"/>
    <row r="914" ht="13.2"/>
    <row r="915" ht="13.2"/>
    <row r="916" ht="13.2"/>
    <row r="917" ht="13.2"/>
    <row r="918" ht="13.2"/>
    <row r="919" ht="13.2"/>
    <row r="920" ht="13.2"/>
    <row r="921" ht="13.2"/>
    <row r="922" ht="13.2"/>
    <row r="923" ht="13.2"/>
    <row r="924" ht="13.2"/>
    <row r="925" ht="13.2"/>
    <row r="926" ht="13.2"/>
    <row r="927" ht="13.2"/>
    <row r="928" ht="13.2"/>
    <row r="929" ht="13.2"/>
    <row r="930" ht="13.2"/>
    <row r="931" ht="13.2"/>
    <row r="932" ht="13.2"/>
    <row r="933" ht="13.2"/>
    <row r="934" ht="13.2"/>
    <row r="935" ht="13.2"/>
    <row r="936" ht="13.2"/>
    <row r="937" ht="13.2"/>
    <row r="938" ht="13.2"/>
    <row r="939" ht="13.2"/>
    <row r="940" ht="13.2"/>
    <row r="941" ht="13.2"/>
    <row r="942" ht="13.2"/>
    <row r="943" ht="13.2"/>
    <row r="944" ht="13.2"/>
    <row r="945" ht="13.2"/>
    <row r="946" ht="13.2"/>
    <row r="947" ht="13.2"/>
    <row r="948" ht="13.2"/>
    <row r="949" ht="13.2"/>
    <row r="950" ht="13.2"/>
    <row r="951" ht="13.2"/>
    <row r="952" ht="13.2"/>
    <row r="953" ht="13.2"/>
    <row r="954" ht="13.2"/>
    <row r="955" ht="13.2"/>
    <row r="956" ht="13.2"/>
    <row r="957" ht="13.2"/>
    <row r="958" ht="13.2"/>
    <row r="959" ht="13.2"/>
    <row r="960" ht="13.2"/>
    <row r="961" ht="13.2"/>
    <row r="962" ht="13.2"/>
    <row r="963" ht="13.2"/>
    <row r="964" ht="13.2"/>
    <row r="965" ht="13.2"/>
    <row r="966" ht="13.2"/>
    <row r="967" ht="13.2"/>
    <row r="968" ht="13.2"/>
    <row r="969" ht="13.2"/>
    <row r="970" ht="13.2"/>
    <row r="971" ht="13.2"/>
    <row r="972" ht="13.2"/>
    <row r="973" ht="13.2"/>
    <row r="974" ht="13.2"/>
    <row r="975" ht="13.2"/>
    <row r="976" ht="13.2"/>
    <row r="977" ht="13.2"/>
    <row r="978" ht="13.2"/>
    <row r="979" ht="13.2"/>
    <row r="980" ht="13.2"/>
    <row r="981" ht="13.2"/>
    <row r="982" ht="13.2"/>
    <row r="983" ht="13.2"/>
    <row r="984" ht="13.2"/>
    <row r="985" ht="13.2"/>
    <row r="986" ht="13.2"/>
    <row r="987" ht="13.2"/>
    <row r="988" ht="13.2"/>
    <row r="989" ht="13.2"/>
    <row r="990" ht="13.2"/>
    <row r="991" ht="13.2"/>
    <row r="992" ht="13.2"/>
    <row r="993" ht="13.2"/>
    <row r="994" ht="13.2"/>
  </sheetData>
  <mergeCells count="1">
    <mergeCell ref="A2:F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5"/>
  <sheetViews>
    <sheetView workbookViewId="0">
      <selection activeCell="F6" sqref="F6"/>
    </sheetView>
  </sheetViews>
  <sheetFormatPr defaultColWidth="15.59765625" defaultRowHeight="15" customHeight="1"/>
  <cols>
    <col min="1" max="1" width="30.8984375" style="235" customWidth="1"/>
    <col min="2" max="5" width="12.5" style="307" customWidth="1"/>
    <col min="6" max="6" width="16.19921875" style="307" customWidth="1"/>
    <col min="7" max="7" width="21.3984375" style="235" customWidth="1"/>
    <col min="8" max="8" width="17.796875" style="235" customWidth="1"/>
    <col min="9" max="10" width="18.3984375" style="235" customWidth="1"/>
    <col min="11" max="11" width="22.5" style="235" customWidth="1"/>
    <col min="12" max="16" width="8" style="123" customWidth="1"/>
    <col min="17" max="25" width="15.3984375" style="123" customWidth="1"/>
    <col min="26" max="16384" width="15.59765625" style="123"/>
  </cols>
  <sheetData>
    <row r="1" spans="1:25" ht="22.5" customHeight="1">
      <c r="A1" s="819" t="s">
        <v>287</v>
      </c>
      <c r="B1" s="820"/>
      <c r="C1" s="820"/>
      <c r="D1" s="820"/>
      <c r="E1" s="820"/>
      <c r="F1" s="820"/>
      <c r="G1" s="237"/>
      <c r="H1" s="238"/>
      <c r="I1" s="237"/>
    </row>
    <row r="2" spans="1:25" s="312" customFormat="1" ht="14.25" customHeight="1">
      <c r="A2" s="313" t="s">
        <v>217</v>
      </c>
      <c r="B2" s="314" t="s">
        <v>479</v>
      </c>
      <c r="C2" s="314" t="s">
        <v>480</v>
      </c>
      <c r="D2" s="314" t="s">
        <v>481</v>
      </c>
      <c r="E2" s="314" t="s">
        <v>482</v>
      </c>
      <c r="F2" s="314" t="s">
        <v>483</v>
      </c>
      <c r="G2" s="309"/>
      <c r="H2" s="309"/>
      <c r="I2" s="309"/>
      <c r="J2" s="310"/>
      <c r="K2" s="310"/>
      <c r="L2" s="311"/>
      <c r="M2" s="311"/>
      <c r="N2" s="311"/>
      <c r="O2" s="311"/>
      <c r="P2" s="311"/>
      <c r="Q2" s="311"/>
      <c r="R2" s="311"/>
      <c r="S2" s="311"/>
      <c r="T2" s="311"/>
    </row>
    <row r="3" spans="1:25" ht="25.05" customHeight="1">
      <c r="A3" s="315" t="s">
        <v>500</v>
      </c>
      <c r="B3" s="316">
        <f>-Перем.Расх!B26*0.1</f>
        <v>-314.16000000000003</v>
      </c>
      <c r="C3" s="316">
        <f>-Перем.Расх!C26*0.1</f>
        <v>-2692.8</v>
      </c>
      <c r="D3" s="316">
        <f>-Перем.Расх!D26*0.1</f>
        <v>-3994.3200000000006</v>
      </c>
      <c r="E3" s="316">
        <f>-Перем.Расх!E26*0.1</f>
        <v>-10098</v>
      </c>
      <c r="F3" s="316">
        <f>-Перем.Расх!F26*0.1</f>
        <v>-21901.440000000002</v>
      </c>
      <c r="G3" s="247"/>
      <c r="H3" s="237"/>
      <c r="I3" s="237"/>
    </row>
    <row r="4" spans="1:25" ht="25.05" customHeight="1">
      <c r="A4" s="315" t="s">
        <v>502</v>
      </c>
      <c r="B4" s="316">
        <f>-Перем.Расх!B27</f>
        <v>0</v>
      </c>
      <c r="C4" s="316">
        <f>-Перем.Расх!C27*0.1</f>
        <v>-50660.465777777783</v>
      </c>
      <c r="D4" s="316">
        <f>-Перем.Расх!D27*0.1</f>
        <v>-322491.60533333337</v>
      </c>
      <c r="E4" s="316">
        <f>-Перем.Расх!E27*0.1</f>
        <v>-2409761.2586666667</v>
      </c>
      <c r="F4" s="316">
        <f>-Перем.Расх!F27*0.1</f>
        <v>-20028668.977777775</v>
      </c>
      <c r="G4" s="247"/>
      <c r="H4" s="237"/>
      <c r="I4" s="237"/>
    </row>
    <row r="5" spans="1:25" ht="25.05" customHeight="1">
      <c r="A5" s="317" t="s">
        <v>503</v>
      </c>
      <c r="B5" s="316">
        <f>-Перем.Расх!B28</f>
        <v>0</v>
      </c>
      <c r="C5" s="316">
        <f>-Перем.Расх!C28*0.1</f>
        <v>-1271.1111111111113</v>
      </c>
      <c r="D5" s="316">
        <f>-Перем.Расх!D28*0.1</f>
        <v>-90630.222222222234</v>
      </c>
      <c r="E5" s="316">
        <f>-Перем.Расх!E28*0.1</f>
        <v>-931978.66666666686</v>
      </c>
      <c r="F5" s="316">
        <f>-Перем.Расх!F28*0.1</f>
        <v>-14911658.66666667</v>
      </c>
      <c r="G5" s="244"/>
      <c r="H5" s="237"/>
      <c r="I5" s="237"/>
    </row>
    <row r="6" spans="1:25" ht="25.05" customHeight="1">
      <c r="A6" s="317" t="s">
        <v>501</v>
      </c>
      <c r="B6" s="316">
        <f>-SUM(Перем.Расх!B20:B23)*0.03</f>
        <v>-328.61986666666672</v>
      </c>
      <c r="C6" s="316">
        <f>-SUM(Перем.Расх!C20:C23)*0.03</f>
        <v>-3458.8106666666663</v>
      </c>
      <c r="D6" s="316">
        <f>-SUM(Перем.Расх!D20:D23)*0.03</f>
        <v>-9668.9480000000003</v>
      </c>
      <c r="E6" s="316">
        <f>-SUM(Перем.Расх!E20:E23)*0.03</f>
        <v>-37575.261333333321</v>
      </c>
      <c r="F6" s="316">
        <f>-SUM(Перем.Расх!F20:F23)*0.03</f>
        <v>-167595.09866666663</v>
      </c>
      <c r="G6" s="244"/>
      <c r="H6" s="237"/>
      <c r="I6" s="237"/>
    </row>
    <row r="7" spans="1:25" s="283" customFormat="1" ht="25.05" customHeight="1">
      <c r="A7" s="485" t="s">
        <v>405</v>
      </c>
      <c r="B7" s="486">
        <f>-SUM(B3:B6)</f>
        <v>642.77986666666675</v>
      </c>
      <c r="C7" s="486">
        <f>-SUM(C3:C6)</f>
        <v>58083.18755555556</v>
      </c>
      <c r="D7" s="486">
        <f>-SUM(D3:D6)</f>
        <v>426785.0955555556</v>
      </c>
      <c r="E7" s="486">
        <f>-SUM(E3:E6)</f>
        <v>3389413.186666667</v>
      </c>
      <c r="F7" s="486">
        <f>-SUM(F3:F6)</f>
        <v>35129824.183111116</v>
      </c>
      <c r="G7" s="487"/>
      <c r="H7" s="488"/>
      <c r="I7" s="488"/>
      <c r="J7" s="489"/>
      <c r="K7" s="489"/>
    </row>
    <row r="8" spans="1:25" customFormat="1" ht="34.200000000000003" customHeight="1">
      <c r="A8" s="482" t="s">
        <v>404</v>
      </c>
      <c r="B8" s="483">
        <f>-B7</f>
        <v>-642.77986666666675</v>
      </c>
      <c r="C8" s="483">
        <f>B7-C7</f>
        <v>-57440.407688888896</v>
      </c>
      <c r="D8" s="483">
        <f t="shared" ref="D8:F8" si="0">C7-D7</f>
        <v>-368701.90800000005</v>
      </c>
      <c r="E8" s="483">
        <f t="shared" si="0"/>
        <v>-2962628.0911111115</v>
      </c>
      <c r="F8" s="483">
        <f t="shared" si="0"/>
        <v>-31740410.996444449</v>
      </c>
      <c r="G8" s="484"/>
      <c r="H8" s="484"/>
    </row>
    <row r="9" spans="1:25" ht="25.05" customHeight="1">
      <c r="A9" s="251"/>
      <c r="B9" s="306"/>
      <c r="C9" s="306"/>
      <c r="D9" s="306"/>
      <c r="E9" s="306"/>
      <c r="F9" s="306"/>
      <c r="G9" s="244"/>
      <c r="H9" s="237"/>
      <c r="I9" s="237"/>
    </row>
    <row r="10" spans="1:25" ht="25.05" customHeight="1">
      <c r="A10" s="252"/>
      <c r="B10" s="306"/>
      <c r="C10" s="306"/>
      <c r="D10" s="306"/>
      <c r="E10" s="306"/>
      <c r="F10" s="306"/>
      <c r="G10" s="247"/>
      <c r="H10" s="237"/>
      <c r="I10" s="237"/>
    </row>
    <row r="11" spans="1:25" s="235" customFormat="1" ht="25.05" customHeight="1">
      <c r="A11" s="253"/>
      <c r="B11" s="306"/>
      <c r="C11" s="306"/>
      <c r="D11" s="306"/>
      <c r="E11" s="306"/>
      <c r="F11" s="306"/>
      <c r="G11" s="244"/>
      <c r="H11" s="237"/>
      <c r="I11" s="237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</row>
    <row r="12" spans="1:25" s="235" customFormat="1" ht="25.05" customHeight="1">
      <c r="A12" s="250"/>
      <c r="B12" s="306"/>
      <c r="C12" s="306"/>
      <c r="D12" s="306"/>
      <c r="E12" s="306"/>
      <c r="F12" s="306"/>
      <c r="G12" s="247"/>
      <c r="H12" s="237"/>
      <c r="I12" s="237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</row>
    <row r="13" spans="1:25" s="235" customFormat="1" ht="25.05" customHeight="1">
      <c r="A13" s="250"/>
      <c r="B13" s="306"/>
      <c r="C13" s="306"/>
      <c r="D13" s="306"/>
      <c r="E13" s="306"/>
      <c r="F13" s="306"/>
      <c r="G13" s="244"/>
      <c r="H13" s="237"/>
      <c r="I13" s="237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</row>
    <row r="14" spans="1:25" s="235" customFormat="1" ht="25.05" customHeight="1">
      <c r="A14" s="250"/>
      <c r="B14" s="306"/>
      <c r="C14" s="306"/>
      <c r="D14" s="306"/>
      <c r="E14" s="306"/>
      <c r="F14" s="306"/>
      <c r="G14" s="247"/>
      <c r="H14" s="237"/>
      <c r="I14" s="237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</row>
    <row r="15" spans="1:25" s="235" customFormat="1" ht="25.05" customHeight="1">
      <c r="A15" s="250"/>
      <c r="B15" s="306"/>
      <c r="C15" s="306"/>
      <c r="D15" s="306"/>
      <c r="E15" s="306"/>
      <c r="F15" s="306"/>
      <c r="G15" s="244"/>
      <c r="H15" s="237"/>
      <c r="I15" s="237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</row>
    <row r="16" spans="1:25" s="235" customFormat="1" ht="25.05" customHeight="1">
      <c r="A16" s="250"/>
      <c r="B16" s="306"/>
      <c r="C16" s="306"/>
      <c r="D16" s="306"/>
      <c r="E16" s="306"/>
      <c r="F16" s="306"/>
      <c r="G16" s="247"/>
      <c r="H16" s="237"/>
      <c r="I16" s="237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</row>
    <row r="17" spans="2:25" s="235" customFormat="1" ht="25.05" customHeight="1">
      <c r="B17" s="307"/>
      <c r="C17" s="307"/>
      <c r="D17" s="307"/>
      <c r="E17" s="307"/>
      <c r="F17" s="307"/>
      <c r="G17" s="244"/>
      <c r="H17" s="237"/>
      <c r="I17" s="237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</row>
    <row r="18" spans="2:25" s="235" customFormat="1" ht="25.05" customHeight="1">
      <c r="B18" s="307"/>
      <c r="C18" s="307"/>
      <c r="D18" s="307"/>
      <c r="E18" s="307"/>
      <c r="F18" s="307"/>
      <c r="G18" s="247"/>
      <c r="H18" s="237"/>
      <c r="I18" s="237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</row>
    <row r="19" spans="2:25" s="235" customFormat="1" ht="25.05" customHeight="1">
      <c r="B19" s="307"/>
      <c r="C19" s="307"/>
      <c r="D19" s="307"/>
      <c r="E19" s="307"/>
      <c r="F19" s="307"/>
      <c r="G19" s="244"/>
      <c r="H19" s="237"/>
      <c r="I19" s="237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</row>
    <row r="20" spans="2:25" s="235" customFormat="1" ht="25.05" customHeight="1">
      <c r="B20" s="307"/>
      <c r="C20" s="307"/>
      <c r="D20" s="307"/>
      <c r="E20" s="307"/>
      <c r="F20" s="307"/>
      <c r="G20" s="244"/>
      <c r="H20" s="237"/>
      <c r="I20" s="237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</row>
    <row r="21" spans="2:25" s="235" customFormat="1" ht="25.05" customHeight="1">
      <c r="B21" s="307"/>
      <c r="C21" s="307"/>
      <c r="D21" s="307"/>
      <c r="E21" s="307"/>
      <c r="F21" s="307"/>
      <c r="G21" s="244"/>
      <c r="H21" s="237"/>
      <c r="I21" s="237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</row>
    <row r="22" spans="2:25" s="235" customFormat="1" ht="25.05" customHeight="1">
      <c r="B22" s="307"/>
      <c r="C22" s="307"/>
      <c r="D22" s="307"/>
      <c r="E22" s="307"/>
      <c r="F22" s="307"/>
      <c r="G22" s="244"/>
      <c r="H22" s="237"/>
      <c r="I22" s="237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</row>
    <row r="23" spans="2:25" s="235" customFormat="1" ht="25.05" customHeight="1">
      <c r="B23" s="307"/>
      <c r="C23" s="307"/>
      <c r="D23" s="307"/>
      <c r="E23" s="307"/>
      <c r="F23" s="307"/>
      <c r="G23" s="247"/>
      <c r="H23" s="237"/>
      <c r="I23" s="237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</row>
    <row r="24" spans="2:25" s="235" customFormat="1" ht="25.05" customHeight="1">
      <c r="B24" s="307"/>
      <c r="C24" s="307"/>
      <c r="D24" s="307"/>
      <c r="E24" s="307"/>
      <c r="F24" s="307"/>
      <c r="G24" s="244"/>
      <c r="H24" s="237"/>
      <c r="I24" s="237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</row>
    <row r="25" spans="2:25" s="235" customFormat="1" ht="25.05" customHeight="1">
      <c r="B25" s="307"/>
      <c r="C25" s="307"/>
      <c r="D25" s="307"/>
      <c r="E25" s="307"/>
      <c r="F25" s="307"/>
      <c r="G25" s="244"/>
      <c r="H25" s="237"/>
      <c r="I25" s="237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</row>
    <row r="26" spans="2:25" s="235" customFormat="1" ht="25.05" customHeight="1">
      <c r="B26" s="307"/>
      <c r="C26" s="307"/>
      <c r="D26" s="307"/>
      <c r="E26" s="307"/>
      <c r="F26" s="307"/>
      <c r="G26" s="244"/>
      <c r="H26" s="237"/>
      <c r="I26" s="237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</row>
    <row r="27" spans="2:25" s="235" customFormat="1" ht="25.05" customHeight="1">
      <c r="B27" s="307"/>
      <c r="C27" s="307"/>
      <c r="D27" s="307"/>
      <c r="E27" s="307"/>
      <c r="F27" s="307"/>
      <c r="G27" s="244"/>
      <c r="H27" s="237"/>
      <c r="I27" s="237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</row>
    <row r="28" spans="2:25" s="235" customFormat="1" ht="25.05" customHeight="1">
      <c r="B28" s="307"/>
      <c r="C28" s="307"/>
      <c r="D28" s="307"/>
      <c r="E28" s="307"/>
      <c r="F28" s="307"/>
      <c r="G28" s="244"/>
      <c r="H28" s="237"/>
      <c r="I28" s="237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</row>
    <row r="29" spans="2:25" s="235" customFormat="1" ht="25.05" customHeight="1">
      <c r="B29" s="307"/>
      <c r="C29" s="307"/>
      <c r="D29" s="307"/>
      <c r="E29" s="307"/>
      <c r="F29" s="307"/>
      <c r="G29" s="244"/>
      <c r="H29" s="237"/>
      <c r="I29" s="237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</row>
    <row r="30" spans="2:25" s="235" customFormat="1" ht="25.05" customHeight="1">
      <c r="B30" s="307"/>
      <c r="C30" s="307"/>
      <c r="D30" s="307"/>
      <c r="E30" s="307"/>
      <c r="F30" s="307"/>
      <c r="G30" s="244"/>
      <c r="H30" s="237"/>
      <c r="I30" s="237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</row>
    <row r="31" spans="2:25" s="235" customFormat="1" ht="25.05" customHeight="1">
      <c r="B31" s="307"/>
      <c r="C31" s="307"/>
      <c r="D31" s="307"/>
      <c r="E31" s="307"/>
      <c r="F31" s="307"/>
      <c r="G31" s="247"/>
      <c r="H31" s="237"/>
      <c r="I31" s="237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</row>
    <row r="32" spans="2:25" s="235" customFormat="1" ht="25.05" customHeight="1">
      <c r="B32" s="307"/>
      <c r="C32" s="307"/>
      <c r="D32" s="307"/>
      <c r="E32" s="307"/>
      <c r="F32" s="307"/>
      <c r="G32" s="244"/>
      <c r="H32" s="237"/>
      <c r="I32" s="237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</row>
    <row r="33" spans="2:25" s="235" customFormat="1" ht="25.05" customHeight="1">
      <c r="B33" s="307"/>
      <c r="C33" s="307"/>
      <c r="D33" s="307"/>
      <c r="E33" s="307"/>
      <c r="F33" s="307"/>
      <c r="G33" s="247"/>
      <c r="H33" s="237"/>
      <c r="I33" s="237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</row>
    <row r="34" spans="2:25" s="235" customFormat="1" ht="25.05" customHeight="1">
      <c r="B34" s="307"/>
      <c r="C34" s="307"/>
      <c r="D34" s="307"/>
      <c r="E34" s="307"/>
      <c r="F34" s="307"/>
      <c r="G34" s="244"/>
      <c r="H34" s="237"/>
      <c r="I34" s="237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</row>
    <row r="35" spans="2:25" s="235" customFormat="1" ht="25.05" customHeight="1">
      <c r="B35" s="307"/>
      <c r="C35" s="307"/>
      <c r="D35" s="307"/>
      <c r="E35" s="307"/>
      <c r="F35" s="307"/>
      <c r="G35" s="244"/>
      <c r="H35" s="237"/>
      <c r="I35" s="237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</row>
    <row r="36" spans="2:25" s="235" customFormat="1" ht="25.05" customHeight="1">
      <c r="B36" s="307"/>
      <c r="C36" s="307"/>
      <c r="D36" s="307"/>
      <c r="E36" s="307"/>
      <c r="F36" s="307"/>
      <c r="G36" s="244"/>
      <c r="H36" s="237"/>
      <c r="I36" s="237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</row>
    <row r="37" spans="2:25" s="235" customFormat="1" ht="25.05" customHeight="1">
      <c r="B37" s="307"/>
      <c r="C37" s="307"/>
      <c r="D37" s="307"/>
      <c r="E37" s="307"/>
      <c r="F37" s="307"/>
      <c r="G37" s="244"/>
      <c r="H37" s="237"/>
      <c r="I37" s="237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</row>
    <row r="38" spans="2:25" s="235" customFormat="1" ht="25.05" customHeight="1">
      <c r="B38" s="307"/>
      <c r="C38" s="307"/>
      <c r="D38" s="307"/>
      <c r="E38" s="307"/>
      <c r="F38" s="307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</row>
    <row r="39" spans="2:25" s="235" customFormat="1" ht="25.05" customHeight="1">
      <c r="B39" s="307"/>
      <c r="C39" s="307"/>
      <c r="D39" s="307"/>
      <c r="E39" s="307"/>
      <c r="F39" s="307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</row>
    <row r="40" spans="2:25" s="235" customFormat="1" ht="25.05" customHeight="1">
      <c r="B40" s="307"/>
      <c r="C40" s="307"/>
      <c r="D40" s="307"/>
      <c r="E40" s="307"/>
      <c r="F40" s="307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</row>
    <row r="41" spans="2:25" s="235" customFormat="1" ht="25.05" customHeight="1">
      <c r="B41" s="307"/>
      <c r="C41" s="307"/>
      <c r="D41" s="307"/>
      <c r="E41" s="307"/>
      <c r="F41" s="307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</row>
    <row r="42" spans="2:25" s="235" customFormat="1" ht="25.05" customHeight="1">
      <c r="B42" s="307"/>
      <c r="C42" s="307"/>
      <c r="D42" s="307"/>
      <c r="E42" s="307"/>
      <c r="F42" s="307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</row>
    <row r="43" spans="2:25" s="235" customFormat="1" ht="25.05" customHeight="1">
      <c r="B43" s="307"/>
      <c r="C43" s="307"/>
      <c r="D43" s="307"/>
      <c r="E43" s="307"/>
      <c r="F43" s="307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</row>
    <row r="44" spans="2:25" s="235" customFormat="1" ht="25.05" customHeight="1">
      <c r="B44" s="307"/>
      <c r="C44" s="307"/>
      <c r="D44" s="307"/>
      <c r="E44" s="307"/>
      <c r="F44" s="307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</row>
    <row r="45" spans="2:25" s="235" customFormat="1" ht="25.05" customHeight="1">
      <c r="B45" s="307"/>
      <c r="C45" s="307"/>
      <c r="D45" s="307"/>
      <c r="E45" s="307"/>
      <c r="F45" s="307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</row>
    <row r="46" spans="2:25" s="235" customFormat="1" ht="25.05" customHeight="1">
      <c r="B46" s="307"/>
      <c r="C46" s="307"/>
      <c r="D46" s="307"/>
      <c r="E46" s="307"/>
      <c r="F46" s="307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</row>
    <row r="47" spans="2:25" s="235" customFormat="1" ht="25.05" customHeight="1">
      <c r="B47" s="307"/>
      <c r="C47" s="307"/>
      <c r="D47" s="307"/>
      <c r="E47" s="307"/>
      <c r="F47" s="307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</row>
    <row r="48" spans="2:25" s="235" customFormat="1" ht="25.05" customHeight="1">
      <c r="B48" s="307"/>
      <c r="C48" s="307"/>
      <c r="D48" s="307"/>
      <c r="E48" s="307"/>
      <c r="F48" s="307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</row>
    <row r="49" spans="2:25" s="235" customFormat="1" ht="25.05" customHeight="1">
      <c r="B49" s="307"/>
      <c r="C49" s="307"/>
      <c r="D49" s="307"/>
      <c r="E49" s="307"/>
      <c r="F49" s="307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</row>
    <row r="50" spans="2:25" s="235" customFormat="1" ht="25.05" customHeight="1">
      <c r="B50" s="307"/>
      <c r="C50" s="307"/>
      <c r="D50" s="307"/>
      <c r="E50" s="307"/>
      <c r="F50" s="307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</row>
    <row r="51" spans="2:25" s="235" customFormat="1" ht="25.05" customHeight="1">
      <c r="B51" s="307"/>
      <c r="C51" s="307"/>
      <c r="D51" s="307"/>
      <c r="E51" s="307"/>
      <c r="F51" s="307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</row>
    <row r="52" spans="2:25" s="235" customFormat="1" ht="25.05" customHeight="1">
      <c r="B52" s="307"/>
      <c r="C52" s="307"/>
      <c r="D52" s="307"/>
      <c r="E52" s="307"/>
      <c r="F52" s="307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</row>
    <row r="53" spans="2:25" s="235" customFormat="1" ht="25.05" customHeight="1">
      <c r="B53" s="307"/>
      <c r="C53" s="307"/>
      <c r="D53" s="307"/>
      <c r="E53" s="307"/>
      <c r="F53" s="307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</row>
    <row r="54" spans="2:25" s="235" customFormat="1" ht="25.05" customHeight="1">
      <c r="B54" s="307"/>
      <c r="C54" s="307"/>
      <c r="D54" s="307"/>
      <c r="E54" s="307"/>
      <c r="F54" s="307"/>
      <c r="L54" s="123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</row>
    <row r="55" spans="2:25" s="235" customFormat="1" ht="25.05" customHeight="1">
      <c r="B55" s="307"/>
      <c r="C55" s="307"/>
      <c r="D55" s="307"/>
      <c r="E55" s="307"/>
      <c r="F55" s="307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</row>
    <row r="56" spans="2:25" s="235" customFormat="1" ht="25.05" customHeight="1">
      <c r="B56" s="307"/>
      <c r="C56" s="307"/>
      <c r="D56" s="307"/>
      <c r="E56" s="307"/>
      <c r="F56" s="307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</row>
    <row r="57" spans="2:25" s="235" customFormat="1" ht="25.05" customHeight="1">
      <c r="B57" s="307"/>
      <c r="C57" s="307"/>
      <c r="D57" s="307"/>
      <c r="E57" s="307"/>
      <c r="F57" s="307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</row>
    <row r="58" spans="2:25" s="235" customFormat="1" ht="25.05" customHeight="1">
      <c r="B58" s="307"/>
      <c r="C58" s="307"/>
      <c r="D58" s="307"/>
      <c r="E58" s="307"/>
      <c r="F58" s="307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</row>
    <row r="59" spans="2:25" s="235" customFormat="1" ht="25.05" customHeight="1">
      <c r="B59" s="307"/>
      <c r="C59" s="307"/>
      <c r="D59" s="307"/>
      <c r="E59" s="307"/>
      <c r="F59" s="307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</row>
    <row r="60" spans="2:25" s="235" customFormat="1" ht="25.05" customHeight="1">
      <c r="B60" s="307"/>
      <c r="C60" s="307"/>
      <c r="D60" s="307"/>
      <c r="E60" s="307"/>
      <c r="F60" s="307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</row>
    <row r="61" spans="2:25" s="235" customFormat="1" ht="25.05" customHeight="1">
      <c r="B61" s="307"/>
      <c r="C61" s="307"/>
      <c r="D61" s="307"/>
      <c r="E61" s="307"/>
      <c r="F61" s="307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</row>
    <row r="62" spans="2:25" s="235" customFormat="1" ht="25.05" customHeight="1">
      <c r="B62" s="307"/>
      <c r="C62" s="307"/>
      <c r="D62" s="307"/>
      <c r="E62" s="307"/>
      <c r="F62" s="307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</row>
    <row r="63" spans="2:25" s="235" customFormat="1" ht="25.05" customHeight="1">
      <c r="B63" s="307"/>
      <c r="C63" s="307"/>
      <c r="D63" s="307"/>
      <c r="E63" s="307"/>
      <c r="F63" s="307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</row>
    <row r="64" spans="2:25" s="235" customFormat="1" ht="25.05" customHeight="1">
      <c r="B64" s="307"/>
      <c r="C64" s="307"/>
      <c r="D64" s="307"/>
      <c r="E64" s="307"/>
      <c r="F64" s="307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</row>
    <row r="65" spans="2:25" s="235" customFormat="1" ht="25.05" customHeight="1">
      <c r="B65" s="307"/>
      <c r="C65" s="307"/>
      <c r="D65" s="307"/>
      <c r="E65" s="307"/>
      <c r="F65" s="307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</row>
    <row r="66" spans="2:25" s="235" customFormat="1" ht="25.05" customHeight="1">
      <c r="B66" s="307"/>
      <c r="C66" s="307"/>
      <c r="D66" s="307"/>
      <c r="E66" s="307"/>
      <c r="F66" s="307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</row>
    <row r="67" spans="2:25" s="235" customFormat="1" ht="25.05" customHeight="1">
      <c r="B67" s="307"/>
      <c r="C67" s="307"/>
      <c r="D67" s="307"/>
      <c r="E67" s="307"/>
      <c r="F67" s="307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</row>
    <row r="68" spans="2:25" s="235" customFormat="1" ht="25.05" customHeight="1">
      <c r="B68" s="307"/>
      <c r="C68" s="307"/>
      <c r="D68" s="307"/>
      <c r="E68" s="307"/>
      <c r="F68" s="307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</row>
    <row r="69" spans="2:25" s="235" customFormat="1" ht="25.05" customHeight="1">
      <c r="B69" s="307"/>
      <c r="C69" s="307"/>
      <c r="D69" s="307"/>
      <c r="E69" s="307"/>
      <c r="F69" s="307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</row>
    <row r="70" spans="2:25" s="235" customFormat="1" ht="25.05" customHeight="1">
      <c r="B70" s="307"/>
      <c r="C70" s="307"/>
      <c r="D70" s="307"/>
      <c r="E70" s="307"/>
      <c r="F70" s="307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</row>
    <row r="71" spans="2:25" s="235" customFormat="1" ht="25.05" customHeight="1">
      <c r="B71" s="307"/>
      <c r="C71" s="307"/>
      <c r="D71" s="307"/>
      <c r="E71" s="307"/>
      <c r="F71" s="307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</row>
    <row r="72" spans="2:25" s="235" customFormat="1" ht="25.05" customHeight="1">
      <c r="B72" s="307"/>
      <c r="C72" s="307"/>
      <c r="D72" s="307"/>
      <c r="E72" s="307"/>
      <c r="F72" s="307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</row>
    <row r="73" spans="2:25" s="235" customFormat="1" ht="25.05" customHeight="1">
      <c r="B73" s="307"/>
      <c r="C73" s="307"/>
      <c r="D73" s="307"/>
      <c r="E73" s="307"/>
      <c r="F73" s="307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</row>
    <row r="74" spans="2:25" s="235" customFormat="1" ht="25.05" customHeight="1">
      <c r="B74" s="307"/>
      <c r="C74" s="307"/>
      <c r="D74" s="307"/>
      <c r="E74" s="307"/>
      <c r="F74" s="307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</row>
    <row r="75" spans="2:25" s="235" customFormat="1" ht="25.05" customHeight="1">
      <c r="B75" s="307"/>
      <c r="C75" s="307"/>
      <c r="D75" s="307"/>
      <c r="E75" s="307"/>
      <c r="F75" s="307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</row>
    <row r="76" spans="2:25" s="235" customFormat="1" ht="25.05" customHeight="1">
      <c r="B76" s="307"/>
      <c r="C76" s="307"/>
      <c r="D76" s="307"/>
      <c r="E76" s="307"/>
      <c r="F76" s="307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</row>
    <row r="77" spans="2:25" s="235" customFormat="1" ht="25.05" customHeight="1">
      <c r="B77" s="307"/>
      <c r="C77" s="307"/>
      <c r="D77" s="307"/>
      <c r="E77" s="307"/>
      <c r="F77" s="307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</row>
    <row r="78" spans="2:25" s="235" customFormat="1" ht="25.05" customHeight="1">
      <c r="B78" s="307"/>
      <c r="C78" s="307"/>
      <c r="D78" s="307"/>
      <c r="E78" s="307"/>
      <c r="F78" s="307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</row>
    <row r="79" spans="2:25" s="235" customFormat="1" ht="25.05" customHeight="1">
      <c r="B79" s="307"/>
      <c r="C79" s="307"/>
      <c r="D79" s="307"/>
      <c r="E79" s="307"/>
      <c r="F79" s="307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</row>
    <row r="80" spans="2:25" s="235" customFormat="1" ht="25.05" customHeight="1">
      <c r="B80" s="307"/>
      <c r="C80" s="307"/>
      <c r="D80" s="307"/>
      <c r="E80" s="307"/>
      <c r="F80" s="307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</row>
    <row r="81" spans="2:25" s="235" customFormat="1" ht="25.05" customHeight="1">
      <c r="B81" s="307"/>
      <c r="C81" s="307"/>
      <c r="D81" s="307"/>
      <c r="E81" s="307"/>
      <c r="F81" s="307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</row>
    <row r="82" spans="2:25" s="235" customFormat="1" ht="25.05" customHeight="1">
      <c r="B82" s="307"/>
      <c r="C82" s="307"/>
      <c r="D82" s="307"/>
      <c r="E82" s="307"/>
      <c r="F82" s="307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</row>
    <row r="83" spans="2:25" s="235" customFormat="1" ht="25.05" customHeight="1">
      <c r="B83" s="307"/>
      <c r="C83" s="307"/>
      <c r="D83" s="307"/>
      <c r="E83" s="307"/>
      <c r="F83" s="307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</row>
    <row r="84" spans="2:25" s="235" customFormat="1" ht="25.05" customHeight="1">
      <c r="B84" s="307"/>
      <c r="C84" s="307"/>
      <c r="D84" s="307"/>
      <c r="E84" s="307"/>
      <c r="F84" s="307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</row>
    <row r="85" spans="2:25" s="235" customFormat="1" ht="25.05" customHeight="1">
      <c r="B85" s="307"/>
      <c r="C85" s="307"/>
      <c r="D85" s="307"/>
      <c r="E85" s="307"/>
      <c r="F85" s="307"/>
      <c r="L85" s="123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</row>
    <row r="86" spans="2:25" s="235" customFormat="1" ht="25.05" customHeight="1">
      <c r="B86" s="307"/>
      <c r="C86" s="307"/>
      <c r="D86" s="307"/>
      <c r="E86" s="307"/>
      <c r="F86" s="307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</row>
    <row r="87" spans="2:25" s="235" customFormat="1" ht="25.05" customHeight="1">
      <c r="B87" s="307"/>
      <c r="C87" s="307"/>
      <c r="D87" s="307"/>
      <c r="E87" s="307"/>
      <c r="F87" s="307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</row>
    <row r="88" spans="2:25" s="235" customFormat="1" ht="25.05" customHeight="1">
      <c r="B88" s="307"/>
      <c r="C88" s="307"/>
      <c r="D88" s="307"/>
      <c r="E88" s="307"/>
      <c r="F88" s="307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</row>
    <row r="89" spans="2:25" s="235" customFormat="1" ht="25.05" customHeight="1">
      <c r="B89" s="307"/>
      <c r="C89" s="307"/>
      <c r="D89" s="307"/>
      <c r="E89" s="307"/>
      <c r="F89" s="307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</row>
    <row r="90" spans="2:25" s="235" customFormat="1" ht="25.05" customHeight="1">
      <c r="B90" s="307"/>
      <c r="C90" s="307"/>
      <c r="D90" s="307"/>
      <c r="E90" s="307"/>
      <c r="F90" s="307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</row>
    <row r="91" spans="2:25" s="235" customFormat="1" ht="25.05" customHeight="1">
      <c r="B91" s="307"/>
      <c r="C91" s="307"/>
      <c r="D91" s="307"/>
      <c r="E91" s="307"/>
      <c r="F91" s="307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</row>
    <row r="92" spans="2:25" s="235" customFormat="1" ht="25.05" customHeight="1">
      <c r="B92" s="307"/>
      <c r="C92" s="307"/>
      <c r="D92" s="307"/>
      <c r="E92" s="307"/>
      <c r="F92" s="307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</row>
    <row r="93" spans="2:25" s="235" customFormat="1" ht="25.05" customHeight="1">
      <c r="B93" s="307"/>
      <c r="C93" s="307"/>
      <c r="D93" s="307"/>
      <c r="E93" s="307"/>
      <c r="F93" s="307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</row>
    <row r="94" spans="2:25" s="235" customFormat="1" ht="25.05" customHeight="1">
      <c r="B94" s="307"/>
      <c r="C94" s="307"/>
      <c r="D94" s="307"/>
      <c r="E94" s="307"/>
      <c r="F94" s="307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</row>
    <row r="95" spans="2:25" s="235" customFormat="1" ht="25.05" customHeight="1">
      <c r="B95" s="307"/>
      <c r="C95" s="307"/>
      <c r="D95" s="307"/>
      <c r="E95" s="307"/>
      <c r="F95" s="307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</row>
    <row r="96" spans="2:25" s="235" customFormat="1" ht="25.05" customHeight="1">
      <c r="B96" s="307"/>
      <c r="C96" s="307"/>
      <c r="D96" s="307"/>
      <c r="E96" s="307"/>
      <c r="F96" s="307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</row>
    <row r="97" spans="2:25" s="235" customFormat="1" ht="25.05" customHeight="1">
      <c r="B97" s="307"/>
      <c r="C97" s="307"/>
      <c r="D97" s="307"/>
      <c r="E97" s="307"/>
      <c r="F97" s="307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</row>
    <row r="98" spans="2:25" s="235" customFormat="1" ht="25.05" customHeight="1">
      <c r="B98" s="307"/>
      <c r="C98" s="307"/>
      <c r="D98" s="307"/>
      <c r="E98" s="307"/>
      <c r="F98" s="307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</row>
    <row r="99" spans="2:25" s="235" customFormat="1" ht="25.05" customHeight="1">
      <c r="B99" s="307"/>
      <c r="C99" s="307"/>
      <c r="D99" s="307"/>
      <c r="E99" s="307"/>
      <c r="F99" s="307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</row>
    <row r="100" spans="2:25" s="235" customFormat="1" ht="25.05" customHeight="1">
      <c r="B100" s="307"/>
      <c r="C100" s="307"/>
      <c r="D100" s="307"/>
      <c r="E100" s="307"/>
      <c r="F100" s="307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</row>
    <row r="101" spans="2:25" s="235" customFormat="1" ht="25.05" customHeight="1">
      <c r="B101" s="307"/>
      <c r="C101" s="307"/>
      <c r="D101" s="307"/>
      <c r="E101" s="307"/>
      <c r="F101" s="307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</row>
    <row r="102" spans="2:25" s="235" customFormat="1" ht="25.05" customHeight="1">
      <c r="B102" s="307"/>
      <c r="C102" s="307"/>
      <c r="D102" s="307"/>
      <c r="E102" s="307"/>
      <c r="F102" s="307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</row>
    <row r="103" spans="2:25" s="235" customFormat="1" ht="25.05" customHeight="1">
      <c r="B103" s="307"/>
      <c r="C103" s="307"/>
      <c r="D103" s="307"/>
      <c r="E103" s="307"/>
      <c r="F103" s="307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</row>
    <row r="104" spans="2:25" s="235" customFormat="1" ht="25.05" customHeight="1">
      <c r="B104" s="307"/>
      <c r="C104" s="307"/>
      <c r="D104" s="307"/>
      <c r="E104" s="307"/>
      <c r="F104" s="307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</row>
    <row r="105" spans="2:25" s="235" customFormat="1" ht="25.05" customHeight="1">
      <c r="B105" s="307"/>
      <c r="C105" s="307"/>
      <c r="D105" s="307"/>
      <c r="E105" s="307"/>
      <c r="F105" s="307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</row>
    <row r="106" spans="2:25" s="235" customFormat="1" ht="25.05" customHeight="1">
      <c r="B106" s="307"/>
      <c r="C106" s="307"/>
      <c r="D106" s="307"/>
      <c r="E106" s="307"/>
      <c r="F106" s="307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</row>
    <row r="107" spans="2:25" s="235" customFormat="1" ht="25.05" customHeight="1">
      <c r="B107" s="307"/>
      <c r="C107" s="307"/>
      <c r="D107" s="307"/>
      <c r="E107" s="307"/>
      <c r="F107" s="307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</row>
    <row r="108" spans="2:25" s="235" customFormat="1" ht="25.05" customHeight="1">
      <c r="B108" s="307"/>
      <c r="C108" s="307"/>
      <c r="D108" s="307"/>
      <c r="E108" s="307"/>
      <c r="F108" s="307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</row>
    <row r="109" spans="2:25" s="235" customFormat="1" ht="25.05" customHeight="1">
      <c r="B109" s="307"/>
      <c r="C109" s="307"/>
      <c r="D109" s="307"/>
      <c r="E109" s="307"/>
      <c r="F109" s="307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</row>
    <row r="110" spans="2:25" s="235" customFormat="1" ht="25.05" customHeight="1">
      <c r="B110" s="307"/>
      <c r="C110" s="307"/>
      <c r="D110" s="307"/>
      <c r="E110" s="307"/>
      <c r="F110" s="307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</row>
    <row r="111" spans="2:25" s="235" customFormat="1" ht="25.05" customHeight="1">
      <c r="B111" s="307"/>
      <c r="C111" s="307"/>
      <c r="D111" s="307"/>
      <c r="E111" s="307"/>
      <c r="F111" s="307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</row>
    <row r="112" spans="2:25" s="235" customFormat="1" ht="25.05" customHeight="1">
      <c r="B112" s="307"/>
      <c r="C112" s="307"/>
      <c r="D112" s="307"/>
      <c r="E112" s="307"/>
      <c r="F112" s="307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</row>
    <row r="113" spans="2:25" s="235" customFormat="1" ht="25.05" customHeight="1">
      <c r="B113" s="307"/>
      <c r="C113" s="307"/>
      <c r="D113" s="307"/>
      <c r="E113" s="307"/>
      <c r="F113" s="307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</row>
    <row r="114" spans="2:25" s="235" customFormat="1" ht="25.05" customHeight="1">
      <c r="B114" s="307"/>
      <c r="C114" s="307"/>
      <c r="D114" s="307"/>
      <c r="E114" s="307"/>
      <c r="F114" s="307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</row>
    <row r="115" spans="2:25" s="235" customFormat="1" ht="25.05" customHeight="1">
      <c r="B115" s="307"/>
      <c r="C115" s="307"/>
      <c r="D115" s="307"/>
      <c r="E115" s="307"/>
      <c r="F115" s="307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</row>
    <row r="116" spans="2:25" s="235" customFormat="1" ht="25.05" customHeight="1">
      <c r="B116" s="307"/>
      <c r="C116" s="307"/>
      <c r="D116" s="307"/>
      <c r="E116" s="307"/>
      <c r="F116" s="307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</row>
    <row r="117" spans="2:25" s="235" customFormat="1" ht="25.05" customHeight="1">
      <c r="B117" s="307"/>
      <c r="C117" s="307"/>
      <c r="D117" s="307"/>
      <c r="E117" s="307"/>
      <c r="F117" s="307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</row>
    <row r="118" spans="2:25" s="235" customFormat="1" ht="25.05" customHeight="1">
      <c r="B118" s="307"/>
      <c r="C118" s="307"/>
      <c r="D118" s="307"/>
      <c r="E118" s="307"/>
      <c r="F118" s="307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</row>
    <row r="119" spans="2:25" s="235" customFormat="1" ht="25.05" customHeight="1">
      <c r="B119" s="307"/>
      <c r="C119" s="307"/>
      <c r="D119" s="307"/>
      <c r="E119" s="307"/>
      <c r="F119" s="307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</row>
    <row r="120" spans="2:25" s="235" customFormat="1" ht="25.05" customHeight="1">
      <c r="B120" s="307"/>
      <c r="C120" s="307"/>
      <c r="D120" s="307"/>
      <c r="E120" s="307"/>
      <c r="F120" s="307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</row>
    <row r="121" spans="2:25" s="235" customFormat="1" ht="25.05" customHeight="1">
      <c r="B121" s="307"/>
      <c r="C121" s="307"/>
      <c r="D121" s="307"/>
      <c r="E121" s="307"/>
      <c r="F121" s="307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</row>
    <row r="122" spans="2:25" s="235" customFormat="1" ht="25.05" customHeight="1">
      <c r="B122" s="307"/>
      <c r="C122" s="307"/>
      <c r="D122" s="307"/>
      <c r="E122" s="307"/>
      <c r="F122" s="307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</row>
    <row r="123" spans="2:25" s="235" customFormat="1" ht="25.05" customHeight="1">
      <c r="B123" s="307"/>
      <c r="C123" s="307"/>
      <c r="D123" s="307"/>
      <c r="E123" s="307"/>
      <c r="F123" s="307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</row>
    <row r="124" spans="2:25" s="235" customFormat="1" ht="25.05" customHeight="1">
      <c r="B124" s="307"/>
      <c r="C124" s="307"/>
      <c r="D124" s="307"/>
      <c r="E124" s="307"/>
      <c r="F124" s="307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</row>
    <row r="125" spans="2:25" s="235" customFormat="1" ht="25.05" customHeight="1">
      <c r="B125" s="307"/>
      <c r="C125" s="307"/>
      <c r="D125" s="307"/>
      <c r="E125" s="307"/>
      <c r="F125" s="307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</row>
    <row r="126" spans="2:25" s="235" customFormat="1" ht="25.05" customHeight="1">
      <c r="B126" s="307"/>
      <c r="C126" s="307"/>
      <c r="D126" s="307"/>
      <c r="E126" s="307"/>
      <c r="F126" s="307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</row>
    <row r="127" spans="2:25" s="235" customFormat="1" ht="25.05" customHeight="1">
      <c r="B127" s="307"/>
      <c r="C127" s="307"/>
      <c r="D127" s="307"/>
      <c r="E127" s="307"/>
      <c r="F127" s="307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</row>
    <row r="128" spans="2:25" s="235" customFormat="1" ht="25.05" customHeight="1">
      <c r="B128" s="307"/>
      <c r="C128" s="307"/>
      <c r="D128" s="307"/>
      <c r="E128" s="307"/>
      <c r="F128" s="307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</row>
    <row r="129" spans="2:25" s="235" customFormat="1" ht="25.05" customHeight="1">
      <c r="B129" s="307"/>
      <c r="C129" s="307"/>
      <c r="D129" s="307"/>
      <c r="E129" s="307"/>
      <c r="F129" s="307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</row>
    <row r="130" spans="2:25" s="235" customFormat="1" ht="25.05" customHeight="1">
      <c r="B130" s="307"/>
      <c r="C130" s="307"/>
      <c r="D130" s="307"/>
      <c r="E130" s="307"/>
      <c r="F130" s="307"/>
      <c r="L130" s="123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</row>
    <row r="131" spans="2:25" s="235" customFormat="1" ht="25.05" customHeight="1">
      <c r="B131" s="307"/>
      <c r="C131" s="307"/>
      <c r="D131" s="307"/>
      <c r="E131" s="307"/>
      <c r="F131" s="307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</row>
    <row r="132" spans="2:25" s="235" customFormat="1" ht="25.05" customHeight="1">
      <c r="B132" s="307"/>
      <c r="C132" s="307"/>
      <c r="D132" s="307"/>
      <c r="E132" s="307"/>
      <c r="F132" s="307"/>
      <c r="L132" s="123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</row>
    <row r="133" spans="2:25" s="235" customFormat="1" ht="25.05" customHeight="1">
      <c r="B133" s="307"/>
      <c r="C133" s="307"/>
      <c r="D133" s="307"/>
      <c r="E133" s="307"/>
      <c r="F133" s="307"/>
      <c r="L133" s="123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</row>
    <row r="134" spans="2:25" s="235" customFormat="1" ht="25.05" customHeight="1">
      <c r="B134" s="307"/>
      <c r="C134" s="307"/>
      <c r="D134" s="307"/>
      <c r="E134" s="307"/>
      <c r="F134" s="307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</row>
    <row r="135" spans="2:25" s="235" customFormat="1" ht="25.05" customHeight="1">
      <c r="B135" s="307"/>
      <c r="C135" s="307"/>
      <c r="D135" s="307"/>
      <c r="E135" s="307"/>
      <c r="F135" s="307"/>
      <c r="L135" s="123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</row>
    <row r="136" spans="2:25" s="235" customFormat="1" ht="25.05" customHeight="1">
      <c r="B136" s="307"/>
      <c r="C136" s="307"/>
      <c r="D136" s="307"/>
      <c r="E136" s="307"/>
      <c r="F136" s="307"/>
      <c r="L136" s="123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</row>
    <row r="137" spans="2:25" s="235" customFormat="1" ht="25.05" customHeight="1">
      <c r="B137" s="307"/>
      <c r="C137" s="307"/>
      <c r="D137" s="307"/>
      <c r="E137" s="307"/>
      <c r="F137" s="307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</row>
    <row r="138" spans="2:25" s="235" customFormat="1" ht="25.05" customHeight="1">
      <c r="B138" s="307"/>
      <c r="C138" s="307"/>
      <c r="D138" s="307"/>
      <c r="E138" s="307"/>
      <c r="F138" s="307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</row>
    <row r="139" spans="2:25" s="235" customFormat="1" ht="25.05" customHeight="1">
      <c r="B139" s="307"/>
      <c r="C139" s="307"/>
      <c r="D139" s="307"/>
      <c r="E139" s="307"/>
      <c r="F139" s="307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</row>
    <row r="140" spans="2:25" s="235" customFormat="1" ht="25.05" customHeight="1">
      <c r="B140" s="307"/>
      <c r="C140" s="307"/>
      <c r="D140" s="307"/>
      <c r="E140" s="307"/>
      <c r="F140" s="307"/>
      <c r="L140" s="123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</row>
    <row r="141" spans="2:25" s="235" customFormat="1" ht="25.05" customHeight="1">
      <c r="B141" s="307"/>
      <c r="C141" s="307"/>
      <c r="D141" s="307"/>
      <c r="E141" s="307"/>
      <c r="F141" s="307"/>
      <c r="L141" s="123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</row>
    <row r="142" spans="2:25" s="235" customFormat="1" ht="25.05" customHeight="1">
      <c r="B142" s="307"/>
      <c r="C142" s="307"/>
      <c r="D142" s="307"/>
      <c r="E142" s="307"/>
      <c r="F142" s="307"/>
      <c r="L142" s="123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</row>
    <row r="143" spans="2:25" s="235" customFormat="1" ht="25.05" customHeight="1">
      <c r="B143" s="307"/>
      <c r="C143" s="307"/>
      <c r="D143" s="307"/>
      <c r="E143" s="307"/>
      <c r="F143" s="307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</row>
    <row r="144" spans="2:25" s="235" customFormat="1" ht="25.05" customHeight="1">
      <c r="B144" s="307"/>
      <c r="C144" s="307"/>
      <c r="D144" s="307"/>
      <c r="E144" s="307"/>
      <c r="F144" s="307"/>
      <c r="L144" s="123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</row>
    <row r="145" spans="2:25" s="235" customFormat="1" ht="25.05" customHeight="1">
      <c r="B145" s="307"/>
      <c r="C145" s="307"/>
      <c r="D145" s="307"/>
      <c r="E145" s="307"/>
      <c r="F145" s="307"/>
      <c r="L145" s="123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</row>
    <row r="146" spans="2:25" s="235" customFormat="1" ht="25.05" customHeight="1">
      <c r="B146" s="307"/>
      <c r="C146" s="307"/>
      <c r="D146" s="307"/>
      <c r="E146" s="307"/>
      <c r="F146" s="307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</row>
    <row r="147" spans="2:25" s="235" customFormat="1" ht="25.05" customHeight="1">
      <c r="B147" s="307"/>
      <c r="C147" s="307"/>
      <c r="D147" s="307"/>
      <c r="E147" s="307"/>
      <c r="F147" s="307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</row>
    <row r="148" spans="2:25" s="235" customFormat="1" ht="25.05" customHeight="1">
      <c r="B148" s="307"/>
      <c r="C148" s="307"/>
      <c r="D148" s="307"/>
      <c r="E148" s="307"/>
      <c r="F148" s="307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</row>
    <row r="149" spans="2:25" s="235" customFormat="1" ht="25.05" customHeight="1">
      <c r="B149" s="307"/>
      <c r="C149" s="307"/>
      <c r="D149" s="307"/>
      <c r="E149" s="307"/>
      <c r="F149" s="307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</row>
    <row r="150" spans="2:25" s="235" customFormat="1" ht="25.05" customHeight="1">
      <c r="B150" s="307"/>
      <c r="C150" s="307"/>
      <c r="D150" s="307"/>
      <c r="E150" s="307"/>
      <c r="F150" s="307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</row>
    <row r="151" spans="2:25" s="235" customFormat="1" ht="25.05" customHeight="1">
      <c r="B151" s="307"/>
      <c r="C151" s="307"/>
      <c r="D151" s="307"/>
      <c r="E151" s="307"/>
      <c r="F151" s="307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</row>
    <row r="152" spans="2:25" s="235" customFormat="1" ht="25.05" customHeight="1">
      <c r="B152" s="307"/>
      <c r="C152" s="307"/>
      <c r="D152" s="307"/>
      <c r="E152" s="307"/>
      <c r="F152" s="307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</row>
    <row r="153" spans="2:25" s="235" customFormat="1" ht="25.05" customHeight="1">
      <c r="B153" s="307"/>
      <c r="C153" s="307"/>
      <c r="D153" s="307"/>
      <c r="E153" s="307"/>
      <c r="F153" s="307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</row>
    <row r="154" spans="2:25" s="235" customFormat="1" ht="25.05" customHeight="1">
      <c r="B154" s="307"/>
      <c r="C154" s="307"/>
      <c r="D154" s="307"/>
      <c r="E154" s="307"/>
      <c r="F154" s="307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</row>
    <row r="155" spans="2:25" s="235" customFormat="1" ht="25.05" customHeight="1">
      <c r="B155" s="307"/>
      <c r="C155" s="307"/>
      <c r="D155" s="307"/>
      <c r="E155" s="307"/>
      <c r="F155" s="307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</row>
    <row r="156" spans="2:25" s="235" customFormat="1" ht="25.05" customHeight="1">
      <c r="B156" s="307"/>
      <c r="C156" s="307"/>
      <c r="D156" s="307"/>
      <c r="E156" s="307"/>
      <c r="F156" s="307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</row>
    <row r="157" spans="2:25" s="235" customFormat="1" ht="25.05" customHeight="1">
      <c r="B157" s="307"/>
      <c r="C157" s="307"/>
      <c r="D157" s="307"/>
      <c r="E157" s="307"/>
      <c r="F157" s="307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</row>
    <row r="158" spans="2:25" s="235" customFormat="1" ht="25.05" customHeight="1">
      <c r="B158" s="307"/>
      <c r="C158" s="307"/>
      <c r="D158" s="307"/>
      <c r="E158" s="307"/>
      <c r="F158" s="307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</row>
    <row r="159" spans="2:25" s="235" customFormat="1" ht="25.05" customHeight="1">
      <c r="B159" s="307"/>
      <c r="C159" s="307"/>
      <c r="D159" s="307"/>
      <c r="E159" s="307"/>
      <c r="F159" s="307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</row>
    <row r="160" spans="2:25" s="235" customFormat="1" ht="25.05" customHeight="1">
      <c r="B160" s="307"/>
      <c r="C160" s="307"/>
      <c r="D160" s="307"/>
      <c r="E160" s="307"/>
      <c r="F160" s="307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</row>
    <row r="161" spans="2:25" s="235" customFormat="1" ht="25.05" customHeight="1">
      <c r="B161" s="307"/>
      <c r="C161" s="307"/>
      <c r="D161" s="307"/>
      <c r="E161" s="307"/>
      <c r="F161" s="307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</row>
    <row r="162" spans="2:25" s="235" customFormat="1" ht="25.05" customHeight="1">
      <c r="B162" s="307"/>
      <c r="C162" s="307"/>
      <c r="D162" s="307"/>
      <c r="E162" s="307"/>
      <c r="F162" s="307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</row>
    <row r="163" spans="2:25" s="235" customFormat="1" ht="25.05" customHeight="1">
      <c r="B163" s="307"/>
      <c r="C163" s="307"/>
      <c r="D163" s="307"/>
      <c r="E163" s="307"/>
      <c r="F163" s="307"/>
      <c r="L163" s="123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</row>
    <row r="164" spans="2:25" s="235" customFormat="1" ht="13.8">
      <c r="B164" s="307"/>
      <c r="C164" s="307"/>
      <c r="D164" s="307"/>
      <c r="E164" s="307"/>
      <c r="F164" s="307"/>
      <c r="L164" s="123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</row>
    <row r="165" spans="2:25" s="235" customFormat="1" ht="13.8">
      <c r="B165" s="307"/>
      <c r="C165" s="307"/>
      <c r="D165" s="307"/>
      <c r="E165" s="307"/>
      <c r="F165" s="307"/>
      <c r="L165" s="123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</row>
    <row r="166" spans="2:25" s="235" customFormat="1" ht="13.8">
      <c r="B166" s="307"/>
      <c r="C166" s="307"/>
      <c r="D166" s="307"/>
      <c r="E166" s="307"/>
      <c r="F166" s="307"/>
      <c r="L166" s="123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</row>
    <row r="167" spans="2:25" s="235" customFormat="1" ht="13.8">
      <c r="B167" s="307"/>
      <c r="C167" s="307"/>
      <c r="D167" s="307"/>
      <c r="E167" s="307"/>
      <c r="F167" s="307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</row>
    <row r="168" spans="2:25" s="235" customFormat="1" ht="13.8">
      <c r="B168" s="307"/>
      <c r="C168" s="307"/>
      <c r="D168" s="307"/>
      <c r="E168" s="307"/>
      <c r="F168" s="307"/>
      <c r="L168" s="123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</row>
    <row r="169" spans="2:25" s="235" customFormat="1" ht="13.8">
      <c r="B169" s="307"/>
      <c r="C169" s="307"/>
      <c r="D169" s="307"/>
      <c r="E169" s="307"/>
      <c r="F169" s="307"/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</row>
    <row r="170" spans="2:25" s="235" customFormat="1" ht="13.8">
      <c r="B170" s="307"/>
      <c r="C170" s="307"/>
      <c r="D170" s="307"/>
      <c r="E170" s="307"/>
      <c r="F170" s="307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</row>
    <row r="171" spans="2:25" s="235" customFormat="1" ht="13.8">
      <c r="B171" s="307"/>
      <c r="C171" s="307"/>
      <c r="D171" s="307"/>
      <c r="E171" s="307"/>
      <c r="F171" s="307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</row>
    <row r="172" spans="2:25" s="235" customFormat="1" ht="13.8">
      <c r="B172" s="307"/>
      <c r="C172" s="307"/>
      <c r="D172" s="307"/>
      <c r="E172" s="307"/>
      <c r="F172" s="307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</row>
    <row r="173" spans="2:25" s="235" customFormat="1" ht="13.8">
      <c r="B173" s="307"/>
      <c r="C173" s="307"/>
      <c r="D173" s="307"/>
      <c r="E173" s="307"/>
      <c r="F173" s="307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</row>
    <row r="174" spans="2:25" s="235" customFormat="1" ht="13.8">
      <c r="B174" s="307"/>
      <c r="C174" s="307"/>
      <c r="D174" s="307"/>
      <c r="E174" s="307"/>
      <c r="F174" s="307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</row>
    <row r="175" spans="2:25" s="235" customFormat="1" ht="13.8">
      <c r="B175" s="307"/>
      <c r="C175" s="307"/>
      <c r="D175" s="307"/>
      <c r="E175" s="307"/>
      <c r="F175" s="307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</row>
    <row r="176" spans="2:25" s="235" customFormat="1" ht="13.8">
      <c r="B176" s="307"/>
      <c r="C176" s="307"/>
      <c r="D176" s="307"/>
      <c r="E176" s="307"/>
      <c r="F176" s="307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</row>
    <row r="177" spans="2:25" s="235" customFormat="1" ht="13.8">
      <c r="B177" s="307"/>
      <c r="C177" s="307"/>
      <c r="D177" s="307"/>
      <c r="E177" s="307"/>
      <c r="F177" s="307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</row>
    <row r="178" spans="2:25" s="235" customFormat="1" ht="13.8">
      <c r="B178" s="307"/>
      <c r="C178" s="307"/>
      <c r="D178" s="307"/>
      <c r="E178" s="307"/>
      <c r="F178" s="307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</row>
    <row r="179" spans="2:25" s="235" customFormat="1" ht="13.8">
      <c r="B179" s="307"/>
      <c r="C179" s="307"/>
      <c r="D179" s="307"/>
      <c r="E179" s="307"/>
      <c r="F179" s="307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</row>
    <row r="180" spans="2:25" s="235" customFormat="1" ht="13.8">
      <c r="B180" s="307"/>
      <c r="C180" s="307"/>
      <c r="D180" s="307"/>
      <c r="E180" s="307"/>
      <c r="F180" s="307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</row>
    <row r="181" spans="2:25" s="235" customFormat="1" ht="13.8">
      <c r="B181" s="307"/>
      <c r="C181" s="307"/>
      <c r="D181" s="307"/>
      <c r="E181" s="307"/>
      <c r="F181" s="307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</row>
    <row r="182" spans="2:25" s="235" customFormat="1" ht="13.8">
      <c r="B182" s="307"/>
      <c r="C182" s="307"/>
      <c r="D182" s="307"/>
      <c r="E182" s="307"/>
      <c r="F182" s="307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</row>
    <row r="183" spans="2:25" s="235" customFormat="1" ht="13.8">
      <c r="B183" s="307"/>
      <c r="C183" s="307"/>
      <c r="D183" s="307"/>
      <c r="E183" s="307"/>
      <c r="F183" s="307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</row>
    <row r="184" spans="2:25" s="235" customFormat="1" ht="13.8">
      <c r="B184" s="307"/>
      <c r="C184" s="307"/>
      <c r="D184" s="307"/>
      <c r="E184" s="307"/>
      <c r="F184" s="307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</row>
    <row r="185" spans="2:25" s="235" customFormat="1" ht="13.8">
      <c r="B185" s="307"/>
      <c r="C185" s="307"/>
      <c r="D185" s="307"/>
      <c r="E185" s="307"/>
      <c r="F185" s="307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</row>
    <row r="186" spans="2:25" s="235" customFormat="1" ht="13.8">
      <c r="B186" s="307"/>
      <c r="C186" s="307"/>
      <c r="D186" s="307"/>
      <c r="E186" s="307"/>
      <c r="F186" s="307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</row>
    <row r="187" spans="2:25" s="235" customFormat="1" ht="13.8">
      <c r="B187" s="307"/>
      <c r="C187" s="307"/>
      <c r="D187" s="307"/>
      <c r="E187" s="307"/>
      <c r="F187" s="307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</row>
    <row r="188" spans="2:25" s="235" customFormat="1" ht="13.8">
      <c r="B188" s="307"/>
      <c r="C188" s="307"/>
      <c r="D188" s="307"/>
      <c r="E188" s="307"/>
      <c r="F188" s="307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</row>
    <row r="189" spans="2:25" s="235" customFormat="1" ht="13.8">
      <c r="B189" s="307"/>
      <c r="C189" s="307"/>
      <c r="D189" s="307"/>
      <c r="E189" s="307"/>
      <c r="F189" s="307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</row>
    <row r="190" spans="2:25" s="235" customFormat="1" ht="13.8">
      <c r="B190" s="307"/>
      <c r="C190" s="307"/>
      <c r="D190" s="307"/>
      <c r="E190" s="307"/>
      <c r="F190" s="307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</row>
    <row r="191" spans="2:25" s="235" customFormat="1" ht="13.8">
      <c r="B191" s="307"/>
      <c r="C191" s="307"/>
      <c r="D191" s="307"/>
      <c r="E191" s="307"/>
      <c r="F191" s="307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</row>
    <row r="192" spans="2:25" s="235" customFormat="1" ht="13.8">
      <c r="B192" s="307"/>
      <c r="C192" s="307"/>
      <c r="D192" s="307"/>
      <c r="E192" s="307"/>
      <c r="F192" s="307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</row>
    <row r="193" spans="2:25" s="235" customFormat="1" ht="13.8">
      <c r="B193" s="307"/>
      <c r="C193" s="307"/>
      <c r="D193" s="307"/>
      <c r="E193" s="307"/>
      <c r="F193" s="307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</row>
    <row r="194" spans="2:25" s="235" customFormat="1" ht="13.8">
      <c r="B194" s="307"/>
      <c r="C194" s="307"/>
      <c r="D194" s="307"/>
      <c r="E194" s="307"/>
      <c r="F194" s="307"/>
      <c r="L194" s="123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</row>
    <row r="195" spans="2:25" s="235" customFormat="1" ht="13.8">
      <c r="B195" s="307"/>
      <c r="C195" s="307"/>
      <c r="D195" s="307"/>
      <c r="E195" s="307"/>
      <c r="F195" s="307"/>
      <c r="L195" s="123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</row>
    <row r="196" spans="2:25" s="235" customFormat="1" ht="13.8">
      <c r="B196" s="307"/>
      <c r="C196" s="307"/>
      <c r="D196" s="307"/>
      <c r="E196" s="307"/>
      <c r="F196" s="307"/>
      <c r="L196" s="123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</row>
    <row r="197" spans="2:25" s="235" customFormat="1" ht="13.8">
      <c r="B197" s="307"/>
      <c r="C197" s="307"/>
      <c r="D197" s="307"/>
      <c r="E197" s="307"/>
      <c r="F197" s="307"/>
      <c r="L197" s="123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</row>
    <row r="198" spans="2:25" s="235" customFormat="1" ht="13.8">
      <c r="B198" s="307"/>
      <c r="C198" s="307"/>
      <c r="D198" s="307"/>
      <c r="E198" s="307"/>
      <c r="F198" s="307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</row>
    <row r="199" spans="2:25" s="235" customFormat="1" ht="13.8">
      <c r="B199" s="307"/>
      <c r="C199" s="307"/>
      <c r="D199" s="307"/>
      <c r="E199" s="307"/>
      <c r="F199" s="307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</row>
    <row r="200" spans="2:25" s="235" customFormat="1" ht="13.8">
      <c r="B200" s="307"/>
      <c r="C200" s="307"/>
      <c r="D200" s="307"/>
      <c r="E200" s="307"/>
      <c r="F200" s="307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</row>
    <row r="201" spans="2:25" s="235" customFormat="1" ht="13.8">
      <c r="B201" s="307"/>
      <c r="C201" s="307"/>
      <c r="D201" s="307"/>
      <c r="E201" s="307"/>
      <c r="F201" s="307"/>
      <c r="L201" s="123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</row>
    <row r="202" spans="2:25" s="235" customFormat="1" ht="13.8">
      <c r="B202" s="307"/>
      <c r="C202" s="307"/>
      <c r="D202" s="307"/>
      <c r="E202" s="307"/>
      <c r="F202" s="307"/>
      <c r="L202" s="123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</row>
    <row r="203" spans="2:25" s="235" customFormat="1" ht="13.8">
      <c r="B203" s="307"/>
      <c r="C203" s="307"/>
      <c r="D203" s="307"/>
      <c r="E203" s="307"/>
      <c r="F203" s="307"/>
      <c r="L203" s="123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</row>
    <row r="204" spans="2:25" s="235" customFormat="1" ht="13.8">
      <c r="B204" s="307"/>
      <c r="C204" s="307"/>
      <c r="D204" s="307"/>
      <c r="E204" s="307"/>
      <c r="F204" s="307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</row>
    <row r="205" spans="2:25" s="235" customFormat="1" ht="13.8">
      <c r="B205" s="307"/>
      <c r="C205" s="307"/>
      <c r="D205" s="307"/>
      <c r="E205" s="307"/>
      <c r="F205" s="307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</row>
    <row r="206" spans="2:25" s="235" customFormat="1" ht="13.8">
      <c r="B206" s="307"/>
      <c r="C206" s="307"/>
      <c r="D206" s="307"/>
      <c r="E206" s="307"/>
      <c r="F206" s="307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</row>
    <row r="207" spans="2:25" s="235" customFormat="1" ht="13.8">
      <c r="B207" s="307"/>
      <c r="C207" s="307"/>
      <c r="D207" s="307"/>
      <c r="E207" s="307"/>
      <c r="F207" s="307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</row>
    <row r="208" spans="2:25" s="235" customFormat="1" ht="13.8">
      <c r="B208" s="307"/>
      <c r="C208" s="307"/>
      <c r="D208" s="307"/>
      <c r="E208" s="307"/>
      <c r="F208" s="307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</row>
    <row r="209" spans="2:25" s="235" customFormat="1" ht="13.8">
      <c r="B209" s="307"/>
      <c r="C209" s="307"/>
      <c r="D209" s="307"/>
      <c r="E209" s="307"/>
      <c r="F209" s="307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</row>
    <row r="210" spans="2:25" s="235" customFormat="1" ht="13.8">
      <c r="B210" s="307"/>
      <c r="C210" s="307"/>
      <c r="D210" s="307"/>
      <c r="E210" s="307"/>
      <c r="F210" s="307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</row>
    <row r="211" spans="2:25" s="235" customFormat="1" ht="13.8">
      <c r="B211" s="307"/>
      <c r="C211" s="307"/>
      <c r="D211" s="307"/>
      <c r="E211" s="307"/>
      <c r="F211" s="307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</row>
    <row r="212" spans="2:25" s="235" customFormat="1" ht="13.8">
      <c r="B212" s="307"/>
      <c r="C212" s="307"/>
      <c r="D212" s="307"/>
      <c r="E212" s="307"/>
      <c r="F212" s="307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</row>
    <row r="213" spans="2:25" s="235" customFormat="1" ht="13.8">
      <c r="B213" s="307"/>
      <c r="C213" s="307"/>
      <c r="D213" s="307"/>
      <c r="E213" s="307"/>
      <c r="F213" s="307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</row>
    <row r="214" spans="2:25" s="235" customFormat="1" ht="13.8">
      <c r="B214" s="307"/>
      <c r="C214" s="307"/>
      <c r="D214" s="307"/>
      <c r="E214" s="307"/>
      <c r="F214" s="307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</row>
    <row r="215" spans="2:25" s="235" customFormat="1" ht="13.8">
      <c r="B215" s="307"/>
      <c r="C215" s="307"/>
      <c r="D215" s="307"/>
      <c r="E215" s="307"/>
      <c r="F215" s="307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</row>
    <row r="216" spans="2:25" s="235" customFormat="1" ht="13.8">
      <c r="B216" s="307"/>
      <c r="C216" s="307"/>
      <c r="D216" s="307"/>
      <c r="E216" s="307"/>
      <c r="F216" s="307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</row>
    <row r="217" spans="2:25" s="235" customFormat="1" ht="13.8">
      <c r="B217" s="307"/>
      <c r="C217" s="307"/>
      <c r="D217" s="307"/>
      <c r="E217" s="307"/>
      <c r="F217" s="307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</row>
    <row r="218" spans="2:25" s="235" customFormat="1" ht="13.8">
      <c r="B218" s="307"/>
      <c r="C218" s="307"/>
      <c r="D218" s="307"/>
      <c r="E218" s="307"/>
      <c r="F218" s="307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</row>
    <row r="219" spans="2:25" s="235" customFormat="1" ht="13.8">
      <c r="B219" s="307"/>
      <c r="C219" s="307"/>
      <c r="D219" s="307"/>
      <c r="E219" s="307"/>
      <c r="F219" s="307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</row>
    <row r="220" spans="2:25" s="235" customFormat="1" ht="13.8">
      <c r="B220" s="307"/>
      <c r="C220" s="307"/>
      <c r="D220" s="307"/>
      <c r="E220" s="307"/>
      <c r="F220" s="307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</row>
    <row r="221" spans="2:25" s="235" customFormat="1" ht="13.8">
      <c r="B221" s="307"/>
      <c r="C221" s="307"/>
      <c r="D221" s="307"/>
      <c r="E221" s="307"/>
      <c r="F221" s="307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</row>
    <row r="222" spans="2:25" s="235" customFormat="1" ht="13.8">
      <c r="B222" s="307"/>
      <c r="C222" s="307"/>
      <c r="D222" s="307"/>
      <c r="E222" s="307"/>
      <c r="F222" s="307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</row>
    <row r="223" spans="2:25" s="235" customFormat="1" ht="13.8">
      <c r="B223" s="307"/>
      <c r="C223" s="307"/>
      <c r="D223" s="307"/>
      <c r="E223" s="307"/>
      <c r="F223" s="307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</row>
    <row r="224" spans="2:25" s="235" customFormat="1" ht="13.8">
      <c r="B224" s="307"/>
      <c r="C224" s="307"/>
      <c r="D224" s="307"/>
      <c r="E224" s="307"/>
      <c r="F224" s="307"/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23"/>
    </row>
    <row r="225" spans="2:25" s="235" customFormat="1" ht="13.8">
      <c r="B225" s="307"/>
      <c r="C225" s="307"/>
      <c r="D225" s="307"/>
      <c r="E225" s="307"/>
      <c r="F225" s="307"/>
      <c r="L225" s="123"/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23"/>
    </row>
    <row r="226" spans="2:25" s="235" customFormat="1" ht="13.8">
      <c r="B226" s="307"/>
      <c r="C226" s="307"/>
      <c r="D226" s="307"/>
      <c r="E226" s="307"/>
      <c r="F226" s="307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</row>
    <row r="227" spans="2:25" s="235" customFormat="1" ht="13.8">
      <c r="B227" s="307"/>
      <c r="C227" s="307"/>
      <c r="D227" s="307"/>
      <c r="E227" s="307"/>
      <c r="F227" s="307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</row>
    <row r="228" spans="2:25" s="235" customFormat="1" ht="13.8">
      <c r="B228" s="307"/>
      <c r="C228" s="307"/>
      <c r="D228" s="307"/>
      <c r="E228" s="307"/>
      <c r="F228" s="307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</row>
    <row r="229" spans="2:25" s="235" customFormat="1" ht="13.8">
      <c r="B229" s="307"/>
      <c r="C229" s="307"/>
      <c r="D229" s="307"/>
      <c r="E229" s="307"/>
      <c r="F229" s="307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</row>
    <row r="230" spans="2:25" s="235" customFormat="1" ht="13.8">
      <c r="B230" s="307"/>
      <c r="C230" s="307"/>
      <c r="D230" s="307"/>
      <c r="E230" s="307"/>
      <c r="F230" s="307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</row>
    <row r="231" spans="2:25" s="235" customFormat="1" ht="13.8">
      <c r="B231" s="307"/>
      <c r="C231" s="307"/>
      <c r="D231" s="307"/>
      <c r="E231" s="307"/>
      <c r="F231" s="307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</row>
    <row r="232" spans="2:25" s="235" customFormat="1" ht="13.8">
      <c r="B232" s="307"/>
      <c r="C232" s="307"/>
      <c r="D232" s="307"/>
      <c r="E232" s="307"/>
      <c r="F232" s="307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</row>
    <row r="233" spans="2:25" s="235" customFormat="1" ht="13.8">
      <c r="B233" s="307"/>
      <c r="C233" s="307"/>
      <c r="D233" s="307"/>
      <c r="E233" s="307"/>
      <c r="F233" s="307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</row>
    <row r="234" spans="2:25" s="235" customFormat="1" ht="13.8">
      <c r="B234" s="307"/>
      <c r="C234" s="307"/>
      <c r="D234" s="307"/>
      <c r="E234" s="307"/>
      <c r="F234" s="307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</row>
    <row r="235" spans="2:25" s="235" customFormat="1" ht="13.8">
      <c r="B235" s="307"/>
      <c r="C235" s="307"/>
      <c r="D235" s="307"/>
      <c r="E235" s="307"/>
      <c r="F235" s="307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</row>
    <row r="236" spans="2:25" s="235" customFormat="1" ht="13.8">
      <c r="B236" s="307"/>
      <c r="C236" s="307"/>
      <c r="D236" s="307"/>
      <c r="E236" s="307"/>
      <c r="F236" s="307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</row>
    <row r="237" spans="2:25" s="235" customFormat="1" ht="13.8">
      <c r="B237" s="307"/>
      <c r="C237" s="307"/>
      <c r="D237" s="307"/>
      <c r="E237" s="307"/>
      <c r="F237" s="307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</row>
    <row r="238" spans="2:25" s="235" customFormat="1" ht="13.8">
      <c r="B238" s="307"/>
      <c r="C238" s="307"/>
      <c r="D238" s="307"/>
      <c r="E238" s="307"/>
      <c r="F238" s="307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</row>
    <row r="239" spans="2:25" s="235" customFormat="1" ht="13.8">
      <c r="B239" s="307"/>
      <c r="C239" s="307"/>
      <c r="D239" s="307"/>
      <c r="E239" s="307"/>
      <c r="F239" s="307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</row>
    <row r="240" spans="2:25" s="235" customFormat="1" ht="13.8">
      <c r="B240" s="307"/>
      <c r="C240" s="307"/>
      <c r="D240" s="307"/>
      <c r="E240" s="307"/>
      <c r="F240" s="307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</row>
    <row r="241" spans="2:25" s="235" customFormat="1" ht="13.8">
      <c r="B241" s="307"/>
      <c r="C241" s="307"/>
      <c r="D241" s="307"/>
      <c r="E241" s="307"/>
      <c r="F241" s="307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</row>
    <row r="242" spans="2:25" s="235" customFormat="1" ht="13.8">
      <c r="B242" s="307"/>
      <c r="C242" s="307"/>
      <c r="D242" s="307"/>
      <c r="E242" s="307"/>
      <c r="F242" s="307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</row>
    <row r="243" spans="2:25" s="235" customFormat="1" ht="13.8">
      <c r="B243" s="307"/>
      <c r="C243" s="307"/>
      <c r="D243" s="307"/>
      <c r="E243" s="307"/>
      <c r="F243" s="307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</row>
    <row r="244" spans="2:25" s="235" customFormat="1" ht="13.8">
      <c r="B244" s="307"/>
      <c r="C244" s="307"/>
      <c r="D244" s="307"/>
      <c r="E244" s="307"/>
      <c r="F244" s="307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</row>
    <row r="245" spans="2:25" s="235" customFormat="1" ht="13.8">
      <c r="B245" s="307"/>
      <c r="C245" s="307"/>
      <c r="D245" s="307"/>
      <c r="E245" s="307"/>
      <c r="F245" s="307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</row>
    <row r="246" spans="2:25" s="235" customFormat="1" ht="13.8">
      <c r="B246" s="307"/>
      <c r="C246" s="307"/>
      <c r="D246" s="307"/>
      <c r="E246" s="307"/>
      <c r="F246" s="307"/>
      <c r="L246" s="123"/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23"/>
    </row>
    <row r="247" spans="2:25" s="235" customFormat="1" ht="13.8">
      <c r="B247" s="307"/>
      <c r="C247" s="307"/>
      <c r="D247" s="307"/>
      <c r="E247" s="307"/>
      <c r="F247" s="307"/>
      <c r="L247" s="123"/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23"/>
    </row>
    <row r="248" spans="2:25" s="235" customFormat="1" ht="13.8">
      <c r="B248" s="307"/>
      <c r="C248" s="307"/>
      <c r="D248" s="307"/>
      <c r="E248" s="307"/>
      <c r="F248" s="307"/>
      <c r="L248" s="123"/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23"/>
    </row>
    <row r="249" spans="2:25" s="235" customFormat="1" ht="13.8">
      <c r="B249" s="307"/>
      <c r="C249" s="307"/>
      <c r="D249" s="307"/>
      <c r="E249" s="307"/>
      <c r="F249" s="307"/>
      <c r="L249" s="123"/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23"/>
    </row>
    <row r="250" spans="2:25" s="235" customFormat="1" ht="13.8">
      <c r="B250" s="307"/>
      <c r="C250" s="307"/>
      <c r="D250" s="307"/>
      <c r="E250" s="307"/>
      <c r="F250" s="307"/>
      <c r="L250" s="123"/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23"/>
    </row>
    <row r="251" spans="2:25" s="235" customFormat="1" ht="13.8">
      <c r="B251" s="307"/>
      <c r="C251" s="307"/>
      <c r="D251" s="307"/>
      <c r="E251" s="307"/>
      <c r="F251" s="307"/>
      <c r="L251" s="123"/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23"/>
    </row>
    <row r="252" spans="2:25" s="235" customFormat="1" ht="13.8">
      <c r="B252" s="307"/>
      <c r="C252" s="307"/>
      <c r="D252" s="307"/>
      <c r="E252" s="307"/>
      <c r="F252" s="307"/>
      <c r="L252" s="123"/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23"/>
    </row>
    <row r="253" spans="2:25" s="235" customFormat="1" ht="13.8">
      <c r="B253" s="307"/>
      <c r="C253" s="307"/>
      <c r="D253" s="307"/>
      <c r="E253" s="307"/>
      <c r="F253" s="307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</row>
    <row r="254" spans="2:25" s="235" customFormat="1" ht="13.8">
      <c r="B254" s="307"/>
      <c r="C254" s="307"/>
      <c r="D254" s="307"/>
      <c r="E254" s="307"/>
      <c r="F254" s="307"/>
      <c r="L254" s="123"/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23"/>
    </row>
    <row r="255" spans="2:25" s="235" customFormat="1" ht="13.8">
      <c r="B255" s="307"/>
      <c r="C255" s="307"/>
      <c r="D255" s="307"/>
      <c r="E255" s="307"/>
      <c r="F255" s="307"/>
      <c r="L255" s="123"/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23"/>
    </row>
    <row r="256" spans="2:25" s="235" customFormat="1" ht="13.8">
      <c r="B256" s="307"/>
      <c r="C256" s="307"/>
      <c r="D256" s="307"/>
      <c r="E256" s="307"/>
      <c r="F256" s="307"/>
      <c r="L256" s="123"/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23"/>
    </row>
    <row r="257" spans="2:25" s="235" customFormat="1" ht="13.8">
      <c r="B257" s="307"/>
      <c r="C257" s="307"/>
      <c r="D257" s="307"/>
      <c r="E257" s="307"/>
      <c r="F257" s="307"/>
      <c r="L257" s="123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</row>
    <row r="258" spans="2:25" s="235" customFormat="1" ht="13.8">
      <c r="B258" s="307"/>
      <c r="C258" s="307"/>
      <c r="D258" s="307"/>
      <c r="E258" s="307"/>
      <c r="F258" s="307"/>
      <c r="L258" s="123"/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23"/>
    </row>
    <row r="259" spans="2:25" s="235" customFormat="1" ht="13.8">
      <c r="B259" s="307"/>
      <c r="C259" s="307"/>
      <c r="D259" s="307"/>
      <c r="E259" s="307"/>
      <c r="F259" s="307"/>
      <c r="L259" s="123"/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23"/>
    </row>
    <row r="260" spans="2:25" s="235" customFormat="1" ht="13.8">
      <c r="B260" s="307"/>
      <c r="C260" s="307"/>
      <c r="D260" s="307"/>
      <c r="E260" s="307"/>
      <c r="F260" s="307"/>
      <c r="L260" s="123"/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23"/>
    </row>
    <row r="261" spans="2:25" s="235" customFormat="1" ht="13.8">
      <c r="B261" s="307"/>
      <c r="C261" s="307"/>
      <c r="D261" s="307"/>
      <c r="E261" s="307"/>
      <c r="F261" s="307"/>
      <c r="L261" s="123"/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23"/>
    </row>
    <row r="262" spans="2:25" s="235" customFormat="1" ht="13.8">
      <c r="B262" s="307"/>
      <c r="C262" s="307"/>
      <c r="D262" s="307"/>
      <c r="E262" s="307"/>
      <c r="F262" s="307"/>
      <c r="L262" s="123"/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23"/>
    </row>
    <row r="263" spans="2:25" s="235" customFormat="1" ht="13.8">
      <c r="B263" s="307"/>
      <c r="C263" s="307"/>
      <c r="D263" s="307"/>
      <c r="E263" s="307"/>
      <c r="F263" s="307"/>
      <c r="L263" s="123"/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23"/>
    </row>
    <row r="264" spans="2:25" s="235" customFormat="1" ht="13.8">
      <c r="B264" s="307"/>
      <c r="C264" s="307"/>
      <c r="D264" s="307"/>
      <c r="E264" s="307"/>
      <c r="F264" s="307"/>
      <c r="L264" s="123"/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23"/>
    </row>
    <row r="265" spans="2:25" s="235" customFormat="1" ht="13.8">
      <c r="B265" s="307"/>
      <c r="C265" s="307"/>
      <c r="D265" s="307"/>
      <c r="E265" s="307"/>
      <c r="F265" s="307"/>
      <c r="L265" s="123"/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23"/>
    </row>
    <row r="266" spans="2:25" s="235" customFormat="1" ht="13.8">
      <c r="B266" s="307"/>
      <c r="C266" s="307"/>
      <c r="D266" s="307"/>
      <c r="E266" s="307"/>
      <c r="F266" s="307"/>
      <c r="L266" s="123"/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23"/>
    </row>
    <row r="267" spans="2:25" s="235" customFormat="1" ht="13.8">
      <c r="B267" s="307"/>
      <c r="C267" s="307"/>
      <c r="D267" s="307"/>
      <c r="E267" s="307"/>
      <c r="F267" s="307"/>
      <c r="L267" s="123"/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23"/>
    </row>
    <row r="268" spans="2:25" s="235" customFormat="1" ht="13.8">
      <c r="B268" s="307"/>
      <c r="C268" s="307"/>
      <c r="D268" s="307"/>
      <c r="E268" s="307"/>
      <c r="F268" s="307"/>
      <c r="L268" s="123"/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23"/>
    </row>
    <row r="269" spans="2:25" s="235" customFormat="1" ht="13.8">
      <c r="B269" s="307"/>
      <c r="C269" s="307"/>
      <c r="D269" s="307"/>
      <c r="E269" s="307"/>
      <c r="F269" s="307"/>
      <c r="L269" s="123"/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23"/>
    </row>
    <row r="270" spans="2:25" s="235" customFormat="1" ht="13.8">
      <c r="B270" s="307"/>
      <c r="C270" s="307"/>
      <c r="D270" s="307"/>
      <c r="E270" s="307"/>
      <c r="F270" s="307"/>
      <c r="L270" s="123"/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23"/>
    </row>
    <row r="271" spans="2:25" s="235" customFormat="1" ht="13.8">
      <c r="B271" s="307"/>
      <c r="C271" s="307"/>
      <c r="D271" s="307"/>
      <c r="E271" s="307"/>
      <c r="F271" s="307"/>
      <c r="L271" s="123"/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23"/>
    </row>
    <row r="272" spans="2:25" s="235" customFormat="1" ht="13.8">
      <c r="B272" s="307"/>
      <c r="C272" s="307"/>
      <c r="D272" s="307"/>
      <c r="E272" s="307"/>
      <c r="F272" s="307"/>
      <c r="L272" s="123"/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23"/>
    </row>
    <row r="273" spans="2:25" s="235" customFormat="1" ht="13.8">
      <c r="B273" s="307"/>
      <c r="C273" s="307"/>
      <c r="D273" s="307"/>
      <c r="E273" s="307"/>
      <c r="F273" s="307"/>
      <c r="L273" s="123"/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23"/>
    </row>
    <row r="274" spans="2:25" s="235" customFormat="1" ht="13.8">
      <c r="B274" s="307"/>
      <c r="C274" s="307"/>
      <c r="D274" s="307"/>
      <c r="E274" s="307"/>
      <c r="F274" s="307"/>
      <c r="L274" s="123"/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</row>
    <row r="275" spans="2:25" s="235" customFormat="1" ht="13.8">
      <c r="B275" s="307"/>
      <c r="C275" s="307"/>
      <c r="D275" s="307"/>
      <c r="E275" s="307"/>
      <c r="F275" s="307"/>
      <c r="L275" s="123"/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23"/>
    </row>
    <row r="276" spans="2:25" s="235" customFormat="1" ht="13.8">
      <c r="B276" s="307"/>
      <c r="C276" s="307"/>
      <c r="D276" s="307"/>
      <c r="E276" s="307"/>
      <c r="F276" s="307"/>
      <c r="L276" s="123"/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23"/>
    </row>
    <row r="277" spans="2:25" s="235" customFormat="1" ht="13.8">
      <c r="B277" s="307"/>
      <c r="C277" s="307"/>
      <c r="D277" s="307"/>
      <c r="E277" s="307"/>
      <c r="F277" s="307"/>
      <c r="L277" s="123"/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23"/>
    </row>
    <row r="278" spans="2:25" s="235" customFormat="1" ht="13.8">
      <c r="B278" s="307"/>
      <c r="C278" s="307"/>
      <c r="D278" s="307"/>
      <c r="E278" s="307"/>
      <c r="F278" s="307"/>
      <c r="L278" s="123"/>
      <c r="M278" s="123"/>
      <c r="N278" s="123"/>
      <c r="O278" s="123"/>
      <c r="P278" s="123"/>
      <c r="Q278" s="123"/>
      <c r="R278" s="123"/>
      <c r="S278" s="123"/>
      <c r="T278" s="123"/>
      <c r="U278" s="123"/>
      <c r="V278" s="123"/>
      <c r="W278" s="123"/>
      <c r="X278" s="123"/>
      <c r="Y278" s="123"/>
    </row>
    <row r="279" spans="2:25" s="235" customFormat="1" ht="13.8">
      <c r="B279" s="307"/>
      <c r="C279" s="307"/>
      <c r="D279" s="307"/>
      <c r="E279" s="307"/>
      <c r="F279" s="307"/>
      <c r="L279" s="123"/>
      <c r="M279" s="123"/>
      <c r="N279" s="123"/>
      <c r="O279" s="123"/>
      <c r="P279" s="123"/>
      <c r="Q279" s="123"/>
      <c r="R279" s="123"/>
      <c r="S279" s="123"/>
      <c r="T279" s="123"/>
      <c r="U279" s="123"/>
      <c r="V279" s="123"/>
      <c r="W279" s="123"/>
      <c r="X279" s="123"/>
      <c r="Y279" s="123"/>
    </row>
    <row r="280" spans="2:25" s="235" customFormat="1" ht="13.8">
      <c r="B280" s="307"/>
      <c r="C280" s="307"/>
      <c r="D280" s="307"/>
      <c r="E280" s="307"/>
      <c r="F280" s="307"/>
      <c r="L280" s="123"/>
      <c r="M280" s="123"/>
      <c r="N280" s="123"/>
      <c r="O280" s="123"/>
      <c r="P280" s="123"/>
      <c r="Q280" s="123"/>
      <c r="R280" s="123"/>
      <c r="S280" s="123"/>
      <c r="T280" s="123"/>
      <c r="U280" s="123"/>
      <c r="V280" s="123"/>
      <c r="W280" s="123"/>
      <c r="X280" s="123"/>
      <c r="Y280" s="123"/>
    </row>
    <row r="281" spans="2:25" s="235" customFormat="1" ht="13.8">
      <c r="B281" s="307"/>
      <c r="C281" s="307"/>
      <c r="D281" s="307"/>
      <c r="E281" s="307"/>
      <c r="F281" s="307"/>
      <c r="L281" s="123"/>
      <c r="M281" s="123"/>
      <c r="N281" s="123"/>
      <c r="O281" s="123"/>
      <c r="P281" s="123"/>
      <c r="Q281" s="123"/>
      <c r="R281" s="123"/>
      <c r="S281" s="123"/>
      <c r="T281" s="123"/>
      <c r="U281" s="123"/>
      <c r="V281" s="123"/>
      <c r="W281" s="123"/>
      <c r="X281" s="123"/>
      <c r="Y281" s="123"/>
    </row>
    <row r="282" spans="2:25" s="235" customFormat="1" ht="13.8">
      <c r="B282" s="307"/>
      <c r="C282" s="307"/>
      <c r="D282" s="307"/>
      <c r="E282" s="307"/>
      <c r="F282" s="307"/>
      <c r="L282" s="123"/>
      <c r="M282" s="123"/>
      <c r="N282" s="123"/>
      <c r="O282" s="123"/>
      <c r="P282" s="123"/>
      <c r="Q282" s="123"/>
      <c r="R282" s="123"/>
      <c r="S282" s="123"/>
      <c r="T282" s="123"/>
      <c r="U282" s="123"/>
      <c r="V282" s="123"/>
      <c r="W282" s="123"/>
      <c r="X282" s="123"/>
      <c r="Y282" s="123"/>
    </row>
    <row r="283" spans="2:25" s="235" customFormat="1" ht="13.8">
      <c r="B283" s="307"/>
      <c r="C283" s="307"/>
      <c r="D283" s="307"/>
      <c r="E283" s="307"/>
      <c r="F283" s="307"/>
      <c r="L283" s="123"/>
      <c r="M283" s="123"/>
      <c r="N283" s="123"/>
      <c r="O283" s="123"/>
      <c r="P283" s="123"/>
      <c r="Q283" s="123"/>
      <c r="R283" s="123"/>
      <c r="S283" s="123"/>
      <c r="T283" s="123"/>
      <c r="U283" s="123"/>
      <c r="V283" s="123"/>
      <c r="W283" s="123"/>
      <c r="X283" s="123"/>
      <c r="Y283" s="123"/>
    </row>
    <row r="284" spans="2:25" s="235" customFormat="1" ht="13.8">
      <c r="B284" s="307"/>
      <c r="C284" s="307"/>
      <c r="D284" s="307"/>
      <c r="E284" s="307"/>
      <c r="F284" s="307"/>
      <c r="L284" s="123"/>
      <c r="M284" s="123"/>
      <c r="N284" s="123"/>
      <c r="O284" s="123"/>
      <c r="P284" s="123"/>
      <c r="Q284" s="123"/>
      <c r="R284" s="123"/>
      <c r="S284" s="123"/>
      <c r="T284" s="123"/>
      <c r="U284" s="123"/>
      <c r="V284" s="123"/>
      <c r="W284" s="123"/>
      <c r="X284" s="123"/>
      <c r="Y284" s="123"/>
    </row>
    <row r="285" spans="2:25" s="235" customFormat="1" ht="13.8">
      <c r="B285" s="307"/>
      <c r="C285" s="307"/>
      <c r="D285" s="307"/>
      <c r="E285" s="307"/>
      <c r="F285" s="307"/>
      <c r="L285" s="123"/>
      <c r="M285" s="123"/>
      <c r="N285" s="123"/>
      <c r="O285" s="123"/>
      <c r="P285" s="123"/>
      <c r="Q285" s="123"/>
      <c r="R285" s="123"/>
      <c r="S285" s="123"/>
      <c r="T285" s="123"/>
      <c r="U285" s="123"/>
      <c r="V285" s="123"/>
      <c r="W285" s="123"/>
      <c r="X285" s="123"/>
      <c r="Y285" s="123"/>
    </row>
    <row r="286" spans="2:25" s="235" customFormat="1" ht="13.8">
      <c r="B286" s="307"/>
      <c r="C286" s="307"/>
      <c r="D286" s="307"/>
      <c r="E286" s="307"/>
      <c r="F286" s="307"/>
      <c r="L286" s="123"/>
      <c r="M286" s="123"/>
      <c r="N286" s="123"/>
      <c r="O286" s="123"/>
      <c r="P286" s="123"/>
      <c r="Q286" s="123"/>
      <c r="R286" s="123"/>
      <c r="S286" s="123"/>
      <c r="T286" s="123"/>
      <c r="U286" s="123"/>
      <c r="V286" s="123"/>
      <c r="W286" s="123"/>
      <c r="X286" s="123"/>
      <c r="Y286" s="123"/>
    </row>
    <row r="287" spans="2:25" s="235" customFormat="1" ht="13.8">
      <c r="B287" s="307"/>
      <c r="C287" s="307"/>
      <c r="D287" s="307"/>
      <c r="E287" s="307"/>
      <c r="F287" s="307"/>
      <c r="L287" s="123"/>
      <c r="M287" s="123"/>
      <c r="N287" s="123"/>
      <c r="O287" s="123"/>
      <c r="P287" s="123"/>
      <c r="Q287" s="123"/>
      <c r="R287" s="123"/>
      <c r="S287" s="123"/>
      <c r="T287" s="123"/>
      <c r="U287" s="123"/>
      <c r="V287" s="123"/>
      <c r="W287" s="123"/>
      <c r="X287" s="123"/>
      <c r="Y287" s="123"/>
    </row>
    <row r="288" spans="2:25" s="235" customFormat="1" ht="13.8">
      <c r="B288" s="307"/>
      <c r="C288" s="307"/>
      <c r="D288" s="307"/>
      <c r="E288" s="307"/>
      <c r="F288" s="307"/>
      <c r="L288" s="123"/>
      <c r="M288" s="123"/>
      <c r="N288" s="123"/>
      <c r="O288" s="123"/>
      <c r="P288" s="123"/>
      <c r="Q288" s="123"/>
      <c r="R288" s="123"/>
      <c r="S288" s="123"/>
      <c r="T288" s="123"/>
      <c r="U288" s="123"/>
      <c r="V288" s="123"/>
      <c r="W288" s="123"/>
      <c r="X288" s="123"/>
      <c r="Y288" s="123"/>
    </row>
    <row r="289" spans="2:25" s="235" customFormat="1" ht="13.8">
      <c r="B289" s="307"/>
      <c r="C289" s="307"/>
      <c r="D289" s="307"/>
      <c r="E289" s="307"/>
      <c r="F289" s="307"/>
      <c r="L289" s="123"/>
      <c r="M289" s="123"/>
      <c r="N289" s="123"/>
      <c r="O289" s="123"/>
      <c r="P289" s="123"/>
      <c r="Q289" s="123"/>
      <c r="R289" s="123"/>
      <c r="S289" s="123"/>
      <c r="T289" s="123"/>
      <c r="U289" s="123"/>
      <c r="V289" s="123"/>
      <c r="W289" s="123"/>
      <c r="X289" s="123"/>
      <c r="Y289" s="123"/>
    </row>
    <row r="290" spans="2:25" s="235" customFormat="1" ht="13.8">
      <c r="B290" s="307"/>
      <c r="C290" s="307"/>
      <c r="D290" s="307"/>
      <c r="E290" s="307"/>
      <c r="F290" s="307"/>
      <c r="L290" s="123"/>
      <c r="M290" s="123"/>
      <c r="N290" s="123"/>
      <c r="O290" s="123"/>
      <c r="P290" s="123"/>
      <c r="Q290" s="123"/>
      <c r="R290" s="123"/>
      <c r="S290" s="123"/>
      <c r="T290" s="123"/>
      <c r="U290" s="123"/>
      <c r="V290" s="123"/>
      <c r="W290" s="123"/>
      <c r="X290" s="123"/>
      <c r="Y290" s="123"/>
    </row>
    <row r="291" spans="2:25" s="235" customFormat="1" ht="13.8">
      <c r="B291" s="307"/>
      <c r="C291" s="307"/>
      <c r="D291" s="307"/>
      <c r="E291" s="307"/>
      <c r="F291" s="307"/>
      <c r="L291" s="123"/>
      <c r="M291" s="123"/>
      <c r="N291" s="123"/>
      <c r="O291" s="123"/>
      <c r="P291" s="123"/>
      <c r="Q291" s="123"/>
      <c r="R291" s="123"/>
      <c r="S291" s="123"/>
      <c r="T291" s="123"/>
      <c r="U291" s="123"/>
      <c r="V291" s="123"/>
      <c r="W291" s="123"/>
      <c r="X291" s="123"/>
      <c r="Y291" s="123"/>
    </row>
    <row r="292" spans="2:25" s="235" customFormat="1" ht="13.8">
      <c r="B292" s="307"/>
      <c r="C292" s="307"/>
      <c r="D292" s="307"/>
      <c r="E292" s="307"/>
      <c r="F292" s="307"/>
      <c r="L292" s="123"/>
      <c r="M292" s="123"/>
      <c r="N292" s="123"/>
      <c r="O292" s="123"/>
      <c r="P292" s="123"/>
      <c r="Q292" s="123"/>
      <c r="R292" s="123"/>
      <c r="S292" s="123"/>
      <c r="T292" s="123"/>
      <c r="U292" s="123"/>
      <c r="V292" s="123"/>
      <c r="W292" s="123"/>
      <c r="X292" s="123"/>
      <c r="Y292" s="123"/>
    </row>
    <row r="293" spans="2:25" s="235" customFormat="1" ht="13.8">
      <c r="B293" s="307"/>
      <c r="C293" s="307"/>
      <c r="D293" s="307"/>
      <c r="E293" s="307"/>
      <c r="F293" s="307"/>
      <c r="L293" s="123"/>
      <c r="M293" s="123"/>
      <c r="N293" s="123"/>
      <c r="O293" s="123"/>
      <c r="P293" s="123"/>
      <c r="Q293" s="123"/>
      <c r="R293" s="123"/>
      <c r="S293" s="123"/>
      <c r="T293" s="123"/>
      <c r="U293" s="123"/>
      <c r="V293" s="123"/>
      <c r="W293" s="123"/>
      <c r="X293" s="123"/>
      <c r="Y293" s="123"/>
    </row>
    <row r="294" spans="2:25" s="235" customFormat="1" ht="13.8">
      <c r="B294" s="307"/>
      <c r="C294" s="307"/>
      <c r="D294" s="307"/>
      <c r="E294" s="307"/>
      <c r="F294" s="307"/>
      <c r="L294" s="123"/>
      <c r="M294" s="123"/>
      <c r="N294" s="123"/>
      <c r="O294" s="123"/>
      <c r="P294" s="123"/>
      <c r="Q294" s="123"/>
      <c r="R294" s="123"/>
      <c r="S294" s="123"/>
      <c r="T294" s="123"/>
      <c r="U294" s="123"/>
      <c r="V294" s="123"/>
      <c r="W294" s="123"/>
      <c r="X294" s="123"/>
      <c r="Y294" s="123"/>
    </row>
    <row r="295" spans="2:25" s="235" customFormat="1" ht="13.8">
      <c r="B295" s="307"/>
      <c r="C295" s="307"/>
      <c r="D295" s="307"/>
      <c r="E295" s="307"/>
      <c r="F295" s="307"/>
      <c r="L295" s="123"/>
      <c r="M295" s="123"/>
      <c r="N295" s="123"/>
      <c r="O295" s="123"/>
      <c r="P295" s="123"/>
      <c r="Q295" s="123"/>
      <c r="R295" s="123"/>
      <c r="S295" s="123"/>
      <c r="T295" s="123"/>
      <c r="U295" s="123"/>
      <c r="V295" s="123"/>
      <c r="W295" s="123"/>
      <c r="X295" s="123"/>
      <c r="Y295" s="123"/>
    </row>
    <row r="296" spans="2:25" s="235" customFormat="1" ht="13.8">
      <c r="B296" s="307"/>
      <c r="C296" s="307"/>
      <c r="D296" s="307"/>
      <c r="E296" s="307"/>
      <c r="F296" s="307"/>
      <c r="L296" s="123"/>
      <c r="M296" s="123"/>
      <c r="N296" s="123"/>
      <c r="O296" s="123"/>
      <c r="P296" s="123"/>
      <c r="Q296" s="123"/>
      <c r="R296" s="123"/>
      <c r="S296" s="123"/>
      <c r="T296" s="123"/>
      <c r="U296" s="123"/>
      <c r="V296" s="123"/>
      <c r="W296" s="123"/>
      <c r="X296" s="123"/>
      <c r="Y296" s="123"/>
    </row>
    <row r="297" spans="2:25" s="235" customFormat="1" ht="13.8">
      <c r="B297" s="307"/>
      <c r="C297" s="307"/>
      <c r="D297" s="307"/>
      <c r="E297" s="307"/>
      <c r="F297" s="307"/>
      <c r="L297" s="123"/>
      <c r="M297" s="123"/>
      <c r="N297" s="123"/>
      <c r="O297" s="123"/>
      <c r="P297" s="123"/>
      <c r="Q297" s="123"/>
      <c r="R297" s="123"/>
      <c r="S297" s="123"/>
      <c r="T297" s="123"/>
      <c r="U297" s="123"/>
      <c r="V297" s="123"/>
      <c r="W297" s="123"/>
      <c r="X297" s="123"/>
      <c r="Y297" s="123"/>
    </row>
    <row r="298" spans="2:25" s="235" customFormat="1" ht="13.8">
      <c r="B298" s="307"/>
      <c r="C298" s="307"/>
      <c r="D298" s="307"/>
      <c r="E298" s="307"/>
      <c r="F298" s="307"/>
      <c r="L298" s="123"/>
      <c r="M298" s="123"/>
      <c r="N298" s="123"/>
      <c r="O298" s="123"/>
      <c r="P298" s="123"/>
      <c r="Q298" s="123"/>
      <c r="R298" s="123"/>
      <c r="S298" s="123"/>
      <c r="T298" s="123"/>
      <c r="U298" s="123"/>
      <c r="V298" s="123"/>
      <c r="W298" s="123"/>
      <c r="X298" s="123"/>
      <c r="Y298" s="123"/>
    </row>
    <row r="299" spans="2:25" s="235" customFormat="1" ht="13.8">
      <c r="B299" s="307"/>
      <c r="C299" s="307"/>
      <c r="D299" s="307"/>
      <c r="E299" s="307"/>
      <c r="F299" s="307"/>
      <c r="L299" s="123"/>
      <c r="M299" s="123"/>
      <c r="N299" s="123"/>
      <c r="O299" s="123"/>
      <c r="P299" s="123"/>
      <c r="Q299" s="123"/>
      <c r="R299" s="123"/>
      <c r="S299" s="123"/>
      <c r="T299" s="123"/>
      <c r="U299" s="123"/>
      <c r="V299" s="123"/>
      <c r="W299" s="123"/>
      <c r="X299" s="123"/>
      <c r="Y299" s="123"/>
    </row>
    <row r="300" spans="2:25" s="235" customFormat="1" ht="13.8">
      <c r="B300" s="307"/>
      <c r="C300" s="307"/>
      <c r="D300" s="307"/>
      <c r="E300" s="307"/>
      <c r="F300" s="307"/>
      <c r="L300" s="123"/>
      <c r="M300" s="123"/>
      <c r="N300" s="123"/>
      <c r="O300" s="123"/>
      <c r="P300" s="123"/>
      <c r="Q300" s="123"/>
      <c r="R300" s="123"/>
      <c r="S300" s="123"/>
      <c r="T300" s="123"/>
      <c r="U300" s="123"/>
      <c r="V300" s="123"/>
      <c r="W300" s="123"/>
      <c r="X300" s="123"/>
      <c r="Y300" s="123"/>
    </row>
    <row r="301" spans="2:25" s="235" customFormat="1" ht="13.8">
      <c r="B301" s="307"/>
      <c r="C301" s="307"/>
      <c r="D301" s="307"/>
      <c r="E301" s="307"/>
      <c r="F301" s="307"/>
      <c r="L301" s="123"/>
      <c r="M301" s="123"/>
      <c r="N301" s="123"/>
      <c r="O301" s="123"/>
      <c r="P301" s="123"/>
      <c r="Q301" s="123"/>
      <c r="R301" s="123"/>
      <c r="S301" s="123"/>
      <c r="T301" s="123"/>
      <c r="U301" s="123"/>
      <c r="V301" s="123"/>
      <c r="W301" s="123"/>
      <c r="X301" s="123"/>
      <c r="Y301" s="123"/>
    </row>
    <row r="302" spans="2:25" s="235" customFormat="1" ht="13.8">
      <c r="B302" s="307"/>
      <c r="C302" s="307"/>
      <c r="D302" s="307"/>
      <c r="E302" s="307"/>
      <c r="F302" s="307"/>
      <c r="L302" s="123"/>
      <c r="M302" s="123"/>
      <c r="N302" s="123"/>
      <c r="O302" s="123"/>
      <c r="P302" s="123"/>
      <c r="Q302" s="123"/>
      <c r="R302" s="123"/>
      <c r="S302" s="123"/>
      <c r="T302" s="123"/>
      <c r="U302" s="123"/>
      <c r="V302" s="123"/>
      <c r="W302" s="123"/>
      <c r="X302" s="123"/>
      <c r="Y302" s="123"/>
    </row>
    <row r="303" spans="2:25" s="235" customFormat="1" ht="13.8">
      <c r="B303" s="307"/>
      <c r="C303" s="307"/>
      <c r="D303" s="307"/>
      <c r="E303" s="307"/>
      <c r="F303" s="307"/>
      <c r="L303" s="123"/>
      <c r="M303" s="123"/>
      <c r="N303" s="123"/>
      <c r="O303" s="123"/>
      <c r="P303" s="123"/>
      <c r="Q303" s="123"/>
      <c r="R303" s="123"/>
      <c r="S303" s="123"/>
      <c r="T303" s="123"/>
      <c r="U303" s="123"/>
      <c r="V303" s="123"/>
      <c r="W303" s="123"/>
      <c r="X303" s="123"/>
      <c r="Y303" s="123"/>
    </row>
    <row r="304" spans="2:25" s="235" customFormat="1" ht="13.8">
      <c r="B304" s="307"/>
      <c r="C304" s="307"/>
      <c r="D304" s="307"/>
      <c r="E304" s="307"/>
      <c r="F304" s="307"/>
      <c r="L304" s="123"/>
      <c r="M304" s="123"/>
      <c r="N304" s="123"/>
      <c r="O304" s="123"/>
      <c r="P304" s="123"/>
      <c r="Q304" s="123"/>
      <c r="R304" s="123"/>
      <c r="S304" s="123"/>
      <c r="T304" s="123"/>
      <c r="U304" s="123"/>
      <c r="V304" s="123"/>
      <c r="W304" s="123"/>
      <c r="X304" s="123"/>
      <c r="Y304" s="123"/>
    </row>
    <row r="305" spans="2:25" s="235" customFormat="1" ht="13.8">
      <c r="B305" s="307"/>
      <c r="C305" s="307"/>
      <c r="D305" s="307"/>
      <c r="E305" s="307"/>
      <c r="F305" s="307"/>
      <c r="L305" s="123"/>
      <c r="M305" s="123"/>
      <c r="N305" s="123"/>
      <c r="O305" s="123"/>
      <c r="P305" s="123"/>
      <c r="Q305" s="123"/>
      <c r="R305" s="123"/>
      <c r="S305" s="123"/>
      <c r="T305" s="123"/>
      <c r="U305" s="123"/>
      <c r="V305" s="123"/>
      <c r="W305" s="123"/>
      <c r="X305" s="123"/>
      <c r="Y305" s="123"/>
    </row>
    <row r="306" spans="2:25" s="235" customFormat="1" ht="13.8">
      <c r="B306" s="307"/>
      <c r="C306" s="307"/>
      <c r="D306" s="307"/>
      <c r="E306" s="307"/>
      <c r="F306" s="307"/>
      <c r="L306" s="123"/>
      <c r="M306" s="123"/>
      <c r="N306" s="123"/>
      <c r="O306" s="123"/>
      <c r="P306" s="123"/>
      <c r="Q306" s="123"/>
      <c r="R306" s="123"/>
      <c r="S306" s="123"/>
      <c r="T306" s="123"/>
      <c r="U306" s="123"/>
      <c r="V306" s="123"/>
      <c r="W306" s="123"/>
      <c r="X306" s="123"/>
      <c r="Y306" s="123"/>
    </row>
    <row r="307" spans="2:25" s="235" customFormat="1" ht="13.8">
      <c r="B307" s="307"/>
      <c r="C307" s="307"/>
      <c r="D307" s="307"/>
      <c r="E307" s="307"/>
      <c r="F307" s="307"/>
      <c r="L307" s="123"/>
      <c r="M307" s="123"/>
      <c r="N307" s="123"/>
      <c r="O307" s="123"/>
      <c r="P307" s="123"/>
      <c r="Q307" s="123"/>
      <c r="R307" s="123"/>
      <c r="S307" s="123"/>
      <c r="T307" s="123"/>
      <c r="U307" s="123"/>
      <c r="V307" s="123"/>
      <c r="W307" s="123"/>
      <c r="X307" s="123"/>
      <c r="Y307" s="123"/>
    </row>
    <row r="308" spans="2:25" s="235" customFormat="1" ht="13.8">
      <c r="B308" s="307"/>
      <c r="C308" s="307"/>
      <c r="D308" s="307"/>
      <c r="E308" s="307"/>
      <c r="F308" s="307"/>
      <c r="L308" s="123"/>
      <c r="M308" s="123"/>
      <c r="N308" s="123"/>
      <c r="O308" s="123"/>
      <c r="P308" s="123"/>
      <c r="Q308" s="123"/>
      <c r="R308" s="123"/>
      <c r="S308" s="123"/>
      <c r="T308" s="123"/>
      <c r="U308" s="123"/>
      <c r="V308" s="123"/>
      <c r="W308" s="123"/>
      <c r="X308" s="123"/>
      <c r="Y308" s="123"/>
    </row>
    <row r="309" spans="2:25" s="235" customFormat="1" ht="13.8">
      <c r="B309" s="307"/>
      <c r="C309" s="307"/>
      <c r="D309" s="307"/>
      <c r="E309" s="307"/>
      <c r="F309" s="307"/>
      <c r="L309" s="123"/>
      <c r="M309" s="123"/>
      <c r="N309" s="123"/>
      <c r="O309" s="123"/>
      <c r="P309" s="123"/>
      <c r="Q309" s="123"/>
      <c r="R309" s="123"/>
      <c r="S309" s="123"/>
      <c r="T309" s="123"/>
      <c r="U309" s="123"/>
      <c r="V309" s="123"/>
      <c r="W309" s="123"/>
      <c r="X309" s="123"/>
      <c r="Y309" s="123"/>
    </row>
    <row r="310" spans="2:25" s="235" customFormat="1" ht="13.8">
      <c r="B310" s="307"/>
      <c r="C310" s="307"/>
      <c r="D310" s="307"/>
      <c r="E310" s="307"/>
      <c r="F310" s="307"/>
      <c r="L310" s="123"/>
      <c r="M310" s="123"/>
      <c r="N310" s="123"/>
      <c r="O310" s="123"/>
      <c r="P310" s="123"/>
      <c r="Q310" s="123"/>
      <c r="R310" s="123"/>
      <c r="S310" s="123"/>
      <c r="T310" s="123"/>
      <c r="U310" s="123"/>
      <c r="V310" s="123"/>
      <c r="W310" s="123"/>
      <c r="X310" s="123"/>
      <c r="Y310" s="123"/>
    </row>
    <row r="311" spans="2:25" s="235" customFormat="1" ht="13.8">
      <c r="B311" s="307"/>
      <c r="C311" s="307"/>
      <c r="D311" s="307"/>
      <c r="E311" s="307"/>
      <c r="F311" s="307"/>
      <c r="L311" s="123"/>
      <c r="M311" s="123"/>
      <c r="N311" s="123"/>
      <c r="O311" s="123"/>
      <c r="P311" s="123"/>
      <c r="Q311" s="123"/>
      <c r="R311" s="123"/>
      <c r="S311" s="123"/>
      <c r="T311" s="123"/>
      <c r="U311" s="123"/>
      <c r="V311" s="123"/>
      <c r="W311" s="123"/>
      <c r="X311" s="123"/>
      <c r="Y311" s="123"/>
    </row>
    <row r="312" spans="2:25" s="235" customFormat="1" ht="13.8">
      <c r="B312" s="307"/>
      <c r="C312" s="307"/>
      <c r="D312" s="307"/>
      <c r="E312" s="307"/>
      <c r="F312" s="307"/>
      <c r="L312" s="123"/>
      <c r="M312" s="123"/>
      <c r="N312" s="123"/>
      <c r="O312" s="123"/>
      <c r="P312" s="123"/>
      <c r="Q312" s="123"/>
      <c r="R312" s="123"/>
      <c r="S312" s="123"/>
      <c r="T312" s="123"/>
      <c r="U312" s="123"/>
      <c r="V312" s="123"/>
      <c r="W312" s="123"/>
      <c r="X312" s="123"/>
      <c r="Y312" s="123"/>
    </row>
    <row r="313" spans="2:25" s="235" customFormat="1" ht="13.8">
      <c r="B313" s="307"/>
      <c r="C313" s="307"/>
      <c r="D313" s="307"/>
      <c r="E313" s="307"/>
      <c r="F313" s="307"/>
      <c r="L313" s="123"/>
      <c r="M313" s="123"/>
      <c r="N313" s="123"/>
      <c r="O313" s="123"/>
      <c r="P313" s="123"/>
      <c r="Q313" s="123"/>
      <c r="R313" s="123"/>
      <c r="S313" s="123"/>
      <c r="T313" s="123"/>
      <c r="U313" s="123"/>
      <c r="V313" s="123"/>
      <c r="W313" s="123"/>
      <c r="X313" s="123"/>
      <c r="Y313" s="123"/>
    </row>
    <row r="314" spans="2:25" s="235" customFormat="1" ht="13.8">
      <c r="B314" s="307"/>
      <c r="C314" s="307"/>
      <c r="D314" s="307"/>
      <c r="E314" s="307"/>
      <c r="F314" s="307"/>
      <c r="L314" s="123"/>
      <c r="M314" s="123"/>
      <c r="N314" s="123"/>
      <c r="O314" s="123"/>
      <c r="P314" s="123"/>
      <c r="Q314" s="123"/>
      <c r="R314" s="123"/>
      <c r="S314" s="123"/>
      <c r="T314" s="123"/>
      <c r="U314" s="123"/>
      <c r="V314" s="123"/>
      <c r="W314" s="123"/>
      <c r="X314" s="123"/>
      <c r="Y314" s="123"/>
    </row>
    <row r="315" spans="2:25" s="235" customFormat="1" ht="13.8">
      <c r="B315" s="307"/>
      <c r="C315" s="307"/>
      <c r="D315" s="307"/>
      <c r="E315" s="307"/>
      <c r="F315" s="307"/>
      <c r="L315" s="123"/>
      <c r="M315" s="123"/>
      <c r="N315" s="123"/>
      <c r="O315" s="123"/>
      <c r="P315" s="123"/>
      <c r="Q315" s="123"/>
      <c r="R315" s="123"/>
      <c r="S315" s="123"/>
      <c r="T315" s="123"/>
      <c r="U315" s="123"/>
      <c r="V315" s="123"/>
      <c r="W315" s="123"/>
      <c r="X315" s="123"/>
      <c r="Y315" s="123"/>
    </row>
    <row r="316" spans="2:25" s="235" customFormat="1" ht="13.8">
      <c r="B316" s="307"/>
      <c r="C316" s="307"/>
      <c r="D316" s="307"/>
      <c r="E316" s="307"/>
      <c r="F316" s="307"/>
      <c r="L316" s="123"/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23"/>
    </row>
    <row r="317" spans="2:25" s="235" customFormat="1" ht="13.8">
      <c r="B317" s="307"/>
      <c r="C317" s="307"/>
      <c r="D317" s="307"/>
      <c r="E317" s="307"/>
      <c r="F317" s="307"/>
      <c r="L317" s="123"/>
      <c r="M317" s="123"/>
      <c r="N317" s="123"/>
      <c r="O317" s="123"/>
      <c r="P317" s="123"/>
      <c r="Q317" s="123"/>
      <c r="R317" s="123"/>
      <c r="S317" s="123"/>
      <c r="T317" s="123"/>
      <c r="U317" s="123"/>
      <c r="V317" s="123"/>
      <c r="W317" s="123"/>
      <c r="X317" s="123"/>
      <c r="Y317" s="123"/>
    </row>
    <row r="318" spans="2:25" s="235" customFormat="1" ht="13.8">
      <c r="B318" s="307"/>
      <c r="C318" s="307"/>
      <c r="D318" s="307"/>
      <c r="E318" s="307"/>
      <c r="F318" s="307"/>
      <c r="L318" s="123"/>
      <c r="M318" s="123"/>
      <c r="N318" s="123"/>
      <c r="O318" s="123"/>
      <c r="P318" s="123"/>
      <c r="Q318" s="123"/>
      <c r="R318" s="123"/>
      <c r="S318" s="123"/>
      <c r="T318" s="123"/>
      <c r="U318" s="123"/>
      <c r="V318" s="123"/>
      <c r="W318" s="123"/>
      <c r="X318" s="123"/>
      <c r="Y318" s="123"/>
    </row>
    <row r="319" spans="2:25" s="235" customFormat="1" ht="13.8">
      <c r="B319" s="307"/>
      <c r="C319" s="307"/>
      <c r="D319" s="307"/>
      <c r="E319" s="307"/>
      <c r="F319" s="307"/>
      <c r="L319" s="123"/>
      <c r="M319" s="123"/>
      <c r="N319" s="123"/>
      <c r="O319" s="123"/>
      <c r="P319" s="123"/>
      <c r="Q319" s="123"/>
      <c r="R319" s="123"/>
      <c r="S319" s="123"/>
      <c r="T319" s="123"/>
      <c r="U319" s="123"/>
      <c r="V319" s="123"/>
      <c r="W319" s="123"/>
      <c r="X319" s="123"/>
      <c r="Y319" s="123"/>
    </row>
    <row r="320" spans="2:25" s="235" customFormat="1" ht="13.8">
      <c r="B320" s="307"/>
      <c r="C320" s="307"/>
      <c r="D320" s="307"/>
      <c r="E320" s="307"/>
      <c r="F320" s="307"/>
      <c r="L320" s="123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</row>
    <row r="321" spans="2:25" s="235" customFormat="1" ht="13.8">
      <c r="B321" s="307"/>
      <c r="C321" s="307"/>
      <c r="D321" s="307"/>
      <c r="E321" s="307"/>
      <c r="F321" s="307"/>
      <c r="L321" s="123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</row>
    <row r="322" spans="2:25" s="235" customFormat="1" ht="13.8">
      <c r="B322" s="307"/>
      <c r="C322" s="307"/>
      <c r="D322" s="307"/>
      <c r="E322" s="307"/>
      <c r="F322" s="307"/>
      <c r="L322" s="123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</row>
    <row r="323" spans="2:25" s="235" customFormat="1" ht="13.8">
      <c r="B323" s="307"/>
      <c r="C323" s="307"/>
      <c r="D323" s="307"/>
      <c r="E323" s="307"/>
      <c r="F323" s="307"/>
      <c r="L323" s="123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</row>
    <row r="324" spans="2:25" s="235" customFormat="1" ht="13.8">
      <c r="B324" s="307"/>
      <c r="C324" s="307"/>
      <c r="D324" s="307"/>
      <c r="E324" s="307"/>
      <c r="F324" s="307"/>
      <c r="L324" s="123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</row>
    <row r="325" spans="2:25" s="235" customFormat="1" ht="13.8">
      <c r="B325" s="307"/>
      <c r="C325" s="307"/>
      <c r="D325" s="307"/>
      <c r="E325" s="307"/>
      <c r="F325" s="307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</row>
    <row r="326" spans="2:25" s="235" customFormat="1" ht="13.8">
      <c r="B326" s="307"/>
      <c r="C326" s="307"/>
      <c r="D326" s="307"/>
      <c r="E326" s="307"/>
      <c r="F326" s="307"/>
      <c r="L326" s="123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</row>
    <row r="327" spans="2:25" s="235" customFormat="1" ht="13.8">
      <c r="B327" s="307"/>
      <c r="C327" s="307"/>
      <c r="D327" s="307"/>
      <c r="E327" s="307"/>
      <c r="F327" s="307"/>
      <c r="L327" s="123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</row>
    <row r="328" spans="2:25" s="235" customFormat="1" ht="13.8">
      <c r="B328" s="307"/>
      <c r="C328" s="307"/>
      <c r="D328" s="307"/>
      <c r="E328" s="307"/>
      <c r="F328" s="307"/>
      <c r="L328" s="123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</row>
    <row r="329" spans="2:25" s="235" customFormat="1" ht="13.8">
      <c r="B329" s="307"/>
      <c r="C329" s="307"/>
      <c r="D329" s="307"/>
      <c r="E329" s="307"/>
      <c r="F329" s="307"/>
      <c r="L329" s="123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</row>
    <row r="330" spans="2:25" s="235" customFormat="1" ht="13.8">
      <c r="B330" s="307"/>
      <c r="C330" s="307"/>
      <c r="D330" s="307"/>
      <c r="E330" s="307"/>
      <c r="F330" s="307"/>
      <c r="L330" s="123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</row>
    <row r="331" spans="2:25" s="235" customFormat="1" ht="13.8">
      <c r="B331" s="307"/>
      <c r="C331" s="307"/>
      <c r="D331" s="307"/>
      <c r="E331" s="307"/>
      <c r="F331" s="307"/>
      <c r="L331" s="123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</row>
    <row r="332" spans="2:25" s="235" customFormat="1" ht="13.8">
      <c r="B332" s="307"/>
      <c r="C332" s="307"/>
      <c r="D332" s="307"/>
      <c r="E332" s="307"/>
      <c r="F332" s="307"/>
      <c r="L332" s="123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</row>
    <row r="333" spans="2:25" s="235" customFormat="1" ht="13.8">
      <c r="B333" s="307"/>
      <c r="C333" s="307"/>
      <c r="D333" s="307"/>
      <c r="E333" s="307"/>
      <c r="F333" s="307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</row>
    <row r="334" spans="2:25" s="235" customFormat="1" ht="13.8">
      <c r="B334" s="307"/>
      <c r="C334" s="307"/>
      <c r="D334" s="307"/>
      <c r="E334" s="307"/>
      <c r="F334" s="307"/>
      <c r="L334" s="123"/>
      <c r="M334" s="123"/>
      <c r="N334" s="123"/>
      <c r="O334" s="123"/>
      <c r="P334" s="123"/>
      <c r="Q334" s="123"/>
      <c r="R334" s="123"/>
      <c r="S334" s="123"/>
      <c r="T334" s="123"/>
      <c r="U334" s="123"/>
      <c r="V334" s="123"/>
      <c r="W334" s="123"/>
      <c r="X334" s="123"/>
      <c r="Y334" s="123"/>
    </row>
    <row r="335" spans="2:25" s="235" customFormat="1" ht="13.8">
      <c r="B335" s="307"/>
      <c r="C335" s="307"/>
      <c r="D335" s="307"/>
      <c r="E335" s="307"/>
      <c r="F335" s="307"/>
      <c r="L335" s="123"/>
      <c r="M335" s="123"/>
      <c r="N335" s="123"/>
      <c r="O335" s="123"/>
      <c r="P335" s="123"/>
      <c r="Q335" s="123"/>
      <c r="R335" s="123"/>
      <c r="S335" s="123"/>
      <c r="T335" s="123"/>
      <c r="U335" s="123"/>
      <c r="V335" s="123"/>
      <c r="W335" s="123"/>
      <c r="X335" s="123"/>
      <c r="Y335" s="123"/>
    </row>
    <row r="336" spans="2:25" s="235" customFormat="1" ht="13.8">
      <c r="B336" s="307"/>
      <c r="C336" s="307"/>
      <c r="D336" s="307"/>
      <c r="E336" s="307"/>
      <c r="F336" s="307"/>
      <c r="L336" s="123"/>
      <c r="M336" s="123"/>
      <c r="N336" s="123"/>
      <c r="O336" s="123"/>
      <c r="P336" s="123"/>
      <c r="Q336" s="123"/>
      <c r="R336" s="123"/>
      <c r="S336" s="123"/>
      <c r="T336" s="123"/>
      <c r="U336" s="123"/>
      <c r="V336" s="123"/>
      <c r="W336" s="123"/>
      <c r="X336" s="123"/>
      <c r="Y336" s="123"/>
    </row>
    <row r="337" spans="2:25" s="235" customFormat="1" ht="13.8">
      <c r="B337" s="307"/>
      <c r="C337" s="307"/>
      <c r="D337" s="307"/>
      <c r="E337" s="307"/>
      <c r="F337" s="307"/>
      <c r="L337" s="123"/>
      <c r="M337" s="123"/>
      <c r="N337" s="123"/>
      <c r="O337" s="123"/>
      <c r="P337" s="123"/>
      <c r="Q337" s="123"/>
      <c r="R337" s="123"/>
      <c r="S337" s="123"/>
      <c r="T337" s="123"/>
      <c r="U337" s="123"/>
      <c r="V337" s="123"/>
      <c r="W337" s="123"/>
      <c r="X337" s="123"/>
      <c r="Y337" s="123"/>
    </row>
    <row r="338" spans="2:25" s="235" customFormat="1" ht="13.8">
      <c r="B338" s="307"/>
      <c r="C338" s="307"/>
      <c r="D338" s="307"/>
      <c r="E338" s="307"/>
      <c r="F338" s="307"/>
      <c r="L338" s="123"/>
      <c r="M338" s="123"/>
      <c r="N338" s="123"/>
      <c r="O338" s="123"/>
      <c r="P338" s="123"/>
      <c r="Q338" s="123"/>
      <c r="R338" s="123"/>
      <c r="S338" s="123"/>
      <c r="T338" s="123"/>
      <c r="U338" s="123"/>
      <c r="V338" s="123"/>
      <c r="W338" s="123"/>
      <c r="X338" s="123"/>
      <c r="Y338" s="123"/>
    </row>
    <row r="339" spans="2:25" s="235" customFormat="1" ht="13.8">
      <c r="B339" s="307"/>
      <c r="C339" s="307"/>
      <c r="D339" s="307"/>
      <c r="E339" s="307"/>
      <c r="F339" s="307"/>
      <c r="L339" s="123"/>
      <c r="M339" s="123"/>
      <c r="N339" s="123"/>
      <c r="O339" s="123"/>
      <c r="P339" s="123"/>
      <c r="Q339" s="123"/>
      <c r="R339" s="123"/>
      <c r="S339" s="123"/>
      <c r="T339" s="123"/>
      <c r="U339" s="123"/>
      <c r="V339" s="123"/>
      <c r="W339" s="123"/>
      <c r="X339" s="123"/>
      <c r="Y339" s="123"/>
    </row>
    <row r="340" spans="2:25" s="235" customFormat="1" ht="13.8">
      <c r="B340" s="307"/>
      <c r="C340" s="307"/>
      <c r="D340" s="307"/>
      <c r="E340" s="307"/>
      <c r="F340" s="307"/>
      <c r="L340" s="123"/>
      <c r="M340" s="123"/>
      <c r="N340" s="123"/>
      <c r="O340" s="123"/>
      <c r="P340" s="123"/>
      <c r="Q340" s="123"/>
      <c r="R340" s="123"/>
      <c r="S340" s="123"/>
      <c r="T340" s="123"/>
      <c r="U340" s="123"/>
      <c r="V340" s="123"/>
      <c r="W340" s="123"/>
      <c r="X340" s="123"/>
      <c r="Y340" s="123"/>
    </row>
    <row r="341" spans="2:25" s="235" customFormat="1" ht="13.8">
      <c r="B341" s="307"/>
      <c r="C341" s="307"/>
      <c r="D341" s="307"/>
      <c r="E341" s="307"/>
      <c r="F341" s="307"/>
      <c r="L341" s="123"/>
      <c r="M341" s="123"/>
      <c r="N341" s="123"/>
      <c r="O341" s="123"/>
      <c r="P341" s="123"/>
      <c r="Q341" s="123"/>
      <c r="R341" s="123"/>
      <c r="S341" s="123"/>
      <c r="T341" s="123"/>
      <c r="U341" s="123"/>
      <c r="V341" s="123"/>
      <c r="W341" s="123"/>
      <c r="X341" s="123"/>
      <c r="Y341" s="123"/>
    </row>
    <row r="342" spans="2:25" s="235" customFormat="1" ht="13.8">
      <c r="B342" s="307"/>
      <c r="C342" s="307"/>
      <c r="D342" s="307"/>
      <c r="E342" s="307"/>
      <c r="F342" s="307"/>
      <c r="L342" s="123"/>
      <c r="M342" s="123"/>
      <c r="N342" s="123"/>
      <c r="O342" s="123"/>
      <c r="P342" s="123"/>
      <c r="Q342" s="123"/>
      <c r="R342" s="123"/>
      <c r="S342" s="123"/>
      <c r="T342" s="123"/>
      <c r="U342" s="123"/>
      <c r="V342" s="123"/>
      <c r="W342" s="123"/>
      <c r="X342" s="123"/>
      <c r="Y342" s="123"/>
    </row>
    <row r="343" spans="2:25" s="235" customFormat="1" ht="13.8">
      <c r="B343" s="307"/>
      <c r="C343" s="307"/>
      <c r="D343" s="307"/>
      <c r="E343" s="307"/>
      <c r="F343" s="307"/>
      <c r="L343" s="123"/>
      <c r="M343" s="123"/>
      <c r="N343" s="123"/>
      <c r="O343" s="123"/>
      <c r="P343" s="123"/>
      <c r="Q343" s="123"/>
      <c r="R343" s="123"/>
      <c r="S343" s="123"/>
      <c r="T343" s="123"/>
      <c r="U343" s="123"/>
      <c r="V343" s="123"/>
      <c r="W343" s="123"/>
      <c r="X343" s="123"/>
      <c r="Y343" s="123"/>
    </row>
    <row r="344" spans="2:25" s="235" customFormat="1" ht="13.8">
      <c r="B344" s="307"/>
      <c r="C344" s="307"/>
      <c r="D344" s="307"/>
      <c r="E344" s="307"/>
      <c r="F344" s="307"/>
      <c r="L344" s="123"/>
      <c r="M344" s="123"/>
      <c r="N344" s="123"/>
      <c r="O344" s="123"/>
      <c r="P344" s="123"/>
      <c r="Q344" s="123"/>
      <c r="R344" s="123"/>
      <c r="S344" s="123"/>
      <c r="T344" s="123"/>
      <c r="U344" s="123"/>
      <c r="V344" s="123"/>
      <c r="W344" s="123"/>
      <c r="X344" s="123"/>
      <c r="Y344" s="123"/>
    </row>
    <row r="345" spans="2:25" s="235" customFormat="1" ht="13.8">
      <c r="B345" s="307"/>
      <c r="C345" s="307"/>
      <c r="D345" s="307"/>
      <c r="E345" s="307"/>
      <c r="F345" s="307"/>
      <c r="L345" s="123"/>
      <c r="M345" s="123"/>
      <c r="N345" s="123"/>
      <c r="O345" s="123"/>
      <c r="P345" s="123"/>
      <c r="Q345" s="123"/>
      <c r="R345" s="123"/>
      <c r="S345" s="123"/>
      <c r="T345" s="123"/>
      <c r="U345" s="123"/>
      <c r="V345" s="123"/>
      <c r="W345" s="123"/>
      <c r="X345" s="123"/>
      <c r="Y345" s="123"/>
    </row>
    <row r="346" spans="2:25" s="235" customFormat="1" ht="13.8">
      <c r="B346" s="307"/>
      <c r="C346" s="307"/>
      <c r="D346" s="307"/>
      <c r="E346" s="307"/>
      <c r="F346" s="307"/>
      <c r="L346" s="123"/>
      <c r="M346" s="123"/>
      <c r="N346" s="123"/>
      <c r="O346" s="123"/>
      <c r="P346" s="123"/>
      <c r="Q346" s="123"/>
      <c r="R346" s="123"/>
      <c r="S346" s="123"/>
      <c r="T346" s="123"/>
      <c r="U346" s="123"/>
      <c r="V346" s="123"/>
      <c r="W346" s="123"/>
      <c r="X346" s="123"/>
      <c r="Y346" s="123"/>
    </row>
    <row r="347" spans="2:25" s="235" customFormat="1" ht="13.8">
      <c r="B347" s="307"/>
      <c r="C347" s="307"/>
      <c r="D347" s="307"/>
      <c r="E347" s="307"/>
      <c r="F347" s="307"/>
      <c r="L347" s="123"/>
      <c r="M347" s="123"/>
      <c r="N347" s="123"/>
      <c r="O347" s="123"/>
      <c r="P347" s="123"/>
      <c r="Q347" s="123"/>
      <c r="R347" s="123"/>
      <c r="S347" s="123"/>
      <c r="T347" s="123"/>
      <c r="U347" s="123"/>
      <c r="V347" s="123"/>
      <c r="W347" s="123"/>
      <c r="X347" s="123"/>
      <c r="Y347" s="123"/>
    </row>
    <row r="348" spans="2:25" s="235" customFormat="1" ht="13.8">
      <c r="B348" s="307"/>
      <c r="C348" s="307"/>
      <c r="D348" s="307"/>
      <c r="E348" s="307"/>
      <c r="F348" s="307"/>
      <c r="L348" s="123"/>
      <c r="M348" s="123"/>
      <c r="N348" s="123"/>
      <c r="O348" s="123"/>
      <c r="P348" s="123"/>
      <c r="Q348" s="123"/>
      <c r="R348" s="123"/>
      <c r="S348" s="123"/>
      <c r="T348" s="123"/>
      <c r="U348" s="123"/>
      <c r="V348" s="123"/>
      <c r="W348" s="123"/>
      <c r="X348" s="123"/>
      <c r="Y348" s="123"/>
    </row>
    <row r="349" spans="2:25" s="235" customFormat="1" ht="13.8">
      <c r="B349" s="307"/>
      <c r="C349" s="307"/>
      <c r="D349" s="307"/>
      <c r="E349" s="307"/>
      <c r="F349" s="307"/>
      <c r="L349" s="123"/>
      <c r="M349" s="123"/>
      <c r="N349" s="123"/>
      <c r="O349" s="123"/>
      <c r="P349" s="123"/>
      <c r="Q349" s="123"/>
      <c r="R349" s="123"/>
      <c r="S349" s="123"/>
      <c r="T349" s="123"/>
      <c r="U349" s="123"/>
      <c r="V349" s="123"/>
      <c r="W349" s="123"/>
      <c r="X349" s="123"/>
      <c r="Y349" s="123"/>
    </row>
    <row r="350" spans="2:25" s="235" customFormat="1" ht="13.8">
      <c r="B350" s="307"/>
      <c r="C350" s="307"/>
      <c r="D350" s="307"/>
      <c r="E350" s="307"/>
      <c r="F350" s="307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</row>
    <row r="351" spans="2:25" s="235" customFormat="1" ht="13.8">
      <c r="B351" s="307"/>
      <c r="C351" s="307"/>
      <c r="D351" s="307"/>
      <c r="E351" s="307"/>
      <c r="F351" s="307"/>
      <c r="L351" s="123"/>
      <c r="M351" s="123"/>
      <c r="N351" s="123"/>
      <c r="O351" s="123"/>
      <c r="P351" s="123"/>
      <c r="Q351" s="123"/>
      <c r="R351" s="123"/>
      <c r="S351" s="123"/>
      <c r="T351" s="123"/>
      <c r="U351" s="123"/>
      <c r="V351" s="123"/>
      <c r="W351" s="123"/>
      <c r="X351" s="123"/>
      <c r="Y351" s="123"/>
    </row>
    <row r="352" spans="2:25" s="235" customFormat="1" ht="13.8">
      <c r="B352" s="307"/>
      <c r="C352" s="307"/>
      <c r="D352" s="307"/>
      <c r="E352" s="307"/>
      <c r="F352" s="307"/>
      <c r="L352" s="123"/>
      <c r="M352" s="123"/>
      <c r="N352" s="123"/>
      <c r="O352" s="123"/>
      <c r="P352" s="123"/>
      <c r="Q352" s="123"/>
      <c r="R352" s="123"/>
      <c r="S352" s="123"/>
      <c r="T352" s="123"/>
      <c r="U352" s="123"/>
      <c r="V352" s="123"/>
      <c r="W352" s="123"/>
      <c r="X352" s="123"/>
      <c r="Y352" s="123"/>
    </row>
    <row r="353" spans="2:25" s="235" customFormat="1" ht="13.8">
      <c r="B353" s="307"/>
      <c r="C353" s="307"/>
      <c r="D353" s="307"/>
      <c r="E353" s="307"/>
      <c r="F353" s="307"/>
      <c r="L353" s="123"/>
      <c r="M353" s="123"/>
      <c r="N353" s="123"/>
      <c r="O353" s="123"/>
      <c r="P353" s="123"/>
      <c r="Q353" s="123"/>
      <c r="R353" s="123"/>
      <c r="S353" s="123"/>
      <c r="T353" s="123"/>
      <c r="U353" s="123"/>
      <c r="V353" s="123"/>
      <c r="W353" s="123"/>
      <c r="X353" s="123"/>
      <c r="Y353" s="123"/>
    </row>
    <row r="354" spans="2:25" s="235" customFormat="1" ht="13.8">
      <c r="B354" s="307"/>
      <c r="C354" s="307"/>
      <c r="D354" s="307"/>
      <c r="E354" s="307"/>
      <c r="F354" s="307"/>
      <c r="L354" s="123"/>
      <c r="M354" s="123"/>
      <c r="N354" s="123"/>
      <c r="O354" s="123"/>
      <c r="P354" s="123"/>
      <c r="Q354" s="123"/>
      <c r="R354" s="123"/>
      <c r="S354" s="123"/>
      <c r="T354" s="123"/>
      <c r="U354" s="123"/>
      <c r="V354" s="123"/>
      <c r="W354" s="123"/>
      <c r="X354" s="123"/>
      <c r="Y354" s="123"/>
    </row>
    <row r="355" spans="2:25" s="235" customFormat="1" ht="13.8">
      <c r="B355" s="307"/>
      <c r="C355" s="307"/>
      <c r="D355" s="307"/>
      <c r="E355" s="307"/>
      <c r="F355" s="307"/>
      <c r="L355" s="123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  <c r="X355" s="123"/>
      <c r="Y355" s="123"/>
    </row>
    <row r="356" spans="2:25" s="235" customFormat="1" ht="13.8">
      <c r="B356" s="307"/>
      <c r="C356" s="307"/>
      <c r="D356" s="307"/>
      <c r="E356" s="307"/>
      <c r="F356" s="307"/>
      <c r="L356" s="123"/>
      <c r="M356" s="123"/>
      <c r="N356" s="123"/>
      <c r="O356" s="123"/>
      <c r="P356" s="123"/>
      <c r="Q356" s="123"/>
      <c r="R356" s="123"/>
      <c r="S356" s="123"/>
      <c r="T356" s="123"/>
      <c r="U356" s="123"/>
      <c r="V356" s="123"/>
      <c r="W356" s="123"/>
      <c r="X356" s="123"/>
      <c r="Y356" s="123"/>
    </row>
    <row r="357" spans="2:25" s="235" customFormat="1" ht="13.8">
      <c r="B357" s="307"/>
      <c r="C357" s="307"/>
      <c r="D357" s="307"/>
      <c r="E357" s="307"/>
      <c r="F357" s="307"/>
      <c r="L357" s="123"/>
      <c r="M357" s="123"/>
      <c r="N357" s="123"/>
      <c r="O357" s="123"/>
      <c r="P357" s="123"/>
      <c r="Q357" s="123"/>
      <c r="R357" s="123"/>
      <c r="S357" s="123"/>
      <c r="T357" s="123"/>
      <c r="U357" s="123"/>
      <c r="V357" s="123"/>
      <c r="W357" s="123"/>
      <c r="X357" s="123"/>
      <c r="Y357" s="123"/>
    </row>
    <row r="358" spans="2:25" s="235" customFormat="1" ht="13.8">
      <c r="B358" s="307"/>
      <c r="C358" s="307"/>
      <c r="D358" s="307"/>
      <c r="E358" s="307"/>
      <c r="F358" s="307"/>
      <c r="L358" s="123"/>
      <c r="M358" s="123"/>
      <c r="N358" s="123"/>
      <c r="O358" s="123"/>
      <c r="P358" s="123"/>
      <c r="Q358" s="123"/>
      <c r="R358" s="123"/>
      <c r="S358" s="123"/>
      <c r="T358" s="123"/>
      <c r="U358" s="123"/>
      <c r="V358" s="123"/>
      <c r="W358" s="123"/>
      <c r="X358" s="123"/>
      <c r="Y358" s="123"/>
    </row>
    <row r="359" spans="2:25" s="235" customFormat="1" ht="13.8">
      <c r="B359" s="307"/>
      <c r="C359" s="307"/>
      <c r="D359" s="307"/>
      <c r="E359" s="307"/>
      <c r="F359" s="307"/>
      <c r="L359" s="123"/>
      <c r="M359" s="123"/>
      <c r="N359" s="123"/>
      <c r="O359" s="123"/>
      <c r="P359" s="123"/>
      <c r="Q359" s="123"/>
      <c r="R359" s="123"/>
      <c r="S359" s="123"/>
      <c r="T359" s="123"/>
      <c r="U359" s="123"/>
      <c r="V359" s="123"/>
      <c r="W359" s="123"/>
      <c r="X359" s="123"/>
      <c r="Y359" s="123"/>
    </row>
    <row r="360" spans="2:25" s="235" customFormat="1" ht="13.8">
      <c r="B360" s="307"/>
      <c r="C360" s="307"/>
      <c r="D360" s="307"/>
      <c r="E360" s="307"/>
      <c r="F360" s="307"/>
      <c r="L360" s="123"/>
      <c r="M360" s="123"/>
      <c r="N360" s="123"/>
      <c r="O360" s="123"/>
      <c r="P360" s="123"/>
      <c r="Q360" s="123"/>
      <c r="R360" s="123"/>
      <c r="S360" s="123"/>
      <c r="T360" s="123"/>
      <c r="U360" s="123"/>
      <c r="V360" s="123"/>
      <c r="W360" s="123"/>
      <c r="X360" s="123"/>
      <c r="Y360" s="123"/>
    </row>
    <row r="361" spans="2:25" s="235" customFormat="1" ht="13.8">
      <c r="B361" s="307"/>
      <c r="C361" s="307"/>
      <c r="D361" s="307"/>
      <c r="E361" s="307"/>
      <c r="F361" s="307"/>
      <c r="L361" s="123"/>
      <c r="M361" s="123"/>
      <c r="N361" s="123"/>
      <c r="O361" s="123"/>
      <c r="P361" s="123"/>
      <c r="Q361" s="123"/>
      <c r="R361" s="123"/>
      <c r="S361" s="123"/>
      <c r="T361" s="123"/>
      <c r="U361" s="123"/>
      <c r="V361" s="123"/>
      <c r="W361" s="123"/>
      <c r="X361" s="123"/>
      <c r="Y361" s="123"/>
    </row>
    <row r="362" spans="2:25" s="235" customFormat="1" ht="13.8">
      <c r="B362" s="307"/>
      <c r="C362" s="307"/>
      <c r="D362" s="307"/>
      <c r="E362" s="307"/>
      <c r="F362" s="307"/>
      <c r="L362" s="123"/>
      <c r="M362" s="123"/>
      <c r="N362" s="123"/>
      <c r="O362" s="123"/>
      <c r="P362" s="123"/>
      <c r="Q362" s="123"/>
      <c r="R362" s="123"/>
      <c r="S362" s="123"/>
      <c r="T362" s="123"/>
      <c r="U362" s="123"/>
      <c r="V362" s="123"/>
      <c r="W362" s="123"/>
      <c r="X362" s="123"/>
      <c r="Y362" s="123"/>
    </row>
    <row r="363" spans="2:25" s="235" customFormat="1" ht="13.8">
      <c r="B363" s="307"/>
      <c r="C363" s="307"/>
      <c r="D363" s="307"/>
      <c r="E363" s="307"/>
      <c r="F363" s="307"/>
      <c r="L363" s="123"/>
      <c r="M363" s="123"/>
      <c r="N363" s="123"/>
      <c r="O363" s="123"/>
      <c r="P363" s="123"/>
      <c r="Q363" s="123"/>
      <c r="R363" s="123"/>
      <c r="S363" s="123"/>
      <c r="T363" s="123"/>
      <c r="U363" s="123"/>
      <c r="V363" s="123"/>
      <c r="W363" s="123"/>
      <c r="X363" s="123"/>
      <c r="Y363" s="123"/>
    </row>
    <row r="364" spans="2:25" s="235" customFormat="1" ht="13.8">
      <c r="B364" s="307"/>
      <c r="C364" s="307"/>
      <c r="D364" s="307"/>
      <c r="E364" s="307"/>
      <c r="F364" s="307"/>
      <c r="L364" s="123"/>
      <c r="M364" s="123"/>
      <c r="N364" s="123"/>
      <c r="O364" s="123"/>
      <c r="P364" s="123"/>
      <c r="Q364" s="123"/>
      <c r="R364" s="123"/>
      <c r="S364" s="123"/>
      <c r="T364" s="123"/>
      <c r="U364" s="123"/>
      <c r="V364" s="123"/>
      <c r="W364" s="123"/>
      <c r="X364" s="123"/>
      <c r="Y364" s="123"/>
    </row>
    <row r="365" spans="2:25" s="235" customFormat="1" ht="13.8">
      <c r="B365" s="307"/>
      <c r="C365" s="307"/>
      <c r="D365" s="307"/>
      <c r="E365" s="307"/>
      <c r="F365" s="307"/>
      <c r="L365" s="123"/>
      <c r="M365" s="123"/>
      <c r="N365" s="123"/>
      <c r="O365" s="123"/>
      <c r="P365" s="123"/>
      <c r="Q365" s="123"/>
      <c r="R365" s="123"/>
      <c r="S365" s="123"/>
      <c r="T365" s="123"/>
      <c r="U365" s="123"/>
      <c r="V365" s="123"/>
      <c r="W365" s="123"/>
      <c r="X365" s="123"/>
      <c r="Y365" s="123"/>
    </row>
    <row r="366" spans="2:25" s="235" customFormat="1" ht="13.8">
      <c r="B366" s="307"/>
      <c r="C366" s="307"/>
      <c r="D366" s="307"/>
      <c r="E366" s="307"/>
      <c r="F366" s="307"/>
      <c r="L366" s="123"/>
      <c r="M366" s="123"/>
      <c r="N366" s="123"/>
      <c r="O366" s="123"/>
      <c r="P366" s="123"/>
      <c r="Q366" s="123"/>
      <c r="R366" s="123"/>
      <c r="S366" s="123"/>
      <c r="T366" s="123"/>
      <c r="U366" s="123"/>
      <c r="V366" s="123"/>
      <c r="W366" s="123"/>
      <c r="X366" s="123"/>
      <c r="Y366" s="123"/>
    </row>
    <row r="367" spans="2:25" s="235" customFormat="1" ht="13.8">
      <c r="B367" s="307"/>
      <c r="C367" s="307"/>
      <c r="D367" s="307"/>
      <c r="E367" s="307"/>
      <c r="F367" s="307"/>
      <c r="L367" s="123"/>
      <c r="M367" s="123"/>
      <c r="N367" s="123"/>
      <c r="O367" s="123"/>
      <c r="P367" s="123"/>
      <c r="Q367" s="123"/>
      <c r="R367" s="123"/>
      <c r="S367" s="123"/>
      <c r="T367" s="123"/>
      <c r="U367" s="123"/>
      <c r="V367" s="123"/>
      <c r="W367" s="123"/>
      <c r="X367" s="123"/>
      <c r="Y367" s="123"/>
    </row>
    <row r="368" spans="2:25" s="235" customFormat="1" ht="13.8">
      <c r="B368" s="307"/>
      <c r="C368" s="307"/>
      <c r="D368" s="307"/>
      <c r="E368" s="307"/>
      <c r="F368" s="307"/>
      <c r="L368" s="123"/>
      <c r="M368" s="123"/>
      <c r="N368" s="123"/>
      <c r="O368" s="123"/>
      <c r="P368" s="123"/>
      <c r="Q368" s="123"/>
      <c r="R368" s="123"/>
      <c r="S368" s="123"/>
      <c r="T368" s="123"/>
      <c r="U368" s="123"/>
      <c r="V368" s="123"/>
      <c r="W368" s="123"/>
      <c r="X368" s="123"/>
      <c r="Y368" s="123"/>
    </row>
    <row r="369" spans="2:25" s="235" customFormat="1" ht="13.8">
      <c r="B369" s="307"/>
      <c r="C369" s="307"/>
      <c r="D369" s="307"/>
      <c r="E369" s="307"/>
      <c r="F369" s="307"/>
      <c r="L369" s="123"/>
      <c r="M369" s="123"/>
      <c r="N369" s="123"/>
      <c r="O369" s="123"/>
      <c r="P369" s="123"/>
      <c r="Q369" s="123"/>
      <c r="R369" s="123"/>
      <c r="S369" s="123"/>
      <c r="T369" s="123"/>
      <c r="U369" s="123"/>
      <c r="V369" s="123"/>
      <c r="W369" s="123"/>
      <c r="X369" s="123"/>
      <c r="Y369" s="123"/>
    </row>
    <row r="370" spans="2:25" s="235" customFormat="1" ht="13.8">
      <c r="B370" s="307"/>
      <c r="C370" s="307"/>
      <c r="D370" s="307"/>
      <c r="E370" s="307"/>
      <c r="F370" s="307"/>
      <c r="L370" s="123"/>
      <c r="M370" s="123"/>
      <c r="N370" s="123"/>
      <c r="O370" s="123"/>
      <c r="P370" s="123"/>
      <c r="Q370" s="123"/>
      <c r="R370" s="123"/>
      <c r="S370" s="123"/>
      <c r="T370" s="123"/>
      <c r="U370" s="123"/>
      <c r="V370" s="123"/>
      <c r="W370" s="123"/>
      <c r="X370" s="123"/>
      <c r="Y370" s="123"/>
    </row>
    <row r="371" spans="2:25" s="235" customFormat="1" ht="13.8">
      <c r="B371" s="307"/>
      <c r="C371" s="307"/>
      <c r="D371" s="307"/>
      <c r="E371" s="307"/>
      <c r="F371" s="307"/>
      <c r="L371" s="123"/>
      <c r="M371" s="123"/>
      <c r="N371" s="123"/>
      <c r="O371" s="123"/>
      <c r="P371" s="123"/>
      <c r="Q371" s="123"/>
      <c r="R371" s="123"/>
      <c r="S371" s="123"/>
      <c r="T371" s="123"/>
      <c r="U371" s="123"/>
      <c r="V371" s="123"/>
      <c r="W371" s="123"/>
      <c r="X371" s="123"/>
      <c r="Y371" s="123"/>
    </row>
    <row r="372" spans="2:25" s="235" customFormat="1" ht="13.8">
      <c r="B372" s="307"/>
      <c r="C372" s="307"/>
      <c r="D372" s="307"/>
      <c r="E372" s="307"/>
      <c r="F372" s="307"/>
      <c r="L372" s="123"/>
      <c r="M372" s="123"/>
      <c r="N372" s="123"/>
      <c r="O372" s="123"/>
      <c r="P372" s="123"/>
      <c r="Q372" s="123"/>
      <c r="R372" s="123"/>
      <c r="S372" s="123"/>
      <c r="T372" s="123"/>
      <c r="U372" s="123"/>
      <c r="V372" s="123"/>
      <c r="W372" s="123"/>
      <c r="X372" s="123"/>
      <c r="Y372" s="123"/>
    </row>
    <row r="373" spans="2:25" s="235" customFormat="1" ht="13.8">
      <c r="B373" s="307"/>
      <c r="C373" s="307"/>
      <c r="D373" s="307"/>
      <c r="E373" s="307"/>
      <c r="F373" s="307"/>
      <c r="L373" s="123"/>
      <c r="M373" s="123"/>
      <c r="N373" s="123"/>
      <c r="O373" s="123"/>
      <c r="P373" s="123"/>
      <c r="Q373" s="123"/>
      <c r="R373" s="123"/>
      <c r="S373" s="123"/>
      <c r="T373" s="123"/>
      <c r="U373" s="123"/>
      <c r="V373" s="123"/>
      <c r="W373" s="123"/>
      <c r="X373" s="123"/>
      <c r="Y373" s="123"/>
    </row>
    <row r="374" spans="2:25" s="235" customFormat="1" ht="13.8">
      <c r="B374" s="307"/>
      <c r="C374" s="307"/>
      <c r="D374" s="307"/>
      <c r="E374" s="307"/>
      <c r="F374" s="307"/>
      <c r="L374" s="123"/>
      <c r="M374" s="123"/>
      <c r="N374" s="123"/>
      <c r="O374" s="123"/>
      <c r="P374" s="123"/>
      <c r="Q374" s="123"/>
      <c r="R374" s="123"/>
      <c r="S374" s="123"/>
      <c r="T374" s="123"/>
      <c r="U374" s="123"/>
      <c r="V374" s="123"/>
      <c r="W374" s="123"/>
      <c r="X374" s="123"/>
      <c r="Y374" s="123"/>
    </row>
    <row r="375" spans="2:25" s="235" customFormat="1" ht="13.8">
      <c r="B375" s="307"/>
      <c r="C375" s="307"/>
      <c r="D375" s="307"/>
      <c r="E375" s="307"/>
      <c r="F375" s="307"/>
      <c r="L375" s="123"/>
      <c r="M375" s="123"/>
      <c r="N375" s="123"/>
      <c r="O375" s="123"/>
      <c r="P375" s="123"/>
      <c r="Q375" s="123"/>
      <c r="R375" s="123"/>
      <c r="S375" s="123"/>
      <c r="T375" s="123"/>
      <c r="U375" s="123"/>
      <c r="V375" s="123"/>
      <c r="W375" s="123"/>
      <c r="X375" s="123"/>
      <c r="Y375" s="123"/>
    </row>
    <row r="376" spans="2:25" s="235" customFormat="1" ht="13.8">
      <c r="B376" s="307"/>
      <c r="C376" s="307"/>
      <c r="D376" s="307"/>
      <c r="E376" s="307"/>
      <c r="F376" s="307"/>
      <c r="L376" s="123"/>
      <c r="M376" s="123"/>
      <c r="N376" s="123"/>
      <c r="O376" s="123"/>
      <c r="P376" s="123"/>
      <c r="Q376" s="123"/>
      <c r="R376" s="123"/>
      <c r="S376" s="123"/>
      <c r="T376" s="123"/>
      <c r="U376" s="123"/>
      <c r="V376" s="123"/>
      <c r="W376" s="123"/>
      <c r="X376" s="123"/>
      <c r="Y376" s="123"/>
    </row>
    <row r="377" spans="2:25" s="235" customFormat="1" ht="13.8">
      <c r="B377" s="307"/>
      <c r="C377" s="307"/>
      <c r="D377" s="307"/>
      <c r="E377" s="307"/>
      <c r="F377" s="307"/>
      <c r="L377" s="123"/>
      <c r="M377" s="123"/>
      <c r="N377" s="123"/>
      <c r="O377" s="123"/>
      <c r="P377" s="123"/>
      <c r="Q377" s="123"/>
      <c r="R377" s="123"/>
      <c r="S377" s="123"/>
      <c r="T377" s="123"/>
      <c r="U377" s="123"/>
      <c r="V377" s="123"/>
      <c r="W377" s="123"/>
      <c r="X377" s="123"/>
      <c r="Y377" s="123"/>
    </row>
    <row r="378" spans="2:25" s="235" customFormat="1" ht="13.8">
      <c r="B378" s="307"/>
      <c r="C378" s="307"/>
      <c r="D378" s="307"/>
      <c r="E378" s="307"/>
      <c r="F378" s="307"/>
      <c r="L378" s="123"/>
      <c r="M378" s="123"/>
      <c r="N378" s="123"/>
      <c r="O378" s="123"/>
      <c r="P378" s="123"/>
      <c r="Q378" s="123"/>
      <c r="R378" s="123"/>
      <c r="S378" s="123"/>
      <c r="T378" s="123"/>
      <c r="U378" s="123"/>
      <c r="V378" s="123"/>
      <c r="W378" s="123"/>
      <c r="X378" s="123"/>
      <c r="Y378" s="123"/>
    </row>
    <row r="379" spans="2:25" s="235" customFormat="1" ht="13.8">
      <c r="B379" s="307"/>
      <c r="C379" s="307"/>
      <c r="D379" s="307"/>
      <c r="E379" s="307"/>
      <c r="F379" s="307"/>
      <c r="L379" s="123"/>
      <c r="M379" s="123"/>
      <c r="N379" s="123"/>
      <c r="O379" s="123"/>
      <c r="P379" s="123"/>
      <c r="Q379" s="123"/>
      <c r="R379" s="123"/>
      <c r="S379" s="123"/>
      <c r="T379" s="123"/>
      <c r="U379" s="123"/>
      <c r="V379" s="123"/>
      <c r="W379" s="123"/>
      <c r="X379" s="123"/>
      <c r="Y379" s="123"/>
    </row>
    <row r="380" spans="2:25" s="235" customFormat="1" ht="13.8">
      <c r="B380" s="307"/>
      <c r="C380" s="307"/>
      <c r="D380" s="307"/>
      <c r="E380" s="307"/>
      <c r="F380" s="307"/>
      <c r="L380" s="123"/>
      <c r="M380" s="123"/>
      <c r="N380" s="123"/>
      <c r="O380" s="123"/>
      <c r="P380" s="123"/>
      <c r="Q380" s="123"/>
      <c r="R380" s="123"/>
      <c r="S380" s="123"/>
      <c r="T380" s="123"/>
      <c r="U380" s="123"/>
      <c r="V380" s="123"/>
      <c r="W380" s="123"/>
      <c r="X380" s="123"/>
      <c r="Y380" s="123"/>
    </row>
    <row r="381" spans="2:25" s="235" customFormat="1" ht="13.8">
      <c r="B381" s="307"/>
      <c r="C381" s="307"/>
      <c r="D381" s="307"/>
      <c r="E381" s="307"/>
      <c r="F381" s="307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</row>
    <row r="382" spans="2:25" s="235" customFormat="1" ht="13.8">
      <c r="B382" s="307"/>
      <c r="C382" s="307"/>
      <c r="D382" s="307"/>
      <c r="E382" s="307"/>
      <c r="F382" s="307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</row>
    <row r="383" spans="2:25" s="235" customFormat="1" ht="13.8">
      <c r="B383" s="307"/>
      <c r="C383" s="307"/>
      <c r="D383" s="307"/>
      <c r="E383" s="307"/>
      <c r="F383" s="307"/>
      <c r="L383" s="123"/>
      <c r="M383" s="123"/>
      <c r="N383" s="123"/>
      <c r="O383" s="123"/>
      <c r="P383" s="123"/>
      <c r="Q383" s="123"/>
      <c r="R383" s="123"/>
      <c r="S383" s="123"/>
      <c r="T383" s="123"/>
      <c r="U383" s="123"/>
      <c r="V383" s="123"/>
      <c r="W383" s="123"/>
      <c r="X383" s="123"/>
      <c r="Y383" s="123"/>
    </row>
    <row r="384" spans="2:25" s="235" customFormat="1" ht="13.8">
      <c r="B384" s="307"/>
      <c r="C384" s="307"/>
      <c r="D384" s="307"/>
      <c r="E384" s="307"/>
      <c r="F384" s="307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</row>
    <row r="385" spans="2:25" s="235" customFormat="1" ht="13.8">
      <c r="B385" s="307"/>
      <c r="C385" s="307"/>
      <c r="D385" s="307"/>
      <c r="E385" s="307"/>
      <c r="F385" s="307"/>
      <c r="L385" s="123"/>
      <c r="M385" s="123"/>
      <c r="N385" s="123"/>
      <c r="O385" s="123"/>
      <c r="P385" s="123"/>
      <c r="Q385" s="123"/>
      <c r="R385" s="123"/>
      <c r="S385" s="123"/>
      <c r="T385" s="123"/>
      <c r="U385" s="123"/>
      <c r="V385" s="123"/>
      <c r="W385" s="123"/>
      <c r="X385" s="123"/>
      <c r="Y385" s="123"/>
    </row>
    <row r="386" spans="2:25" s="235" customFormat="1" ht="13.8">
      <c r="B386" s="307"/>
      <c r="C386" s="307"/>
      <c r="D386" s="307"/>
      <c r="E386" s="307"/>
      <c r="F386" s="307"/>
      <c r="L386" s="123"/>
      <c r="M386" s="123"/>
      <c r="N386" s="123"/>
      <c r="O386" s="123"/>
      <c r="P386" s="123"/>
      <c r="Q386" s="123"/>
      <c r="R386" s="123"/>
      <c r="S386" s="123"/>
      <c r="T386" s="123"/>
      <c r="U386" s="123"/>
      <c r="V386" s="123"/>
      <c r="W386" s="123"/>
      <c r="X386" s="123"/>
      <c r="Y386" s="123"/>
    </row>
    <row r="387" spans="2:25" s="235" customFormat="1" ht="13.8">
      <c r="B387" s="307"/>
      <c r="C387" s="307"/>
      <c r="D387" s="307"/>
      <c r="E387" s="307"/>
      <c r="F387" s="307"/>
      <c r="L387" s="123"/>
      <c r="M387" s="123"/>
      <c r="N387" s="123"/>
      <c r="O387" s="123"/>
      <c r="P387" s="123"/>
      <c r="Q387" s="123"/>
      <c r="R387" s="123"/>
      <c r="S387" s="123"/>
      <c r="T387" s="123"/>
      <c r="U387" s="123"/>
      <c r="V387" s="123"/>
      <c r="W387" s="123"/>
      <c r="X387" s="123"/>
      <c r="Y387" s="123"/>
    </row>
    <row r="388" spans="2:25" s="235" customFormat="1" ht="13.8">
      <c r="B388" s="307"/>
      <c r="C388" s="307"/>
      <c r="D388" s="307"/>
      <c r="E388" s="307"/>
      <c r="F388" s="307"/>
      <c r="L388" s="123"/>
      <c r="M388" s="123"/>
      <c r="N388" s="123"/>
      <c r="O388" s="123"/>
      <c r="P388" s="123"/>
      <c r="Q388" s="123"/>
      <c r="R388" s="123"/>
      <c r="S388" s="123"/>
      <c r="T388" s="123"/>
      <c r="U388" s="123"/>
      <c r="V388" s="123"/>
      <c r="W388" s="123"/>
      <c r="X388" s="123"/>
      <c r="Y388" s="123"/>
    </row>
    <row r="389" spans="2:25" s="235" customFormat="1" ht="13.8">
      <c r="B389" s="307"/>
      <c r="C389" s="307"/>
      <c r="D389" s="307"/>
      <c r="E389" s="307"/>
      <c r="F389" s="307"/>
      <c r="L389" s="123"/>
      <c r="M389" s="123"/>
      <c r="N389" s="123"/>
      <c r="O389" s="123"/>
      <c r="P389" s="123"/>
      <c r="Q389" s="123"/>
      <c r="R389" s="123"/>
      <c r="S389" s="123"/>
      <c r="T389" s="123"/>
      <c r="U389" s="123"/>
      <c r="V389" s="123"/>
      <c r="W389" s="123"/>
      <c r="X389" s="123"/>
      <c r="Y389" s="123"/>
    </row>
    <row r="390" spans="2:25" s="235" customFormat="1" ht="13.8">
      <c r="B390" s="307"/>
      <c r="C390" s="307"/>
      <c r="D390" s="307"/>
      <c r="E390" s="307"/>
      <c r="F390" s="307"/>
      <c r="L390" s="123"/>
      <c r="M390" s="123"/>
      <c r="N390" s="123"/>
      <c r="O390" s="123"/>
      <c r="P390" s="123"/>
      <c r="Q390" s="123"/>
      <c r="R390" s="123"/>
      <c r="S390" s="123"/>
      <c r="T390" s="123"/>
      <c r="U390" s="123"/>
      <c r="V390" s="123"/>
      <c r="W390" s="123"/>
      <c r="X390" s="123"/>
      <c r="Y390" s="123"/>
    </row>
    <row r="391" spans="2:25" s="235" customFormat="1" ht="13.8">
      <c r="B391" s="307"/>
      <c r="C391" s="307"/>
      <c r="D391" s="307"/>
      <c r="E391" s="307"/>
      <c r="F391" s="307"/>
      <c r="L391" s="123"/>
      <c r="M391" s="123"/>
      <c r="N391" s="123"/>
      <c r="O391" s="123"/>
      <c r="P391" s="123"/>
      <c r="Q391" s="123"/>
      <c r="R391" s="123"/>
      <c r="S391" s="123"/>
      <c r="T391" s="123"/>
      <c r="U391" s="123"/>
      <c r="V391" s="123"/>
      <c r="W391" s="123"/>
      <c r="X391" s="123"/>
      <c r="Y391" s="123"/>
    </row>
    <row r="392" spans="2:25" s="235" customFormat="1" ht="13.8">
      <c r="B392" s="307"/>
      <c r="C392" s="307"/>
      <c r="D392" s="307"/>
      <c r="E392" s="307"/>
      <c r="F392" s="307"/>
      <c r="L392" s="123"/>
      <c r="M392" s="123"/>
      <c r="N392" s="123"/>
      <c r="O392" s="123"/>
      <c r="P392" s="123"/>
      <c r="Q392" s="123"/>
      <c r="R392" s="123"/>
      <c r="S392" s="123"/>
      <c r="T392" s="123"/>
      <c r="U392" s="123"/>
      <c r="V392" s="123"/>
      <c r="W392" s="123"/>
      <c r="X392" s="123"/>
      <c r="Y392" s="123"/>
    </row>
    <row r="393" spans="2:25" s="235" customFormat="1" ht="13.8">
      <c r="B393" s="307"/>
      <c r="C393" s="307"/>
      <c r="D393" s="307"/>
      <c r="E393" s="307"/>
      <c r="F393" s="307"/>
      <c r="L393" s="123"/>
      <c r="M393" s="123"/>
      <c r="N393" s="123"/>
      <c r="O393" s="123"/>
      <c r="P393" s="123"/>
      <c r="Q393" s="123"/>
      <c r="R393" s="123"/>
      <c r="S393" s="123"/>
      <c r="T393" s="123"/>
      <c r="U393" s="123"/>
      <c r="V393" s="123"/>
      <c r="W393" s="123"/>
      <c r="X393" s="123"/>
      <c r="Y393" s="123"/>
    </row>
    <row r="394" spans="2:25" s="235" customFormat="1" ht="13.8">
      <c r="B394" s="307"/>
      <c r="C394" s="307"/>
      <c r="D394" s="307"/>
      <c r="E394" s="307"/>
      <c r="F394" s="307"/>
      <c r="L394" s="123"/>
      <c r="M394" s="123"/>
      <c r="N394" s="123"/>
      <c r="O394" s="123"/>
      <c r="P394" s="123"/>
      <c r="Q394" s="123"/>
      <c r="R394" s="123"/>
      <c r="S394" s="123"/>
      <c r="T394" s="123"/>
      <c r="U394" s="123"/>
      <c r="V394" s="123"/>
      <c r="W394" s="123"/>
      <c r="X394" s="123"/>
      <c r="Y394" s="123"/>
    </row>
    <row r="395" spans="2:25" s="235" customFormat="1" ht="13.8">
      <c r="B395" s="307"/>
      <c r="C395" s="307"/>
      <c r="D395" s="307"/>
      <c r="E395" s="307"/>
      <c r="F395" s="307"/>
      <c r="L395" s="123"/>
      <c r="M395" s="123"/>
      <c r="N395" s="123"/>
      <c r="O395" s="123"/>
      <c r="P395" s="123"/>
      <c r="Q395" s="123"/>
      <c r="R395" s="123"/>
      <c r="S395" s="123"/>
      <c r="T395" s="123"/>
      <c r="U395" s="123"/>
      <c r="V395" s="123"/>
      <c r="W395" s="123"/>
      <c r="X395" s="123"/>
      <c r="Y395" s="123"/>
    </row>
    <row r="396" spans="2:25" s="235" customFormat="1" ht="13.8">
      <c r="B396" s="307"/>
      <c r="C396" s="307"/>
      <c r="D396" s="307"/>
      <c r="E396" s="307"/>
      <c r="F396" s="307"/>
      <c r="L396" s="123"/>
      <c r="M396" s="123"/>
      <c r="N396" s="123"/>
      <c r="O396" s="123"/>
      <c r="P396" s="123"/>
      <c r="Q396" s="123"/>
      <c r="R396" s="123"/>
      <c r="S396" s="123"/>
      <c r="T396" s="123"/>
      <c r="U396" s="123"/>
      <c r="V396" s="123"/>
      <c r="W396" s="123"/>
      <c r="X396" s="123"/>
      <c r="Y396" s="123"/>
    </row>
    <row r="397" spans="2:25" s="235" customFormat="1" ht="13.8">
      <c r="B397" s="307"/>
      <c r="C397" s="307"/>
      <c r="D397" s="307"/>
      <c r="E397" s="307"/>
      <c r="F397" s="307"/>
      <c r="L397" s="123"/>
      <c r="M397" s="123"/>
      <c r="N397" s="123"/>
      <c r="O397" s="123"/>
      <c r="P397" s="123"/>
      <c r="Q397" s="123"/>
      <c r="R397" s="123"/>
      <c r="S397" s="123"/>
      <c r="T397" s="123"/>
      <c r="U397" s="123"/>
      <c r="V397" s="123"/>
      <c r="W397" s="123"/>
      <c r="X397" s="123"/>
      <c r="Y397" s="123"/>
    </row>
    <row r="398" spans="2:25" s="235" customFormat="1" ht="13.8">
      <c r="B398" s="307"/>
      <c r="C398" s="307"/>
      <c r="D398" s="307"/>
      <c r="E398" s="307"/>
      <c r="F398" s="307"/>
      <c r="L398" s="123"/>
      <c r="M398" s="123"/>
      <c r="N398" s="123"/>
      <c r="O398" s="123"/>
      <c r="P398" s="123"/>
      <c r="Q398" s="123"/>
      <c r="R398" s="123"/>
      <c r="S398" s="123"/>
      <c r="T398" s="123"/>
      <c r="U398" s="123"/>
      <c r="V398" s="123"/>
      <c r="W398" s="123"/>
      <c r="X398" s="123"/>
      <c r="Y398" s="123"/>
    </row>
    <row r="399" spans="2:25" s="235" customFormat="1" ht="13.8">
      <c r="B399" s="307"/>
      <c r="C399" s="307"/>
      <c r="D399" s="307"/>
      <c r="E399" s="307"/>
      <c r="F399" s="307"/>
      <c r="L399" s="123"/>
      <c r="M399" s="123"/>
      <c r="N399" s="123"/>
      <c r="O399" s="123"/>
      <c r="P399" s="123"/>
      <c r="Q399" s="123"/>
      <c r="R399" s="123"/>
      <c r="S399" s="123"/>
      <c r="T399" s="123"/>
      <c r="U399" s="123"/>
      <c r="V399" s="123"/>
      <c r="W399" s="123"/>
      <c r="X399" s="123"/>
      <c r="Y399" s="123"/>
    </row>
    <row r="400" spans="2:25" s="235" customFormat="1" ht="13.8">
      <c r="B400" s="307"/>
      <c r="C400" s="307"/>
      <c r="D400" s="307"/>
      <c r="E400" s="307"/>
      <c r="F400" s="307"/>
      <c r="L400" s="123"/>
      <c r="M400" s="123"/>
      <c r="N400" s="123"/>
      <c r="O400" s="123"/>
      <c r="P400" s="123"/>
      <c r="Q400" s="123"/>
      <c r="R400" s="123"/>
      <c r="S400" s="123"/>
      <c r="T400" s="123"/>
      <c r="U400" s="123"/>
      <c r="V400" s="123"/>
      <c r="W400" s="123"/>
      <c r="X400" s="123"/>
      <c r="Y400" s="123"/>
    </row>
    <row r="401" spans="2:25" s="235" customFormat="1" ht="13.8">
      <c r="B401" s="307"/>
      <c r="C401" s="307"/>
      <c r="D401" s="307"/>
      <c r="E401" s="307"/>
      <c r="F401" s="307"/>
      <c r="L401" s="123"/>
      <c r="M401" s="123"/>
      <c r="N401" s="123"/>
      <c r="O401" s="123"/>
      <c r="P401" s="123"/>
      <c r="Q401" s="123"/>
      <c r="R401" s="123"/>
      <c r="S401" s="123"/>
      <c r="T401" s="123"/>
      <c r="U401" s="123"/>
      <c r="V401" s="123"/>
      <c r="W401" s="123"/>
      <c r="X401" s="123"/>
      <c r="Y401" s="123"/>
    </row>
    <row r="402" spans="2:25" s="235" customFormat="1" ht="13.8">
      <c r="B402" s="307"/>
      <c r="C402" s="307"/>
      <c r="D402" s="307"/>
      <c r="E402" s="307"/>
      <c r="F402" s="307"/>
      <c r="L402" s="123"/>
      <c r="M402" s="123"/>
      <c r="N402" s="123"/>
      <c r="O402" s="123"/>
      <c r="P402" s="123"/>
      <c r="Q402" s="123"/>
      <c r="R402" s="123"/>
      <c r="S402" s="123"/>
      <c r="T402" s="123"/>
      <c r="U402" s="123"/>
      <c r="V402" s="123"/>
      <c r="W402" s="123"/>
      <c r="X402" s="123"/>
      <c r="Y402" s="123"/>
    </row>
    <row r="403" spans="2:25" s="235" customFormat="1" ht="13.8">
      <c r="B403" s="307"/>
      <c r="C403" s="307"/>
      <c r="D403" s="307"/>
      <c r="E403" s="307"/>
      <c r="F403" s="307"/>
      <c r="L403" s="123"/>
      <c r="M403" s="123"/>
      <c r="N403" s="123"/>
      <c r="O403" s="123"/>
      <c r="P403" s="123"/>
      <c r="Q403" s="123"/>
      <c r="R403" s="123"/>
      <c r="S403" s="123"/>
      <c r="T403" s="123"/>
      <c r="U403" s="123"/>
      <c r="V403" s="123"/>
      <c r="W403" s="123"/>
      <c r="X403" s="123"/>
      <c r="Y403" s="123"/>
    </row>
    <row r="404" spans="2:25" s="235" customFormat="1" ht="13.8">
      <c r="B404" s="307"/>
      <c r="C404" s="307"/>
      <c r="D404" s="307"/>
      <c r="E404" s="307"/>
      <c r="F404" s="307"/>
      <c r="L404" s="123"/>
      <c r="M404" s="123"/>
      <c r="N404" s="123"/>
      <c r="O404" s="123"/>
      <c r="P404" s="123"/>
      <c r="Q404" s="123"/>
      <c r="R404" s="123"/>
      <c r="S404" s="123"/>
      <c r="T404" s="123"/>
      <c r="U404" s="123"/>
      <c r="V404" s="123"/>
      <c r="W404" s="123"/>
      <c r="X404" s="123"/>
      <c r="Y404" s="123"/>
    </row>
    <row r="405" spans="2:25" s="235" customFormat="1" ht="13.8">
      <c r="B405" s="307"/>
      <c r="C405" s="307"/>
      <c r="D405" s="307"/>
      <c r="E405" s="307"/>
      <c r="F405" s="307"/>
      <c r="L405" s="123"/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  <c r="Y405" s="123"/>
    </row>
    <row r="406" spans="2:25" s="235" customFormat="1" ht="13.8">
      <c r="B406" s="307"/>
      <c r="C406" s="307"/>
      <c r="D406" s="307"/>
      <c r="E406" s="307"/>
      <c r="F406" s="307"/>
      <c r="L406" s="123"/>
      <c r="M406" s="123"/>
      <c r="N406" s="123"/>
      <c r="O406" s="123"/>
      <c r="P406" s="123"/>
      <c r="Q406" s="123"/>
      <c r="R406" s="123"/>
      <c r="S406" s="123"/>
      <c r="T406" s="123"/>
      <c r="U406" s="123"/>
      <c r="V406" s="123"/>
      <c r="W406" s="123"/>
      <c r="X406" s="123"/>
      <c r="Y406" s="123"/>
    </row>
    <row r="407" spans="2:25" s="235" customFormat="1" ht="13.8">
      <c r="B407" s="307"/>
      <c r="C407" s="307"/>
      <c r="D407" s="307"/>
      <c r="E407" s="307"/>
      <c r="F407" s="307"/>
      <c r="L407" s="123"/>
      <c r="M407" s="123"/>
      <c r="N407" s="123"/>
      <c r="O407" s="123"/>
      <c r="P407" s="123"/>
      <c r="Q407" s="123"/>
      <c r="R407" s="123"/>
      <c r="S407" s="123"/>
      <c r="T407" s="123"/>
      <c r="U407" s="123"/>
      <c r="V407" s="123"/>
      <c r="W407" s="123"/>
      <c r="X407" s="123"/>
      <c r="Y407" s="123"/>
    </row>
    <row r="408" spans="2:25" s="235" customFormat="1" ht="13.8">
      <c r="B408" s="307"/>
      <c r="C408" s="307"/>
      <c r="D408" s="307"/>
      <c r="E408" s="307"/>
      <c r="F408" s="307"/>
      <c r="L408" s="123"/>
      <c r="M408" s="123"/>
      <c r="N408" s="123"/>
      <c r="O408" s="123"/>
      <c r="P408" s="123"/>
      <c r="Q408" s="123"/>
      <c r="R408" s="123"/>
      <c r="S408" s="123"/>
      <c r="T408" s="123"/>
      <c r="U408" s="123"/>
      <c r="V408" s="123"/>
      <c r="W408" s="123"/>
      <c r="X408" s="123"/>
      <c r="Y408" s="123"/>
    </row>
    <row r="409" spans="2:25" s="235" customFormat="1" ht="13.8">
      <c r="B409" s="307"/>
      <c r="C409" s="307"/>
      <c r="D409" s="307"/>
      <c r="E409" s="307"/>
      <c r="F409" s="307"/>
      <c r="L409" s="123"/>
      <c r="M409" s="123"/>
      <c r="N409" s="123"/>
      <c r="O409" s="123"/>
      <c r="P409" s="123"/>
      <c r="Q409" s="123"/>
      <c r="R409" s="123"/>
      <c r="S409" s="123"/>
      <c r="T409" s="123"/>
      <c r="U409" s="123"/>
      <c r="V409" s="123"/>
      <c r="W409" s="123"/>
      <c r="X409" s="123"/>
      <c r="Y409" s="123"/>
    </row>
    <row r="410" spans="2:25" s="235" customFormat="1" ht="13.8">
      <c r="B410" s="307"/>
      <c r="C410" s="307"/>
      <c r="D410" s="307"/>
      <c r="E410" s="307"/>
      <c r="F410" s="307"/>
      <c r="L410" s="123"/>
      <c r="M410" s="123"/>
      <c r="N410" s="123"/>
      <c r="O410" s="123"/>
      <c r="P410" s="123"/>
      <c r="Q410" s="123"/>
      <c r="R410" s="123"/>
      <c r="S410" s="123"/>
      <c r="T410" s="123"/>
      <c r="U410" s="123"/>
      <c r="V410" s="123"/>
      <c r="W410" s="123"/>
      <c r="X410" s="123"/>
      <c r="Y410" s="123"/>
    </row>
    <row r="411" spans="2:25" s="235" customFormat="1" ht="13.8">
      <c r="B411" s="307"/>
      <c r="C411" s="307"/>
      <c r="D411" s="307"/>
      <c r="E411" s="307"/>
      <c r="F411" s="307"/>
      <c r="L411" s="123"/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23"/>
    </row>
    <row r="412" spans="2:25" s="235" customFormat="1" ht="13.8">
      <c r="B412" s="307"/>
      <c r="C412" s="307"/>
      <c r="D412" s="307"/>
      <c r="E412" s="307"/>
      <c r="F412" s="307"/>
      <c r="L412" s="123"/>
      <c r="M412" s="123"/>
      <c r="N412" s="123"/>
      <c r="O412" s="123"/>
      <c r="P412" s="123"/>
      <c r="Q412" s="123"/>
      <c r="R412" s="123"/>
      <c r="S412" s="123"/>
      <c r="T412" s="123"/>
      <c r="U412" s="123"/>
      <c r="V412" s="123"/>
      <c r="W412" s="123"/>
      <c r="X412" s="123"/>
      <c r="Y412" s="123"/>
    </row>
    <row r="413" spans="2:25" s="235" customFormat="1" ht="13.8">
      <c r="B413" s="307"/>
      <c r="C413" s="307"/>
      <c r="D413" s="307"/>
      <c r="E413" s="307"/>
      <c r="F413" s="307"/>
      <c r="L413" s="123"/>
      <c r="M413" s="123"/>
      <c r="N413" s="123"/>
      <c r="O413" s="123"/>
      <c r="P413" s="123"/>
      <c r="Q413" s="123"/>
      <c r="R413" s="123"/>
      <c r="S413" s="123"/>
      <c r="T413" s="123"/>
      <c r="U413" s="123"/>
      <c r="V413" s="123"/>
      <c r="W413" s="123"/>
      <c r="X413" s="123"/>
      <c r="Y413" s="123"/>
    </row>
    <row r="414" spans="2:25" s="235" customFormat="1" ht="13.8">
      <c r="B414" s="307"/>
      <c r="C414" s="307"/>
      <c r="D414" s="307"/>
      <c r="E414" s="307"/>
      <c r="F414" s="307"/>
      <c r="L414" s="123"/>
      <c r="M414" s="123"/>
      <c r="N414" s="123"/>
      <c r="O414" s="123"/>
      <c r="P414" s="123"/>
      <c r="Q414" s="123"/>
      <c r="R414" s="123"/>
      <c r="S414" s="123"/>
      <c r="T414" s="123"/>
      <c r="U414" s="123"/>
      <c r="V414" s="123"/>
      <c r="W414" s="123"/>
      <c r="X414" s="123"/>
      <c r="Y414" s="123"/>
    </row>
    <row r="415" spans="2:25" s="235" customFormat="1" ht="13.8">
      <c r="B415" s="307"/>
      <c r="C415" s="307"/>
      <c r="D415" s="307"/>
      <c r="E415" s="307"/>
      <c r="F415" s="307"/>
      <c r="L415" s="123"/>
      <c r="M415" s="123"/>
      <c r="N415" s="123"/>
      <c r="O415" s="123"/>
      <c r="P415" s="123"/>
      <c r="Q415" s="123"/>
      <c r="R415" s="123"/>
      <c r="S415" s="123"/>
      <c r="T415" s="123"/>
      <c r="U415" s="123"/>
      <c r="V415" s="123"/>
      <c r="W415" s="123"/>
      <c r="X415" s="123"/>
      <c r="Y415" s="123"/>
    </row>
    <row r="416" spans="2:25" s="235" customFormat="1" ht="13.8">
      <c r="B416" s="307"/>
      <c r="C416" s="307"/>
      <c r="D416" s="307"/>
      <c r="E416" s="307"/>
      <c r="F416" s="307"/>
      <c r="L416" s="123"/>
      <c r="M416" s="123"/>
      <c r="N416" s="123"/>
      <c r="O416" s="123"/>
      <c r="P416" s="123"/>
      <c r="Q416" s="123"/>
      <c r="R416" s="123"/>
      <c r="S416" s="123"/>
      <c r="T416" s="123"/>
      <c r="U416" s="123"/>
      <c r="V416" s="123"/>
      <c r="W416" s="123"/>
      <c r="X416" s="123"/>
      <c r="Y416" s="123"/>
    </row>
    <row r="417" spans="2:25" s="235" customFormat="1" ht="13.8">
      <c r="B417" s="307"/>
      <c r="C417" s="307"/>
      <c r="D417" s="307"/>
      <c r="E417" s="307"/>
      <c r="F417" s="307"/>
      <c r="L417" s="123"/>
      <c r="M417" s="123"/>
      <c r="N417" s="123"/>
      <c r="O417" s="123"/>
      <c r="P417" s="123"/>
      <c r="Q417" s="123"/>
      <c r="R417" s="123"/>
      <c r="S417" s="123"/>
      <c r="T417" s="123"/>
      <c r="U417" s="123"/>
      <c r="V417" s="123"/>
      <c r="W417" s="123"/>
      <c r="X417" s="123"/>
      <c r="Y417" s="123"/>
    </row>
    <row r="418" spans="2:25" s="235" customFormat="1" ht="13.8">
      <c r="B418" s="307"/>
      <c r="C418" s="307"/>
      <c r="D418" s="307"/>
      <c r="E418" s="307"/>
      <c r="F418" s="307"/>
      <c r="L418" s="123"/>
      <c r="M418" s="123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23"/>
    </row>
    <row r="419" spans="2:25" s="235" customFormat="1" ht="13.8">
      <c r="B419" s="307"/>
      <c r="C419" s="307"/>
      <c r="D419" s="307"/>
      <c r="E419" s="307"/>
      <c r="F419" s="307"/>
      <c r="L419" s="123"/>
      <c r="M419" s="123"/>
      <c r="N419" s="123"/>
      <c r="O419" s="123"/>
      <c r="P419" s="123"/>
      <c r="Q419" s="123"/>
      <c r="R419" s="123"/>
      <c r="S419" s="123"/>
      <c r="T419" s="123"/>
      <c r="U419" s="123"/>
      <c r="V419" s="123"/>
      <c r="W419" s="123"/>
      <c r="X419" s="123"/>
      <c r="Y419" s="123"/>
    </row>
    <row r="420" spans="2:25" s="235" customFormat="1" ht="13.8">
      <c r="B420" s="307"/>
      <c r="C420" s="307"/>
      <c r="D420" s="307"/>
      <c r="E420" s="307"/>
      <c r="F420" s="307"/>
      <c r="L420" s="123"/>
      <c r="M420" s="123"/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23"/>
    </row>
    <row r="421" spans="2:25" s="235" customFormat="1" ht="13.8">
      <c r="B421" s="307"/>
      <c r="C421" s="307"/>
      <c r="D421" s="307"/>
      <c r="E421" s="307"/>
      <c r="F421" s="307"/>
      <c r="L421" s="123"/>
      <c r="M421" s="123"/>
      <c r="N421" s="123"/>
      <c r="O421" s="123"/>
      <c r="P421" s="123"/>
      <c r="Q421" s="123"/>
      <c r="R421" s="123"/>
      <c r="S421" s="123"/>
      <c r="T421" s="123"/>
      <c r="U421" s="123"/>
      <c r="V421" s="123"/>
      <c r="W421" s="123"/>
      <c r="X421" s="123"/>
      <c r="Y421" s="123"/>
    </row>
    <row r="422" spans="2:25" s="235" customFormat="1" ht="13.8">
      <c r="B422" s="307"/>
      <c r="C422" s="307"/>
      <c r="D422" s="307"/>
      <c r="E422" s="307"/>
      <c r="F422" s="307"/>
      <c r="L422" s="123"/>
      <c r="M422" s="123"/>
      <c r="N422" s="123"/>
      <c r="O422" s="123"/>
      <c r="P422" s="123"/>
      <c r="Q422" s="123"/>
      <c r="R422" s="123"/>
      <c r="S422" s="123"/>
      <c r="T422" s="123"/>
      <c r="U422" s="123"/>
      <c r="V422" s="123"/>
      <c r="W422" s="123"/>
      <c r="X422" s="123"/>
      <c r="Y422" s="123"/>
    </row>
    <row r="423" spans="2:25" s="235" customFormat="1" ht="13.8">
      <c r="B423" s="307"/>
      <c r="C423" s="307"/>
      <c r="D423" s="307"/>
      <c r="E423" s="307"/>
      <c r="F423" s="307"/>
      <c r="L423" s="123"/>
      <c r="M423" s="123"/>
      <c r="N423" s="123"/>
      <c r="O423" s="123"/>
      <c r="P423" s="123"/>
      <c r="Q423" s="123"/>
      <c r="R423" s="123"/>
      <c r="S423" s="123"/>
      <c r="T423" s="123"/>
      <c r="U423" s="123"/>
      <c r="V423" s="123"/>
      <c r="W423" s="123"/>
      <c r="X423" s="123"/>
      <c r="Y423" s="123"/>
    </row>
    <row r="424" spans="2:25" s="235" customFormat="1" ht="13.8">
      <c r="B424" s="307"/>
      <c r="C424" s="307"/>
      <c r="D424" s="307"/>
      <c r="E424" s="307"/>
      <c r="F424" s="307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</row>
    <row r="425" spans="2:25" s="235" customFormat="1" ht="13.8">
      <c r="B425" s="307"/>
      <c r="C425" s="307"/>
      <c r="D425" s="307"/>
      <c r="E425" s="307"/>
      <c r="F425" s="307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</row>
    <row r="426" spans="2:25" s="235" customFormat="1" ht="13.8">
      <c r="B426" s="307"/>
      <c r="C426" s="307"/>
      <c r="D426" s="307"/>
      <c r="E426" s="307"/>
      <c r="F426" s="307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</row>
    <row r="427" spans="2:25" s="235" customFormat="1" ht="13.8">
      <c r="B427" s="307"/>
      <c r="C427" s="307"/>
      <c r="D427" s="307"/>
      <c r="E427" s="307"/>
      <c r="F427" s="307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</row>
    <row r="428" spans="2:25" s="235" customFormat="1" ht="13.8">
      <c r="B428" s="307"/>
      <c r="C428" s="307"/>
      <c r="D428" s="307"/>
      <c r="E428" s="307"/>
      <c r="F428" s="307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</row>
    <row r="429" spans="2:25" s="235" customFormat="1" ht="13.8">
      <c r="B429" s="307"/>
      <c r="C429" s="307"/>
      <c r="D429" s="307"/>
      <c r="E429" s="307"/>
      <c r="F429" s="307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</row>
    <row r="430" spans="2:25" s="235" customFormat="1" ht="13.8">
      <c r="B430" s="307"/>
      <c r="C430" s="307"/>
      <c r="D430" s="307"/>
      <c r="E430" s="307"/>
      <c r="F430" s="307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</row>
    <row r="431" spans="2:25" s="235" customFormat="1" ht="13.8">
      <c r="B431" s="307"/>
      <c r="C431" s="307"/>
      <c r="D431" s="307"/>
      <c r="E431" s="307"/>
      <c r="F431" s="307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</row>
    <row r="432" spans="2:25" s="235" customFormat="1" ht="13.8">
      <c r="B432" s="307"/>
      <c r="C432" s="307"/>
      <c r="D432" s="307"/>
      <c r="E432" s="307"/>
      <c r="F432" s="307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</row>
    <row r="433" spans="2:25" s="235" customFormat="1" ht="13.8">
      <c r="B433" s="307"/>
      <c r="C433" s="307"/>
      <c r="D433" s="307"/>
      <c r="E433" s="307"/>
      <c r="F433" s="307"/>
      <c r="L433" s="123"/>
      <c r="M433" s="123"/>
      <c r="N433" s="123"/>
      <c r="O433" s="123"/>
      <c r="P433" s="123"/>
      <c r="Q433" s="123"/>
      <c r="R433" s="123"/>
      <c r="S433" s="123"/>
      <c r="T433" s="123"/>
      <c r="U433" s="123"/>
      <c r="V433" s="123"/>
      <c r="W433" s="123"/>
      <c r="X433" s="123"/>
      <c r="Y433" s="123"/>
    </row>
    <row r="434" spans="2:25" s="235" customFormat="1" ht="13.8">
      <c r="B434" s="307"/>
      <c r="C434" s="307"/>
      <c r="D434" s="307"/>
      <c r="E434" s="307"/>
      <c r="F434" s="307"/>
      <c r="L434" s="123"/>
      <c r="M434" s="123"/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23"/>
    </row>
    <row r="435" spans="2:25" s="235" customFormat="1" ht="13.8">
      <c r="B435" s="307"/>
      <c r="C435" s="307"/>
      <c r="D435" s="307"/>
      <c r="E435" s="307"/>
      <c r="F435" s="307"/>
      <c r="L435" s="123"/>
      <c r="M435" s="123"/>
      <c r="N435" s="123"/>
      <c r="O435" s="123"/>
      <c r="P435" s="123"/>
      <c r="Q435" s="123"/>
      <c r="R435" s="123"/>
      <c r="S435" s="123"/>
      <c r="T435" s="123"/>
      <c r="U435" s="123"/>
      <c r="V435" s="123"/>
      <c r="W435" s="123"/>
      <c r="X435" s="123"/>
      <c r="Y435" s="123"/>
    </row>
    <row r="436" spans="2:25" s="235" customFormat="1" ht="13.8">
      <c r="B436" s="307"/>
      <c r="C436" s="307"/>
      <c r="D436" s="307"/>
      <c r="E436" s="307"/>
      <c r="F436" s="307"/>
      <c r="L436" s="123"/>
      <c r="M436" s="123"/>
      <c r="N436" s="123"/>
      <c r="O436" s="123"/>
      <c r="P436" s="123"/>
      <c r="Q436" s="123"/>
      <c r="R436" s="123"/>
      <c r="S436" s="123"/>
      <c r="T436" s="123"/>
      <c r="U436" s="123"/>
      <c r="V436" s="123"/>
      <c r="W436" s="123"/>
      <c r="X436" s="123"/>
      <c r="Y436" s="123"/>
    </row>
    <row r="437" spans="2:25" s="235" customFormat="1" ht="13.8">
      <c r="B437" s="307"/>
      <c r="C437" s="307"/>
      <c r="D437" s="307"/>
      <c r="E437" s="307"/>
      <c r="F437" s="307"/>
      <c r="L437" s="123"/>
      <c r="M437" s="123"/>
      <c r="N437" s="123"/>
      <c r="O437" s="123"/>
      <c r="P437" s="123"/>
      <c r="Q437" s="123"/>
      <c r="R437" s="123"/>
      <c r="S437" s="123"/>
      <c r="T437" s="123"/>
      <c r="U437" s="123"/>
      <c r="V437" s="123"/>
      <c r="W437" s="123"/>
      <c r="X437" s="123"/>
      <c r="Y437" s="123"/>
    </row>
    <row r="438" spans="2:25" s="235" customFormat="1" ht="13.8">
      <c r="B438" s="307"/>
      <c r="C438" s="307"/>
      <c r="D438" s="307"/>
      <c r="E438" s="307"/>
      <c r="F438" s="307"/>
      <c r="L438" s="123"/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123"/>
    </row>
    <row r="439" spans="2:25" s="235" customFormat="1" ht="13.8">
      <c r="B439" s="307"/>
      <c r="C439" s="307"/>
      <c r="D439" s="307"/>
      <c r="E439" s="307"/>
      <c r="F439" s="307"/>
      <c r="L439" s="123"/>
      <c r="M439" s="123"/>
      <c r="N439" s="123"/>
      <c r="O439" s="123"/>
      <c r="P439" s="123"/>
      <c r="Q439" s="123"/>
      <c r="R439" s="123"/>
      <c r="S439" s="123"/>
      <c r="T439" s="123"/>
      <c r="U439" s="123"/>
      <c r="V439" s="123"/>
      <c r="W439" s="123"/>
      <c r="X439" s="123"/>
      <c r="Y439" s="123"/>
    </row>
    <row r="440" spans="2:25" s="235" customFormat="1" ht="13.8">
      <c r="B440" s="307"/>
      <c r="C440" s="307"/>
      <c r="D440" s="307"/>
      <c r="E440" s="307"/>
      <c r="F440" s="307"/>
      <c r="L440" s="123"/>
      <c r="M440" s="123"/>
      <c r="N440" s="123"/>
      <c r="O440" s="123"/>
      <c r="P440" s="123"/>
      <c r="Q440" s="123"/>
      <c r="R440" s="123"/>
      <c r="S440" s="123"/>
      <c r="T440" s="123"/>
      <c r="U440" s="123"/>
      <c r="V440" s="123"/>
      <c r="W440" s="123"/>
      <c r="X440" s="123"/>
      <c r="Y440" s="123"/>
    </row>
    <row r="441" spans="2:25" s="235" customFormat="1" ht="13.8">
      <c r="B441" s="307"/>
      <c r="C441" s="307"/>
      <c r="D441" s="307"/>
      <c r="E441" s="307"/>
      <c r="F441" s="307"/>
      <c r="L441" s="123"/>
      <c r="M441" s="123"/>
      <c r="N441" s="123"/>
      <c r="O441" s="123"/>
      <c r="P441" s="123"/>
      <c r="Q441" s="123"/>
      <c r="R441" s="123"/>
      <c r="S441" s="123"/>
      <c r="T441" s="123"/>
      <c r="U441" s="123"/>
      <c r="V441" s="123"/>
      <c r="W441" s="123"/>
      <c r="X441" s="123"/>
      <c r="Y441" s="123"/>
    </row>
    <row r="442" spans="2:25" s="235" customFormat="1" ht="13.8">
      <c r="B442" s="307"/>
      <c r="C442" s="307"/>
      <c r="D442" s="307"/>
      <c r="E442" s="307"/>
      <c r="F442" s="307"/>
      <c r="L442" s="123"/>
      <c r="M442" s="123"/>
      <c r="N442" s="123"/>
      <c r="O442" s="123"/>
      <c r="P442" s="123"/>
      <c r="Q442" s="123"/>
      <c r="R442" s="123"/>
      <c r="S442" s="123"/>
      <c r="T442" s="123"/>
      <c r="U442" s="123"/>
      <c r="V442" s="123"/>
      <c r="W442" s="123"/>
      <c r="X442" s="123"/>
      <c r="Y442" s="123"/>
    </row>
    <row r="443" spans="2:25" s="235" customFormat="1" ht="13.8">
      <c r="B443" s="307"/>
      <c r="C443" s="307"/>
      <c r="D443" s="307"/>
      <c r="E443" s="307"/>
      <c r="F443" s="307"/>
      <c r="L443" s="123"/>
      <c r="M443" s="123"/>
      <c r="N443" s="123"/>
      <c r="O443" s="123"/>
      <c r="P443" s="123"/>
      <c r="Q443" s="123"/>
      <c r="R443" s="123"/>
      <c r="S443" s="123"/>
      <c r="T443" s="123"/>
      <c r="U443" s="123"/>
      <c r="V443" s="123"/>
      <c r="W443" s="123"/>
      <c r="X443" s="123"/>
      <c r="Y443" s="123"/>
    </row>
    <row r="444" spans="2:25" s="235" customFormat="1" ht="13.8">
      <c r="B444" s="307"/>
      <c r="C444" s="307"/>
      <c r="D444" s="307"/>
      <c r="E444" s="307"/>
      <c r="F444" s="307"/>
      <c r="L444" s="123"/>
      <c r="M444" s="123"/>
      <c r="N444" s="123"/>
      <c r="O444" s="123"/>
      <c r="P444" s="123"/>
      <c r="Q444" s="123"/>
      <c r="R444" s="123"/>
      <c r="S444" s="123"/>
      <c r="T444" s="123"/>
      <c r="U444" s="123"/>
      <c r="V444" s="123"/>
      <c r="W444" s="123"/>
      <c r="X444" s="123"/>
      <c r="Y444" s="123"/>
    </row>
    <row r="445" spans="2:25" s="235" customFormat="1" ht="13.8">
      <c r="B445" s="307"/>
      <c r="C445" s="307"/>
      <c r="D445" s="307"/>
      <c r="E445" s="307"/>
      <c r="F445" s="307"/>
      <c r="L445" s="123"/>
      <c r="M445" s="123"/>
      <c r="N445" s="123"/>
      <c r="O445" s="123"/>
      <c r="P445" s="123"/>
      <c r="Q445" s="123"/>
      <c r="R445" s="123"/>
      <c r="S445" s="123"/>
      <c r="T445" s="123"/>
      <c r="U445" s="123"/>
      <c r="V445" s="123"/>
      <c r="W445" s="123"/>
      <c r="X445" s="123"/>
      <c r="Y445" s="123"/>
    </row>
    <row r="446" spans="2:25" s="235" customFormat="1" ht="13.8">
      <c r="B446" s="307"/>
      <c r="C446" s="307"/>
      <c r="D446" s="307"/>
      <c r="E446" s="307"/>
      <c r="F446" s="307"/>
      <c r="L446" s="123"/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  <c r="Y446" s="123"/>
    </row>
    <row r="447" spans="2:25" s="235" customFormat="1" ht="13.8">
      <c r="B447" s="307"/>
      <c r="C447" s="307"/>
      <c r="D447" s="307"/>
      <c r="E447" s="307"/>
      <c r="F447" s="307"/>
      <c r="L447" s="123"/>
      <c r="M447" s="123"/>
      <c r="N447" s="123"/>
      <c r="O447" s="123"/>
      <c r="P447" s="123"/>
      <c r="Q447" s="123"/>
      <c r="R447" s="123"/>
      <c r="S447" s="123"/>
      <c r="T447" s="123"/>
      <c r="U447" s="123"/>
      <c r="V447" s="123"/>
      <c r="W447" s="123"/>
      <c r="X447" s="123"/>
      <c r="Y447" s="123"/>
    </row>
    <row r="448" spans="2:25" s="235" customFormat="1" ht="13.8">
      <c r="B448" s="307"/>
      <c r="C448" s="307"/>
      <c r="D448" s="307"/>
      <c r="E448" s="307"/>
      <c r="F448" s="307"/>
      <c r="L448" s="123"/>
      <c r="M448" s="123"/>
      <c r="N448" s="123"/>
      <c r="O448" s="123"/>
      <c r="P448" s="123"/>
      <c r="Q448" s="123"/>
      <c r="R448" s="123"/>
      <c r="S448" s="123"/>
      <c r="T448" s="123"/>
      <c r="U448" s="123"/>
      <c r="V448" s="123"/>
      <c r="W448" s="123"/>
      <c r="X448" s="123"/>
      <c r="Y448" s="123"/>
    </row>
    <row r="449" spans="2:25" s="235" customFormat="1" ht="13.8">
      <c r="B449" s="307"/>
      <c r="C449" s="307"/>
      <c r="D449" s="307"/>
      <c r="E449" s="307"/>
      <c r="F449" s="307"/>
      <c r="L449" s="123"/>
      <c r="M449" s="12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23"/>
    </row>
    <row r="450" spans="2:25" s="235" customFormat="1" ht="13.8">
      <c r="B450" s="307"/>
      <c r="C450" s="307"/>
      <c r="D450" s="307"/>
      <c r="E450" s="307"/>
      <c r="F450" s="307"/>
      <c r="L450" s="123"/>
      <c r="M450" s="123"/>
      <c r="N450" s="123"/>
      <c r="O450" s="123"/>
      <c r="P450" s="123"/>
      <c r="Q450" s="123"/>
      <c r="R450" s="123"/>
      <c r="S450" s="123"/>
      <c r="T450" s="123"/>
      <c r="U450" s="123"/>
      <c r="V450" s="123"/>
      <c r="W450" s="123"/>
      <c r="X450" s="123"/>
      <c r="Y450" s="123"/>
    </row>
    <row r="451" spans="2:25" s="235" customFormat="1" ht="13.8">
      <c r="B451" s="307"/>
      <c r="C451" s="307"/>
      <c r="D451" s="307"/>
      <c r="E451" s="307"/>
      <c r="F451" s="307"/>
      <c r="L451" s="123"/>
      <c r="M451" s="123"/>
      <c r="N451" s="123"/>
      <c r="O451" s="123"/>
      <c r="P451" s="123"/>
      <c r="Q451" s="123"/>
      <c r="R451" s="123"/>
      <c r="S451" s="123"/>
      <c r="T451" s="123"/>
      <c r="U451" s="123"/>
      <c r="V451" s="123"/>
      <c r="W451" s="123"/>
      <c r="X451" s="123"/>
      <c r="Y451" s="123"/>
    </row>
    <row r="452" spans="2:25" s="235" customFormat="1" ht="13.8">
      <c r="B452" s="307"/>
      <c r="C452" s="307"/>
      <c r="D452" s="307"/>
      <c r="E452" s="307"/>
      <c r="F452" s="307"/>
      <c r="L452" s="123"/>
      <c r="M452" s="123"/>
      <c r="N452" s="123"/>
      <c r="O452" s="123"/>
      <c r="P452" s="123"/>
      <c r="Q452" s="123"/>
      <c r="R452" s="123"/>
      <c r="S452" s="123"/>
      <c r="T452" s="123"/>
      <c r="U452" s="123"/>
      <c r="V452" s="123"/>
      <c r="W452" s="123"/>
      <c r="X452" s="123"/>
      <c r="Y452" s="123"/>
    </row>
    <row r="453" spans="2:25" s="235" customFormat="1" ht="13.8">
      <c r="B453" s="307"/>
      <c r="C453" s="307"/>
      <c r="D453" s="307"/>
      <c r="E453" s="307"/>
      <c r="F453" s="307"/>
      <c r="L453" s="123"/>
      <c r="M453" s="123"/>
      <c r="N453" s="123"/>
      <c r="O453" s="123"/>
      <c r="P453" s="123"/>
      <c r="Q453" s="123"/>
      <c r="R453" s="123"/>
      <c r="S453" s="123"/>
      <c r="T453" s="123"/>
      <c r="U453" s="123"/>
      <c r="V453" s="123"/>
      <c r="W453" s="123"/>
      <c r="X453" s="123"/>
      <c r="Y453" s="123"/>
    </row>
    <row r="454" spans="2:25" s="235" customFormat="1" ht="13.8">
      <c r="B454" s="307"/>
      <c r="C454" s="307"/>
      <c r="D454" s="307"/>
      <c r="E454" s="307"/>
      <c r="F454" s="307"/>
      <c r="L454" s="123"/>
      <c r="M454" s="123"/>
      <c r="N454" s="123"/>
      <c r="O454" s="123"/>
      <c r="P454" s="123"/>
      <c r="Q454" s="123"/>
      <c r="R454" s="123"/>
      <c r="S454" s="123"/>
      <c r="T454" s="123"/>
      <c r="U454" s="123"/>
      <c r="V454" s="123"/>
      <c r="W454" s="123"/>
      <c r="X454" s="123"/>
      <c r="Y454" s="123"/>
    </row>
    <row r="455" spans="2:25" s="235" customFormat="1" ht="13.8">
      <c r="B455" s="307"/>
      <c r="C455" s="307"/>
      <c r="D455" s="307"/>
      <c r="E455" s="307"/>
      <c r="F455" s="307"/>
      <c r="L455" s="123"/>
      <c r="M455" s="123"/>
      <c r="N455" s="123"/>
      <c r="O455" s="123"/>
      <c r="P455" s="123"/>
      <c r="Q455" s="123"/>
      <c r="R455" s="123"/>
      <c r="S455" s="123"/>
      <c r="T455" s="123"/>
      <c r="U455" s="123"/>
      <c r="V455" s="123"/>
      <c r="W455" s="123"/>
      <c r="X455" s="123"/>
      <c r="Y455" s="123"/>
    </row>
    <row r="456" spans="2:25" s="235" customFormat="1" ht="13.8">
      <c r="B456" s="307"/>
      <c r="C456" s="307"/>
      <c r="D456" s="307"/>
      <c r="E456" s="307"/>
      <c r="F456" s="307"/>
      <c r="L456" s="123"/>
      <c r="M456" s="123"/>
      <c r="N456" s="123"/>
      <c r="O456" s="123"/>
      <c r="P456" s="123"/>
      <c r="Q456" s="123"/>
      <c r="R456" s="123"/>
      <c r="S456" s="123"/>
      <c r="T456" s="123"/>
      <c r="U456" s="123"/>
      <c r="V456" s="123"/>
      <c r="W456" s="123"/>
      <c r="X456" s="123"/>
      <c r="Y456" s="123"/>
    </row>
    <row r="457" spans="2:25" s="235" customFormat="1" ht="13.8">
      <c r="B457" s="307"/>
      <c r="C457" s="307"/>
      <c r="D457" s="307"/>
      <c r="E457" s="307"/>
      <c r="F457" s="307"/>
      <c r="L457" s="123"/>
      <c r="M457" s="123"/>
      <c r="N457" s="123"/>
      <c r="O457" s="123"/>
      <c r="P457" s="123"/>
      <c r="Q457" s="123"/>
      <c r="R457" s="123"/>
      <c r="S457" s="123"/>
      <c r="T457" s="123"/>
      <c r="U457" s="123"/>
      <c r="V457" s="123"/>
      <c r="W457" s="123"/>
      <c r="X457" s="123"/>
      <c r="Y457" s="123"/>
    </row>
    <row r="458" spans="2:25" s="235" customFormat="1" ht="13.8">
      <c r="B458" s="307"/>
      <c r="C458" s="307"/>
      <c r="D458" s="307"/>
      <c r="E458" s="307"/>
      <c r="F458" s="307"/>
      <c r="L458" s="123"/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23"/>
    </row>
    <row r="459" spans="2:25" s="235" customFormat="1" ht="13.8">
      <c r="B459" s="307"/>
      <c r="C459" s="307"/>
      <c r="D459" s="307"/>
      <c r="E459" s="307"/>
      <c r="F459" s="307"/>
      <c r="L459" s="123"/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23"/>
    </row>
    <row r="460" spans="2:25" s="235" customFormat="1" ht="13.8">
      <c r="B460" s="307"/>
      <c r="C460" s="307"/>
      <c r="D460" s="307"/>
      <c r="E460" s="307"/>
      <c r="F460" s="307"/>
      <c r="L460" s="123"/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23"/>
    </row>
    <row r="461" spans="2:25" s="235" customFormat="1" ht="13.8">
      <c r="B461" s="307"/>
      <c r="C461" s="307"/>
      <c r="D461" s="307"/>
      <c r="E461" s="307"/>
      <c r="F461" s="307"/>
      <c r="L461" s="123"/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23"/>
    </row>
    <row r="462" spans="2:25" s="235" customFormat="1" ht="13.8">
      <c r="B462" s="307"/>
      <c r="C462" s="307"/>
      <c r="D462" s="307"/>
      <c r="E462" s="307"/>
      <c r="F462" s="307"/>
      <c r="L462" s="123"/>
      <c r="M462" s="123"/>
      <c r="N462" s="123"/>
      <c r="O462" s="123"/>
      <c r="P462" s="123"/>
      <c r="Q462" s="123"/>
      <c r="R462" s="123"/>
      <c r="S462" s="123"/>
      <c r="T462" s="123"/>
      <c r="U462" s="123"/>
      <c r="V462" s="123"/>
      <c r="W462" s="123"/>
      <c r="X462" s="123"/>
      <c r="Y462" s="123"/>
    </row>
    <row r="463" spans="2:25" s="235" customFormat="1" ht="13.8">
      <c r="B463" s="307"/>
      <c r="C463" s="307"/>
      <c r="D463" s="307"/>
      <c r="E463" s="307"/>
      <c r="F463" s="307"/>
      <c r="L463" s="123"/>
      <c r="M463" s="123"/>
      <c r="N463" s="123"/>
      <c r="O463" s="123"/>
      <c r="P463" s="123"/>
      <c r="Q463" s="123"/>
      <c r="R463" s="123"/>
      <c r="S463" s="123"/>
      <c r="T463" s="123"/>
      <c r="U463" s="123"/>
      <c r="V463" s="123"/>
      <c r="W463" s="123"/>
      <c r="X463" s="123"/>
      <c r="Y463" s="123"/>
    </row>
    <row r="464" spans="2:25" s="235" customFormat="1" ht="13.8">
      <c r="B464" s="307"/>
      <c r="C464" s="307"/>
      <c r="D464" s="307"/>
      <c r="E464" s="307"/>
      <c r="F464" s="307"/>
      <c r="L464" s="123"/>
      <c r="M464" s="123"/>
      <c r="N464" s="123"/>
      <c r="O464" s="123"/>
      <c r="P464" s="123"/>
      <c r="Q464" s="123"/>
      <c r="R464" s="123"/>
      <c r="S464" s="123"/>
      <c r="T464" s="123"/>
      <c r="U464" s="123"/>
      <c r="V464" s="123"/>
      <c r="W464" s="123"/>
      <c r="X464" s="123"/>
      <c r="Y464" s="123"/>
    </row>
    <row r="465" spans="2:25" s="235" customFormat="1" ht="13.8">
      <c r="B465" s="307"/>
      <c r="C465" s="307"/>
      <c r="D465" s="307"/>
      <c r="E465" s="307"/>
      <c r="F465" s="307"/>
      <c r="L465" s="123"/>
      <c r="M465" s="123"/>
      <c r="N465" s="123"/>
      <c r="O465" s="123"/>
      <c r="P465" s="123"/>
      <c r="Q465" s="123"/>
      <c r="R465" s="123"/>
      <c r="S465" s="123"/>
      <c r="T465" s="123"/>
      <c r="U465" s="123"/>
      <c r="V465" s="123"/>
      <c r="W465" s="123"/>
      <c r="X465" s="123"/>
      <c r="Y465" s="123"/>
    </row>
    <row r="466" spans="2:25" s="235" customFormat="1" ht="13.8">
      <c r="B466" s="307"/>
      <c r="C466" s="307"/>
      <c r="D466" s="307"/>
      <c r="E466" s="307"/>
      <c r="F466" s="307"/>
      <c r="L466" s="123"/>
      <c r="M466" s="123"/>
      <c r="N466" s="123"/>
      <c r="O466" s="123"/>
      <c r="P466" s="123"/>
      <c r="Q466" s="123"/>
      <c r="R466" s="123"/>
      <c r="S466" s="123"/>
      <c r="T466" s="123"/>
      <c r="U466" s="123"/>
      <c r="V466" s="123"/>
      <c r="W466" s="123"/>
      <c r="X466" s="123"/>
      <c r="Y466" s="123"/>
    </row>
    <row r="467" spans="2:25" s="235" customFormat="1" ht="13.8">
      <c r="B467" s="307"/>
      <c r="C467" s="307"/>
      <c r="D467" s="307"/>
      <c r="E467" s="307"/>
      <c r="F467" s="307"/>
      <c r="L467" s="123"/>
      <c r="M467" s="123"/>
      <c r="N467" s="123"/>
      <c r="O467" s="123"/>
      <c r="P467" s="123"/>
      <c r="Q467" s="123"/>
      <c r="R467" s="123"/>
      <c r="S467" s="123"/>
      <c r="T467" s="123"/>
      <c r="U467" s="123"/>
      <c r="V467" s="123"/>
      <c r="W467" s="123"/>
      <c r="X467" s="123"/>
      <c r="Y467" s="123"/>
    </row>
    <row r="468" spans="2:25" s="235" customFormat="1" ht="13.8">
      <c r="B468" s="307"/>
      <c r="C468" s="307"/>
      <c r="D468" s="307"/>
      <c r="E468" s="307"/>
      <c r="F468" s="307"/>
      <c r="L468" s="123"/>
      <c r="M468" s="123"/>
      <c r="N468" s="123"/>
      <c r="O468" s="123"/>
      <c r="P468" s="123"/>
      <c r="Q468" s="123"/>
      <c r="R468" s="123"/>
      <c r="S468" s="123"/>
      <c r="T468" s="123"/>
      <c r="U468" s="123"/>
      <c r="V468" s="123"/>
      <c r="W468" s="123"/>
      <c r="X468" s="123"/>
      <c r="Y468" s="123"/>
    </row>
    <row r="469" spans="2:25" s="235" customFormat="1" ht="13.8">
      <c r="B469" s="307"/>
      <c r="C469" s="307"/>
      <c r="D469" s="307"/>
      <c r="E469" s="307"/>
      <c r="F469" s="307"/>
      <c r="L469" s="123"/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23"/>
    </row>
    <row r="470" spans="2:25" s="235" customFormat="1" ht="13.8">
      <c r="B470" s="307"/>
      <c r="C470" s="307"/>
      <c r="D470" s="307"/>
      <c r="E470" s="307"/>
      <c r="F470" s="307"/>
      <c r="L470" s="123"/>
      <c r="M470" s="123"/>
      <c r="N470" s="123"/>
      <c r="O470" s="123"/>
      <c r="P470" s="123"/>
      <c r="Q470" s="123"/>
      <c r="R470" s="123"/>
      <c r="S470" s="123"/>
      <c r="T470" s="123"/>
      <c r="U470" s="123"/>
      <c r="V470" s="123"/>
      <c r="W470" s="123"/>
      <c r="X470" s="123"/>
      <c r="Y470" s="123"/>
    </row>
    <row r="471" spans="2:25" s="235" customFormat="1" ht="13.8">
      <c r="B471" s="307"/>
      <c r="C471" s="307"/>
      <c r="D471" s="307"/>
      <c r="E471" s="307"/>
      <c r="F471" s="307"/>
      <c r="L471" s="123"/>
      <c r="M471" s="123"/>
      <c r="N471" s="123"/>
      <c r="O471" s="123"/>
      <c r="P471" s="123"/>
      <c r="Q471" s="123"/>
      <c r="R471" s="123"/>
      <c r="S471" s="123"/>
      <c r="T471" s="123"/>
      <c r="U471" s="123"/>
      <c r="V471" s="123"/>
      <c r="W471" s="123"/>
      <c r="X471" s="123"/>
      <c r="Y471" s="123"/>
    </row>
    <row r="472" spans="2:25" s="235" customFormat="1" ht="13.8">
      <c r="B472" s="307"/>
      <c r="C472" s="307"/>
      <c r="D472" s="307"/>
      <c r="E472" s="307"/>
      <c r="F472" s="307"/>
      <c r="L472" s="123"/>
      <c r="M472" s="123"/>
      <c r="N472" s="123"/>
      <c r="O472" s="123"/>
      <c r="P472" s="123"/>
      <c r="Q472" s="123"/>
      <c r="R472" s="123"/>
      <c r="S472" s="123"/>
      <c r="T472" s="123"/>
      <c r="U472" s="123"/>
      <c r="V472" s="123"/>
      <c r="W472" s="123"/>
      <c r="X472" s="123"/>
      <c r="Y472" s="123"/>
    </row>
    <row r="473" spans="2:25" s="235" customFormat="1" ht="13.8">
      <c r="B473" s="307"/>
      <c r="C473" s="307"/>
      <c r="D473" s="307"/>
      <c r="E473" s="307"/>
      <c r="F473" s="307"/>
      <c r="L473" s="123"/>
      <c r="M473" s="123"/>
      <c r="N473" s="123"/>
      <c r="O473" s="123"/>
      <c r="P473" s="123"/>
      <c r="Q473" s="123"/>
      <c r="R473" s="123"/>
      <c r="S473" s="123"/>
      <c r="T473" s="123"/>
      <c r="U473" s="123"/>
      <c r="V473" s="123"/>
      <c r="W473" s="123"/>
      <c r="X473" s="123"/>
      <c r="Y473" s="123"/>
    </row>
    <row r="474" spans="2:25" s="235" customFormat="1" ht="13.8">
      <c r="B474" s="307"/>
      <c r="C474" s="307"/>
      <c r="D474" s="307"/>
      <c r="E474" s="307"/>
      <c r="F474" s="307"/>
      <c r="L474" s="123"/>
      <c r="M474" s="123"/>
      <c r="N474" s="123"/>
      <c r="O474" s="123"/>
      <c r="P474" s="123"/>
      <c r="Q474" s="123"/>
      <c r="R474" s="123"/>
      <c r="S474" s="123"/>
      <c r="T474" s="123"/>
      <c r="U474" s="123"/>
      <c r="V474" s="123"/>
      <c r="W474" s="123"/>
      <c r="X474" s="123"/>
      <c r="Y474" s="123"/>
    </row>
    <row r="475" spans="2:25" s="235" customFormat="1" ht="13.8">
      <c r="B475" s="307"/>
      <c r="C475" s="307"/>
      <c r="D475" s="307"/>
      <c r="E475" s="307"/>
      <c r="F475" s="307"/>
      <c r="L475" s="123"/>
      <c r="M475" s="123"/>
      <c r="N475" s="123"/>
      <c r="O475" s="123"/>
      <c r="P475" s="123"/>
      <c r="Q475" s="123"/>
      <c r="R475" s="123"/>
      <c r="S475" s="123"/>
      <c r="T475" s="123"/>
      <c r="U475" s="123"/>
      <c r="V475" s="123"/>
      <c r="W475" s="123"/>
      <c r="X475" s="123"/>
      <c r="Y475" s="123"/>
    </row>
    <row r="476" spans="2:25" s="235" customFormat="1" ht="13.8">
      <c r="B476" s="307"/>
      <c r="C476" s="307"/>
      <c r="D476" s="307"/>
      <c r="E476" s="307"/>
      <c r="F476" s="307"/>
      <c r="L476" s="123"/>
      <c r="M476" s="123"/>
      <c r="N476" s="123"/>
      <c r="O476" s="123"/>
      <c r="P476" s="123"/>
      <c r="Q476" s="123"/>
      <c r="R476" s="123"/>
      <c r="S476" s="123"/>
      <c r="T476" s="123"/>
      <c r="U476" s="123"/>
      <c r="V476" s="123"/>
      <c r="W476" s="123"/>
      <c r="X476" s="123"/>
      <c r="Y476" s="123"/>
    </row>
    <row r="477" spans="2:25" s="235" customFormat="1" ht="13.8">
      <c r="B477" s="307"/>
      <c r="C477" s="307"/>
      <c r="D477" s="307"/>
      <c r="E477" s="307"/>
      <c r="F477" s="307"/>
      <c r="L477" s="123"/>
      <c r="M477" s="123"/>
      <c r="N477" s="123"/>
      <c r="O477" s="123"/>
      <c r="P477" s="123"/>
      <c r="Q477" s="123"/>
      <c r="R477" s="123"/>
      <c r="S477" s="123"/>
      <c r="T477" s="123"/>
      <c r="U477" s="123"/>
      <c r="V477" s="123"/>
      <c r="W477" s="123"/>
      <c r="X477" s="123"/>
      <c r="Y477" s="123"/>
    </row>
    <row r="478" spans="2:25" s="235" customFormat="1" ht="13.8">
      <c r="B478" s="307"/>
      <c r="C478" s="307"/>
      <c r="D478" s="307"/>
      <c r="E478" s="307"/>
      <c r="F478" s="307"/>
      <c r="L478" s="123"/>
      <c r="M478" s="123"/>
      <c r="N478" s="123"/>
      <c r="O478" s="123"/>
      <c r="P478" s="123"/>
      <c r="Q478" s="123"/>
      <c r="R478" s="123"/>
      <c r="S478" s="123"/>
      <c r="T478" s="123"/>
      <c r="U478" s="123"/>
      <c r="V478" s="123"/>
      <c r="W478" s="123"/>
      <c r="X478" s="123"/>
      <c r="Y478" s="123"/>
    </row>
    <row r="479" spans="2:25" s="235" customFormat="1" ht="13.8">
      <c r="B479" s="307"/>
      <c r="C479" s="307"/>
      <c r="D479" s="307"/>
      <c r="E479" s="307"/>
      <c r="F479" s="307"/>
      <c r="L479" s="123"/>
      <c r="M479" s="123"/>
      <c r="N479" s="123"/>
      <c r="O479" s="123"/>
      <c r="P479" s="123"/>
      <c r="Q479" s="123"/>
      <c r="R479" s="123"/>
      <c r="S479" s="123"/>
      <c r="T479" s="123"/>
      <c r="U479" s="123"/>
      <c r="V479" s="123"/>
      <c r="W479" s="123"/>
      <c r="X479" s="123"/>
      <c r="Y479" s="123"/>
    </row>
    <row r="480" spans="2:25" s="235" customFormat="1" ht="13.8">
      <c r="B480" s="307"/>
      <c r="C480" s="307"/>
      <c r="D480" s="307"/>
      <c r="E480" s="307"/>
      <c r="F480" s="307"/>
      <c r="L480" s="123"/>
      <c r="M480" s="123"/>
      <c r="N480" s="123"/>
      <c r="O480" s="123"/>
      <c r="P480" s="123"/>
      <c r="Q480" s="123"/>
      <c r="R480" s="123"/>
      <c r="S480" s="123"/>
      <c r="T480" s="123"/>
      <c r="U480" s="123"/>
      <c r="V480" s="123"/>
      <c r="W480" s="123"/>
      <c r="X480" s="123"/>
      <c r="Y480" s="123"/>
    </row>
    <row r="481" spans="2:25" s="235" customFormat="1" ht="13.8">
      <c r="B481" s="307"/>
      <c r="C481" s="307"/>
      <c r="D481" s="307"/>
      <c r="E481" s="307"/>
      <c r="F481" s="307"/>
      <c r="L481" s="123"/>
      <c r="M481" s="123"/>
      <c r="N481" s="123"/>
      <c r="O481" s="123"/>
      <c r="P481" s="123"/>
      <c r="Q481" s="123"/>
      <c r="R481" s="123"/>
      <c r="S481" s="123"/>
      <c r="T481" s="123"/>
      <c r="U481" s="123"/>
      <c r="V481" s="123"/>
      <c r="W481" s="123"/>
      <c r="X481" s="123"/>
      <c r="Y481" s="123"/>
    </row>
    <row r="482" spans="2:25" s="235" customFormat="1" ht="13.8">
      <c r="B482" s="307"/>
      <c r="C482" s="307"/>
      <c r="D482" s="307"/>
      <c r="E482" s="307"/>
      <c r="F482" s="307"/>
      <c r="L482" s="123"/>
      <c r="M482" s="123"/>
      <c r="N482" s="123"/>
      <c r="O482" s="123"/>
      <c r="P482" s="123"/>
      <c r="Q482" s="123"/>
      <c r="R482" s="123"/>
      <c r="S482" s="123"/>
      <c r="T482" s="123"/>
      <c r="U482" s="123"/>
      <c r="V482" s="123"/>
      <c r="W482" s="123"/>
      <c r="X482" s="123"/>
      <c r="Y482" s="123"/>
    </row>
    <row r="483" spans="2:25" s="235" customFormat="1" ht="13.8">
      <c r="B483" s="307"/>
      <c r="C483" s="307"/>
      <c r="D483" s="307"/>
      <c r="E483" s="307"/>
      <c r="F483" s="307"/>
      <c r="L483" s="123"/>
      <c r="M483" s="123"/>
      <c r="N483" s="123"/>
      <c r="O483" s="123"/>
      <c r="P483" s="123"/>
      <c r="Q483" s="123"/>
      <c r="R483" s="123"/>
      <c r="S483" s="123"/>
      <c r="T483" s="123"/>
      <c r="U483" s="123"/>
      <c r="V483" s="123"/>
      <c r="W483" s="123"/>
      <c r="X483" s="123"/>
      <c r="Y483" s="123"/>
    </row>
    <row r="484" spans="2:25" s="235" customFormat="1" ht="13.8">
      <c r="B484" s="307"/>
      <c r="C484" s="307"/>
      <c r="D484" s="307"/>
      <c r="E484" s="307"/>
      <c r="F484" s="307"/>
      <c r="L484" s="123"/>
      <c r="M484" s="123"/>
      <c r="N484" s="123"/>
      <c r="O484" s="123"/>
      <c r="P484" s="123"/>
      <c r="Q484" s="123"/>
      <c r="R484" s="123"/>
      <c r="S484" s="123"/>
      <c r="T484" s="123"/>
      <c r="U484" s="123"/>
      <c r="V484" s="123"/>
      <c r="W484" s="123"/>
      <c r="X484" s="123"/>
      <c r="Y484" s="123"/>
    </row>
    <row r="485" spans="2:25" s="235" customFormat="1" ht="13.8">
      <c r="B485" s="307"/>
      <c r="C485" s="307"/>
      <c r="D485" s="307"/>
      <c r="E485" s="307"/>
      <c r="F485" s="307"/>
      <c r="L485" s="123"/>
      <c r="M485" s="123"/>
      <c r="N485" s="123"/>
      <c r="O485" s="123"/>
      <c r="P485" s="123"/>
      <c r="Q485" s="123"/>
      <c r="R485" s="123"/>
      <c r="S485" s="123"/>
      <c r="T485" s="123"/>
      <c r="U485" s="123"/>
      <c r="V485" s="123"/>
      <c r="W485" s="123"/>
      <c r="X485" s="123"/>
      <c r="Y485" s="123"/>
    </row>
    <row r="486" spans="2:25" s="235" customFormat="1" ht="13.8">
      <c r="B486" s="307"/>
      <c r="C486" s="307"/>
      <c r="D486" s="307"/>
      <c r="E486" s="307"/>
      <c r="F486" s="307"/>
      <c r="L486" s="123"/>
      <c r="M486" s="123"/>
      <c r="N486" s="123"/>
      <c r="O486" s="123"/>
      <c r="P486" s="123"/>
      <c r="Q486" s="123"/>
      <c r="R486" s="123"/>
      <c r="S486" s="123"/>
      <c r="T486" s="123"/>
      <c r="U486" s="123"/>
      <c r="V486" s="123"/>
      <c r="W486" s="123"/>
      <c r="X486" s="123"/>
      <c r="Y486" s="123"/>
    </row>
    <row r="487" spans="2:25" s="235" customFormat="1" ht="13.8">
      <c r="B487" s="307"/>
      <c r="C487" s="307"/>
      <c r="D487" s="307"/>
      <c r="E487" s="307"/>
      <c r="F487" s="307"/>
      <c r="L487" s="123"/>
      <c r="M487" s="123"/>
      <c r="N487" s="123"/>
      <c r="O487" s="123"/>
      <c r="P487" s="123"/>
      <c r="Q487" s="123"/>
      <c r="R487" s="123"/>
      <c r="S487" s="123"/>
      <c r="T487" s="123"/>
      <c r="U487" s="123"/>
      <c r="V487" s="123"/>
      <c r="W487" s="123"/>
      <c r="X487" s="123"/>
      <c r="Y487" s="123"/>
    </row>
    <row r="488" spans="2:25" s="235" customFormat="1" ht="13.8">
      <c r="B488" s="307"/>
      <c r="C488" s="307"/>
      <c r="D488" s="307"/>
      <c r="E488" s="307"/>
      <c r="F488" s="307"/>
      <c r="L488" s="123"/>
      <c r="M488" s="123"/>
      <c r="N488" s="123"/>
      <c r="O488" s="123"/>
      <c r="P488" s="123"/>
      <c r="Q488" s="123"/>
      <c r="R488" s="123"/>
      <c r="S488" s="123"/>
      <c r="T488" s="123"/>
      <c r="U488" s="123"/>
      <c r="V488" s="123"/>
      <c r="W488" s="123"/>
      <c r="X488" s="123"/>
      <c r="Y488" s="123"/>
    </row>
    <row r="489" spans="2:25" s="235" customFormat="1" ht="13.8">
      <c r="B489" s="307"/>
      <c r="C489" s="307"/>
      <c r="D489" s="307"/>
      <c r="E489" s="307"/>
      <c r="F489" s="307"/>
      <c r="L489" s="123"/>
      <c r="M489" s="123"/>
      <c r="N489" s="123"/>
      <c r="O489" s="123"/>
      <c r="P489" s="123"/>
      <c r="Q489" s="123"/>
      <c r="R489" s="123"/>
      <c r="S489" s="123"/>
      <c r="T489" s="123"/>
      <c r="U489" s="123"/>
      <c r="V489" s="123"/>
      <c r="W489" s="123"/>
      <c r="X489" s="123"/>
      <c r="Y489" s="123"/>
    </row>
    <row r="490" spans="2:25" s="235" customFormat="1" ht="13.8">
      <c r="B490" s="307"/>
      <c r="C490" s="307"/>
      <c r="D490" s="307"/>
      <c r="E490" s="307"/>
      <c r="F490" s="307"/>
      <c r="L490" s="123"/>
      <c r="M490" s="123"/>
      <c r="N490" s="123"/>
      <c r="O490" s="123"/>
      <c r="P490" s="123"/>
      <c r="Q490" s="123"/>
      <c r="R490" s="123"/>
      <c r="S490" s="123"/>
      <c r="T490" s="123"/>
      <c r="U490" s="123"/>
      <c r="V490" s="123"/>
      <c r="W490" s="123"/>
      <c r="X490" s="123"/>
      <c r="Y490" s="123"/>
    </row>
    <row r="491" spans="2:25" s="235" customFormat="1" ht="13.8">
      <c r="B491" s="307"/>
      <c r="C491" s="307"/>
      <c r="D491" s="307"/>
      <c r="E491" s="307"/>
      <c r="F491" s="307"/>
      <c r="L491" s="123"/>
      <c r="M491" s="123"/>
      <c r="N491" s="123"/>
      <c r="O491" s="123"/>
      <c r="P491" s="123"/>
      <c r="Q491" s="123"/>
      <c r="R491" s="123"/>
      <c r="S491" s="123"/>
      <c r="T491" s="123"/>
      <c r="U491" s="123"/>
      <c r="V491" s="123"/>
      <c r="W491" s="123"/>
      <c r="X491" s="123"/>
      <c r="Y491" s="123"/>
    </row>
    <row r="492" spans="2:25" s="235" customFormat="1" ht="13.8">
      <c r="B492" s="307"/>
      <c r="C492" s="307"/>
      <c r="D492" s="307"/>
      <c r="E492" s="307"/>
      <c r="F492" s="307"/>
      <c r="L492" s="123"/>
      <c r="M492" s="123"/>
      <c r="N492" s="123"/>
      <c r="O492" s="123"/>
      <c r="P492" s="123"/>
      <c r="Q492" s="123"/>
      <c r="R492" s="123"/>
      <c r="S492" s="123"/>
      <c r="T492" s="123"/>
      <c r="U492" s="123"/>
      <c r="V492" s="123"/>
      <c r="W492" s="123"/>
      <c r="X492" s="123"/>
      <c r="Y492" s="123"/>
    </row>
    <row r="493" spans="2:25" s="235" customFormat="1" ht="13.8">
      <c r="B493" s="307"/>
      <c r="C493" s="307"/>
      <c r="D493" s="307"/>
      <c r="E493" s="307"/>
      <c r="F493" s="307"/>
      <c r="L493" s="123"/>
      <c r="M493" s="123"/>
      <c r="N493" s="123"/>
      <c r="O493" s="123"/>
      <c r="P493" s="123"/>
      <c r="Q493" s="123"/>
      <c r="R493" s="123"/>
      <c r="S493" s="123"/>
      <c r="T493" s="123"/>
      <c r="U493" s="123"/>
      <c r="V493" s="123"/>
      <c r="W493" s="123"/>
      <c r="X493" s="123"/>
      <c r="Y493" s="123"/>
    </row>
    <row r="494" spans="2:25" s="235" customFormat="1" ht="13.8">
      <c r="B494" s="307"/>
      <c r="C494" s="307"/>
      <c r="D494" s="307"/>
      <c r="E494" s="307"/>
      <c r="F494" s="307"/>
      <c r="L494" s="123"/>
      <c r="M494" s="123"/>
      <c r="N494" s="123"/>
      <c r="O494" s="123"/>
      <c r="P494" s="123"/>
      <c r="Q494" s="123"/>
      <c r="R494" s="123"/>
      <c r="S494" s="123"/>
      <c r="T494" s="123"/>
      <c r="U494" s="123"/>
      <c r="V494" s="123"/>
      <c r="W494" s="123"/>
      <c r="X494" s="123"/>
      <c r="Y494" s="123"/>
    </row>
    <row r="495" spans="2:25" s="235" customFormat="1" ht="13.8">
      <c r="B495" s="307"/>
      <c r="C495" s="307"/>
      <c r="D495" s="307"/>
      <c r="E495" s="307"/>
      <c r="F495" s="307"/>
      <c r="L495" s="123"/>
      <c r="M495" s="123"/>
      <c r="N495" s="123"/>
      <c r="O495" s="123"/>
      <c r="P495" s="123"/>
      <c r="Q495" s="123"/>
      <c r="R495" s="123"/>
      <c r="S495" s="123"/>
      <c r="T495" s="123"/>
      <c r="U495" s="123"/>
      <c r="V495" s="123"/>
      <c r="W495" s="123"/>
      <c r="X495" s="123"/>
      <c r="Y495" s="123"/>
    </row>
    <row r="496" spans="2:25" s="235" customFormat="1" ht="13.8">
      <c r="B496" s="307"/>
      <c r="C496" s="307"/>
      <c r="D496" s="307"/>
      <c r="E496" s="307"/>
      <c r="F496" s="307"/>
      <c r="L496" s="123"/>
      <c r="M496" s="123"/>
      <c r="N496" s="123"/>
      <c r="O496" s="123"/>
      <c r="P496" s="123"/>
      <c r="Q496" s="123"/>
      <c r="R496" s="123"/>
      <c r="S496" s="123"/>
      <c r="T496" s="123"/>
      <c r="U496" s="123"/>
      <c r="V496" s="123"/>
      <c r="W496" s="123"/>
      <c r="X496" s="123"/>
      <c r="Y496" s="123"/>
    </row>
    <row r="497" spans="2:25" s="235" customFormat="1" ht="13.8">
      <c r="B497" s="307"/>
      <c r="C497" s="307"/>
      <c r="D497" s="307"/>
      <c r="E497" s="307"/>
      <c r="F497" s="307"/>
      <c r="L497" s="123"/>
      <c r="M497" s="123"/>
      <c r="N497" s="123"/>
      <c r="O497" s="123"/>
      <c r="P497" s="123"/>
      <c r="Q497" s="123"/>
      <c r="R497" s="123"/>
      <c r="S497" s="123"/>
      <c r="T497" s="123"/>
      <c r="U497" s="123"/>
      <c r="V497" s="123"/>
      <c r="W497" s="123"/>
      <c r="X497" s="123"/>
      <c r="Y497" s="123"/>
    </row>
    <row r="498" spans="2:25" s="235" customFormat="1" ht="13.8">
      <c r="B498" s="307"/>
      <c r="C498" s="307"/>
      <c r="D498" s="307"/>
      <c r="E498" s="307"/>
      <c r="F498" s="307"/>
      <c r="L498" s="123"/>
      <c r="M498" s="123"/>
      <c r="N498" s="123"/>
      <c r="O498" s="123"/>
      <c r="P498" s="123"/>
      <c r="Q498" s="123"/>
      <c r="R498" s="123"/>
      <c r="S498" s="123"/>
      <c r="T498" s="123"/>
      <c r="U498" s="123"/>
      <c r="V498" s="123"/>
      <c r="W498" s="123"/>
      <c r="X498" s="123"/>
      <c r="Y498" s="123"/>
    </row>
    <row r="499" spans="2:25" s="235" customFormat="1" ht="13.8">
      <c r="B499" s="307"/>
      <c r="C499" s="307"/>
      <c r="D499" s="307"/>
      <c r="E499" s="307"/>
      <c r="F499" s="307"/>
      <c r="L499" s="123"/>
      <c r="M499" s="123"/>
      <c r="N499" s="123"/>
      <c r="O499" s="123"/>
      <c r="P499" s="123"/>
      <c r="Q499" s="123"/>
      <c r="R499" s="123"/>
      <c r="S499" s="123"/>
      <c r="T499" s="123"/>
      <c r="U499" s="123"/>
      <c r="V499" s="123"/>
      <c r="W499" s="123"/>
      <c r="X499" s="123"/>
      <c r="Y499" s="123"/>
    </row>
    <row r="500" spans="2:25" s="235" customFormat="1" ht="13.8">
      <c r="B500" s="307"/>
      <c r="C500" s="307"/>
      <c r="D500" s="307"/>
      <c r="E500" s="307"/>
      <c r="F500" s="307"/>
      <c r="L500" s="123"/>
      <c r="M500" s="123"/>
      <c r="N500" s="123"/>
      <c r="O500" s="123"/>
      <c r="P500" s="123"/>
      <c r="Q500" s="123"/>
      <c r="R500" s="123"/>
      <c r="S500" s="123"/>
      <c r="T500" s="123"/>
      <c r="U500" s="123"/>
      <c r="V500" s="123"/>
      <c r="W500" s="123"/>
      <c r="X500" s="123"/>
      <c r="Y500" s="123"/>
    </row>
    <row r="501" spans="2:25" s="235" customFormat="1" ht="13.8">
      <c r="B501" s="307"/>
      <c r="C501" s="307"/>
      <c r="D501" s="307"/>
      <c r="E501" s="307"/>
      <c r="F501" s="307"/>
      <c r="L501" s="123"/>
      <c r="M501" s="123"/>
      <c r="N501" s="123"/>
      <c r="O501" s="123"/>
      <c r="P501" s="123"/>
      <c r="Q501" s="123"/>
      <c r="R501" s="123"/>
      <c r="S501" s="123"/>
      <c r="T501" s="123"/>
      <c r="U501" s="123"/>
      <c r="V501" s="123"/>
      <c r="W501" s="123"/>
      <c r="X501" s="123"/>
      <c r="Y501" s="123"/>
    </row>
    <row r="502" spans="2:25" s="235" customFormat="1" ht="13.8">
      <c r="B502" s="307"/>
      <c r="C502" s="307"/>
      <c r="D502" s="307"/>
      <c r="E502" s="307"/>
      <c r="F502" s="307"/>
      <c r="L502" s="123"/>
      <c r="M502" s="123"/>
      <c r="N502" s="123"/>
      <c r="O502" s="123"/>
      <c r="P502" s="123"/>
      <c r="Q502" s="123"/>
      <c r="R502" s="123"/>
      <c r="S502" s="123"/>
      <c r="T502" s="123"/>
      <c r="U502" s="123"/>
      <c r="V502" s="123"/>
      <c r="W502" s="123"/>
      <c r="X502" s="123"/>
      <c r="Y502" s="123"/>
    </row>
    <row r="503" spans="2:25" s="235" customFormat="1" ht="13.8">
      <c r="B503" s="307"/>
      <c r="C503" s="307"/>
      <c r="D503" s="307"/>
      <c r="E503" s="307"/>
      <c r="F503" s="307"/>
      <c r="L503" s="123"/>
      <c r="M503" s="123"/>
      <c r="N503" s="123"/>
      <c r="O503" s="123"/>
      <c r="P503" s="123"/>
      <c r="Q503" s="123"/>
      <c r="R503" s="123"/>
      <c r="S503" s="123"/>
      <c r="T503" s="123"/>
      <c r="U503" s="123"/>
      <c r="V503" s="123"/>
      <c r="W503" s="123"/>
      <c r="X503" s="123"/>
      <c r="Y503" s="123"/>
    </row>
    <row r="504" spans="2:25" s="235" customFormat="1" ht="13.8">
      <c r="B504" s="307"/>
      <c r="C504" s="307"/>
      <c r="D504" s="307"/>
      <c r="E504" s="307"/>
      <c r="F504" s="307"/>
      <c r="L504" s="123"/>
      <c r="M504" s="123"/>
      <c r="N504" s="123"/>
      <c r="O504" s="123"/>
      <c r="P504" s="123"/>
      <c r="Q504" s="123"/>
      <c r="R504" s="123"/>
      <c r="S504" s="123"/>
      <c r="T504" s="123"/>
      <c r="U504" s="123"/>
      <c r="V504" s="123"/>
      <c r="W504" s="123"/>
      <c r="X504" s="123"/>
      <c r="Y504" s="123"/>
    </row>
    <row r="505" spans="2:25" s="235" customFormat="1" ht="13.8">
      <c r="B505" s="307"/>
      <c r="C505" s="307"/>
      <c r="D505" s="307"/>
      <c r="E505" s="307"/>
      <c r="F505" s="307"/>
      <c r="L505" s="123"/>
      <c r="M505" s="123"/>
      <c r="N505" s="123"/>
      <c r="O505" s="123"/>
      <c r="P505" s="123"/>
      <c r="Q505" s="123"/>
      <c r="R505" s="123"/>
      <c r="S505" s="123"/>
      <c r="T505" s="123"/>
      <c r="U505" s="123"/>
      <c r="V505" s="123"/>
      <c r="W505" s="123"/>
      <c r="X505" s="123"/>
      <c r="Y505" s="123"/>
    </row>
    <row r="506" spans="2:25" s="235" customFormat="1" ht="13.8">
      <c r="B506" s="307"/>
      <c r="C506" s="307"/>
      <c r="D506" s="307"/>
      <c r="E506" s="307"/>
      <c r="F506" s="307"/>
      <c r="L506" s="123"/>
      <c r="M506" s="123"/>
      <c r="N506" s="123"/>
      <c r="O506" s="123"/>
      <c r="P506" s="123"/>
      <c r="Q506" s="123"/>
      <c r="R506" s="123"/>
      <c r="S506" s="123"/>
      <c r="T506" s="123"/>
      <c r="U506" s="123"/>
      <c r="V506" s="123"/>
      <c r="W506" s="123"/>
      <c r="X506" s="123"/>
      <c r="Y506" s="123"/>
    </row>
    <row r="507" spans="2:25" s="235" customFormat="1" ht="13.8">
      <c r="B507" s="307"/>
      <c r="C507" s="307"/>
      <c r="D507" s="307"/>
      <c r="E507" s="307"/>
      <c r="F507" s="307"/>
      <c r="L507" s="123"/>
      <c r="M507" s="123"/>
      <c r="N507" s="123"/>
      <c r="O507" s="123"/>
      <c r="P507" s="123"/>
      <c r="Q507" s="123"/>
      <c r="R507" s="123"/>
      <c r="S507" s="123"/>
      <c r="T507" s="123"/>
      <c r="U507" s="123"/>
      <c r="V507" s="123"/>
      <c r="W507" s="123"/>
      <c r="X507" s="123"/>
      <c r="Y507" s="123"/>
    </row>
    <row r="508" spans="2:25" s="235" customFormat="1" ht="13.8">
      <c r="B508" s="307"/>
      <c r="C508" s="307"/>
      <c r="D508" s="307"/>
      <c r="E508" s="307"/>
      <c r="F508" s="307"/>
      <c r="L508" s="123"/>
      <c r="M508" s="123"/>
      <c r="N508" s="123"/>
      <c r="O508" s="123"/>
      <c r="P508" s="123"/>
      <c r="Q508" s="123"/>
      <c r="R508" s="123"/>
      <c r="S508" s="123"/>
      <c r="T508" s="123"/>
      <c r="U508" s="123"/>
      <c r="V508" s="123"/>
      <c r="W508" s="123"/>
      <c r="X508" s="123"/>
      <c r="Y508" s="123"/>
    </row>
    <row r="509" spans="2:25" s="235" customFormat="1" ht="13.8">
      <c r="B509" s="307"/>
      <c r="C509" s="307"/>
      <c r="D509" s="307"/>
      <c r="E509" s="307"/>
      <c r="F509" s="307"/>
      <c r="L509" s="123"/>
      <c r="M509" s="123"/>
      <c r="N509" s="123"/>
      <c r="O509" s="123"/>
      <c r="P509" s="123"/>
      <c r="Q509" s="123"/>
      <c r="R509" s="123"/>
      <c r="S509" s="123"/>
      <c r="T509" s="123"/>
      <c r="U509" s="123"/>
      <c r="V509" s="123"/>
      <c r="W509" s="123"/>
      <c r="X509" s="123"/>
      <c r="Y509" s="123"/>
    </row>
    <row r="510" spans="2:25" s="235" customFormat="1" ht="13.8">
      <c r="B510" s="307"/>
      <c r="C510" s="307"/>
      <c r="D510" s="307"/>
      <c r="E510" s="307"/>
      <c r="F510" s="307"/>
      <c r="L510" s="123"/>
      <c r="M510" s="123"/>
      <c r="N510" s="123"/>
      <c r="O510" s="123"/>
      <c r="P510" s="123"/>
      <c r="Q510" s="123"/>
      <c r="R510" s="123"/>
      <c r="S510" s="123"/>
      <c r="T510" s="123"/>
      <c r="U510" s="123"/>
      <c r="V510" s="123"/>
      <c r="W510" s="123"/>
      <c r="X510" s="123"/>
      <c r="Y510" s="123"/>
    </row>
    <row r="511" spans="2:25" s="235" customFormat="1" ht="13.8">
      <c r="B511" s="307"/>
      <c r="C511" s="307"/>
      <c r="D511" s="307"/>
      <c r="E511" s="307"/>
      <c r="F511" s="307"/>
      <c r="L511" s="123"/>
      <c r="M511" s="123"/>
      <c r="N511" s="123"/>
      <c r="O511" s="123"/>
      <c r="P511" s="123"/>
      <c r="Q511" s="123"/>
      <c r="R511" s="123"/>
      <c r="S511" s="123"/>
      <c r="T511" s="123"/>
      <c r="U511" s="123"/>
      <c r="V511" s="123"/>
      <c r="W511" s="123"/>
      <c r="X511" s="123"/>
      <c r="Y511" s="123"/>
    </row>
    <row r="512" spans="2:25" s="235" customFormat="1" ht="13.8">
      <c r="B512" s="307"/>
      <c r="C512" s="307"/>
      <c r="D512" s="307"/>
      <c r="E512" s="307"/>
      <c r="F512" s="307"/>
      <c r="L512" s="123"/>
      <c r="M512" s="123"/>
      <c r="N512" s="123"/>
      <c r="O512" s="123"/>
      <c r="P512" s="123"/>
      <c r="Q512" s="123"/>
      <c r="R512" s="123"/>
      <c r="S512" s="123"/>
      <c r="T512" s="123"/>
      <c r="U512" s="123"/>
      <c r="V512" s="123"/>
      <c r="W512" s="123"/>
      <c r="X512" s="123"/>
      <c r="Y512" s="123"/>
    </row>
    <row r="513" spans="2:25" s="235" customFormat="1" ht="13.8">
      <c r="B513" s="307"/>
      <c r="C513" s="307"/>
      <c r="D513" s="307"/>
      <c r="E513" s="307"/>
      <c r="F513" s="307"/>
      <c r="L513" s="123"/>
      <c r="M513" s="123"/>
      <c r="N513" s="123"/>
      <c r="O513" s="123"/>
      <c r="P513" s="123"/>
      <c r="Q513" s="123"/>
      <c r="R513" s="123"/>
      <c r="S513" s="123"/>
      <c r="T513" s="123"/>
      <c r="U513" s="123"/>
      <c r="V513" s="123"/>
      <c r="W513" s="123"/>
      <c r="X513" s="123"/>
      <c r="Y513" s="123"/>
    </row>
    <row r="514" spans="2:25" s="235" customFormat="1" ht="13.8">
      <c r="B514" s="307"/>
      <c r="C514" s="307"/>
      <c r="D514" s="307"/>
      <c r="E514" s="307"/>
      <c r="F514" s="307"/>
      <c r="L514" s="123"/>
      <c r="M514" s="123"/>
      <c r="N514" s="123"/>
      <c r="O514" s="123"/>
      <c r="P514" s="123"/>
      <c r="Q514" s="123"/>
      <c r="R514" s="123"/>
      <c r="S514" s="123"/>
      <c r="T514" s="123"/>
      <c r="U514" s="123"/>
      <c r="V514" s="123"/>
      <c r="W514" s="123"/>
      <c r="X514" s="123"/>
      <c r="Y514" s="123"/>
    </row>
    <row r="515" spans="2:25" s="235" customFormat="1" ht="13.8">
      <c r="B515" s="307"/>
      <c r="C515" s="307"/>
      <c r="D515" s="307"/>
      <c r="E515" s="307"/>
      <c r="F515" s="307"/>
      <c r="L515" s="123"/>
      <c r="M515" s="123"/>
      <c r="N515" s="123"/>
      <c r="O515" s="123"/>
      <c r="P515" s="123"/>
      <c r="Q515" s="123"/>
      <c r="R515" s="123"/>
      <c r="S515" s="123"/>
      <c r="T515" s="123"/>
      <c r="U515" s="123"/>
      <c r="V515" s="123"/>
      <c r="W515" s="123"/>
      <c r="X515" s="123"/>
      <c r="Y515" s="123"/>
    </row>
    <row r="516" spans="2:25" s="235" customFormat="1" ht="13.8">
      <c r="B516" s="307"/>
      <c r="C516" s="307"/>
      <c r="D516" s="307"/>
      <c r="E516" s="307"/>
      <c r="F516" s="307"/>
      <c r="L516" s="123"/>
      <c r="M516" s="123"/>
      <c r="N516" s="123"/>
      <c r="O516" s="123"/>
      <c r="P516" s="123"/>
      <c r="Q516" s="123"/>
      <c r="R516" s="123"/>
      <c r="S516" s="123"/>
      <c r="T516" s="123"/>
      <c r="U516" s="123"/>
      <c r="V516" s="123"/>
      <c r="W516" s="123"/>
      <c r="X516" s="123"/>
      <c r="Y516" s="123"/>
    </row>
    <row r="517" spans="2:25" s="235" customFormat="1" ht="13.8">
      <c r="B517" s="307"/>
      <c r="C517" s="307"/>
      <c r="D517" s="307"/>
      <c r="E517" s="307"/>
      <c r="F517" s="307"/>
      <c r="L517" s="123"/>
      <c r="M517" s="123"/>
      <c r="N517" s="123"/>
      <c r="O517" s="123"/>
      <c r="P517" s="123"/>
      <c r="Q517" s="123"/>
      <c r="R517" s="123"/>
      <c r="S517" s="123"/>
      <c r="T517" s="123"/>
      <c r="U517" s="123"/>
      <c r="V517" s="123"/>
      <c r="W517" s="123"/>
      <c r="X517" s="123"/>
      <c r="Y517" s="123"/>
    </row>
    <row r="518" spans="2:25" s="235" customFormat="1" ht="13.8">
      <c r="B518" s="307"/>
      <c r="C518" s="307"/>
      <c r="D518" s="307"/>
      <c r="E518" s="307"/>
      <c r="F518" s="307"/>
      <c r="L518" s="123"/>
      <c r="M518" s="123"/>
      <c r="N518" s="123"/>
      <c r="O518" s="123"/>
      <c r="P518" s="123"/>
      <c r="Q518" s="123"/>
      <c r="R518" s="123"/>
      <c r="S518" s="123"/>
      <c r="T518" s="123"/>
      <c r="U518" s="123"/>
      <c r="V518" s="123"/>
      <c r="W518" s="123"/>
      <c r="X518" s="123"/>
      <c r="Y518" s="123"/>
    </row>
    <row r="519" spans="2:25" s="235" customFormat="1" ht="13.8">
      <c r="B519" s="307"/>
      <c r="C519" s="307"/>
      <c r="D519" s="307"/>
      <c r="E519" s="307"/>
      <c r="F519" s="307"/>
      <c r="L519" s="123"/>
      <c r="M519" s="123"/>
      <c r="N519" s="123"/>
      <c r="O519" s="123"/>
      <c r="P519" s="123"/>
      <c r="Q519" s="123"/>
      <c r="R519" s="123"/>
      <c r="S519" s="123"/>
      <c r="T519" s="123"/>
      <c r="U519" s="123"/>
      <c r="V519" s="123"/>
      <c r="W519" s="123"/>
      <c r="X519" s="123"/>
      <c r="Y519" s="123"/>
    </row>
    <row r="520" spans="2:25" s="235" customFormat="1" ht="13.8">
      <c r="B520" s="307"/>
      <c r="C520" s="307"/>
      <c r="D520" s="307"/>
      <c r="E520" s="307"/>
      <c r="F520" s="307"/>
      <c r="L520" s="123"/>
      <c r="M520" s="123"/>
      <c r="N520" s="123"/>
      <c r="O520" s="123"/>
      <c r="P520" s="123"/>
      <c r="Q520" s="123"/>
      <c r="R520" s="123"/>
      <c r="S520" s="123"/>
      <c r="T520" s="123"/>
      <c r="U520" s="123"/>
      <c r="V520" s="123"/>
      <c r="W520" s="123"/>
      <c r="X520" s="123"/>
      <c r="Y520" s="123"/>
    </row>
    <row r="521" spans="2:25" s="235" customFormat="1" ht="13.8">
      <c r="B521" s="307"/>
      <c r="C521" s="307"/>
      <c r="D521" s="307"/>
      <c r="E521" s="307"/>
      <c r="F521" s="307"/>
      <c r="L521" s="123"/>
      <c r="M521" s="123"/>
      <c r="N521" s="123"/>
      <c r="O521" s="123"/>
      <c r="P521" s="123"/>
      <c r="Q521" s="123"/>
      <c r="R521" s="123"/>
      <c r="S521" s="123"/>
      <c r="T521" s="123"/>
      <c r="U521" s="123"/>
      <c r="V521" s="123"/>
      <c r="W521" s="123"/>
      <c r="X521" s="123"/>
      <c r="Y521" s="123"/>
    </row>
    <row r="522" spans="2:25" s="235" customFormat="1" ht="13.8">
      <c r="B522" s="307"/>
      <c r="C522" s="307"/>
      <c r="D522" s="307"/>
      <c r="E522" s="307"/>
      <c r="F522" s="307"/>
      <c r="L522" s="123"/>
      <c r="M522" s="123"/>
      <c r="N522" s="123"/>
      <c r="O522" s="123"/>
      <c r="P522" s="123"/>
      <c r="Q522" s="123"/>
      <c r="R522" s="123"/>
      <c r="S522" s="123"/>
      <c r="T522" s="123"/>
      <c r="U522" s="123"/>
      <c r="V522" s="123"/>
      <c r="W522" s="123"/>
      <c r="X522" s="123"/>
      <c r="Y522" s="123"/>
    </row>
    <row r="523" spans="2:25" s="235" customFormat="1" ht="13.8">
      <c r="B523" s="307"/>
      <c r="C523" s="307"/>
      <c r="D523" s="307"/>
      <c r="E523" s="307"/>
      <c r="F523" s="307"/>
      <c r="L523" s="123"/>
      <c r="M523" s="123"/>
      <c r="N523" s="123"/>
      <c r="O523" s="123"/>
      <c r="P523" s="123"/>
      <c r="Q523" s="123"/>
      <c r="R523" s="123"/>
      <c r="S523" s="123"/>
      <c r="T523" s="123"/>
      <c r="U523" s="123"/>
      <c r="V523" s="123"/>
      <c r="W523" s="123"/>
      <c r="X523" s="123"/>
      <c r="Y523" s="123"/>
    </row>
    <row r="524" spans="2:25" s="235" customFormat="1" ht="13.8">
      <c r="B524" s="307"/>
      <c r="C524" s="307"/>
      <c r="D524" s="307"/>
      <c r="E524" s="307"/>
      <c r="F524" s="307"/>
      <c r="L524" s="123"/>
      <c r="M524" s="123"/>
      <c r="N524" s="123"/>
      <c r="O524" s="123"/>
      <c r="P524" s="123"/>
      <c r="Q524" s="123"/>
      <c r="R524" s="123"/>
      <c r="S524" s="123"/>
      <c r="T524" s="123"/>
      <c r="U524" s="123"/>
      <c r="V524" s="123"/>
      <c r="W524" s="123"/>
      <c r="X524" s="123"/>
      <c r="Y524" s="123"/>
    </row>
    <row r="525" spans="2:25" s="235" customFormat="1" ht="13.8">
      <c r="B525" s="307"/>
      <c r="C525" s="307"/>
      <c r="D525" s="307"/>
      <c r="E525" s="307"/>
      <c r="F525" s="307"/>
      <c r="L525" s="123"/>
      <c r="M525" s="123"/>
      <c r="N525" s="123"/>
      <c r="O525" s="123"/>
      <c r="P525" s="123"/>
      <c r="Q525" s="123"/>
      <c r="R525" s="123"/>
      <c r="S525" s="123"/>
      <c r="T525" s="123"/>
      <c r="U525" s="123"/>
      <c r="V525" s="123"/>
      <c r="W525" s="123"/>
      <c r="X525" s="123"/>
      <c r="Y525" s="123"/>
    </row>
    <row r="526" spans="2:25" s="235" customFormat="1" ht="13.8">
      <c r="B526" s="307"/>
      <c r="C526" s="307"/>
      <c r="D526" s="307"/>
      <c r="E526" s="307"/>
      <c r="F526" s="307"/>
      <c r="L526" s="123"/>
      <c r="M526" s="123"/>
      <c r="N526" s="123"/>
      <c r="O526" s="123"/>
      <c r="P526" s="123"/>
      <c r="Q526" s="123"/>
      <c r="R526" s="123"/>
      <c r="S526" s="123"/>
      <c r="T526" s="123"/>
      <c r="U526" s="123"/>
      <c r="V526" s="123"/>
      <c r="W526" s="123"/>
      <c r="X526" s="123"/>
      <c r="Y526" s="123"/>
    </row>
    <row r="527" spans="2:25" s="235" customFormat="1" ht="13.8">
      <c r="B527" s="307"/>
      <c r="C527" s="307"/>
      <c r="D527" s="307"/>
      <c r="E527" s="307"/>
      <c r="F527" s="307"/>
      <c r="L527" s="123"/>
      <c r="M527" s="123"/>
      <c r="N527" s="123"/>
      <c r="O527" s="123"/>
      <c r="P527" s="123"/>
      <c r="Q527" s="123"/>
      <c r="R527" s="123"/>
      <c r="S527" s="123"/>
      <c r="T527" s="123"/>
      <c r="U527" s="123"/>
      <c r="V527" s="123"/>
      <c r="W527" s="123"/>
      <c r="X527" s="123"/>
      <c r="Y527" s="123"/>
    </row>
    <row r="528" spans="2:25" s="235" customFormat="1" ht="13.8">
      <c r="B528" s="307"/>
      <c r="C528" s="307"/>
      <c r="D528" s="307"/>
      <c r="E528" s="307"/>
      <c r="F528" s="307"/>
      <c r="L528" s="123"/>
      <c r="M528" s="123"/>
      <c r="N528" s="123"/>
      <c r="O528" s="123"/>
      <c r="P528" s="123"/>
      <c r="Q528" s="123"/>
      <c r="R528" s="123"/>
      <c r="S528" s="123"/>
      <c r="T528" s="123"/>
      <c r="U528" s="123"/>
      <c r="V528" s="123"/>
      <c r="W528" s="123"/>
      <c r="X528" s="123"/>
      <c r="Y528" s="123"/>
    </row>
    <row r="529" spans="2:25" s="235" customFormat="1" ht="13.8">
      <c r="B529" s="307"/>
      <c r="C529" s="307"/>
      <c r="D529" s="307"/>
      <c r="E529" s="307"/>
      <c r="F529" s="307"/>
      <c r="L529" s="123"/>
      <c r="M529" s="123"/>
      <c r="N529" s="123"/>
      <c r="O529" s="123"/>
      <c r="P529" s="123"/>
      <c r="Q529" s="123"/>
      <c r="R529" s="123"/>
      <c r="S529" s="123"/>
      <c r="T529" s="123"/>
      <c r="U529" s="123"/>
      <c r="V529" s="123"/>
      <c r="W529" s="123"/>
      <c r="X529" s="123"/>
      <c r="Y529" s="123"/>
    </row>
    <row r="530" spans="2:25" s="235" customFormat="1" ht="13.8">
      <c r="B530" s="307"/>
      <c r="C530" s="307"/>
      <c r="D530" s="307"/>
      <c r="E530" s="307"/>
      <c r="F530" s="307"/>
      <c r="L530" s="123"/>
      <c r="M530" s="123"/>
      <c r="N530" s="123"/>
      <c r="O530" s="123"/>
      <c r="P530" s="123"/>
      <c r="Q530" s="123"/>
      <c r="R530" s="123"/>
      <c r="S530" s="123"/>
      <c r="T530" s="123"/>
      <c r="U530" s="123"/>
      <c r="V530" s="123"/>
      <c r="W530" s="123"/>
      <c r="X530" s="123"/>
      <c r="Y530" s="123"/>
    </row>
    <row r="531" spans="2:25" s="235" customFormat="1" ht="13.8">
      <c r="B531" s="307"/>
      <c r="C531" s="307"/>
      <c r="D531" s="307"/>
      <c r="E531" s="307"/>
      <c r="F531" s="307"/>
      <c r="L531" s="123"/>
      <c r="M531" s="123"/>
      <c r="N531" s="123"/>
      <c r="O531" s="123"/>
      <c r="P531" s="123"/>
      <c r="Q531" s="123"/>
      <c r="R531" s="123"/>
      <c r="S531" s="123"/>
      <c r="T531" s="123"/>
      <c r="U531" s="123"/>
      <c r="V531" s="123"/>
      <c r="W531" s="123"/>
      <c r="X531" s="123"/>
      <c r="Y531" s="123"/>
    </row>
    <row r="532" spans="2:25" s="235" customFormat="1" ht="13.8">
      <c r="B532" s="307"/>
      <c r="C532" s="307"/>
      <c r="D532" s="307"/>
      <c r="E532" s="307"/>
      <c r="F532" s="307"/>
      <c r="L532" s="123"/>
      <c r="M532" s="123"/>
      <c r="N532" s="123"/>
      <c r="O532" s="123"/>
      <c r="P532" s="123"/>
      <c r="Q532" s="123"/>
      <c r="R532" s="123"/>
      <c r="S532" s="123"/>
      <c r="T532" s="123"/>
      <c r="U532" s="123"/>
      <c r="V532" s="123"/>
      <c r="W532" s="123"/>
      <c r="X532" s="123"/>
      <c r="Y532" s="123"/>
    </row>
    <row r="533" spans="2:25" s="235" customFormat="1" ht="13.8">
      <c r="B533" s="307"/>
      <c r="C533" s="307"/>
      <c r="D533" s="307"/>
      <c r="E533" s="307"/>
      <c r="F533" s="307"/>
      <c r="L533" s="123"/>
      <c r="M533" s="123"/>
      <c r="N533" s="123"/>
      <c r="O533" s="123"/>
      <c r="P533" s="123"/>
      <c r="Q533" s="123"/>
      <c r="R533" s="123"/>
      <c r="S533" s="123"/>
      <c r="T533" s="123"/>
      <c r="U533" s="123"/>
      <c r="V533" s="123"/>
      <c r="W533" s="123"/>
      <c r="X533" s="123"/>
      <c r="Y533" s="123"/>
    </row>
    <row r="534" spans="2:25" s="235" customFormat="1" ht="13.8">
      <c r="B534" s="307"/>
      <c r="C534" s="307"/>
      <c r="D534" s="307"/>
      <c r="E534" s="307"/>
      <c r="F534" s="307"/>
      <c r="L534" s="123"/>
      <c r="M534" s="123"/>
      <c r="N534" s="123"/>
      <c r="O534" s="123"/>
      <c r="P534" s="123"/>
      <c r="Q534" s="123"/>
      <c r="R534" s="123"/>
      <c r="S534" s="123"/>
      <c r="T534" s="123"/>
      <c r="U534" s="123"/>
      <c r="V534" s="123"/>
      <c r="W534" s="123"/>
      <c r="X534" s="123"/>
      <c r="Y534" s="123"/>
    </row>
    <row r="535" spans="2:25" s="235" customFormat="1" ht="13.8">
      <c r="B535" s="307"/>
      <c r="C535" s="307"/>
      <c r="D535" s="307"/>
      <c r="E535" s="307"/>
      <c r="F535" s="307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</row>
    <row r="536" spans="2:25" s="235" customFormat="1" ht="13.8">
      <c r="B536" s="307"/>
      <c r="C536" s="307"/>
      <c r="D536" s="307"/>
      <c r="E536" s="307"/>
      <c r="F536" s="307"/>
      <c r="L536" s="123"/>
      <c r="M536" s="123"/>
      <c r="N536" s="123"/>
      <c r="O536" s="123"/>
      <c r="P536" s="123"/>
      <c r="Q536" s="123"/>
      <c r="R536" s="123"/>
      <c r="S536" s="123"/>
      <c r="T536" s="123"/>
      <c r="U536" s="123"/>
      <c r="V536" s="123"/>
      <c r="W536" s="123"/>
      <c r="X536" s="123"/>
      <c r="Y536" s="123"/>
    </row>
    <row r="537" spans="2:25" s="235" customFormat="1" ht="13.8">
      <c r="B537" s="307"/>
      <c r="C537" s="307"/>
      <c r="D537" s="307"/>
      <c r="E537" s="307"/>
      <c r="F537" s="307"/>
      <c r="L537" s="123"/>
      <c r="M537" s="123"/>
      <c r="N537" s="123"/>
      <c r="O537" s="123"/>
      <c r="P537" s="123"/>
      <c r="Q537" s="123"/>
      <c r="R537" s="123"/>
      <c r="S537" s="123"/>
      <c r="T537" s="123"/>
      <c r="U537" s="123"/>
      <c r="V537" s="123"/>
      <c r="W537" s="123"/>
      <c r="X537" s="123"/>
      <c r="Y537" s="123"/>
    </row>
    <row r="538" spans="2:25" s="235" customFormat="1" ht="13.8">
      <c r="B538" s="307"/>
      <c r="C538" s="307"/>
      <c r="D538" s="307"/>
      <c r="E538" s="307"/>
      <c r="F538" s="307"/>
      <c r="L538" s="123"/>
      <c r="M538" s="123"/>
      <c r="N538" s="123"/>
      <c r="O538" s="123"/>
      <c r="P538" s="123"/>
      <c r="Q538" s="123"/>
      <c r="R538" s="123"/>
      <c r="S538" s="123"/>
      <c r="T538" s="123"/>
      <c r="U538" s="123"/>
      <c r="V538" s="123"/>
      <c r="W538" s="123"/>
      <c r="X538" s="123"/>
      <c r="Y538" s="123"/>
    </row>
    <row r="539" spans="2:25" s="235" customFormat="1" ht="13.8">
      <c r="B539" s="307"/>
      <c r="C539" s="307"/>
      <c r="D539" s="307"/>
      <c r="E539" s="307"/>
      <c r="F539" s="307"/>
      <c r="L539" s="123"/>
      <c r="M539" s="123"/>
      <c r="N539" s="123"/>
      <c r="O539" s="123"/>
      <c r="P539" s="123"/>
      <c r="Q539" s="123"/>
      <c r="R539" s="123"/>
      <c r="S539" s="123"/>
      <c r="T539" s="123"/>
      <c r="U539" s="123"/>
      <c r="V539" s="123"/>
      <c r="W539" s="123"/>
      <c r="X539" s="123"/>
      <c r="Y539" s="123"/>
    </row>
    <row r="540" spans="2:25" s="235" customFormat="1" ht="13.8">
      <c r="B540" s="307"/>
      <c r="C540" s="307"/>
      <c r="D540" s="307"/>
      <c r="E540" s="307"/>
      <c r="F540" s="307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</row>
    <row r="541" spans="2:25" s="235" customFormat="1" ht="13.8">
      <c r="B541" s="307"/>
      <c r="C541" s="307"/>
      <c r="D541" s="307"/>
      <c r="E541" s="307"/>
      <c r="F541" s="307"/>
      <c r="L541" s="123"/>
      <c r="M541" s="123"/>
      <c r="N541" s="123"/>
      <c r="O541" s="123"/>
      <c r="P541" s="123"/>
      <c r="Q541" s="123"/>
      <c r="R541" s="123"/>
      <c r="S541" s="123"/>
      <c r="T541" s="123"/>
      <c r="U541" s="123"/>
      <c r="V541" s="123"/>
      <c r="W541" s="123"/>
      <c r="X541" s="123"/>
      <c r="Y541" s="123"/>
    </row>
    <row r="542" spans="2:25" s="235" customFormat="1" ht="13.8">
      <c r="B542" s="307"/>
      <c r="C542" s="307"/>
      <c r="D542" s="307"/>
      <c r="E542" s="307"/>
      <c r="F542" s="307"/>
      <c r="L542" s="123"/>
      <c r="M542" s="123"/>
      <c r="N542" s="123"/>
      <c r="O542" s="123"/>
      <c r="P542" s="123"/>
      <c r="Q542" s="123"/>
      <c r="R542" s="123"/>
      <c r="S542" s="123"/>
      <c r="T542" s="123"/>
      <c r="U542" s="123"/>
      <c r="V542" s="123"/>
      <c r="W542" s="123"/>
      <c r="X542" s="123"/>
      <c r="Y542" s="123"/>
    </row>
    <row r="543" spans="2:25" s="235" customFormat="1" ht="13.8">
      <c r="B543" s="307"/>
      <c r="C543" s="307"/>
      <c r="D543" s="307"/>
      <c r="E543" s="307"/>
      <c r="F543" s="307"/>
      <c r="L543" s="123"/>
      <c r="M543" s="123"/>
      <c r="N543" s="123"/>
      <c r="O543" s="123"/>
      <c r="P543" s="123"/>
      <c r="Q543" s="123"/>
      <c r="R543" s="123"/>
      <c r="S543" s="123"/>
      <c r="T543" s="123"/>
      <c r="U543" s="123"/>
      <c r="V543" s="123"/>
      <c r="W543" s="123"/>
      <c r="X543" s="123"/>
      <c r="Y543" s="123"/>
    </row>
    <row r="544" spans="2:25" s="235" customFormat="1" ht="13.8">
      <c r="B544" s="307"/>
      <c r="C544" s="307"/>
      <c r="D544" s="307"/>
      <c r="E544" s="307"/>
      <c r="F544" s="307"/>
      <c r="L544" s="123"/>
      <c r="M544" s="123"/>
      <c r="N544" s="123"/>
      <c r="O544" s="123"/>
      <c r="P544" s="123"/>
      <c r="Q544" s="123"/>
      <c r="R544" s="123"/>
      <c r="S544" s="123"/>
      <c r="T544" s="123"/>
      <c r="U544" s="123"/>
      <c r="V544" s="123"/>
      <c r="W544" s="123"/>
      <c r="X544" s="123"/>
      <c r="Y544" s="123"/>
    </row>
    <row r="545" spans="2:25" s="235" customFormat="1" ht="13.8">
      <c r="B545" s="307"/>
      <c r="C545" s="307"/>
      <c r="D545" s="307"/>
      <c r="E545" s="307"/>
      <c r="F545" s="307"/>
      <c r="L545" s="123"/>
      <c r="M545" s="123"/>
      <c r="N545" s="123"/>
      <c r="O545" s="123"/>
      <c r="P545" s="123"/>
      <c r="Q545" s="123"/>
      <c r="R545" s="123"/>
      <c r="S545" s="123"/>
      <c r="T545" s="123"/>
      <c r="U545" s="123"/>
      <c r="V545" s="123"/>
      <c r="W545" s="123"/>
      <c r="X545" s="123"/>
      <c r="Y545" s="123"/>
    </row>
    <row r="546" spans="2:25" s="235" customFormat="1" ht="13.8">
      <c r="B546" s="307"/>
      <c r="C546" s="307"/>
      <c r="D546" s="307"/>
      <c r="E546" s="307"/>
      <c r="F546" s="307"/>
      <c r="L546" s="123"/>
      <c r="M546" s="123"/>
      <c r="N546" s="123"/>
      <c r="O546" s="123"/>
      <c r="P546" s="123"/>
      <c r="Q546" s="123"/>
      <c r="R546" s="123"/>
      <c r="S546" s="123"/>
      <c r="T546" s="123"/>
      <c r="U546" s="123"/>
      <c r="V546" s="123"/>
      <c r="W546" s="123"/>
      <c r="X546" s="123"/>
      <c r="Y546" s="123"/>
    </row>
    <row r="547" spans="2:25" s="235" customFormat="1" ht="13.8">
      <c r="B547" s="307"/>
      <c r="C547" s="307"/>
      <c r="D547" s="307"/>
      <c r="E547" s="307"/>
      <c r="F547" s="307"/>
      <c r="L547" s="123"/>
      <c r="M547" s="123"/>
      <c r="N547" s="123"/>
      <c r="O547" s="123"/>
      <c r="P547" s="123"/>
      <c r="Q547" s="123"/>
      <c r="R547" s="123"/>
      <c r="S547" s="123"/>
      <c r="T547" s="123"/>
      <c r="U547" s="123"/>
      <c r="V547" s="123"/>
      <c r="W547" s="123"/>
      <c r="X547" s="123"/>
      <c r="Y547" s="123"/>
    </row>
    <row r="548" spans="2:25" s="235" customFormat="1" ht="13.8">
      <c r="B548" s="307"/>
      <c r="C548" s="307"/>
      <c r="D548" s="307"/>
      <c r="E548" s="307"/>
      <c r="F548" s="307"/>
      <c r="L548" s="123"/>
      <c r="M548" s="123"/>
      <c r="N548" s="123"/>
      <c r="O548" s="123"/>
      <c r="P548" s="123"/>
      <c r="Q548" s="123"/>
      <c r="R548" s="123"/>
      <c r="S548" s="123"/>
      <c r="T548" s="123"/>
      <c r="U548" s="123"/>
      <c r="V548" s="123"/>
      <c r="W548" s="123"/>
      <c r="X548" s="123"/>
      <c r="Y548" s="123"/>
    </row>
    <row r="549" spans="2:25" s="235" customFormat="1" ht="13.8">
      <c r="B549" s="307"/>
      <c r="C549" s="307"/>
      <c r="D549" s="307"/>
      <c r="E549" s="307"/>
      <c r="F549" s="307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</row>
    <row r="550" spans="2:25" s="235" customFormat="1" ht="13.8">
      <c r="B550" s="307"/>
      <c r="C550" s="307"/>
      <c r="D550" s="307"/>
      <c r="E550" s="307"/>
      <c r="F550" s="307"/>
      <c r="L550" s="123"/>
      <c r="M550" s="123"/>
      <c r="N550" s="123"/>
      <c r="O550" s="123"/>
      <c r="P550" s="123"/>
      <c r="Q550" s="123"/>
      <c r="R550" s="123"/>
      <c r="S550" s="123"/>
      <c r="T550" s="123"/>
      <c r="U550" s="123"/>
      <c r="V550" s="123"/>
      <c r="W550" s="123"/>
      <c r="X550" s="123"/>
      <c r="Y550" s="123"/>
    </row>
    <row r="551" spans="2:25" s="235" customFormat="1" ht="13.8">
      <c r="B551" s="307"/>
      <c r="C551" s="307"/>
      <c r="D551" s="307"/>
      <c r="E551" s="307"/>
      <c r="F551" s="307"/>
      <c r="L551" s="123"/>
      <c r="M551" s="123"/>
      <c r="N551" s="123"/>
      <c r="O551" s="123"/>
      <c r="P551" s="123"/>
      <c r="Q551" s="123"/>
      <c r="R551" s="123"/>
      <c r="S551" s="123"/>
      <c r="T551" s="123"/>
      <c r="U551" s="123"/>
      <c r="V551" s="123"/>
      <c r="W551" s="123"/>
      <c r="X551" s="123"/>
      <c r="Y551" s="123"/>
    </row>
    <row r="552" spans="2:25" s="235" customFormat="1" ht="13.8">
      <c r="B552" s="307"/>
      <c r="C552" s="307"/>
      <c r="D552" s="307"/>
      <c r="E552" s="307"/>
      <c r="F552" s="307"/>
      <c r="L552" s="123"/>
      <c r="M552" s="123"/>
      <c r="N552" s="123"/>
      <c r="O552" s="123"/>
      <c r="P552" s="123"/>
      <c r="Q552" s="123"/>
      <c r="R552" s="123"/>
      <c r="S552" s="123"/>
      <c r="T552" s="123"/>
      <c r="U552" s="123"/>
      <c r="V552" s="123"/>
      <c r="W552" s="123"/>
      <c r="X552" s="123"/>
      <c r="Y552" s="123"/>
    </row>
    <row r="553" spans="2:25" s="235" customFormat="1" ht="13.8">
      <c r="B553" s="307"/>
      <c r="C553" s="307"/>
      <c r="D553" s="307"/>
      <c r="E553" s="307"/>
      <c r="F553" s="307"/>
      <c r="L553" s="123"/>
      <c r="M553" s="123"/>
      <c r="N553" s="123"/>
      <c r="O553" s="123"/>
      <c r="P553" s="123"/>
      <c r="Q553" s="123"/>
      <c r="R553" s="123"/>
      <c r="S553" s="123"/>
      <c r="T553" s="123"/>
      <c r="U553" s="123"/>
      <c r="V553" s="123"/>
      <c r="W553" s="123"/>
      <c r="X553" s="123"/>
      <c r="Y553" s="123"/>
    </row>
    <row r="554" spans="2:25" s="235" customFormat="1" ht="13.8">
      <c r="B554" s="307"/>
      <c r="C554" s="307"/>
      <c r="D554" s="307"/>
      <c r="E554" s="307"/>
      <c r="F554" s="307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</row>
    <row r="555" spans="2:25" s="235" customFormat="1" ht="13.8">
      <c r="B555" s="307"/>
      <c r="C555" s="307"/>
      <c r="D555" s="307"/>
      <c r="E555" s="307"/>
      <c r="F555" s="307"/>
      <c r="L555" s="123"/>
      <c r="M555" s="123"/>
      <c r="N555" s="123"/>
      <c r="O555" s="123"/>
      <c r="P555" s="123"/>
      <c r="Q555" s="123"/>
      <c r="R555" s="123"/>
      <c r="S555" s="123"/>
      <c r="T555" s="123"/>
      <c r="U555" s="123"/>
      <c r="V555" s="123"/>
      <c r="W555" s="123"/>
      <c r="X555" s="123"/>
      <c r="Y555" s="123"/>
    </row>
    <row r="556" spans="2:25" s="235" customFormat="1" ht="13.8">
      <c r="B556" s="307"/>
      <c r="C556" s="307"/>
      <c r="D556" s="307"/>
      <c r="E556" s="307"/>
      <c r="F556" s="307"/>
      <c r="L556" s="123"/>
      <c r="M556" s="123"/>
      <c r="N556" s="123"/>
      <c r="O556" s="123"/>
      <c r="P556" s="123"/>
      <c r="Q556" s="123"/>
      <c r="R556" s="123"/>
      <c r="S556" s="123"/>
      <c r="T556" s="123"/>
      <c r="U556" s="123"/>
      <c r="V556" s="123"/>
      <c r="W556" s="123"/>
      <c r="X556" s="123"/>
      <c r="Y556" s="123"/>
    </row>
    <row r="557" spans="2:25" s="235" customFormat="1" ht="13.8">
      <c r="B557" s="307"/>
      <c r="C557" s="307"/>
      <c r="D557" s="307"/>
      <c r="E557" s="307"/>
      <c r="F557" s="307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</row>
    <row r="558" spans="2:25" s="235" customFormat="1" ht="13.8">
      <c r="B558" s="307"/>
      <c r="C558" s="307"/>
      <c r="D558" s="307"/>
      <c r="E558" s="307"/>
      <c r="F558" s="307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</row>
    <row r="559" spans="2:25" s="235" customFormat="1" ht="13.8">
      <c r="B559" s="307"/>
      <c r="C559" s="307"/>
      <c r="D559" s="307"/>
      <c r="E559" s="307"/>
      <c r="F559" s="307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</row>
    <row r="560" spans="2:25" s="235" customFormat="1" ht="13.8">
      <c r="B560" s="307"/>
      <c r="C560" s="307"/>
      <c r="D560" s="307"/>
      <c r="E560" s="307"/>
      <c r="F560" s="307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</row>
    <row r="561" spans="2:25" s="235" customFormat="1" ht="13.8">
      <c r="B561" s="307"/>
      <c r="C561" s="307"/>
      <c r="D561" s="307"/>
      <c r="E561" s="307"/>
      <c r="F561" s="307"/>
      <c r="L561" s="123"/>
      <c r="M561" s="123"/>
      <c r="N561" s="123"/>
      <c r="O561" s="123"/>
      <c r="P561" s="123"/>
      <c r="Q561" s="123"/>
      <c r="R561" s="123"/>
      <c r="S561" s="123"/>
      <c r="T561" s="123"/>
      <c r="U561" s="123"/>
      <c r="V561" s="123"/>
      <c r="W561" s="123"/>
      <c r="X561" s="123"/>
      <c r="Y561" s="123"/>
    </row>
    <row r="562" spans="2:25" s="235" customFormat="1" ht="13.8">
      <c r="B562" s="307"/>
      <c r="C562" s="307"/>
      <c r="D562" s="307"/>
      <c r="E562" s="307"/>
      <c r="F562" s="307"/>
      <c r="L562" s="123"/>
      <c r="M562" s="123"/>
      <c r="N562" s="123"/>
      <c r="O562" s="123"/>
      <c r="P562" s="123"/>
      <c r="Q562" s="123"/>
      <c r="R562" s="123"/>
      <c r="S562" s="123"/>
      <c r="T562" s="123"/>
      <c r="U562" s="123"/>
      <c r="V562" s="123"/>
      <c r="W562" s="123"/>
      <c r="X562" s="123"/>
      <c r="Y562" s="123"/>
    </row>
    <row r="563" spans="2:25" s="235" customFormat="1" ht="13.8">
      <c r="B563" s="307"/>
      <c r="C563" s="307"/>
      <c r="D563" s="307"/>
      <c r="E563" s="307"/>
      <c r="F563" s="307"/>
      <c r="L563" s="123"/>
      <c r="M563" s="123"/>
      <c r="N563" s="123"/>
      <c r="O563" s="123"/>
      <c r="P563" s="123"/>
      <c r="Q563" s="123"/>
      <c r="R563" s="123"/>
      <c r="S563" s="123"/>
      <c r="T563" s="123"/>
      <c r="U563" s="123"/>
      <c r="V563" s="123"/>
      <c r="W563" s="123"/>
      <c r="X563" s="123"/>
      <c r="Y563" s="123"/>
    </row>
    <row r="564" spans="2:25" s="235" customFormat="1" ht="13.8">
      <c r="B564" s="307"/>
      <c r="C564" s="307"/>
      <c r="D564" s="307"/>
      <c r="E564" s="307"/>
      <c r="F564" s="307"/>
      <c r="L564" s="123"/>
      <c r="M564" s="123"/>
      <c r="N564" s="123"/>
      <c r="O564" s="123"/>
      <c r="P564" s="123"/>
      <c r="Q564" s="123"/>
      <c r="R564" s="123"/>
      <c r="S564" s="123"/>
      <c r="T564" s="123"/>
      <c r="U564" s="123"/>
      <c r="V564" s="123"/>
      <c r="W564" s="123"/>
      <c r="X564" s="123"/>
      <c r="Y564" s="123"/>
    </row>
    <row r="565" spans="2:25" s="235" customFormat="1" ht="13.8">
      <c r="B565" s="307"/>
      <c r="C565" s="307"/>
      <c r="D565" s="307"/>
      <c r="E565" s="307"/>
      <c r="F565" s="307"/>
      <c r="L565" s="123"/>
      <c r="M565" s="123"/>
      <c r="N565" s="123"/>
      <c r="O565" s="123"/>
      <c r="P565" s="123"/>
      <c r="Q565" s="123"/>
      <c r="R565" s="123"/>
      <c r="S565" s="123"/>
      <c r="T565" s="123"/>
      <c r="U565" s="123"/>
      <c r="V565" s="123"/>
      <c r="W565" s="123"/>
      <c r="X565" s="123"/>
      <c r="Y565" s="123"/>
    </row>
    <row r="566" spans="2:25" s="235" customFormat="1" ht="13.8">
      <c r="B566" s="307"/>
      <c r="C566" s="307"/>
      <c r="D566" s="307"/>
      <c r="E566" s="307"/>
      <c r="F566" s="307"/>
      <c r="L566" s="123"/>
      <c r="M566" s="123"/>
      <c r="N566" s="123"/>
      <c r="O566" s="123"/>
      <c r="P566" s="123"/>
      <c r="Q566" s="123"/>
      <c r="R566" s="123"/>
      <c r="S566" s="123"/>
      <c r="T566" s="123"/>
      <c r="U566" s="123"/>
      <c r="V566" s="123"/>
      <c r="W566" s="123"/>
      <c r="X566" s="123"/>
      <c r="Y566" s="123"/>
    </row>
    <row r="567" spans="2:25" s="235" customFormat="1" ht="13.8">
      <c r="B567" s="307"/>
      <c r="C567" s="307"/>
      <c r="D567" s="307"/>
      <c r="E567" s="307"/>
      <c r="F567" s="307"/>
      <c r="L567" s="123"/>
      <c r="M567" s="123"/>
      <c r="N567" s="123"/>
      <c r="O567" s="123"/>
      <c r="P567" s="123"/>
      <c r="Q567" s="123"/>
      <c r="R567" s="123"/>
      <c r="S567" s="123"/>
      <c r="T567" s="123"/>
      <c r="U567" s="123"/>
      <c r="V567" s="123"/>
      <c r="W567" s="123"/>
      <c r="X567" s="123"/>
      <c r="Y567" s="123"/>
    </row>
    <row r="568" spans="2:25" s="235" customFormat="1" ht="13.8">
      <c r="B568" s="307"/>
      <c r="C568" s="307"/>
      <c r="D568" s="307"/>
      <c r="E568" s="307"/>
      <c r="F568" s="307"/>
      <c r="L568" s="123"/>
      <c r="M568" s="123"/>
      <c r="N568" s="123"/>
      <c r="O568" s="123"/>
      <c r="P568" s="123"/>
      <c r="Q568" s="123"/>
      <c r="R568" s="123"/>
      <c r="S568" s="123"/>
      <c r="T568" s="123"/>
      <c r="U568" s="123"/>
      <c r="V568" s="123"/>
      <c r="W568" s="123"/>
      <c r="X568" s="123"/>
      <c r="Y568" s="123"/>
    </row>
    <row r="569" spans="2:25" s="235" customFormat="1" ht="13.8">
      <c r="B569" s="307"/>
      <c r="C569" s="307"/>
      <c r="D569" s="307"/>
      <c r="E569" s="307"/>
      <c r="F569" s="307"/>
      <c r="L569" s="123"/>
      <c r="M569" s="123"/>
      <c r="N569" s="123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  <c r="Y569" s="123"/>
    </row>
    <row r="570" spans="2:25" s="235" customFormat="1" ht="13.8">
      <c r="B570" s="307"/>
      <c r="C570" s="307"/>
      <c r="D570" s="307"/>
      <c r="E570" s="307"/>
      <c r="F570" s="307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</row>
    <row r="571" spans="2:25" s="235" customFormat="1" ht="13.8">
      <c r="B571" s="307"/>
      <c r="C571" s="307"/>
      <c r="D571" s="307"/>
      <c r="E571" s="307"/>
      <c r="F571" s="307"/>
      <c r="L571" s="123"/>
      <c r="M571" s="123"/>
      <c r="N571" s="123"/>
      <c r="O571" s="123"/>
      <c r="P571" s="123"/>
      <c r="Q571" s="123"/>
      <c r="R571" s="123"/>
      <c r="S571" s="123"/>
      <c r="T571" s="123"/>
      <c r="U571" s="123"/>
      <c r="V571" s="123"/>
      <c r="W571" s="123"/>
      <c r="X571" s="123"/>
      <c r="Y571" s="123"/>
    </row>
    <row r="572" spans="2:25" s="235" customFormat="1" ht="13.8">
      <c r="B572" s="307"/>
      <c r="C572" s="307"/>
      <c r="D572" s="307"/>
      <c r="E572" s="307"/>
      <c r="F572" s="307"/>
      <c r="L572" s="123"/>
      <c r="M572" s="123"/>
      <c r="N572" s="123"/>
      <c r="O572" s="123"/>
      <c r="P572" s="123"/>
      <c r="Q572" s="123"/>
      <c r="R572" s="123"/>
      <c r="S572" s="123"/>
      <c r="T572" s="123"/>
      <c r="U572" s="123"/>
      <c r="V572" s="123"/>
      <c r="W572" s="123"/>
      <c r="X572" s="123"/>
      <c r="Y572" s="123"/>
    </row>
    <row r="573" spans="2:25" s="235" customFormat="1" ht="13.8">
      <c r="B573" s="307"/>
      <c r="C573" s="307"/>
      <c r="D573" s="307"/>
      <c r="E573" s="307"/>
      <c r="F573" s="307"/>
      <c r="L573" s="123"/>
      <c r="M573" s="123"/>
      <c r="N573" s="123"/>
      <c r="O573" s="123"/>
      <c r="P573" s="123"/>
      <c r="Q573" s="123"/>
      <c r="R573" s="123"/>
      <c r="S573" s="123"/>
      <c r="T573" s="123"/>
      <c r="U573" s="123"/>
      <c r="V573" s="123"/>
      <c r="W573" s="123"/>
      <c r="X573" s="123"/>
      <c r="Y573" s="123"/>
    </row>
    <row r="574" spans="2:25" s="235" customFormat="1" ht="13.8">
      <c r="B574" s="307"/>
      <c r="C574" s="307"/>
      <c r="D574" s="307"/>
      <c r="E574" s="307"/>
      <c r="F574" s="307"/>
      <c r="L574" s="123"/>
      <c r="M574" s="123"/>
      <c r="N574" s="123"/>
      <c r="O574" s="123"/>
      <c r="P574" s="123"/>
      <c r="Q574" s="123"/>
      <c r="R574" s="123"/>
      <c r="S574" s="123"/>
      <c r="T574" s="123"/>
      <c r="U574" s="123"/>
      <c r="V574" s="123"/>
      <c r="W574" s="123"/>
      <c r="X574" s="123"/>
      <c r="Y574" s="123"/>
    </row>
    <row r="575" spans="2:25" s="235" customFormat="1" ht="13.8">
      <c r="B575" s="307"/>
      <c r="C575" s="307"/>
      <c r="D575" s="307"/>
      <c r="E575" s="307"/>
      <c r="F575" s="307"/>
      <c r="L575" s="123"/>
      <c r="M575" s="123"/>
      <c r="N575" s="123"/>
      <c r="O575" s="123"/>
      <c r="P575" s="123"/>
      <c r="Q575" s="123"/>
      <c r="R575" s="123"/>
      <c r="S575" s="123"/>
      <c r="T575" s="123"/>
      <c r="U575" s="123"/>
      <c r="V575" s="123"/>
      <c r="W575" s="123"/>
      <c r="X575" s="123"/>
      <c r="Y575" s="123"/>
    </row>
    <row r="576" spans="2:25" s="235" customFormat="1" ht="13.8">
      <c r="B576" s="307"/>
      <c r="C576" s="307"/>
      <c r="D576" s="307"/>
      <c r="E576" s="307"/>
      <c r="F576" s="307"/>
      <c r="L576" s="123"/>
      <c r="M576" s="123"/>
      <c r="N576" s="123"/>
      <c r="O576" s="123"/>
      <c r="P576" s="123"/>
      <c r="Q576" s="123"/>
      <c r="R576" s="123"/>
      <c r="S576" s="123"/>
      <c r="T576" s="123"/>
      <c r="U576" s="123"/>
      <c r="V576" s="123"/>
      <c r="W576" s="123"/>
      <c r="X576" s="123"/>
      <c r="Y576" s="123"/>
    </row>
    <row r="577" spans="2:25" s="235" customFormat="1" ht="13.8">
      <c r="B577" s="307"/>
      <c r="C577" s="307"/>
      <c r="D577" s="307"/>
      <c r="E577" s="307"/>
      <c r="F577" s="307"/>
      <c r="L577" s="123"/>
      <c r="M577" s="123"/>
      <c r="N577" s="123"/>
      <c r="O577" s="123"/>
      <c r="P577" s="123"/>
      <c r="Q577" s="123"/>
      <c r="R577" s="123"/>
      <c r="S577" s="123"/>
      <c r="T577" s="123"/>
      <c r="U577" s="123"/>
      <c r="V577" s="123"/>
      <c r="W577" s="123"/>
      <c r="X577" s="123"/>
      <c r="Y577" s="123"/>
    </row>
    <row r="578" spans="2:25" s="235" customFormat="1" ht="13.8">
      <c r="B578" s="307"/>
      <c r="C578" s="307"/>
      <c r="D578" s="307"/>
      <c r="E578" s="307"/>
      <c r="F578" s="307"/>
      <c r="L578" s="123"/>
      <c r="M578" s="123"/>
      <c r="N578" s="123"/>
      <c r="O578" s="123"/>
      <c r="P578" s="123"/>
      <c r="Q578" s="123"/>
      <c r="R578" s="123"/>
      <c r="S578" s="123"/>
      <c r="T578" s="123"/>
      <c r="U578" s="123"/>
      <c r="V578" s="123"/>
      <c r="W578" s="123"/>
      <c r="X578" s="123"/>
      <c r="Y578" s="123"/>
    </row>
    <row r="579" spans="2:25" s="235" customFormat="1" ht="13.8">
      <c r="B579" s="307"/>
      <c r="C579" s="307"/>
      <c r="D579" s="307"/>
      <c r="E579" s="307"/>
      <c r="F579" s="307"/>
      <c r="L579" s="123"/>
      <c r="M579" s="123"/>
      <c r="N579" s="123"/>
      <c r="O579" s="123"/>
      <c r="P579" s="123"/>
      <c r="Q579" s="123"/>
      <c r="R579" s="123"/>
      <c r="S579" s="123"/>
      <c r="T579" s="123"/>
      <c r="U579" s="123"/>
      <c r="V579" s="123"/>
      <c r="W579" s="123"/>
      <c r="X579" s="123"/>
      <c r="Y579" s="123"/>
    </row>
    <row r="580" spans="2:25" s="235" customFormat="1" ht="13.8">
      <c r="B580" s="307"/>
      <c r="C580" s="307"/>
      <c r="D580" s="307"/>
      <c r="E580" s="307"/>
      <c r="F580" s="307"/>
      <c r="L580" s="123"/>
      <c r="M580" s="123"/>
      <c r="N580" s="123"/>
      <c r="O580" s="123"/>
      <c r="P580" s="123"/>
      <c r="Q580" s="123"/>
      <c r="R580" s="123"/>
      <c r="S580" s="123"/>
      <c r="T580" s="123"/>
      <c r="U580" s="123"/>
      <c r="V580" s="123"/>
      <c r="W580" s="123"/>
      <c r="X580" s="123"/>
      <c r="Y580" s="123"/>
    </row>
    <row r="581" spans="2:25" s="235" customFormat="1" ht="13.8">
      <c r="B581" s="307"/>
      <c r="C581" s="307"/>
      <c r="D581" s="307"/>
      <c r="E581" s="307"/>
      <c r="F581" s="307"/>
      <c r="L581" s="123"/>
      <c r="M581" s="123"/>
      <c r="N581" s="123"/>
      <c r="O581" s="123"/>
      <c r="P581" s="123"/>
      <c r="Q581" s="123"/>
      <c r="R581" s="123"/>
      <c r="S581" s="123"/>
      <c r="T581" s="123"/>
      <c r="U581" s="123"/>
      <c r="V581" s="123"/>
      <c r="W581" s="123"/>
      <c r="X581" s="123"/>
      <c r="Y581" s="123"/>
    </row>
    <row r="582" spans="2:25" s="235" customFormat="1" ht="13.8">
      <c r="B582" s="307"/>
      <c r="C582" s="307"/>
      <c r="D582" s="307"/>
      <c r="E582" s="307"/>
      <c r="F582" s="307"/>
      <c r="L582" s="123"/>
      <c r="M582" s="123"/>
      <c r="N582" s="123"/>
      <c r="O582" s="123"/>
      <c r="P582" s="123"/>
      <c r="Q582" s="123"/>
      <c r="R582" s="123"/>
      <c r="S582" s="123"/>
      <c r="T582" s="123"/>
      <c r="U582" s="123"/>
      <c r="V582" s="123"/>
      <c r="W582" s="123"/>
      <c r="X582" s="123"/>
      <c r="Y582" s="123"/>
    </row>
    <row r="583" spans="2:25" s="235" customFormat="1" ht="13.8">
      <c r="B583" s="307"/>
      <c r="C583" s="307"/>
      <c r="D583" s="307"/>
      <c r="E583" s="307"/>
      <c r="F583" s="307"/>
      <c r="L583" s="123"/>
      <c r="M583" s="123"/>
      <c r="N583" s="123"/>
      <c r="O583" s="123"/>
      <c r="P583" s="123"/>
      <c r="Q583" s="123"/>
      <c r="R583" s="123"/>
      <c r="S583" s="123"/>
      <c r="T583" s="123"/>
      <c r="U583" s="123"/>
      <c r="V583" s="123"/>
      <c r="W583" s="123"/>
      <c r="X583" s="123"/>
      <c r="Y583" s="123"/>
    </row>
    <row r="584" spans="2:25" s="235" customFormat="1" ht="13.8">
      <c r="B584" s="307"/>
      <c r="C584" s="307"/>
      <c r="D584" s="307"/>
      <c r="E584" s="307"/>
      <c r="F584" s="307"/>
      <c r="L584" s="123"/>
      <c r="M584" s="123"/>
      <c r="N584" s="123"/>
      <c r="O584" s="123"/>
      <c r="P584" s="123"/>
      <c r="Q584" s="123"/>
      <c r="R584" s="123"/>
      <c r="S584" s="123"/>
      <c r="T584" s="123"/>
      <c r="U584" s="123"/>
      <c r="V584" s="123"/>
      <c r="W584" s="123"/>
      <c r="X584" s="123"/>
      <c r="Y584" s="123"/>
    </row>
    <row r="585" spans="2:25" s="235" customFormat="1" ht="13.8">
      <c r="B585" s="307"/>
      <c r="C585" s="307"/>
      <c r="D585" s="307"/>
      <c r="E585" s="307"/>
      <c r="F585" s="307"/>
      <c r="L585" s="123"/>
      <c r="M585" s="123"/>
      <c r="N585" s="123"/>
      <c r="O585" s="123"/>
      <c r="P585" s="123"/>
      <c r="Q585" s="123"/>
      <c r="R585" s="123"/>
      <c r="S585" s="123"/>
      <c r="T585" s="123"/>
      <c r="U585" s="123"/>
      <c r="V585" s="123"/>
      <c r="W585" s="123"/>
      <c r="X585" s="123"/>
      <c r="Y585" s="123"/>
    </row>
    <row r="586" spans="2:25" s="235" customFormat="1" ht="13.8">
      <c r="B586" s="307"/>
      <c r="C586" s="307"/>
      <c r="D586" s="307"/>
      <c r="E586" s="307"/>
      <c r="F586" s="307"/>
      <c r="L586" s="123"/>
      <c r="M586" s="123"/>
      <c r="N586" s="123"/>
      <c r="O586" s="123"/>
      <c r="P586" s="123"/>
      <c r="Q586" s="123"/>
      <c r="R586" s="123"/>
      <c r="S586" s="123"/>
      <c r="T586" s="123"/>
      <c r="U586" s="123"/>
      <c r="V586" s="123"/>
      <c r="W586" s="123"/>
      <c r="X586" s="123"/>
      <c r="Y586" s="123"/>
    </row>
    <row r="587" spans="2:25" s="235" customFormat="1" ht="13.8">
      <c r="B587" s="307"/>
      <c r="C587" s="307"/>
      <c r="D587" s="307"/>
      <c r="E587" s="307"/>
      <c r="F587" s="307"/>
      <c r="L587" s="123"/>
      <c r="M587" s="123"/>
      <c r="N587" s="123"/>
      <c r="O587" s="123"/>
      <c r="P587" s="123"/>
      <c r="Q587" s="123"/>
      <c r="R587" s="123"/>
      <c r="S587" s="123"/>
      <c r="T587" s="123"/>
      <c r="U587" s="123"/>
      <c r="V587" s="123"/>
      <c r="W587" s="123"/>
      <c r="X587" s="123"/>
      <c r="Y587" s="123"/>
    </row>
    <row r="588" spans="2:25" s="235" customFormat="1" ht="13.8">
      <c r="B588" s="307"/>
      <c r="C588" s="307"/>
      <c r="D588" s="307"/>
      <c r="E588" s="307"/>
      <c r="F588" s="307"/>
      <c r="L588" s="123"/>
      <c r="M588" s="123"/>
      <c r="N588" s="123"/>
      <c r="O588" s="123"/>
      <c r="P588" s="123"/>
      <c r="Q588" s="123"/>
      <c r="R588" s="123"/>
      <c r="S588" s="123"/>
      <c r="T588" s="123"/>
      <c r="U588" s="123"/>
      <c r="V588" s="123"/>
      <c r="W588" s="123"/>
      <c r="X588" s="123"/>
      <c r="Y588" s="123"/>
    </row>
    <row r="589" spans="2:25" s="235" customFormat="1" ht="13.8">
      <c r="B589" s="307"/>
      <c r="C589" s="307"/>
      <c r="D589" s="307"/>
      <c r="E589" s="307"/>
      <c r="F589" s="307"/>
      <c r="L589" s="123"/>
      <c r="M589" s="123"/>
      <c r="N589" s="123"/>
      <c r="O589" s="123"/>
      <c r="P589" s="123"/>
      <c r="Q589" s="123"/>
      <c r="R589" s="123"/>
      <c r="S589" s="123"/>
      <c r="T589" s="123"/>
      <c r="U589" s="123"/>
      <c r="V589" s="123"/>
      <c r="W589" s="123"/>
      <c r="X589" s="123"/>
      <c r="Y589" s="123"/>
    </row>
    <row r="590" spans="2:25" s="235" customFormat="1" ht="13.8">
      <c r="B590" s="307"/>
      <c r="C590" s="307"/>
      <c r="D590" s="307"/>
      <c r="E590" s="307"/>
      <c r="F590" s="307"/>
      <c r="L590" s="123"/>
      <c r="M590" s="123"/>
      <c r="N590" s="123"/>
      <c r="O590" s="123"/>
      <c r="P590" s="123"/>
      <c r="Q590" s="123"/>
      <c r="R590" s="123"/>
      <c r="S590" s="123"/>
      <c r="T590" s="123"/>
      <c r="U590" s="123"/>
      <c r="V590" s="123"/>
      <c r="W590" s="123"/>
      <c r="X590" s="123"/>
      <c r="Y590" s="123"/>
    </row>
    <row r="591" spans="2:25" s="235" customFormat="1" ht="13.8">
      <c r="B591" s="307"/>
      <c r="C591" s="307"/>
      <c r="D591" s="307"/>
      <c r="E591" s="307"/>
      <c r="F591" s="307"/>
      <c r="L591" s="123"/>
      <c r="M591" s="123"/>
      <c r="N591" s="123"/>
      <c r="O591" s="123"/>
      <c r="P591" s="123"/>
      <c r="Q591" s="123"/>
      <c r="R591" s="123"/>
      <c r="S591" s="123"/>
      <c r="T591" s="123"/>
      <c r="U591" s="123"/>
      <c r="V591" s="123"/>
      <c r="W591" s="123"/>
      <c r="X591" s="123"/>
      <c r="Y591" s="123"/>
    </row>
    <row r="592" spans="2:25" s="235" customFormat="1" ht="13.8">
      <c r="B592" s="307"/>
      <c r="C592" s="307"/>
      <c r="D592" s="307"/>
      <c r="E592" s="307"/>
      <c r="F592" s="307"/>
      <c r="L592" s="123"/>
      <c r="M592" s="123"/>
      <c r="N592" s="123"/>
      <c r="O592" s="123"/>
      <c r="P592" s="123"/>
      <c r="Q592" s="123"/>
      <c r="R592" s="123"/>
      <c r="S592" s="123"/>
      <c r="T592" s="123"/>
      <c r="U592" s="123"/>
      <c r="V592" s="123"/>
      <c r="W592" s="123"/>
      <c r="X592" s="123"/>
      <c r="Y592" s="123"/>
    </row>
    <row r="593" spans="2:25" s="235" customFormat="1" ht="13.8">
      <c r="B593" s="307"/>
      <c r="C593" s="307"/>
      <c r="D593" s="307"/>
      <c r="E593" s="307"/>
      <c r="F593" s="307"/>
      <c r="L593" s="123"/>
      <c r="M593" s="123"/>
      <c r="N593" s="123"/>
      <c r="O593" s="123"/>
      <c r="P593" s="123"/>
      <c r="Q593" s="123"/>
      <c r="R593" s="123"/>
      <c r="S593" s="123"/>
      <c r="T593" s="123"/>
      <c r="U593" s="123"/>
      <c r="V593" s="123"/>
      <c r="W593" s="123"/>
      <c r="X593" s="123"/>
      <c r="Y593" s="123"/>
    </row>
    <row r="594" spans="2:25" s="235" customFormat="1" ht="13.8">
      <c r="B594" s="307"/>
      <c r="C594" s="307"/>
      <c r="D594" s="307"/>
      <c r="E594" s="307"/>
      <c r="F594" s="307"/>
      <c r="L594" s="123"/>
      <c r="M594" s="123"/>
      <c r="N594" s="123"/>
      <c r="O594" s="123"/>
      <c r="P594" s="123"/>
      <c r="Q594" s="123"/>
      <c r="R594" s="123"/>
      <c r="S594" s="123"/>
      <c r="T594" s="123"/>
      <c r="U594" s="123"/>
      <c r="V594" s="123"/>
      <c r="W594" s="123"/>
      <c r="X594" s="123"/>
      <c r="Y594" s="123"/>
    </row>
    <row r="595" spans="2:25" s="235" customFormat="1" ht="13.8">
      <c r="B595" s="307"/>
      <c r="C595" s="307"/>
      <c r="D595" s="307"/>
      <c r="E595" s="307"/>
      <c r="F595" s="307"/>
      <c r="L595" s="123"/>
      <c r="M595" s="123"/>
      <c r="N595" s="123"/>
      <c r="O595" s="123"/>
      <c r="P595" s="123"/>
      <c r="Q595" s="123"/>
      <c r="R595" s="123"/>
      <c r="S595" s="123"/>
      <c r="T595" s="123"/>
      <c r="U595" s="123"/>
      <c r="V595" s="123"/>
      <c r="W595" s="123"/>
      <c r="X595" s="123"/>
      <c r="Y595" s="123"/>
    </row>
    <row r="596" spans="2:25" s="235" customFormat="1" ht="13.8">
      <c r="B596" s="307"/>
      <c r="C596" s="307"/>
      <c r="D596" s="307"/>
      <c r="E596" s="307"/>
      <c r="F596" s="307"/>
      <c r="L596" s="123"/>
      <c r="M596" s="123"/>
      <c r="N596" s="123"/>
      <c r="O596" s="123"/>
      <c r="P596" s="123"/>
      <c r="Q596" s="123"/>
      <c r="R596" s="123"/>
      <c r="S596" s="123"/>
      <c r="T596" s="123"/>
      <c r="U596" s="123"/>
      <c r="V596" s="123"/>
      <c r="W596" s="123"/>
      <c r="X596" s="123"/>
      <c r="Y596" s="123"/>
    </row>
    <row r="597" spans="2:25" s="235" customFormat="1" ht="13.8">
      <c r="B597" s="307"/>
      <c r="C597" s="307"/>
      <c r="D597" s="307"/>
      <c r="E597" s="307"/>
      <c r="F597" s="307"/>
      <c r="L597" s="123"/>
      <c r="M597" s="123"/>
      <c r="N597" s="123"/>
      <c r="O597" s="123"/>
      <c r="P597" s="123"/>
      <c r="Q597" s="123"/>
      <c r="R597" s="123"/>
      <c r="S597" s="123"/>
      <c r="T597" s="123"/>
      <c r="U597" s="123"/>
      <c r="V597" s="123"/>
      <c r="W597" s="123"/>
      <c r="X597" s="123"/>
      <c r="Y597" s="123"/>
    </row>
    <row r="598" spans="2:25" s="235" customFormat="1" ht="13.8">
      <c r="B598" s="307"/>
      <c r="C598" s="307"/>
      <c r="D598" s="307"/>
      <c r="E598" s="307"/>
      <c r="F598" s="307"/>
      <c r="L598" s="123"/>
      <c r="M598" s="123"/>
      <c r="N598" s="123"/>
      <c r="O598" s="123"/>
      <c r="P598" s="123"/>
      <c r="Q598" s="123"/>
      <c r="R598" s="123"/>
      <c r="S598" s="123"/>
      <c r="T598" s="123"/>
      <c r="U598" s="123"/>
      <c r="V598" s="123"/>
      <c r="W598" s="123"/>
      <c r="X598" s="123"/>
      <c r="Y598" s="123"/>
    </row>
    <row r="599" spans="2:25" s="235" customFormat="1" ht="13.8">
      <c r="B599" s="307"/>
      <c r="C599" s="307"/>
      <c r="D599" s="307"/>
      <c r="E599" s="307"/>
      <c r="F599" s="307"/>
      <c r="L599" s="123"/>
      <c r="M599" s="123"/>
      <c r="N599" s="123"/>
      <c r="O599" s="123"/>
      <c r="P599" s="123"/>
      <c r="Q599" s="123"/>
      <c r="R599" s="123"/>
      <c r="S599" s="123"/>
      <c r="T599" s="123"/>
      <c r="U599" s="123"/>
      <c r="V599" s="123"/>
      <c r="W599" s="123"/>
      <c r="X599" s="123"/>
      <c r="Y599" s="123"/>
    </row>
    <row r="600" spans="2:25" s="235" customFormat="1" ht="13.8">
      <c r="B600" s="307"/>
      <c r="C600" s="307"/>
      <c r="D600" s="307"/>
      <c r="E600" s="307"/>
      <c r="F600" s="307"/>
      <c r="L600" s="123"/>
      <c r="M600" s="123"/>
      <c r="N600" s="123"/>
      <c r="O600" s="123"/>
      <c r="P600" s="123"/>
      <c r="Q600" s="123"/>
      <c r="R600" s="123"/>
      <c r="S600" s="123"/>
      <c r="T600" s="123"/>
      <c r="U600" s="123"/>
      <c r="V600" s="123"/>
      <c r="W600" s="123"/>
      <c r="X600" s="123"/>
      <c r="Y600" s="123"/>
    </row>
    <row r="601" spans="2:25" s="235" customFormat="1" ht="13.8">
      <c r="B601" s="307"/>
      <c r="C601" s="307"/>
      <c r="D601" s="307"/>
      <c r="E601" s="307"/>
      <c r="F601" s="307"/>
      <c r="L601" s="123"/>
      <c r="M601" s="123"/>
      <c r="N601" s="123"/>
      <c r="O601" s="123"/>
      <c r="P601" s="123"/>
      <c r="Q601" s="123"/>
      <c r="R601" s="123"/>
      <c r="S601" s="123"/>
      <c r="T601" s="123"/>
      <c r="U601" s="123"/>
      <c r="V601" s="123"/>
      <c r="W601" s="123"/>
      <c r="X601" s="123"/>
      <c r="Y601" s="123"/>
    </row>
    <row r="602" spans="2:25" s="235" customFormat="1" ht="13.8">
      <c r="B602" s="307"/>
      <c r="C602" s="307"/>
      <c r="D602" s="307"/>
      <c r="E602" s="307"/>
      <c r="F602" s="307"/>
      <c r="L602" s="123"/>
      <c r="M602" s="123"/>
      <c r="N602" s="123"/>
      <c r="O602" s="123"/>
      <c r="P602" s="123"/>
      <c r="Q602" s="123"/>
      <c r="R602" s="123"/>
      <c r="S602" s="123"/>
      <c r="T602" s="123"/>
      <c r="U602" s="123"/>
      <c r="V602" s="123"/>
      <c r="W602" s="123"/>
      <c r="X602" s="123"/>
      <c r="Y602" s="123"/>
    </row>
    <row r="603" spans="2:25" s="235" customFormat="1" ht="13.8">
      <c r="B603" s="307"/>
      <c r="C603" s="307"/>
      <c r="D603" s="307"/>
      <c r="E603" s="307"/>
      <c r="F603" s="307"/>
      <c r="L603" s="123"/>
      <c r="M603" s="123"/>
      <c r="N603" s="123"/>
      <c r="O603" s="123"/>
      <c r="P603" s="123"/>
      <c r="Q603" s="123"/>
      <c r="R603" s="123"/>
      <c r="S603" s="123"/>
      <c r="T603" s="123"/>
      <c r="U603" s="123"/>
      <c r="V603" s="123"/>
      <c r="W603" s="123"/>
      <c r="X603" s="123"/>
      <c r="Y603" s="123"/>
    </row>
    <row r="604" spans="2:25" s="235" customFormat="1" ht="13.8">
      <c r="B604" s="307"/>
      <c r="C604" s="307"/>
      <c r="D604" s="307"/>
      <c r="E604" s="307"/>
      <c r="F604" s="307"/>
      <c r="L604" s="123"/>
      <c r="M604" s="123"/>
      <c r="N604" s="123"/>
      <c r="O604" s="123"/>
      <c r="P604" s="123"/>
      <c r="Q604" s="123"/>
      <c r="R604" s="123"/>
      <c r="S604" s="123"/>
      <c r="T604" s="123"/>
      <c r="U604" s="123"/>
      <c r="V604" s="123"/>
      <c r="W604" s="123"/>
      <c r="X604" s="123"/>
      <c r="Y604" s="123"/>
    </row>
    <row r="605" spans="2:25" s="235" customFormat="1" ht="13.8">
      <c r="B605" s="307"/>
      <c r="C605" s="307"/>
      <c r="D605" s="307"/>
      <c r="E605" s="307"/>
      <c r="F605" s="307"/>
      <c r="L605" s="123"/>
      <c r="M605" s="123"/>
      <c r="N605" s="123"/>
      <c r="O605" s="123"/>
      <c r="P605" s="123"/>
      <c r="Q605" s="123"/>
      <c r="R605" s="123"/>
      <c r="S605" s="123"/>
      <c r="T605" s="123"/>
      <c r="U605" s="123"/>
      <c r="V605" s="123"/>
      <c r="W605" s="123"/>
      <c r="X605" s="123"/>
      <c r="Y605" s="123"/>
    </row>
    <row r="606" spans="2:25" s="235" customFormat="1" ht="13.8">
      <c r="B606" s="307"/>
      <c r="C606" s="307"/>
      <c r="D606" s="307"/>
      <c r="E606" s="307"/>
      <c r="F606" s="307"/>
      <c r="L606" s="123"/>
      <c r="M606" s="123"/>
      <c r="N606" s="123"/>
      <c r="O606" s="123"/>
      <c r="P606" s="123"/>
      <c r="Q606" s="123"/>
      <c r="R606" s="123"/>
      <c r="S606" s="123"/>
      <c r="T606" s="123"/>
      <c r="U606" s="123"/>
      <c r="V606" s="123"/>
      <c r="W606" s="123"/>
      <c r="X606" s="123"/>
      <c r="Y606" s="123"/>
    </row>
    <row r="607" spans="2:25" s="235" customFormat="1" ht="13.8">
      <c r="B607" s="307"/>
      <c r="C607" s="307"/>
      <c r="D607" s="307"/>
      <c r="E607" s="307"/>
      <c r="F607" s="307"/>
      <c r="L607" s="123"/>
      <c r="M607" s="123"/>
      <c r="N607" s="123"/>
      <c r="O607" s="123"/>
      <c r="P607" s="123"/>
      <c r="Q607" s="123"/>
      <c r="R607" s="123"/>
      <c r="S607" s="123"/>
      <c r="T607" s="123"/>
      <c r="U607" s="123"/>
      <c r="V607" s="123"/>
      <c r="W607" s="123"/>
      <c r="X607" s="123"/>
      <c r="Y607" s="123"/>
    </row>
    <row r="608" spans="2:25" s="235" customFormat="1" ht="13.8">
      <c r="B608" s="307"/>
      <c r="C608" s="307"/>
      <c r="D608" s="307"/>
      <c r="E608" s="307"/>
      <c r="F608" s="307"/>
      <c r="L608" s="123"/>
      <c r="M608" s="123"/>
      <c r="N608" s="123"/>
      <c r="O608" s="123"/>
      <c r="P608" s="123"/>
      <c r="Q608" s="123"/>
      <c r="R608" s="123"/>
      <c r="S608" s="123"/>
      <c r="T608" s="123"/>
      <c r="U608" s="123"/>
      <c r="V608" s="123"/>
      <c r="W608" s="123"/>
      <c r="X608" s="123"/>
      <c r="Y608" s="123"/>
    </row>
    <row r="609" spans="2:25" s="235" customFormat="1" ht="13.8">
      <c r="B609" s="307"/>
      <c r="C609" s="307"/>
      <c r="D609" s="307"/>
      <c r="E609" s="307"/>
      <c r="F609" s="307"/>
      <c r="L609" s="123"/>
      <c r="M609" s="123"/>
      <c r="N609" s="123"/>
      <c r="O609" s="123"/>
      <c r="P609" s="123"/>
      <c r="Q609" s="123"/>
      <c r="R609" s="123"/>
      <c r="S609" s="123"/>
      <c r="T609" s="123"/>
      <c r="U609" s="123"/>
      <c r="V609" s="123"/>
      <c r="W609" s="123"/>
      <c r="X609" s="123"/>
      <c r="Y609" s="123"/>
    </row>
    <row r="610" spans="2:25" s="235" customFormat="1" ht="13.8">
      <c r="B610" s="307"/>
      <c r="C610" s="307"/>
      <c r="D610" s="307"/>
      <c r="E610" s="307"/>
      <c r="F610" s="307"/>
      <c r="L610" s="123"/>
      <c r="M610" s="123"/>
      <c r="N610" s="123"/>
      <c r="O610" s="123"/>
      <c r="P610" s="123"/>
      <c r="Q610" s="123"/>
      <c r="R610" s="123"/>
      <c r="S610" s="123"/>
      <c r="T610" s="123"/>
      <c r="U610" s="123"/>
      <c r="V610" s="123"/>
      <c r="W610" s="123"/>
      <c r="X610" s="123"/>
      <c r="Y610" s="123"/>
    </row>
    <row r="611" spans="2:25" s="235" customFormat="1" ht="13.8">
      <c r="B611" s="307"/>
      <c r="C611" s="307"/>
      <c r="D611" s="307"/>
      <c r="E611" s="307"/>
      <c r="F611" s="307"/>
      <c r="L611" s="123"/>
      <c r="M611" s="123"/>
      <c r="N611" s="123"/>
      <c r="O611" s="123"/>
      <c r="P611" s="123"/>
      <c r="Q611" s="123"/>
      <c r="R611" s="123"/>
      <c r="S611" s="123"/>
      <c r="T611" s="123"/>
      <c r="U611" s="123"/>
      <c r="V611" s="123"/>
      <c r="W611" s="123"/>
      <c r="X611" s="123"/>
      <c r="Y611" s="123"/>
    </row>
    <row r="612" spans="2:25" s="235" customFormat="1" ht="13.8">
      <c r="B612" s="307"/>
      <c r="C612" s="307"/>
      <c r="D612" s="307"/>
      <c r="E612" s="307"/>
      <c r="F612" s="307"/>
      <c r="L612" s="123"/>
      <c r="M612" s="123"/>
      <c r="N612" s="123"/>
      <c r="O612" s="123"/>
      <c r="P612" s="123"/>
      <c r="Q612" s="123"/>
      <c r="R612" s="123"/>
      <c r="S612" s="123"/>
      <c r="T612" s="123"/>
      <c r="U612" s="123"/>
      <c r="V612" s="123"/>
      <c r="W612" s="123"/>
      <c r="X612" s="123"/>
      <c r="Y612" s="123"/>
    </row>
    <row r="613" spans="2:25" s="235" customFormat="1" ht="13.8">
      <c r="B613" s="307"/>
      <c r="C613" s="307"/>
      <c r="D613" s="307"/>
      <c r="E613" s="307"/>
      <c r="F613" s="307"/>
      <c r="L613" s="123"/>
      <c r="M613" s="123"/>
      <c r="N613" s="123"/>
      <c r="O613" s="123"/>
      <c r="P613" s="123"/>
      <c r="Q613" s="123"/>
      <c r="R613" s="123"/>
      <c r="S613" s="123"/>
      <c r="T613" s="123"/>
      <c r="U613" s="123"/>
      <c r="V613" s="123"/>
      <c r="W613" s="123"/>
      <c r="X613" s="123"/>
      <c r="Y613" s="123"/>
    </row>
    <row r="614" spans="2:25" s="235" customFormat="1" ht="13.8">
      <c r="B614" s="307"/>
      <c r="C614" s="307"/>
      <c r="D614" s="307"/>
      <c r="E614" s="307"/>
      <c r="F614" s="307"/>
      <c r="L614" s="123"/>
      <c r="M614" s="123"/>
      <c r="N614" s="123"/>
      <c r="O614" s="123"/>
      <c r="P614" s="123"/>
      <c r="Q614" s="123"/>
      <c r="R614" s="123"/>
      <c r="S614" s="123"/>
      <c r="T614" s="123"/>
      <c r="U614" s="123"/>
      <c r="V614" s="123"/>
      <c r="W614" s="123"/>
      <c r="X614" s="123"/>
      <c r="Y614" s="123"/>
    </row>
    <row r="615" spans="2:25" s="235" customFormat="1" ht="13.8">
      <c r="B615" s="307"/>
      <c r="C615" s="307"/>
      <c r="D615" s="307"/>
      <c r="E615" s="307"/>
      <c r="F615" s="307"/>
      <c r="L615" s="123"/>
      <c r="M615" s="123"/>
      <c r="N615" s="123"/>
      <c r="O615" s="123"/>
      <c r="P615" s="123"/>
      <c r="Q615" s="123"/>
      <c r="R615" s="123"/>
      <c r="S615" s="123"/>
      <c r="T615" s="123"/>
      <c r="U615" s="123"/>
      <c r="V615" s="123"/>
      <c r="W615" s="123"/>
      <c r="X615" s="123"/>
      <c r="Y615" s="123"/>
    </row>
    <row r="616" spans="2:25" s="235" customFormat="1" ht="13.8">
      <c r="B616" s="307"/>
      <c r="C616" s="307"/>
      <c r="D616" s="307"/>
      <c r="E616" s="307"/>
      <c r="F616" s="307"/>
      <c r="L616" s="123"/>
      <c r="M616" s="123"/>
      <c r="N616" s="123"/>
      <c r="O616" s="123"/>
      <c r="P616" s="123"/>
      <c r="Q616" s="123"/>
      <c r="R616" s="123"/>
      <c r="S616" s="123"/>
      <c r="T616" s="123"/>
      <c r="U616" s="123"/>
      <c r="V616" s="123"/>
      <c r="W616" s="123"/>
      <c r="X616" s="123"/>
      <c r="Y616" s="123"/>
    </row>
    <row r="617" spans="2:25" s="235" customFormat="1" ht="13.8">
      <c r="B617" s="307"/>
      <c r="C617" s="307"/>
      <c r="D617" s="307"/>
      <c r="E617" s="307"/>
      <c r="F617" s="307"/>
      <c r="L617" s="123"/>
      <c r="M617" s="123"/>
      <c r="N617" s="123"/>
      <c r="O617" s="123"/>
      <c r="P617" s="123"/>
      <c r="Q617" s="123"/>
      <c r="R617" s="123"/>
      <c r="S617" s="123"/>
      <c r="T617" s="123"/>
      <c r="U617" s="123"/>
      <c r="V617" s="123"/>
      <c r="W617" s="123"/>
      <c r="X617" s="123"/>
      <c r="Y617" s="123"/>
    </row>
    <row r="618" spans="2:25" s="235" customFormat="1" ht="13.8">
      <c r="B618" s="307"/>
      <c r="C618" s="307"/>
      <c r="D618" s="307"/>
      <c r="E618" s="307"/>
      <c r="F618" s="307"/>
      <c r="L618" s="123"/>
      <c r="M618" s="123"/>
      <c r="N618" s="123"/>
      <c r="O618" s="123"/>
      <c r="P618" s="123"/>
      <c r="Q618" s="123"/>
      <c r="R618" s="123"/>
      <c r="S618" s="123"/>
      <c r="T618" s="123"/>
      <c r="U618" s="123"/>
      <c r="V618" s="123"/>
      <c r="W618" s="123"/>
      <c r="X618" s="123"/>
      <c r="Y618" s="123"/>
    </row>
    <row r="619" spans="2:25" s="235" customFormat="1" ht="13.8">
      <c r="B619" s="307"/>
      <c r="C619" s="307"/>
      <c r="D619" s="307"/>
      <c r="E619" s="307"/>
      <c r="F619" s="307"/>
      <c r="L619" s="123"/>
      <c r="M619" s="123"/>
      <c r="N619" s="123"/>
      <c r="O619" s="123"/>
      <c r="P619" s="123"/>
      <c r="Q619" s="123"/>
      <c r="R619" s="123"/>
      <c r="S619" s="123"/>
      <c r="T619" s="123"/>
      <c r="U619" s="123"/>
      <c r="V619" s="123"/>
      <c r="W619" s="123"/>
      <c r="X619" s="123"/>
      <c r="Y619" s="123"/>
    </row>
    <row r="620" spans="2:25" s="235" customFormat="1" ht="13.8">
      <c r="B620" s="307"/>
      <c r="C620" s="307"/>
      <c r="D620" s="307"/>
      <c r="E620" s="307"/>
      <c r="F620" s="307"/>
      <c r="L620" s="123"/>
      <c r="M620" s="123"/>
      <c r="N620" s="123"/>
      <c r="O620" s="123"/>
      <c r="P620" s="123"/>
      <c r="Q620" s="123"/>
      <c r="R620" s="123"/>
      <c r="S620" s="123"/>
      <c r="T620" s="123"/>
      <c r="U620" s="123"/>
      <c r="V620" s="123"/>
      <c r="W620" s="123"/>
      <c r="X620" s="123"/>
      <c r="Y620" s="123"/>
    </row>
    <row r="621" spans="2:25" s="235" customFormat="1" ht="13.8">
      <c r="B621" s="307"/>
      <c r="C621" s="307"/>
      <c r="D621" s="307"/>
      <c r="E621" s="307"/>
      <c r="F621" s="307"/>
      <c r="L621" s="123"/>
      <c r="M621" s="123"/>
      <c r="N621" s="123"/>
      <c r="O621" s="123"/>
      <c r="P621" s="123"/>
      <c r="Q621" s="123"/>
      <c r="R621" s="123"/>
      <c r="S621" s="123"/>
      <c r="T621" s="123"/>
      <c r="U621" s="123"/>
      <c r="V621" s="123"/>
      <c r="W621" s="123"/>
      <c r="X621" s="123"/>
      <c r="Y621" s="123"/>
    </row>
    <row r="622" spans="2:25" s="235" customFormat="1" ht="13.8">
      <c r="B622" s="307"/>
      <c r="C622" s="307"/>
      <c r="D622" s="307"/>
      <c r="E622" s="307"/>
      <c r="F622" s="307"/>
      <c r="L622" s="123"/>
      <c r="M622" s="123"/>
      <c r="N622" s="123"/>
      <c r="O622" s="123"/>
      <c r="P622" s="123"/>
      <c r="Q622" s="123"/>
      <c r="R622" s="123"/>
      <c r="S622" s="123"/>
      <c r="T622" s="123"/>
      <c r="U622" s="123"/>
      <c r="V622" s="123"/>
      <c r="W622" s="123"/>
      <c r="X622" s="123"/>
      <c r="Y622" s="123"/>
    </row>
    <row r="623" spans="2:25" s="235" customFormat="1" ht="13.8">
      <c r="B623" s="307"/>
      <c r="C623" s="307"/>
      <c r="D623" s="307"/>
      <c r="E623" s="307"/>
      <c r="F623" s="307"/>
      <c r="L623" s="123"/>
      <c r="M623" s="123"/>
      <c r="N623" s="123"/>
      <c r="O623" s="123"/>
      <c r="P623" s="123"/>
      <c r="Q623" s="123"/>
      <c r="R623" s="123"/>
      <c r="S623" s="123"/>
      <c r="T623" s="123"/>
      <c r="U623" s="123"/>
      <c r="V623" s="123"/>
      <c r="W623" s="123"/>
      <c r="X623" s="123"/>
      <c r="Y623" s="123"/>
    </row>
    <row r="624" spans="2:25" s="235" customFormat="1" ht="13.8">
      <c r="B624" s="307"/>
      <c r="C624" s="307"/>
      <c r="D624" s="307"/>
      <c r="E624" s="307"/>
      <c r="F624" s="307"/>
      <c r="L624" s="123"/>
      <c r="M624" s="123"/>
      <c r="N624" s="123"/>
      <c r="O624" s="123"/>
      <c r="P624" s="123"/>
      <c r="Q624" s="123"/>
      <c r="R624" s="123"/>
      <c r="S624" s="123"/>
      <c r="T624" s="123"/>
      <c r="U624" s="123"/>
      <c r="V624" s="123"/>
      <c r="W624" s="123"/>
      <c r="X624" s="123"/>
      <c r="Y624" s="123"/>
    </row>
    <row r="625" spans="2:25" s="235" customFormat="1" ht="13.8">
      <c r="B625" s="307"/>
      <c r="C625" s="307"/>
      <c r="D625" s="307"/>
      <c r="E625" s="307"/>
      <c r="F625" s="307"/>
      <c r="L625" s="123"/>
      <c r="M625" s="123"/>
      <c r="N625" s="123"/>
      <c r="O625" s="123"/>
      <c r="P625" s="123"/>
      <c r="Q625" s="123"/>
      <c r="R625" s="123"/>
      <c r="S625" s="123"/>
      <c r="T625" s="123"/>
      <c r="U625" s="123"/>
      <c r="V625" s="123"/>
      <c r="W625" s="123"/>
      <c r="X625" s="123"/>
      <c r="Y625" s="123"/>
    </row>
    <row r="626" spans="2:25" s="235" customFormat="1" ht="13.8">
      <c r="B626" s="307"/>
      <c r="C626" s="307"/>
      <c r="D626" s="307"/>
      <c r="E626" s="307"/>
      <c r="F626" s="307"/>
      <c r="L626" s="123"/>
      <c r="M626" s="123"/>
      <c r="N626" s="123"/>
      <c r="O626" s="123"/>
      <c r="P626" s="123"/>
      <c r="Q626" s="123"/>
      <c r="R626" s="123"/>
      <c r="S626" s="123"/>
      <c r="T626" s="123"/>
      <c r="U626" s="123"/>
      <c r="V626" s="123"/>
      <c r="W626" s="123"/>
      <c r="X626" s="123"/>
      <c r="Y626" s="123"/>
    </row>
    <row r="627" spans="2:25" s="235" customFormat="1" ht="13.8">
      <c r="B627" s="307"/>
      <c r="C627" s="307"/>
      <c r="D627" s="307"/>
      <c r="E627" s="307"/>
      <c r="F627" s="307"/>
      <c r="L627" s="123"/>
      <c r="M627" s="123"/>
      <c r="N627" s="123"/>
      <c r="O627" s="123"/>
      <c r="P627" s="123"/>
      <c r="Q627" s="123"/>
      <c r="R627" s="123"/>
      <c r="S627" s="123"/>
      <c r="T627" s="123"/>
      <c r="U627" s="123"/>
      <c r="V627" s="123"/>
      <c r="W627" s="123"/>
      <c r="X627" s="123"/>
      <c r="Y627" s="123"/>
    </row>
    <row r="628" spans="2:25" s="235" customFormat="1" ht="13.8">
      <c r="B628" s="307"/>
      <c r="C628" s="307"/>
      <c r="D628" s="307"/>
      <c r="E628" s="307"/>
      <c r="F628" s="307"/>
      <c r="L628" s="123"/>
      <c r="M628" s="123"/>
      <c r="N628" s="123"/>
      <c r="O628" s="123"/>
      <c r="P628" s="123"/>
      <c r="Q628" s="123"/>
      <c r="R628" s="123"/>
      <c r="S628" s="123"/>
      <c r="T628" s="123"/>
      <c r="U628" s="123"/>
      <c r="V628" s="123"/>
      <c r="W628" s="123"/>
      <c r="X628" s="123"/>
      <c r="Y628" s="123"/>
    </row>
    <row r="629" spans="2:25" s="235" customFormat="1" ht="13.8">
      <c r="B629" s="307"/>
      <c r="C629" s="307"/>
      <c r="D629" s="307"/>
      <c r="E629" s="307"/>
      <c r="F629" s="307"/>
      <c r="L629" s="123"/>
      <c r="M629" s="123"/>
      <c r="N629" s="123"/>
      <c r="O629" s="123"/>
      <c r="P629" s="123"/>
      <c r="Q629" s="123"/>
      <c r="R629" s="123"/>
      <c r="S629" s="123"/>
      <c r="T629" s="123"/>
      <c r="U629" s="123"/>
      <c r="V629" s="123"/>
      <c r="W629" s="123"/>
      <c r="X629" s="123"/>
      <c r="Y629" s="123"/>
    </row>
    <row r="630" spans="2:25" s="235" customFormat="1" ht="13.8">
      <c r="B630" s="307"/>
      <c r="C630" s="307"/>
      <c r="D630" s="307"/>
      <c r="E630" s="307"/>
      <c r="F630" s="307"/>
      <c r="L630" s="123"/>
      <c r="M630" s="123"/>
      <c r="N630" s="123"/>
      <c r="O630" s="123"/>
      <c r="P630" s="123"/>
      <c r="Q630" s="123"/>
      <c r="R630" s="123"/>
      <c r="S630" s="123"/>
      <c r="T630" s="123"/>
      <c r="U630" s="123"/>
      <c r="V630" s="123"/>
      <c r="W630" s="123"/>
      <c r="X630" s="123"/>
      <c r="Y630" s="123"/>
    </row>
    <row r="631" spans="2:25" s="235" customFormat="1" ht="13.8">
      <c r="B631" s="307"/>
      <c r="C631" s="307"/>
      <c r="D631" s="307"/>
      <c r="E631" s="307"/>
      <c r="F631" s="307"/>
      <c r="L631" s="123"/>
      <c r="M631" s="123"/>
      <c r="N631" s="123"/>
      <c r="O631" s="123"/>
      <c r="P631" s="123"/>
      <c r="Q631" s="123"/>
      <c r="R631" s="123"/>
      <c r="S631" s="123"/>
      <c r="T631" s="123"/>
      <c r="U631" s="123"/>
      <c r="V631" s="123"/>
      <c r="W631" s="123"/>
      <c r="X631" s="123"/>
      <c r="Y631" s="123"/>
    </row>
    <row r="632" spans="2:25" s="235" customFormat="1" ht="13.8">
      <c r="B632" s="307"/>
      <c r="C632" s="307"/>
      <c r="D632" s="307"/>
      <c r="E632" s="307"/>
      <c r="F632" s="307"/>
      <c r="L632" s="123"/>
      <c r="M632" s="123"/>
      <c r="N632" s="123"/>
      <c r="O632" s="123"/>
      <c r="P632" s="123"/>
      <c r="Q632" s="123"/>
      <c r="R632" s="123"/>
      <c r="S632" s="123"/>
      <c r="T632" s="123"/>
      <c r="U632" s="123"/>
      <c r="V632" s="123"/>
      <c r="W632" s="123"/>
      <c r="X632" s="123"/>
      <c r="Y632" s="123"/>
    </row>
    <row r="633" spans="2:25" s="235" customFormat="1" ht="13.8">
      <c r="B633" s="307"/>
      <c r="C633" s="307"/>
      <c r="D633" s="307"/>
      <c r="E633" s="307"/>
      <c r="F633" s="307"/>
      <c r="L633" s="123"/>
      <c r="M633" s="123"/>
      <c r="N633" s="123"/>
      <c r="O633" s="123"/>
      <c r="P633" s="123"/>
      <c r="Q633" s="123"/>
      <c r="R633" s="123"/>
      <c r="S633" s="123"/>
      <c r="T633" s="123"/>
      <c r="U633" s="123"/>
      <c r="V633" s="123"/>
      <c r="W633" s="123"/>
      <c r="X633" s="123"/>
      <c r="Y633" s="123"/>
    </row>
    <row r="634" spans="2:25" s="235" customFormat="1" ht="13.8">
      <c r="B634" s="307"/>
      <c r="C634" s="307"/>
      <c r="D634" s="307"/>
      <c r="E634" s="307"/>
      <c r="F634" s="307"/>
      <c r="L634" s="123"/>
      <c r="M634" s="123"/>
      <c r="N634" s="123"/>
      <c r="O634" s="123"/>
      <c r="P634" s="123"/>
      <c r="Q634" s="123"/>
      <c r="R634" s="123"/>
      <c r="S634" s="123"/>
      <c r="T634" s="123"/>
      <c r="U634" s="123"/>
      <c r="V634" s="123"/>
      <c r="W634" s="123"/>
      <c r="X634" s="123"/>
      <c r="Y634" s="123"/>
    </row>
    <row r="635" spans="2:25" s="235" customFormat="1" ht="13.8">
      <c r="B635" s="307"/>
      <c r="C635" s="307"/>
      <c r="D635" s="307"/>
      <c r="E635" s="307"/>
      <c r="F635" s="307"/>
      <c r="L635" s="123"/>
      <c r="M635" s="123"/>
      <c r="N635" s="123"/>
      <c r="O635" s="123"/>
      <c r="P635" s="123"/>
      <c r="Q635" s="123"/>
      <c r="R635" s="123"/>
      <c r="S635" s="123"/>
      <c r="T635" s="123"/>
      <c r="U635" s="123"/>
      <c r="V635" s="123"/>
      <c r="W635" s="123"/>
      <c r="X635" s="123"/>
      <c r="Y635" s="123"/>
    </row>
    <row r="636" spans="2:25" s="235" customFormat="1" ht="13.8">
      <c r="B636" s="307"/>
      <c r="C636" s="307"/>
      <c r="D636" s="307"/>
      <c r="E636" s="307"/>
      <c r="F636" s="307"/>
      <c r="L636" s="123"/>
      <c r="M636" s="123"/>
      <c r="N636" s="123"/>
      <c r="O636" s="123"/>
      <c r="P636" s="123"/>
      <c r="Q636" s="123"/>
      <c r="R636" s="123"/>
      <c r="S636" s="123"/>
      <c r="T636" s="123"/>
      <c r="U636" s="123"/>
      <c r="V636" s="123"/>
      <c r="W636" s="123"/>
      <c r="X636" s="123"/>
      <c r="Y636" s="123"/>
    </row>
    <row r="637" spans="2:25" s="235" customFormat="1" ht="13.8">
      <c r="B637" s="307"/>
      <c r="C637" s="307"/>
      <c r="D637" s="307"/>
      <c r="E637" s="307"/>
      <c r="F637" s="307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</row>
    <row r="638" spans="2:25" s="235" customFormat="1" ht="13.8">
      <c r="B638" s="307"/>
      <c r="C638" s="307"/>
      <c r="D638" s="307"/>
      <c r="E638" s="307"/>
      <c r="F638" s="307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</row>
    <row r="639" spans="2:25" s="235" customFormat="1" ht="13.8">
      <c r="B639" s="307"/>
      <c r="C639" s="307"/>
      <c r="D639" s="307"/>
      <c r="E639" s="307"/>
      <c r="F639" s="307"/>
      <c r="L639" s="123"/>
      <c r="M639" s="123"/>
      <c r="N639" s="123"/>
      <c r="O639" s="123"/>
      <c r="P639" s="123"/>
      <c r="Q639" s="123"/>
      <c r="R639" s="123"/>
      <c r="S639" s="123"/>
      <c r="T639" s="123"/>
      <c r="U639" s="123"/>
      <c r="V639" s="123"/>
      <c r="W639" s="123"/>
      <c r="X639" s="123"/>
      <c r="Y639" s="123"/>
    </row>
    <row r="640" spans="2:25" s="235" customFormat="1" ht="13.8">
      <c r="B640" s="307"/>
      <c r="C640" s="307"/>
      <c r="D640" s="307"/>
      <c r="E640" s="307"/>
      <c r="F640" s="307"/>
      <c r="L640" s="123"/>
      <c r="M640" s="123"/>
      <c r="N640" s="123"/>
      <c r="O640" s="123"/>
      <c r="P640" s="123"/>
      <c r="Q640" s="123"/>
      <c r="R640" s="123"/>
      <c r="S640" s="123"/>
      <c r="T640" s="123"/>
      <c r="U640" s="123"/>
      <c r="V640" s="123"/>
      <c r="W640" s="123"/>
      <c r="X640" s="123"/>
      <c r="Y640" s="123"/>
    </row>
    <row r="641" spans="2:25" s="235" customFormat="1" ht="13.8">
      <c r="B641" s="307"/>
      <c r="C641" s="307"/>
      <c r="D641" s="307"/>
      <c r="E641" s="307"/>
      <c r="F641" s="307"/>
      <c r="L641" s="123"/>
      <c r="M641" s="123"/>
      <c r="N641" s="123"/>
      <c r="O641" s="123"/>
      <c r="P641" s="123"/>
      <c r="Q641" s="123"/>
      <c r="R641" s="123"/>
      <c r="S641" s="123"/>
      <c r="T641" s="123"/>
      <c r="U641" s="123"/>
      <c r="V641" s="123"/>
      <c r="W641" s="123"/>
      <c r="X641" s="123"/>
      <c r="Y641" s="123"/>
    </row>
    <row r="642" spans="2:25" s="235" customFormat="1" ht="13.8">
      <c r="B642" s="307"/>
      <c r="C642" s="307"/>
      <c r="D642" s="307"/>
      <c r="E642" s="307"/>
      <c r="F642" s="307"/>
      <c r="L642" s="123"/>
      <c r="M642" s="123"/>
      <c r="N642" s="123"/>
      <c r="O642" s="123"/>
      <c r="P642" s="123"/>
      <c r="Q642" s="123"/>
      <c r="R642" s="123"/>
      <c r="S642" s="123"/>
      <c r="T642" s="123"/>
      <c r="U642" s="123"/>
      <c r="V642" s="123"/>
      <c r="W642" s="123"/>
      <c r="X642" s="123"/>
      <c r="Y642" s="123"/>
    </row>
    <row r="643" spans="2:25" s="235" customFormat="1" ht="13.8">
      <c r="B643" s="307"/>
      <c r="C643" s="307"/>
      <c r="D643" s="307"/>
      <c r="E643" s="307"/>
      <c r="F643" s="307"/>
      <c r="L643" s="123"/>
      <c r="M643" s="123"/>
      <c r="N643" s="123"/>
      <c r="O643" s="123"/>
      <c r="P643" s="123"/>
      <c r="Q643" s="123"/>
      <c r="R643" s="123"/>
      <c r="S643" s="123"/>
      <c r="T643" s="123"/>
      <c r="U643" s="123"/>
      <c r="V643" s="123"/>
      <c r="W643" s="123"/>
      <c r="X643" s="123"/>
      <c r="Y643" s="123"/>
    </row>
    <row r="644" spans="2:25" s="235" customFormat="1" ht="13.8">
      <c r="B644" s="307"/>
      <c r="C644" s="307"/>
      <c r="D644" s="307"/>
      <c r="E644" s="307"/>
      <c r="F644" s="307"/>
      <c r="L644" s="123"/>
      <c r="M644" s="123"/>
      <c r="N644" s="123"/>
      <c r="O644" s="123"/>
      <c r="P644" s="123"/>
      <c r="Q644" s="123"/>
      <c r="R644" s="123"/>
      <c r="S644" s="123"/>
      <c r="T644" s="123"/>
      <c r="U644" s="123"/>
      <c r="V644" s="123"/>
      <c r="W644" s="123"/>
      <c r="X644" s="123"/>
      <c r="Y644" s="123"/>
    </row>
    <row r="645" spans="2:25" s="235" customFormat="1" ht="13.8">
      <c r="B645" s="307"/>
      <c r="C645" s="307"/>
      <c r="D645" s="307"/>
      <c r="E645" s="307"/>
      <c r="F645" s="307"/>
      <c r="L645" s="123"/>
      <c r="M645" s="123"/>
      <c r="N645" s="123"/>
      <c r="O645" s="123"/>
      <c r="P645" s="123"/>
      <c r="Q645" s="123"/>
      <c r="R645" s="123"/>
      <c r="S645" s="123"/>
      <c r="T645" s="123"/>
      <c r="U645" s="123"/>
      <c r="V645" s="123"/>
      <c r="W645" s="123"/>
      <c r="X645" s="123"/>
      <c r="Y645" s="123"/>
    </row>
    <row r="646" spans="2:25" s="235" customFormat="1" ht="13.8">
      <c r="B646" s="307"/>
      <c r="C646" s="307"/>
      <c r="D646" s="307"/>
      <c r="E646" s="307"/>
      <c r="F646" s="307"/>
      <c r="L646" s="123"/>
      <c r="M646" s="123"/>
      <c r="N646" s="123"/>
      <c r="O646" s="123"/>
      <c r="P646" s="123"/>
      <c r="Q646" s="123"/>
      <c r="R646" s="123"/>
      <c r="S646" s="123"/>
      <c r="T646" s="123"/>
      <c r="U646" s="123"/>
      <c r="V646" s="123"/>
      <c r="W646" s="123"/>
      <c r="X646" s="123"/>
      <c r="Y646" s="123"/>
    </row>
    <row r="647" spans="2:25" s="235" customFormat="1" ht="13.8">
      <c r="B647" s="307"/>
      <c r="C647" s="307"/>
      <c r="D647" s="307"/>
      <c r="E647" s="307"/>
      <c r="F647" s="307"/>
      <c r="L647" s="123"/>
      <c r="M647" s="123"/>
      <c r="N647" s="123"/>
      <c r="O647" s="123"/>
      <c r="P647" s="123"/>
      <c r="Q647" s="123"/>
      <c r="R647" s="123"/>
      <c r="S647" s="123"/>
      <c r="T647" s="123"/>
      <c r="U647" s="123"/>
      <c r="V647" s="123"/>
      <c r="W647" s="123"/>
      <c r="X647" s="123"/>
      <c r="Y647" s="123"/>
    </row>
    <row r="648" spans="2:25" s="235" customFormat="1" ht="13.8">
      <c r="B648" s="307"/>
      <c r="C648" s="307"/>
      <c r="D648" s="307"/>
      <c r="E648" s="307"/>
      <c r="F648" s="307"/>
      <c r="L648" s="123"/>
      <c r="M648" s="123"/>
      <c r="N648" s="123"/>
      <c r="O648" s="123"/>
      <c r="P648" s="123"/>
      <c r="Q648" s="123"/>
      <c r="R648" s="123"/>
      <c r="S648" s="123"/>
      <c r="T648" s="123"/>
      <c r="U648" s="123"/>
      <c r="V648" s="123"/>
      <c r="W648" s="123"/>
      <c r="X648" s="123"/>
      <c r="Y648" s="123"/>
    </row>
    <row r="649" spans="2:25" s="235" customFormat="1" ht="13.8">
      <c r="B649" s="307"/>
      <c r="C649" s="307"/>
      <c r="D649" s="307"/>
      <c r="E649" s="307"/>
      <c r="F649" s="307"/>
      <c r="L649" s="123"/>
      <c r="M649" s="123"/>
      <c r="N649" s="123"/>
      <c r="O649" s="123"/>
      <c r="P649" s="123"/>
      <c r="Q649" s="123"/>
      <c r="R649" s="123"/>
      <c r="S649" s="123"/>
      <c r="T649" s="123"/>
      <c r="U649" s="123"/>
      <c r="V649" s="123"/>
      <c r="W649" s="123"/>
      <c r="X649" s="123"/>
      <c r="Y649" s="123"/>
    </row>
    <row r="650" spans="2:25" s="235" customFormat="1" ht="13.8">
      <c r="B650" s="307"/>
      <c r="C650" s="307"/>
      <c r="D650" s="307"/>
      <c r="E650" s="307"/>
      <c r="F650" s="307"/>
      <c r="L650" s="123"/>
      <c r="M650" s="123"/>
      <c r="N650" s="123"/>
      <c r="O650" s="123"/>
      <c r="P650" s="123"/>
      <c r="Q650" s="123"/>
      <c r="R650" s="123"/>
      <c r="S650" s="123"/>
      <c r="T650" s="123"/>
      <c r="U650" s="123"/>
      <c r="V650" s="123"/>
      <c r="W650" s="123"/>
      <c r="X650" s="123"/>
      <c r="Y650" s="123"/>
    </row>
    <row r="651" spans="2:25" s="235" customFormat="1" ht="13.8">
      <c r="B651" s="307"/>
      <c r="C651" s="307"/>
      <c r="D651" s="307"/>
      <c r="E651" s="307"/>
      <c r="F651" s="307"/>
      <c r="L651" s="123"/>
      <c r="M651" s="123"/>
      <c r="N651" s="123"/>
      <c r="O651" s="123"/>
      <c r="P651" s="123"/>
      <c r="Q651" s="123"/>
      <c r="R651" s="123"/>
      <c r="S651" s="123"/>
      <c r="T651" s="123"/>
      <c r="U651" s="123"/>
      <c r="V651" s="123"/>
      <c r="W651" s="123"/>
      <c r="X651" s="123"/>
      <c r="Y651" s="123"/>
    </row>
    <row r="652" spans="2:25" s="235" customFormat="1" ht="13.8">
      <c r="B652" s="307"/>
      <c r="C652" s="307"/>
      <c r="D652" s="307"/>
      <c r="E652" s="307"/>
      <c r="F652" s="307"/>
      <c r="L652" s="123"/>
      <c r="M652" s="123"/>
      <c r="N652" s="123"/>
      <c r="O652" s="123"/>
      <c r="P652" s="123"/>
      <c r="Q652" s="123"/>
      <c r="R652" s="123"/>
      <c r="S652" s="123"/>
      <c r="T652" s="123"/>
      <c r="U652" s="123"/>
      <c r="V652" s="123"/>
      <c r="W652" s="123"/>
      <c r="X652" s="123"/>
      <c r="Y652" s="123"/>
    </row>
    <row r="653" spans="2:25" s="235" customFormat="1" ht="13.8">
      <c r="B653" s="307"/>
      <c r="C653" s="307"/>
      <c r="D653" s="307"/>
      <c r="E653" s="307"/>
      <c r="F653" s="307"/>
      <c r="L653" s="123"/>
      <c r="M653" s="123"/>
      <c r="N653" s="123"/>
      <c r="O653" s="123"/>
      <c r="P653" s="123"/>
      <c r="Q653" s="123"/>
      <c r="R653" s="123"/>
      <c r="S653" s="123"/>
      <c r="T653" s="123"/>
      <c r="U653" s="123"/>
      <c r="V653" s="123"/>
      <c r="W653" s="123"/>
      <c r="X653" s="123"/>
      <c r="Y653" s="123"/>
    </row>
    <row r="654" spans="2:25" s="235" customFormat="1" ht="13.8">
      <c r="B654" s="307"/>
      <c r="C654" s="307"/>
      <c r="D654" s="307"/>
      <c r="E654" s="307"/>
      <c r="F654" s="307"/>
      <c r="L654" s="123"/>
      <c r="M654" s="123"/>
      <c r="N654" s="123"/>
      <c r="O654" s="123"/>
      <c r="P654" s="123"/>
      <c r="Q654" s="123"/>
      <c r="R654" s="123"/>
      <c r="S654" s="123"/>
      <c r="T654" s="123"/>
      <c r="U654" s="123"/>
      <c r="V654" s="123"/>
      <c r="W654" s="123"/>
      <c r="X654" s="123"/>
      <c r="Y654" s="123"/>
    </row>
    <row r="655" spans="2:25" s="235" customFormat="1" ht="13.8">
      <c r="B655" s="307"/>
      <c r="C655" s="307"/>
      <c r="D655" s="307"/>
      <c r="E655" s="307"/>
      <c r="F655" s="307"/>
      <c r="L655" s="123"/>
      <c r="M655" s="123"/>
      <c r="N655" s="123"/>
      <c r="O655" s="123"/>
      <c r="P655" s="123"/>
      <c r="Q655" s="123"/>
      <c r="R655" s="123"/>
      <c r="S655" s="123"/>
      <c r="T655" s="123"/>
      <c r="U655" s="123"/>
      <c r="V655" s="123"/>
      <c r="W655" s="123"/>
      <c r="X655" s="123"/>
      <c r="Y655" s="123"/>
    </row>
    <row r="656" spans="2:25" s="235" customFormat="1" ht="13.8">
      <c r="B656" s="307"/>
      <c r="C656" s="307"/>
      <c r="D656" s="307"/>
      <c r="E656" s="307"/>
      <c r="F656" s="307"/>
      <c r="L656" s="123"/>
      <c r="M656" s="123"/>
      <c r="N656" s="123"/>
      <c r="O656" s="123"/>
      <c r="P656" s="123"/>
      <c r="Q656" s="123"/>
      <c r="R656" s="123"/>
      <c r="S656" s="123"/>
      <c r="T656" s="123"/>
      <c r="U656" s="123"/>
      <c r="V656" s="123"/>
      <c r="W656" s="123"/>
      <c r="X656" s="123"/>
      <c r="Y656" s="123"/>
    </row>
    <row r="657" spans="2:25" s="235" customFormat="1" ht="13.8">
      <c r="B657" s="307"/>
      <c r="C657" s="307"/>
      <c r="D657" s="307"/>
      <c r="E657" s="307"/>
      <c r="F657" s="307"/>
      <c r="L657" s="123"/>
      <c r="M657" s="123"/>
      <c r="N657" s="123"/>
      <c r="O657" s="123"/>
      <c r="P657" s="123"/>
      <c r="Q657" s="123"/>
      <c r="R657" s="123"/>
      <c r="S657" s="123"/>
      <c r="T657" s="123"/>
      <c r="U657" s="123"/>
      <c r="V657" s="123"/>
      <c r="W657" s="123"/>
      <c r="X657" s="123"/>
      <c r="Y657" s="123"/>
    </row>
    <row r="658" spans="2:25" s="235" customFormat="1" ht="13.8">
      <c r="B658" s="307"/>
      <c r="C658" s="307"/>
      <c r="D658" s="307"/>
      <c r="E658" s="307"/>
      <c r="F658" s="307"/>
      <c r="L658" s="123"/>
      <c r="M658" s="123"/>
      <c r="N658" s="123"/>
      <c r="O658" s="123"/>
      <c r="P658" s="123"/>
      <c r="Q658" s="123"/>
      <c r="R658" s="123"/>
      <c r="S658" s="123"/>
      <c r="T658" s="123"/>
      <c r="U658" s="123"/>
      <c r="V658" s="123"/>
      <c r="W658" s="123"/>
      <c r="X658" s="123"/>
      <c r="Y658" s="123"/>
    </row>
    <row r="659" spans="2:25" s="235" customFormat="1" ht="13.8">
      <c r="B659" s="307"/>
      <c r="C659" s="307"/>
      <c r="D659" s="307"/>
      <c r="E659" s="307"/>
      <c r="F659" s="307"/>
      <c r="L659" s="123"/>
      <c r="M659" s="123"/>
      <c r="N659" s="123"/>
      <c r="O659" s="123"/>
      <c r="P659" s="123"/>
      <c r="Q659" s="123"/>
      <c r="R659" s="123"/>
      <c r="S659" s="123"/>
      <c r="T659" s="123"/>
      <c r="U659" s="123"/>
      <c r="V659" s="123"/>
      <c r="W659" s="123"/>
      <c r="X659" s="123"/>
      <c r="Y659" s="123"/>
    </row>
    <row r="660" spans="2:25" s="235" customFormat="1" ht="13.8">
      <c r="B660" s="307"/>
      <c r="C660" s="307"/>
      <c r="D660" s="307"/>
      <c r="E660" s="307"/>
      <c r="F660" s="307"/>
      <c r="L660" s="123"/>
      <c r="M660" s="123"/>
      <c r="N660" s="123"/>
      <c r="O660" s="123"/>
      <c r="P660" s="123"/>
      <c r="Q660" s="123"/>
      <c r="R660" s="123"/>
      <c r="S660" s="123"/>
      <c r="T660" s="123"/>
      <c r="U660" s="123"/>
      <c r="V660" s="123"/>
      <c r="W660" s="123"/>
      <c r="X660" s="123"/>
      <c r="Y660" s="123"/>
    </row>
    <row r="661" spans="2:25" s="235" customFormat="1" ht="13.8">
      <c r="B661" s="307"/>
      <c r="C661" s="307"/>
      <c r="D661" s="307"/>
      <c r="E661" s="307"/>
      <c r="F661" s="307"/>
      <c r="L661" s="123"/>
      <c r="M661" s="123"/>
      <c r="N661" s="123"/>
      <c r="O661" s="123"/>
      <c r="P661" s="123"/>
      <c r="Q661" s="123"/>
      <c r="R661" s="123"/>
      <c r="S661" s="123"/>
      <c r="T661" s="123"/>
      <c r="U661" s="123"/>
      <c r="V661" s="123"/>
      <c r="W661" s="123"/>
      <c r="X661" s="123"/>
      <c r="Y661" s="123"/>
    </row>
    <row r="662" spans="2:25" s="235" customFormat="1" ht="13.8">
      <c r="B662" s="307"/>
      <c r="C662" s="307"/>
      <c r="D662" s="307"/>
      <c r="E662" s="307"/>
      <c r="F662" s="307"/>
      <c r="L662" s="123"/>
      <c r="M662" s="123"/>
      <c r="N662" s="123"/>
      <c r="O662" s="123"/>
      <c r="P662" s="123"/>
      <c r="Q662" s="123"/>
      <c r="R662" s="123"/>
      <c r="S662" s="123"/>
      <c r="T662" s="123"/>
      <c r="U662" s="123"/>
      <c r="V662" s="123"/>
      <c r="W662" s="123"/>
      <c r="X662" s="123"/>
      <c r="Y662" s="123"/>
    </row>
    <row r="663" spans="2:25" s="235" customFormat="1" ht="13.8">
      <c r="B663" s="307"/>
      <c r="C663" s="307"/>
      <c r="D663" s="307"/>
      <c r="E663" s="307"/>
      <c r="F663" s="307"/>
      <c r="L663" s="123"/>
      <c r="M663" s="123"/>
      <c r="N663" s="123"/>
      <c r="O663" s="123"/>
      <c r="P663" s="123"/>
      <c r="Q663" s="123"/>
      <c r="R663" s="123"/>
      <c r="S663" s="123"/>
      <c r="T663" s="123"/>
      <c r="U663" s="123"/>
      <c r="V663" s="123"/>
      <c r="W663" s="123"/>
      <c r="X663" s="123"/>
      <c r="Y663" s="123"/>
    </row>
    <row r="664" spans="2:25" s="235" customFormat="1" ht="13.8">
      <c r="B664" s="307"/>
      <c r="C664" s="307"/>
      <c r="D664" s="307"/>
      <c r="E664" s="307"/>
      <c r="F664" s="307"/>
      <c r="L664" s="123"/>
      <c r="M664" s="123"/>
      <c r="N664" s="123"/>
      <c r="O664" s="123"/>
      <c r="P664" s="123"/>
      <c r="Q664" s="123"/>
      <c r="R664" s="123"/>
      <c r="S664" s="123"/>
      <c r="T664" s="123"/>
      <c r="U664" s="123"/>
      <c r="V664" s="123"/>
      <c r="W664" s="123"/>
      <c r="X664" s="123"/>
      <c r="Y664" s="123"/>
    </row>
    <row r="665" spans="2:25" s="235" customFormat="1" ht="13.8">
      <c r="B665" s="307"/>
      <c r="C665" s="307"/>
      <c r="D665" s="307"/>
      <c r="E665" s="307"/>
      <c r="F665" s="307"/>
      <c r="L665" s="123"/>
      <c r="M665" s="123"/>
      <c r="N665" s="123"/>
      <c r="O665" s="123"/>
      <c r="P665" s="123"/>
      <c r="Q665" s="123"/>
      <c r="R665" s="123"/>
      <c r="S665" s="123"/>
      <c r="T665" s="123"/>
      <c r="U665" s="123"/>
      <c r="V665" s="123"/>
      <c r="W665" s="123"/>
      <c r="X665" s="123"/>
      <c r="Y665" s="123"/>
    </row>
    <row r="666" spans="2:25" s="235" customFormat="1" ht="13.8">
      <c r="B666" s="307"/>
      <c r="C666" s="307"/>
      <c r="D666" s="307"/>
      <c r="E666" s="307"/>
      <c r="F666" s="307"/>
      <c r="L666" s="123"/>
      <c r="M666" s="123"/>
      <c r="N666" s="123"/>
      <c r="O666" s="123"/>
      <c r="P666" s="123"/>
      <c r="Q666" s="123"/>
      <c r="R666" s="123"/>
      <c r="S666" s="123"/>
      <c r="T666" s="123"/>
      <c r="U666" s="123"/>
      <c r="V666" s="123"/>
      <c r="W666" s="123"/>
      <c r="X666" s="123"/>
      <c r="Y666" s="123"/>
    </row>
    <row r="667" spans="2:25" s="235" customFormat="1" ht="13.8">
      <c r="B667" s="307"/>
      <c r="C667" s="307"/>
      <c r="D667" s="307"/>
      <c r="E667" s="307"/>
      <c r="F667" s="307"/>
      <c r="L667" s="123"/>
      <c r="M667" s="123"/>
      <c r="N667" s="123"/>
      <c r="O667" s="123"/>
      <c r="P667" s="123"/>
      <c r="Q667" s="123"/>
      <c r="R667" s="123"/>
      <c r="S667" s="123"/>
      <c r="T667" s="123"/>
      <c r="U667" s="123"/>
      <c r="V667" s="123"/>
      <c r="W667" s="123"/>
      <c r="X667" s="123"/>
      <c r="Y667" s="123"/>
    </row>
    <row r="668" spans="2:25" s="235" customFormat="1" ht="13.8">
      <c r="B668" s="307"/>
      <c r="C668" s="307"/>
      <c r="D668" s="307"/>
      <c r="E668" s="307"/>
      <c r="F668" s="307"/>
      <c r="L668" s="123"/>
      <c r="M668" s="123"/>
      <c r="N668" s="123"/>
      <c r="O668" s="123"/>
      <c r="P668" s="123"/>
      <c r="Q668" s="123"/>
      <c r="R668" s="123"/>
      <c r="S668" s="123"/>
      <c r="T668" s="123"/>
      <c r="U668" s="123"/>
      <c r="V668" s="123"/>
      <c r="W668" s="123"/>
      <c r="X668" s="123"/>
      <c r="Y668" s="123"/>
    </row>
    <row r="669" spans="2:25" s="235" customFormat="1" ht="13.8">
      <c r="B669" s="307"/>
      <c r="C669" s="307"/>
      <c r="D669" s="307"/>
      <c r="E669" s="307"/>
      <c r="F669" s="307"/>
      <c r="L669" s="123"/>
      <c r="M669" s="123"/>
      <c r="N669" s="123"/>
      <c r="O669" s="123"/>
      <c r="P669" s="123"/>
      <c r="Q669" s="123"/>
      <c r="R669" s="123"/>
      <c r="S669" s="123"/>
      <c r="T669" s="123"/>
      <c r="U669" s="123"/>
      <c r="V669" s="123"/>
      <c r="W669" s="123"/>
      <c r="X669" s="123"/>
      <c r="Y669" s="123"/>
    </row>
    <row r="670" spans="2:25" s="235" customFormat="1" ht="13.8">
      <c r="B670" s="307"/>
      <c r="C670" s="307"/>
      <c r="D670" s="307"/>
      <c r="E670" s="307"/>
      <c r="F670" s="307"/>
      <c r="L670" s="123"/>
      <c r="M670" s="123"/>
      <c r="N670" s="123"/>
      <c r="O670" s="123"/>
      <c r="P670" s="123"/>
      <c r="Q670" s="123"/>
      <c r="R670" s="123"/>
      <c r="S670" s="123"/>
      <c r="T670" s="123"/>
      <c r="U670" s="123"/>
      <c r="V670" s="123"/>
      <c r="W670" s="123"/>
      <c r="X670" s="123"/>
      <c r="Y670" s="123"/>
    </row>
    <row r="671" spans="2:25" s="235" customFormat="1" ht="13.8">
      <c r="B671" s="307"/>
      <c r="C671" s="307"/>
      <c r="D671" s="307"/>
      <c r="E671" s="307"/>
      <c r="F671" s="307"/>
      <c r="L671" s="123"/>
      <c r="M671" s="123"/>
      <c r="N671" s="123"/>
      <c r="O671" s="123"/>
      <c r="P671" s="123"/>
      <c r="Q671" s="123"/>
      <c r="R671" s="123"/>
      <c r="S671" s="123"/>
      <c r="T671" s="123"/>
      <c r="U671" s="123"/>
      <c r="V671" s="123"/>
      <c r="W671" s="123"/>
      <c r="X671" s="123"/>
      <c r="Y671" s="123"/>
    </row>
    <row r="672" spans="2:25" s="235" customFormat="1" ht="13.8">
      <c r="B672" s="307"/>
      <c r="C672" s="307"/>
      <c r="D672" s="307"/>
      <c r="E672" s="307"/>
      <c r="F672" s="307"/>
      <c r="L672" s="123"/>
      <c r="M672" s="123"/>
      <c r="N672" s="123"/>
      <c r="O672" s="123"/>
      <c r="P672" s="123"/>
      <c r="Q672" s="123"/>
      <c r="R672" s="123"/>
      <c r="S672" s="123"/>
      <c r="T672" s="123"/>
      <c r="U672" s="123"/>
      <c r="V672" s="123"/>
      <c r="W672" s="123"/>
      <c r="X672" s="123"/>
      <c r="Y672" s="123"/>
    </row>
    <row r="673" spans="2:25" s="235" customFormat="1" ht="13.8">
      <c r="B673" s="307"/>
      <c r="C673" s="307"/>
      <c r="D673" s="307"/>
      <c r="E673" s="307"/>
      <c r="F673" s="307"/>
      <c r="L673" s="123"/>
      <c r="M673" s="123"/>
      <c r="N673" s="123"/>
      <c r="O673" s="123"/>
      <c r="P673" s="123"/>
      <c r="Q673" s="123"/>
      <c r="R673" s="123"/>
      <c r="S673" s="123"/>
      <c r="T673" s="123"/>
      <c r="U673" s="123"/>
      <c r="V673" s="123"/>
      <c r="W673" s="123"/>
      <c r="X673" s="123"/>
      <c r="Y673" s="123"/>
    </row>
    <row r="674" spans="2:25" s="235" customFormat="1" ht="13.8">
      <c r="B674" s="307"/>
      <c r="C674" s="307"/>
      <c r="D674" s="307"/>
      <c r="E674" s="307"/>
      <c r="F674" s="307"/>
      <c r="L674" s="123"/>
      <c r="M674" s="123"/>
      <c r="N674" s="123"/>
      <c r="O674" s="123"/>
      <c r="P674" s="123"/>
      <c r="Q674" s="123"/>
      <c r="R674" s="123"/>
      <c r="S674" s="123"/>
      <c r="T674" s="123"/>
      <c r="U674" s="123"/>
      <c r="V674" s="123"/>
      <c r="W674" s="123"/>
      <c r="X674" s="123"/>
      <c r="Y674" s="123"/>
    </row>
    <row r="675" spans="2:25" s="235" customFormat="1" ht="13.8">
      <c r="B675" s="307"/>
      <c r="C675" s="307"/>
      <c r="D675" s="307"/>
      <c r="E675" s="307"/>
      <c r="F675" s="307"/>
      <c r="L675" s="123"/>
      <c r="M675" s="123"/>
      <c r="N675" s="123"/>
      <c r="O675" s="123"/>
      <c r="P675" s="123"/>
      <c r="Q675" s="123"/>
      <c r="R675" s="123"/>
      <c r="S675" s="123"/>
      <c r="T675" s="123"/>
      <c r="U675" s="123"/>
      <c r="V675" s="123"/>
      <c r="W675" s="123"/>
      <c r="X675" s="123"/>
      <c r="Y675" s="123"/>
    </row>
    <row r="676" spans="2:25" s="235" customFormat="1" ht="13.8">
      <c r="B676" s="307"/>
      <c r="C676" s="307"/>
      <c r="D676" s="307"/>
      <c r="E676" s="307"/>
      <c r="F676" s="307"/>
      <c r="L676" s="123"/>
      <c r="M676" s="123"/>
      <c r="N676" s="123"/>
      <c r="O676" s="123"/>
      <c r="P676" s="123"/>
      <c r="Q676" s="123"/>
      <c r="R676" s="123"/>
      <c r="S676" s="123"/>
      <c r="T676" s="123"/>
      <c r="U676" s="123"/>
      <c r="V676" s="123"/>
      <c r="W676" s="123"/>
      <c r="X676" s="123"/>
      <c r="Y676" s="123"/>
    </row>
    <row r="677" spans="2:25" s="235" customFormat="1" ht="13.8">
      <c r="B677" s="307"/>
      <c r="C677" s="307"/>
      <c r="D677" s="307"/>
      <c r="E677" s="307"/>
      <c r="F677" s="307"/>
      <c r="L677" s="123"/>
      <c r="M677" s="123"/>
      <c r="N677" s="123"/>
      <c r="O677" s="123"/>
      <c r="P677" s="123"/>
      <c r="Q677" s="123"/>
      <c r="R677" s="123"/>
      <c r="S677" s="123"/>
      <c r="T677" s="123"/>
      <c r="U677" s="123"/>
      <c r="V677" s="123"/>
      <c r="W677" s="123"/>
      <c r="X677" s="123"/>
      <c r="Y677" s="123"/>
    </row>
    <row r="678" spans="2:25" s="235" customFormat="1" ht="13.8">
      <c r="B678" s="307"/>
      <c r="C678" s="307"/>
      <c r="D678" s="307"/>
      <c r="E678" s="307"/>
      <c r="F678" s="307"/>
      <c r="L678" s="123"/>
      <c r="M678" s="123"/>
      <c r="N678" s="123"/>
      <c r="O678" s="123"/>
      <c r="P678" s="123"/>
      <c r="Q678" s="123"/>
      <c r="R678" s="123"/>
      <c r="S678" s="123"/>
      <c r="T678" s="123"/>
      <c r="U678" s="123"/>
      <c r="V678" s="123"/>
      <c r="W678" s="123"/>
      <c r="X678" s="123"/>
      <c r="Y678" s="123"/>
    </row>
    <row r="679" spans="2:25" s="235" customFormat="1" ht="13.8">
      <c r="B679" s="307"/>
      <c r="C679" s="307"/>
      <c r="D679" s="307"/>
      <c r="E679" s="307"/>
      <c r="F679" s="307"/>
      <c r="L679" s="123"/>
      <c r="M679" s="123"/>
      <c r="N679" s="123"/>
      <c r="O679" s="123"/>
      <c r="P679" s="123"/>
      <c r="Q679" s="123"/>
      <c r="R679" s="123"/>
      <c r="S679" s="123"/>
      <c r="T679" s="123"/>
      <c r="U679" s="123"/>
      <c r="V679" s="123"/>
      <c r="W679" s="123"/>
      <c r="X679" s="123"/>
      <c r="Y679" s="123"/>
    </row>
    <row r="680" spans="2:25" s="235" customFormat="1" ht="13.8">
      <c r="B680" s="307"/>
      <c r="C680" s="307"/>
      <c r="D680" s="307"/>
      <c r="E680" s="307"/>
      <c r="F680" s="307"/>
      <c r="L680" s="123"/>
      <c r="M680" s="123"/>
      <c r="N680" s="123"/>
      <c r="O680" s="123"/>
      <c r="P680" s="123"/>
      <c r="Q680" s="123"/>
      <c r="R680" s="123"/>
      <c r="S680" s="123"/>
      <c r="T680" s="123"/>
      <c r="U680" s="123"/>
      <c r="V680" s="123"/>
      <c r="W680" s="123"/>
      <c r="X680" s="123"/>
      <c r="Y680" s="123"/>
    </row>
    <row r="681" spans="2:25" s="235" customFormat="1" ht="13.8">
      <c r="B681" s="307"/>
      <c r="C681" s="307"/>
      <c r="D681" s="307"/>
      <c r="E681" s="307"/>
      <c r="F681" s="307"/>
      <c r="L681" s="123"/>
      <c r="M681" s="123"/>
      <c r="N681" s="123"/>
      <c r="O681" s="123"/>
      <c r="P681" s="123"/>
      <c r="Q681" s="123"/>
      <c r="R681" s="123"/>
      <c r="S681" s="123"/>
      <c r="T681" s="123"/>
      <c r="U681" s="123"/>
      <c r="V681" s="123"/>
      <c r="W681" s="123"/>
      <c r="X681" s="123"/>
      <c r="Y681" s="123"/>
    </row>
    <row r="682" spans="2:25" s="235" customFormat="1" ht="13.8">
      <c r="B682" s="307"/>
      <c r="C682" s="307"/>
      <c r="D682" s="307"/>
      <c r="E682" s="307"/>
      <c r="F682" s="307"/>
      <c r="L682" s="123"/>
      <c r="M682" s="123"/>
      <c r="N682" s="123"/>
      <c r="O682" s="123"/>
      <c r="P682" s="123"/>
      <c r="Q682" s="123"/>
      <c r="R682" s="123"/>
      <c r="S682" s="123"/>
      <c r="T682" s="123"/>
      <c r="U682" s="123"/>
      <c r="V682" s="123"/>
      <c r="W682" s="123"/>
      <c r="X682" s="123"/>
      <c r="Y682" s="123"/>
    </row>
    <row r="683" spans="2:25" s="235" customFormat="1" ht="13.8">
      <c r="B683" s="307"/>
      <c r="C683" s="307"/>
      <c r="D683" s="307"/>
      <c r="E683" s="307"/>
      <c r="F683" s="307"/>
      <c r="L683" s="123"/>
      <c r="M683" s="123"/>
      <c r="N683" s="123"/>
      <c r="O683" s="123"/>
      <c r="P683" s="123"/>
      <c r="Q683" s="123"/>
      <c r="R683" s="123"/>
      <c r="S683" s="123"/>
      <c r="T683" s="123"/>
      <c r="U683" s="123"/>
      <c r="V683" s="123"/>
      <c r="W683" s="123"/>
      <c r="X683" s="123"/>
      <c r="Y683" s="123"/>
    </row>
    <row r="684" spans="2:25" s="235" customFormat="1" ht="13.8">
      <c r="B684" s="307"/>
      <c r="C684" s="307"/>
      <c r="D684" s="307"/>
      <c r="E684" s="307"/>
      <c r="F684" s="307"/>
      <c r="L684" s="123"/>
      <c r="M684" s="123"/>
      <c r="N684" s="123"/>
      <c r="O684" s="123"/>
      <c r="P684" s="123"/>
      <c r="Q684" s="123"/>
      <c r="R684" s="123"/>
      <c r="S684" s="123"/>
      <c r="T684" s="123"/>
      <c r="U684" s="123"/>
      <c r="V684" s="123"/>
      <c r="W684" s="123"/>
      <c r="X684" s="123"/>
      <c r="Y684" s="123"/>
    </row>
    <row r="685" spans="2:25" s="235" customFormat="1" ht="13.8">
      <c r="B685" s="307"/>
      <c r="C685" s="307"/>
      <c r="D685" s="307"/>
      <c r="E685" s="307"/>
      <c r="F685" s="307"/>
      <c r="L685" s="123"/>
      <c r="M685" s="123"/>
      <c r="N685" s="123"/>
      <c r="O685" s="123"/>
      <c r="P685" s="123"/>
      <c r="Q685" s="123"/>
      <c r="R685" s="123"/>
      <c r="S685" s="123"/>
      <c r="T685" s="123"/>
      <c r="U685" s="123"/>
      <c r="V685" s="123"/>
      <c r="W685" s="123"/>
      <c r="X685" s="123"/>
      <c r="Y685" s="123"/>
    </row>
    <row r="686" spans="2:25" s="235" customFormat="1" ht="13.8">
      <c r="B686" s="307"/>
      <c r="C686" s="307"/>
      <c r="D686" s="307"/>
      <c r="E686" s="307"/>
      <c r="F686" s="307"/>
      <c r="L686" s="123"/>
      <c r="M686" s="123"/>
      <c r="N686" s="123"/>
      <c r="O686" s="123"/>
      <c r="P686" s="123"/>
      <c r="Q686" s="123"/>
      <c r="R686" s="123"/>
      <c r="S686" s="123"/>
      <c r="T686" s="123"/>
      <c r="U686" s="123"/>
      <c r="V686" s="123"/>
      <c r="W686" s="123"/>
      <c r="X686" s="123"/>
      <c r="Y686" s="123"/>
    </row>
    <row r="687" spans="2:25" s="235" customFormat="1" ht="13.8">
      <c r="B687" s="307"/>
      <c r="C687" s="307"/>
      <c r="D687" s="307"/>
      <c r="E687" s="307"/>
      <c r="F687" s="307"/>
      <c r="L687" s="123"/>
      <c r="M687" s="123"/>
      <c r="N687" s="123"/>
      <c r="O687" s="123"/>
      <c r="P687" s="123"/>
      <c r="Q687" s="123"/>
      <c r="R687" s="123"/>
      <c r="S687" s="123"/>
      <c r="T687" s="123"/>
      <c r="U687" s="123"/>
      <c r="V687" s="123"/>
      <c r="W687" s="123"/>
      <c r="X687" s="123"/>
      <c r="Y687" s="123"/>
    </row>
    <row r="688" spans="2:25" s="235" customFormat="1" ht="13.8">
      <c r="B688" s="307"/>
      <c r="C688" s="307"/>
      <c r="D688" s="307"/>
      <c r="E688" s="307"/>
      <c r="F688" s="307"/>
      <c r="L688" s="123"/>
      <c r="M688" s="123"/>
      <c r="N688" s="123"/>
      <c r="O688" s="123"/>
      <c r="P688" s="123"/>
      <c r="Q688" s="123"/>
      <c r="R688" s="123"/>
      <c r="S688" s="123"/>
      <c r="T688" s="123"/>
      <c r="U688" s="123"/>
      <c r="V688" s="123"/>
      <c r="W688" s="123"/>
      <c r="X688" s="123"/>
      <c r="Y688" s="123"/>
    </row>
    <row r="689" spans="2:25" s="235" customFormat="1" ht="13.8">
      <c r="B689" s="307"/>
      <c r="C689" s="307"/>
      <c r="D689" s="307"/>
      <c r="E689" s="307"/>
      <c r="F689" s="307"/>
      <c r="L689" s="123"/>
      <c r="M689" s="123"/>
      <c r="N689" s="123"/>
      <c r="O689" s="123"/>
      <c r="P689" s="123"/>
      <c r="Q689" s="123"/>
      <c r="R689" s="123"/>
      <c r="S689" s="123"/>
      <c r="T689" s="123"/>
      <c r="U689" s="123"/>
      <c r="V689" s="123"/>
      <c r="W689" s="123"/>
      <c r="X689" s="123"/>
      <c r="Y689" s="123"/>
    </row>
    <row r="690" spans="2:25" s="235" customFormat="1" ht="13.8">
      <c r="B690" s="307"/>
      <c r="C690" s="307"/>
      <c r="D690" s="307"/>
      <c r="E690" s="307"/>
      <c r="F690" s="307"/>
      <c r="L690" s="123"/>
      <c r="M690" s="123"/>
      <c r="N690" s="123"/>
      <c r="O690" s="123"/>
      <c r="P690" s="123"/>
      <c r="Q690" s="123"/>
      <c r="R690" s="123"/>
      <c r="S690" s="123"/>
      <c r="T690" s="123"/>
      <c r="U690" s="123"/>
      <c r="V690" s="123"/>
      <c r="W690" s="123"/>
      <c r="X690" s="123"/>
      <c r="Y690" s="123"/>
    </row>
    <row r="691" spans="2:25" s="235" customFormat="1" ht="13.8">
      <c r="B691" s="307"/>
      <c r="C691" s="307"/>
      <c r="D691" s="307"/>
      <c r="E691" s="307"/>
      <c r="F691" s="307"/>
      <c r="L691" s="123"/>
      <c r="M691" s="123"/>
      <c r="N691" s="123"/>
      <c r="O691" s="123"/>
      <c r="P691" s="123"/>
      <c r="Q691" s="123"/>
      <c r="R691" s="123"/>
      <c r="S691" s="123"/>
      <c r="T691" s="123"/>
      <c r="U691" s="123"/>
      <c r="V691" s="123"/>
      <c r="W691" s="123"/>
      <c r="X691" s="123"/>
      <c r="Y691" s="123"/>
    </row>
    <row r="692" spans="2:25" s="235" customFormat="1" ht="13.8">
      <c r="B692" s="307"/>
      <c r="C692" s="307"/>
      <c r="D692" s="307"/>
      <c r="E692" s="307"/>
      <c r="F692" s="307"/>
      <c r="L692" s="123"/>
      <c r="M692" s="123"/>
      <c r="N692" s="123"/>
      <c r="O692" s="123"/>
      <c r="P692" s="123"/>
      <c r="Q692" s="123"/>
      <c r="R692" s="123"/>
      <c r="S692" s="123"/>
      <c r="T692" s="123"/>
      <c r="U692" s="123"/>
      <c r="V692" s="123"/>
      <c r="W692" s="123"/>
      <c r="X692" s="123"/>
      <c r="Y692" s="123"/>
    </row>
    <row r="693" spans="2:25" s="235" customFormat="1" ht="13.8">
      <c r="B693" s="307"/>
      <c r="C693" s="307"/>
      <c r="D693" s="307"/>
      <c r="E693" s="307"/>
      <c r="F693" s="307"/>
      <c r="L693" s="123"/>
      <c r="M693" s="123"/>
      <c r="N693" s="123"/>
      <c r="O693" s="123"/>
      <c r="P693" s="123"/>
      <c r="Q693" s="123"/>
      <c r="R693" s="123"/>
      <c r="S693" s="123"/>
      <c r="T693" s="123"/>
      <c r="U693" s="123"/>
      <c r="V693" s="123"/>
      <c r="W693" s="123"/>
      <c r="X693" s="123"/>
      <c r="Y693" s="123"/>
    </row>
    <row r="694" spans="2:25" s="235" customFormat="1" ht="13.8">
      <c r="B694" s="307"/>
      <c r="C694" s="307"/>
      <c r="D694" s="307"/>
      <c r="E694" s="307"/>
      <c r="F694" s="307"/>
      <c r="L694" s="123"/>
      <c r="M694" s="123"/>
      <c r="N694" s="123"/>
      <c r="O694" s="123"/>
      <c r="P694" s="123"/>
      <c r="Q694" s="123"/>
      <c r="R694" s="123"/>
      <c r="S694" s="123"/>
      <c r="T694" s="123"/>
      <c r="U694" s="123"/>
      <c r="V694" s="123"/>
      <c r="W694" s="123"/>
      <c r="X694" s="123"/>
      <c r="Y694" s="123"/>
    </row>
    <row r="695" spans="2:25" s="235" customFormat="1" ht="13.8">
      <c r="B695" s="307"/>
      <c r="C695" s="307"/>
      <c r="D695" s="307"/>
      <c r="E695" s="307"/>
      <c r="F695" s="307"/>
      <c r="L695" s="123"/>
      <c r="M695" s="123"/>
      <c r="N695" s="123"/>
      <c r="O695" s="123"/>
      <c r="P695" s="123"/>
      <c r="Q695" s="123"/>
      <c r="R695" s="123"/>
      <c r="S695" s="123"/>
      <c r="T695" s="123"/>
      <c r="U695" s="123"/>
      <c r="V695" s="123"/>
      <c r="W695" s="123"/>
      <c r="X695" s="123"/>
      <c r="Y695" s="123"/>
    </row>
    <row r="696" spans="2:25" s="235" customFormat="1" ht="13.8">
      <c r="B696" s="307"/>
      <c r="C696" s="307"/>
      <c r="D696" s="307"/>
      <c r="E696" s="307"/>
      <c r="F696" s="307"/>
      <c r="L696" s="123"/>
      <c r="M696" s="123"/>
      <c r="N696" s="123"/>
      <c r="O696" s="123"/>
      <c r="P696" s="123"/>
      <c r="Q696" s="123"/>
      <c r="R696" s="123"/>
      <c r="S696" s="123"/>
      <c r="T696" s="123"/>
      <c r="U696" s="123"/>
      <c r="V696" s="123"/>
      <c r="W696" s="123"/>
      <c r="X696" s="123"/>
      <c r="Y696" s="123"/>
    </row>
    <row r="697" spans="2:25" s="235" customFormat="1" ht="13.8">
      <c r="B697" s="307"/>
      <c r="C697" s="307"/>
      <c r="D697" s="307"/>
      <c r="E697" s="307"/>
      <c r="F697" s="307"/>
      <c r="L697" s="123"/>
      <c r="M697" s="123"/>
      <c r="N697" s="123"/>
      <c r="O697" s="123"/>
      <c r="P697" s="123"/>
      <c r="Q697" s="123"/>
      <c r="R697" s="123"/>
      <c r="S697" s="123"/>
      <c r="T697" s="123"/>
      <c r="U697" s="123"/>
      <c r="V697" s="123"/>
      <c r="W697" s="123"/>
      <c r="X697" s="123"/>
      <c r="Y697" s="123"/>
    </row>
    <row r="698" spans="2:25" s="235" customFormat="1" ht="13.8">
      <c r="B698" s="307"/>
      <c r="C698" s="307"/>
      <c r="D698" s="307"/>
      <c r="E698" s="307"/>
      <c r="F698" s="307"/>
      <c r="L698" s="123"/>
      <c r="M698" s="123"/>
      <c r="N698" s="123"/>
      <c r="O698" s="123"/>
      <c r="P698" s="123"/>
      <c r="Q698" s="123"/>
      <c r="R698" s="123"/>
      <c r="S698" s="123"/>
      <c r="T698" s="123"/>
      <c r="U698" s="123"/>
      <c r="V698" s="123"/>
      <c r="W698" s="123"/>
      <c r="X698" s="123"/>
      <c r="Y698" s="123"/>
    </row>
    <row r="699" spans="2:25" s="235" customFormat="1" ht="13.8">
      <c r="B699" s="307"/>
      <c r="C699" s="307"/>
      <c r="D699" s="307"/>
      <c r="E699" s="307"/>
      <c r="F699" s="307"/>
      <c r="L699" s="123"/>
      <c r="M699" s="123"/>
      <c r="N699" s="123"/>
      <c r="O699" s="123"/>
      <c r="P699" s="123"/>
      <c r="Q699" s="123"/>
      <c r="R699" s="123"/>
      <c r="S699" s="123"/>
      <c r="T699" s="123"/>
      <c r="U699" s="123"/>
      <c r="V699" s="123"/>
      <c r="W699" s="123"/>
      <c r="X699" s="123"/>
      <c r="Y699" s="123"/>
    </row>
    <row r="700" spans="2:25" s="235" customFormat="1" ht="13.8">
      <c r="B700" s="307"/>
      <c r="C700" s="307"/>
      <c r="D700" s="307"/>
      <c r="E700" s="307"/>
      <c r="F700" s="307"/>
      <c r="L700" s="123"/>
      <c r="M700" s="123"/>
      <c r="N700" s="123"/>
      <c r="O700" s="123"/>
      <c r="P700" s="123"/>
      <c r="Q700" s="123"/>
      <c r="R700" s="123"/>
      <c r="S700" s="123"/>
      <c r="T700" s="123"/>
      <c r="U700" s="123"/>
      <c r="V700" s="123"/>
      <c r="W700" s="123"/>
      <c r="X700" s="123"/>
      <c r="Y700" s="123"/>
    </row>
    <row r="701" spans="2:25" s="235" customFormat="1" ht="13.8">
      <c r="B701" s="307"/>
      <c r="C701" s="307"/>
      <c r="D701" s="307"/>
      <c r="E701" s="307"/>
      <c r="F701" s="307"/>
      <c r="L701" s="123"/>
      <c r="M701" s="123"/>
      <c r="N701" s="123"/>
      <c r="O701" s="123"/>
      <c r="P701" s="123"/>
      <c r="Q701" s="123"/>
      <c r="R701" s="123"/>
      <c r="S701" s="123"/>
      <c r="T701" s="123"/>
      <c r="U701" s="123"/>
      <c r="V701" s="123"/>
      <c r="W701" s="123"/>
      <c r="X701" s="123"/>
      <c r="Y701" s="123"/>
    </row>
    <row r="702" spans="2:25" s="235" customFormat="1" ht="13.8">
      <c r="B702" s="307"/>
      <c r="C702" s="307"/>
      <c r="D702" s="307"/>
      <c r="E702" s="307"/>
      <c r="F702" s="307"/>
      <c r="L702" s="123"/>
      <c r="M702" s="123"/>
      <c r="N702" s="123"/>
      <c r="O702" s="123"/>
      <c r="P702" s="123"/>
      <c r="Q702" s="123"/>
      <c r="R702" s="123"/>
      <c r="S702" s="123"/>
      <c r="T702" s="123"/>
      <c r="U702" s="123"/>
      <c r="V702" s="123"/>
      <c r="W702" s="123"/>
      <c r="X702" s="123"/>
      <c r="Y702" s="123"/>
    </row>
    <row r="703" spans="2:25" s="235" customFormat="1" ht="13.8">
      <c r="B703" s="307"/>
      <c r="C703" s="307"/>
      <c r="D703" s="307"/>
      <c r="E703" s="307"/>
      <c r="F703" s="307"/>
      <c r="L703" s="123"/>
      <c r="M703" s="123"/>
      <c r="N703" s="123"/>
      <c r="O703" s="123"/>
      <c r="P703" s="123"/>
      <c r="Q703" s="123"/>
      <c r="R703" s="123"/>
      <c r="S703" s="123"/>
      <c r="T703" s="123"/>
      <c r="U703" s="123"/>
      <c r="V703" s="123"/>
      <c r="W703" s="123"/>
      <c r="X703" s="123"/>
      <c r="Y703" s="123"/>
    </row>
    <row r="704" spans="2:25" s="235" customFormat="1" ht="13.8">
      <c r="B704" s="307"/>
      <c r="C704" s="307"/>
      <c r="D704" s="307"/>
      <c r="E704" s="307"/>
      <c r="F704" s="307"/>
      <c r="L704" s="123"/>
      <c r="M704" s="123"/>
      <c r="N704" s="123"/>
      <c r="O704" s="123"/>
      <c r="P704" s="123"/>
      <c r="Q704" s="123"/>
      <c r="R704" s="123"/>
      <c r="S704" s="123"/>
      <c r="T704" s="123"/>
      <c r="U704" s="123"/>
      <c r="V704" s="123"/>
      <c r="W704" s="123"/>
      <c r="X704" s="123"/>
      <c r="Y704" s="123"/>
    </row>
    <row r="705" spans="2:25" s="235" customFormat="1" ht="13.8">
      <c r="B705" s="307"/>
      <c r="C705" s="307"/>
      <c r="D705" s="307"/>
      <c r="E705" s="307"/>
      <c r="F705" s="307"/>
      <c r="L705" s="123"/>
      <c r="M705" s="123"/>
      <c r="N705" s="123"/>
      <c r="O705" s="123"/>
      <c r="P705" s="123"/>
      <c r="Q705" s="123"/>
      <c r="R705" s="123"/>
      <c r="S705" s="123"/>
      <c r="T705" s="123"/>
      <c r="U705" s="123"/>
      <c r="V705" s="123"/>
      <c r="W705" s="123"/>
      <c r="X705" s="123"/>
      <c r="Y705" s="123"/>
    </row>
    <row r="706" spans="2:25" s="235" customFormat="1" ht="13.8">
      <c r="B706" s="307"/>
      <c r="C706" s="307"/>
      <c r="D706" s="307"/>
      <c r="E706" s="307"/>
      <c r="F706" s="307"/>
      <c r="L706" s="123"/>
      <c r="M706" s="123"/>
      <c r="N706" s="123"/>
      <c r="O706" s="123"/>
      <c r="P706" s="123"/>
      <c r="Q706" s="123"/>
      <c r="R706" s="123"/>
      <c r="S706" s="123"/>
      <c r="T706" s="123"/>
      <c r="U706" s="123"/>
      <c r="V706" s="123"/>
      <c r="W706" s="123"/>
      <c r="X706" s="123"/>
      <c r="Y706" s="123"/>
    </row>
    <row r="707" spans="2:25" s="235" customFormat="1" ht="13.8">
      <c r="B707" s="307"/>
      <c r="C707" s="307"/>
      <c r="D707" s="307"/>
      <c r="E707" s="307"/>
      <c r="F707" s="307"/>
      <c r="L707" s="123"/>
      <c r="M707" s="123"/>
      <c r="N707" s="123"/>
      <c r="O707" s="123"/>
      <c r="P707" s="123"/>
      <c r="Q707" s="123"/>
      <c r="R707" s="123"/>
      <c r="S707" s="123"/>
      <c r="T707" s="123"/>
      <c r="U707" s="123"/>
      <c r="V707" s="123"/>
      <c r="W707" s="123"/>
      <c r="X707" s="123"/>
      <c r="Y707" s="123"/>
    </row>
    <row r="708" spans="2:25" s="235" customFormat="1" ht="13.8">
      <c r="B708" s="307"/>
      <c r="C708" s="307"/>
      <c r="D708" s="307"/>
      <c r="E708" s="307"/>
      <c r="F708" s="307"/>
      <c r="L708" s="123"/>
      <c r="M708" s="123"/>
      <c r="N708" s="123"/>
      <c r="O708" s="123"/>
      <c r="P708" s="123"/>
      <c r="Q708" s="123"/>
      <c r="R708" s="123"/>
      <c r="S708" s="123"/>
      <c r="T708" s="123"/>
      <c r="U708" s="123"/>
      <c r="V708" s="123"/>
      <c r="W708" s="123"/>
      <c r="X708" s="123"/>
      <c r="Y708" s="123"/>
    </row>
    <row r="709" spans="2:25" s="235" customFormat="1" ht="13.8">
      <c r="B709" s="307"/>
      <c r="C709" s="307"/>
      <c r="D709" s="307"/>
      <c r="E709" s="307"/>
      <c r="F709" s="307"/>
      <c r="L709" s="123"/>
      <c r="M709" s="123"/>
      <c r="N709" s="123"/>
      <c r="O709" s="123"/>
      <c r="P709" s="123"/>
      <c r="Q709" s="123"/>
      <c r="R709" s="123"/>
      <c r="S709" s="123"/>
      <c r="T709" s="123"/>
      <c r="U709" s="123"/>
      <c r="V709" s="123"/>
      <c r="W709" s="123"/>
      <c r="X709" s="123"/>
      <c r="Y709" s="123"/>
    </row>
    <row r="710" spans="2:25" s="235" customFormat="1" ht="13.8">
      <c r="B710" s="307"/>
      <c r="C710" s="307"/>
      <c r="D710" s="307"/>
      <c r="E710" s="307"/>
      <c r="F710" s="307"/>
      <c r="L710" s="123"/>
      <c r="M710" s="123"/>
      <c r="N710" s="123"/>
      <c r="O710" s="123"/>
      <c r="P710" s="123"/>
      <c r="Q710" s="123"/>
      <c r="R710" s="123"/>
      <c r="S710" s="123"/>
      <c r="T710" s="123"/>
      <c r="U710" s="123"/>
      <c r="V710" s="123"/>
      <c r="W710" s="123"/>
      <c r="X710" s="123"/>
      <c r="Y710" s="123"/>
    </row>
    <row r="711" spans="2:25" s="235" customFormat="1" ht="13.8">
      <c r="B711" s="307"/>
      <c r="C711" s="307"/>
      <c r="D711" s="307"/>
      <c r="E711" s="307"/>
      <c r="F711" s="307"/>
      <c r="L711" s="123"/>
      <c r="M711" s="123"/>
      <c r="N711" s="123"/>
      <c r="O711" s="123"/>
      <c r="P711" s="123"/>
      <c r="Q711" s="123"/>
      <c r="R711" s="123"/>
      <c r="S711" s="123"/>
      <c r="T711" s="123"/>
      <c r="U711" s="123"/>
      <c r="V711" s="123"/>
      <c r="W711" s="123"/>
      <c r="X711" s="123"/>
      <c r="Y711" s="123"/>
    </row>
    <row r="712" spans="2:25" s="235" customFormat="1" ht="13.8">
      <c r="B712" s="307"/>
      <c r="C712" s="307"/>
      <c r="D712" s="307"/>
      <c r="E712" s="307"/>
      <c r="F712" s="307"/>
      <c r="L712" s="123"/>
      <c r="M712" s="123"/>
      <c r="N712" s="123"/>
      <c r="O712" s="123"/>
      <c r="P712" s="123"/>
      <c r="Q712" s="123"/>
      <c r="R712" s="123"/>
      <c r="S712" s="123"/>
      <c r="T712" s="123"/>
      <c r="U712" s="123"/>
      <c r="V712" s="123"/>
      <c r="W712" s="123"/>
      <c r="X712" s="123"/>
      <c r="Y712" s="123"/>
    </row>
    <row r="713" spans="2:25" s="235" customFormat="1" ht="13.8">
      <c r="B713" s="307"/>
      <c r="C713" s="307"/>
      <c r="D713" s="307"/>
      <c r="E713" s="307"/>
      <c r="F713" s="307"/>
      <c r="L713" s="123"/>
      <c r="M713" s="123"/>
      <c r="N713" s="123"/>
      <c r="O713" s="123"/>
      <c r="P713" s="123"/>
      <c r="Q713" s="123"/>
      <c r="R713" s="123"/>
      <c r="S713" s="123"/>
      <c r="T713" s="123"/>
      <c r="U713" s="123"/>
      <c r="V713" s="123"/>
      <c r="W713" s="123"/>
      <c r="X713" s="123"/>
      <c r="Y713" s="123"/>
    </row>
    <row r="714" spans="2:25" s="235" customFormat="1" ht="13.8">
      <c r="B714" s="307"/>
      <c r="C714" s="307"/>
      <c r="D714" s="307"/>
      <c r="E714" s="307"/>
      <c r="F714" s="307"/>
      <c r="L714" s="123"/>
      <c r="M714" s="123"/>
      <c r="N714" s="123"/>
      <c r="O714" s="123"/>
      <c r="P714" s="123"/>
      <c r="Q714" s="123"/>
      <c r="R714" s="123"/>
      <c r="S714" s="123"/>
      <c r="T714" s="123"/>
      <c r="U714" s="123"/>
      <c r="V714" s="123"/>
      <c r="W714" s="123"/>
      <c r="X714" s="123"/>
      <c r="Y714" s="123"/>
    </row>
    <row r="715" spans="2:25" s="235" customFormat="1" ht="13.8">
      <c r="B715" s="307"/>
      <c r="C715" s="307"/>
      <c r="D715" s="307"/>
      <c r="E715" s="307"/>
      <c r="F715" s="307"/>
      <c r="L715" s="123"/>
      <c r="M715" s="123"/>
      <c r="N715" s="123"/>
      <c r="O715" s="123"/>
      <c r="P715" s="123"/>
      <c r="Q715" s="123"/>
      <c r="R715" s="123"/>
      <c r="S715" s="123"/>
      <c r="T715" s="123"/>
      <c r="U715" s="123"/>
      <c r="V715" s="123"/>
      <c r="W715" s="123"/>
      <c r="X715" s="123"/>
      <c r="Y715" s="123"/>
    </row>
    <row r="716" spans="2:25" s="235" customFormat="1" ht="13.8">
      <c r="B716" s="307"/>
      <c r="C716" s="307"/>
      <c r="D716" s="307"/>
      <c r="E716" s="307"/>
      <c r="F716" s="307"/>
      <c r="L716" s="123"/>
      <c r="M716" s="123"/>
      <c r="N716" s="123"/>
      <c r="O716" s="123"/>
      <c r="P716" s="123"/>
      <c r="Q716" s="123"/>
      <c r="R716" s="123"/>
      <c r="S716" s="123"/>
      <c r="T716" s="123"/>
      <c r="U716" s="123"/>
      <c r="V716" s="123"/>
      <c r="W716" s="123"/>
      <c r="X716" s="123"/>
      <c r="Y716" s="123"/>
    </row>
    <row r="717" spans="2:25" s="235" customFormat="1" ht="13.8">
      <c r="B717" s="307"/>
      <c r="C717" s="307"/>
      <c r="D717" s="307"/>
      <c r="E717" s="307"/>
      <c r="F717" s="307"/>
      <c r="L717" s="123"/>
      <c r="M717" s="123"/>
      <c r="N717" s="123"/>
      <c r="O717" s="123"/>
      <c r="P717" s="123"/>
      <c r="Q717" s="123"/>
      <c r="R717" s="123"/>
      <c r="S717" s="123"/>
      <c r="T717" s="123"/>
      <c r="U717" s="123"/>
      <c r="V717" s="123"/>
      <c r="W717" s="123"/>
      <c r="X717" s="123"/>
      <c r="Y717" s="123"/>
    </row>
    <row r="718" spans="2:25" s="235" customFormat="1" ht="13.8">
      <c r="B718" s="307"/>
      <c r="C718" s="307"/>
      <c r="D718" s="307"/>
      <c r="E718" s="307"/>
      <c r="F718" s="307"/>
      <c r="L718" s="123"/>
      <c r="M718" s="123"/>
      <c r="N718" s="123"/>
      <c r="O718" s="123"/>
      <c r="P718" s="123"/>
      <c r="Q718" s="123"/>
      <c r="R718" s="123"/>
      <c r="S718" s="123"/>
      <c r="T718" s="123"/>
      <c r="U718" s="123"/>
      <c r="V718" s="123"/>
      <c r="W718" s="123"/>
      <c r="X718" s="123"/>
      <c r="Y718" s="123"/>
    </row>
    <row r="719" spans="2:25" s="235" customFormat="1" ht="13.8">
      <c r="B719" s="307"/>
      <c r="C719" s="307"/>
      <c r="D719" s="307"/>
      <c r="E719" s="307"/>
      <c r="F719" s="307"/>
      <c r="L719" s="123"/>
      <c r="M719" s="123"/>
      <c r="N719" s="123"/>
      <c r="O719" s="123"/>
      <c r="P719" s="123"/>
      <c r="Q719" s="123"/>
      <c r="R719" s="123"/>
      <c r="S719" s="123"/>
      <c r="T719" s="123"/>
      <c r="U719" s="123"/>
      <c r="V719" s="123"/>
      <c r="W719" s="123"/>
      <c r="X719" s="123"/>
      <c r="Y719" s="123"/>
    </row>
    <row r="720" spans="2:25" s="235" customFormat="1" ht="13.8">
      <c r="B720" s="307"/>
      <c r="C720" s="307"/>
      <c r="D720" s="307"/>
      <c r="E720" s="307"/>
      <c r="F720" s="307"/>
      <c r="L720" s="123"/>
      <c r="M720" s="123"/>
      <c r="N720" s="123"/>
      <c r="O720" s="123"/>
      <c r="P720" s="123"/>
      <c r="Q720" s="123"/>
      <c r="R720" s="123"/>
      <c r="S720" s="123"/>
      <c r="T720" s="123"/>
      <c r="U720" s="123"/>
      <c r="V720" s="123"/>
      <c r="W720" s="123"/>
      <c r="X720" s="123"/>
      <c r="Y720" s="123"/>
    </row>
    <row r="721" spans="2:25" s="235" customFormat="1" ht="13.8">
      <c r="B721" s="307"/>
      <c r="C721" s="307"/>
      <c r="D721" s="307"/>
      <c r="E721" s="307"/>
      <c r="F721" s="307"/>
      <c r="L721" s="123"/>
      <c r="M721" s="123"/>
      <c r="N721" s="123"/>
      <c r="O721" s="123"/>
      <c r="P721" s="123"/>
      <c r="Q721" s="123"/>
      <c r="R721" s="123"/>
      <c r="S721" s="123"/>
      <c r="T721" s="123"/>
      <c r="U721" s="123"/>
      <c r="V721" s="123"/>
      <c r="W721" s="123"/>
      <c r="X721" s="123"/>
      <c r="Y721" s="123"/>
    </row>
    <row r="722" spans="2:25" s="235" customFormat="1" ht="13.8">
      <c r="B722" s="307"/>
      <c r="C722" s="307"/>
      <c r="D722" s="307"/>
      <c r="E722" s="307"/>
      <c r="F722" s="307"/>
      <c r="L722" s="123"/>
      <c r="M722" s="123"/>
      <c r="N722" s="123"/>
      <c r="O722" s="123"/>
      <c r="P722" s="123"/>
      <c r="Q722" s="123"/>
      <c r="R722" s="123"/>
      <c r="S722" s="123"/>
      <c r="T722" s="123"/>
      <c r="U722" s="123"/>
      <c r="V722" s="123"/>
      <c r="W722" s="123"/>
      <c r="X722" s="123"/>
      <c r="Y722" s="123"/>
    </row>
    <row r="723" spans="2:25" s="235" customFormat="1" ht="13.8">
      <c r="B723" s="307"/>
      <c r="C723" s="307"/>
      <c r="D723" s="307"/>
      <c r="E723" s="307"/>
      <c r="F723" s="307"/>
      <c r="L723" s="123"/>
      <c r="M723" s="123"/>
      <c r="N723" s="123"/>
      <c r="O723" s="123"/>
      <c r="P723" s="123"/>
      <c r="Q723" s="123"/>
      <c r="R723" s="123"/>
      <c r="S723" s="123"/>
      <c r="T723" s="123"/>
      <c r="U723" s="123"/>
      <c r="V723" s="123"/>
      <c r="W723" s="123"/>
      <c r="X723" s="123"/>
      <c r="Y723" s="123"/>
    </row>
    <row r="724" spans="2:25" s="235" customFormat="1" ht="13.8">
      <c r="B724" s="307"/>
      <c r="C724" s="307"/>
      <c r="D724" s="307"/>
      <c r="E724" s="307"/>
      <c r="F724" s="307"/>
      <c r="L724" s="123"/>
      <c r="M724" s="123"/>
      <c r="N724" s="123"/>
      <c r="O724" s="123"/>
      <c r="P724" s="123"/>
      <c r="Q724" s="123"/>
      <c r="R724" s="123"/>
      <c r="S724" s="123"/>
      <c r="T724" s="123"/>
      <c r="U724" s="123"/>
      <c r="V724" s="123"/>
      <c r="W724" s="123"/>
      <c r="X724" s="123"/>
      <c r="Y724" s="123"/>
    </row>
    <row r="725" spans="2:25" s="235" customFormat="1" ht="13.8">
      <c r="B725" s="307"/>
      <c r="C725" s="307"/>
      <c r="D725" s="307"/>
      <c r="E725" s="307"/>
      <c r="F725" s="307"/>
      <c r="L725" s="123"/>
      <c r="M725" s="123"/>
      <c r="N725" s="123"/>
      <c r="O725" s="123"/>
      <c r="P725" s="123"/>
      <c r="Q725" s="123"/>
      <c r="R725" s="123"/>
      <c r="S725" s="123"/>
      <c r="T725" s="123"/>
      <c r="U725" s="123"/>
      <c r="V725" s="123"/>
      <c r="W725" s="123"/>
      <c r="X725" s="123"/>
      <c r="Y725" s="123"/>
    </row>
    <row r="726" spans="2:25" s="235" customFormat="1" ht="13.8">
      <c r="B726" s="307"/>
      <c r="C726" s="307"/>
      <c r="D726" s="307"/>
      <c r="E726" s="307"/>
      <c r="F726" s="307"/>
      <c r="L726" s="123"/>
      <c r="M726" s="123"/>
      <c r="N726" s="123"/>
      <c r="O726" s="123"/>
      <c r="P726" s="123"/>
      <c r="Q726" s="123"/>
      <c r="R726" s="123"/>
      <c r="S726" s="123"/>
      <c r="T726" s="123"/>
      <c r="U726" s="123"/>
      <c r="V726" s="123"/>
      <c r="W726" s="123"/>
      <c r="X726" s="123"/>
      <c r="Y726" s="123"/>
    </row>
    <row r="727" spans="2:25" s="235" customFormat="1" ht="13.8">
      <c r="B727" s="307"/>
      <c r="C727" s="307"/>
      <c r="D727" s="307"/>
      <c r="E727" s="307"/>
      <c r="F727" s="307"/>
      <c r="L727" s="123"/>
      <c r="M727" s="123"/>
      <c r="N727" s="123"/>
      <c r="O727" s="123"/>
      <c r="P727" s="123"/>
      <c r="Q727" s="123"/>
      <c r="R727" s="123"/>
      <c r="S727" s="123"/>
      <c r="T727" s="123"/>
      <c r="U727" s="123"/>
      <c r="V727" s="123"/>
      <c r="W727" s="123"/>
      <c r="X727" s="123"/>
      <c r="Y727" s="123"/>
    </row>
    <row r="728" spans="2:25" s="235" customFormat="1" ht="13.8">
      <c r="B728" s="307"/>
      <c r="C728" s="307"/>
      <c r="D728" s="307"/>
      <c r="E728" s="307"/>
      <c r="F728" s="307"/>
      <c r="L728" s="123"/>
      <c r="M728" s="123"/>
      <c r="N728" s="123"/>
      <c r="O728" s="123"/>
      <c r="P728" s="123"/>
      <c r="Q728" s="123"/>
      <c r="R728" s="123"/>
      <c r="S728" s="123"/>
      <c r="T728" s="123"/>
      <c r="U728" s="123"/>
      <c r="V728" s="123"/>
      <c r="W728" s="123"/>
      <c r="X728" s="123"/>
      <c r="Y728" s="123"/>
    </row>
    <row r="729" spans="2:25" s="235" customFormat="1" ht="13.8">
      <c r="B729" s="307"/>
      <c r="C729" s="307"/>
      <c r="D729" s="307"/>
      <c r="E729" s="307"/>
      <c r="F729" s="307"/>
      <c r="L729" s="123"/>
      <c r="M729" s="123"/>
      <c r="N729" s="123"/>
      <c r="O729" s="123"/>
      <c r="P729" s="123"/>
      <c r="Q729" s="123"/>
      <c r="R729" s="123"/>
      <c r="S729" s="123"/>
      <c r="T729" s="123"/>
      <c r="U729" s="123"/>
      <c r="V729" s="123"/>
      <c r="W729" s="123"/>
      <c r="X729" s="123"/>
      <c r="Y729" s="123"/>
    </row>
    <row r="730" spans="2:25" s="235" customFormat="1" ht="13.8">
      <c r="B730" s="307"/>
      <c r="C730" s="307"/>
      <c r="D730" s="307"/>
      <c r="E730" s="307"/>
      <c r="F730" s="307"/>
      <c r="L730" s="123"/>
      <c r="M730" s="123"/>
      <c r="N730" s="123"/>
      <c r="O730" s="123"/>
      <c r="P730" s="123"/>
      <c r="Q730" s="123"/>
      <c r="R730" s="123"/>
      <c r="S730" s="123"/>
      <c r="T730" s="123"/>
      <c r="U730" s="123"/>
      <c r="V730" s="123"/>
      <c r="W730" s="123"/>
      <c r="X730" s="123"/>
      <c r="Y730" s="123"/>
    </row>
    <row r="731" spans="2:25" s="235" customFormat="1" ht="13.8">
      <c r="B731" s="307"/>
      <c r="C731" s="307"/>
      <c r="D731" s="307"/>
      <c r="E731" s="307"/>
      <c r="F731" s="307"/>
      <c r="L731" s="123"/>
      <c r="M731" s="123"/>
      <c r="N731" s="123"/>
      <c r="O731" s="123"/>
      <c r="P731" s="123"/>
      <c r="Q731" s="123"/>
      <c r="R731" s="123"/>
      <c r="S731" s="123"/>
      <c r="T731" s="123"/>
      <c r="U731" s="123"/>
      <c r="V731" s="123"/>
      <c r="W731" s="123"/>
      <c r="X731" s="123"/>
      <c r="Y731" s="123"/>
    </row>
    <row r="732" spans="2:25" s="235" customFormat="1" ht="13.8">
      <c r="B732" s="307"/>
      <c r="C732" s="307"/>
      <c r="D732" s="307"/>
      <c r="E732" s="307"/>
      <c r="F732" s="307"/>
      <c r="L732" s="123"/>
      <c r="M732" s="123"/>
      <c r="N732" s="123"/>
      <c r="O732" s="123"/>
      <c r="P732" s="123"/>
      <c r="Q732" s="123"/>
      <c r="R732" s="123"/>
      <c r="S732" s="123"/>
      <c r="T732" s="123"/>
      <c r="U732" s="123"/>
      <c r="V732" s="123"/>
      <c r="W732" s="123"/>
      <c r="X732" s="123"/>
      <c r="Y732" s="123"/>
    </row>
    <row r="733" spans="2:25" s="235" customFormat="1" ht="13.8">
      <c r="B733" s="307"/>
      <c r="C733" s="307"/>
      <c r="D733" s="307"/>
      <c r="E733" s="307"/>
      <c r="F733" s="307"/>
      <c r="L733" s="123"/>
      <c r="M733" s="123"/>
      <c r="N733" s="123"/>
      <c r="O733" s="123"/>
      <c r="P733" s="123"/>
      <c r="Q733" s="123"/>
      <c r="R733" s="123"/>
      <c r="S733" s="123"/>
      <c r="T733" s="123"/>
      <c r="U733" s="123"/>
      <c r="V733" s="123"/>
      <c r="W733" s="123"/>
      <c r="X733" s="123"/>
      <c r="Y733" s="123"/>
    </row>
    <row r="734" spans="2:25" s="235" customFormat="1" ht="13.8">
      <c r="B734" s="307"/>
      <c r="C734" s="307"/>
      <c r="D734" s="307"/>
      <c r="E734" s="307"/>
      <c r="F734" s="307"/>
      <c r="L734" s="123"/>
      <c r="M734" s="123"/>
      <c r="N734" s="123"/>
      <c r="O734" s="123"/>
      <c r="P734" s="123"/>
      <c r="Q734" s="123"/>
      <c r="R734" s="123"/>
      <c r="S734" s="123"/>
      <c r="T734" s="123"/>
      <c r="U734" s="123"/>
      <c r="V734" s="123"/>
      <c r="W734" s="123"/>
      <c r="X734" s="123"/>
      <c r="Y734" s="123"/>
    </row>
    <row r="735" spans="2:25" s="235" customFormat="1" ht="13.8">
      <c r="B735" s="307"/>
      <c r="C735" s="307"/>
      <c r="D735" s="307"/>
      <c r="E735" s="307"/>
      <c r="F735" s="307"/>
      <c r="L735" s="123"/>
      <c r="M735" s="123"/>
      <c r="N735" s="123"/>
      <c r="O735" s="123"/>
      <c r="P735" s="123"/>
      <c r="Q735" s="123"/>
      <c r="R735" s="123"/>
      <c r="S735" s="123"/>
      <c r="T735" s="123"/>
      <c r="U735" s="123"/>
      <c r="V735" s="123"/>
      <c r="W735" s="123"/>
      <c r="X735" s="123"/>
      <c r="Y735" s="123"/>
    </row>
    <row r="736" spans="2:25" s="235" customFormat="1" ht="13.8">
      <c r="B736" s="307"/>
      <c r="C736" s="307"/>
      <c r="D736" s="307"/>
      <c r="E736" s="307"/>
      <c r="F736" s="307"/>
      <c r="L736" s="123"/>
      <c r="M736" s="123"/>
      <c r="N736" s="123"/>
      <c r="O736" s="123"/>
      <c r="P736" s="123"/>
      <c r="Q736" s="123"/>
      <c r="R736" s="123"/>
      <c r="S736" s="123"/>
      <c r="T736" s="123"/>
      <c r="U736" s="123"/>
      <c r="V736" s="123"/>
      <c r="W736" s="123"/>
      <c r="X736" s="123"/>
      <c r="Y736" s="123"/>
    </row>
    <row r="737" spans="2:25" s="235" customFormat="1" ht="13.8">
      <c r="B737" s="307"/>
      <c r="C737" s="307"/>
      <c r="D737" s="307"/>
      <c r="E737" s="307"/>
      <c r="F737" s="307"/>
      <c r="L737" s="123"/>
      <c r="M737" s="123"/>
      <c r="N737" s="123"/>
      <c r="O737" s="123"/>
      <c r="P737" s="123"/>
      <c r="Q737" s="123"/>
      <c r="R737" s="123"/>
      <c r="S737" s="123"/>
      <c r="T737" s="123"/>
      <c r="U737" s="123"/>
      <c r="V737" s="123"/>
      <c r="W737" s="123"/>
      <c r="X737" s="123"/>
      <c r="Y737" s="123"/>
    </row>
    <row r="738" spans="2:25" s="235" customFormat="1" ht="13.8">
      <c r="B738" s="307"/>
      <c r="C738" s="307"/>
      <c r="D738" s="307"/>
      <c r="E738" s="307"/>
      <c r="F738" s="307"/>
      <c r="L738" s="123"/>
      <c r="M738" s="123"/>
      <c r="N738" s="123"/>
      <c r="O738" s="123"/>
      <c r="P738" s="123"/>
      <c r="Q738" s="123"/>
      <c r="R738" s="123"/>
      <c r="S738" s="123"/>
      <c r="T738" s="123"/>
      <c r="U738" s="123"/>
      <c r="V738" s="123"/>
      <c r="W738" s="123"/>
      <c r="X738" s="123"/>
      <c r="Y738" s="123"/>
    </row>
    <row r="739" spans="2:25" s="235" customFormat="1" ht="13.8">
      <c r="B739" s="307"/>
      <c r="C739" s="307"/>
      <c r="D739" s="307"/>
      <c r="E739" s="307"/>
      <c r="F739" s="307"/>
      <c r="L739" s="123"/>
      <c r="M739" s="123"/>
      <c r="N739" s="123"/>
      <c r="O739" s="123"/>
      <c r="P739" s="123"/>
      <c r="Q739" s="123"/>
      <c r="R739" s="123"/>
      <c r="S739" s="123"/>
      <c r="T739" s="123"/>
      <c r="U739" s="123"/>
      <c r="V739" s="123"/>
      <c r="W739" s="123"/>
      <c r="X739" s="123"/>
      <c r="Y739" s="123"/>
    </row>
    <row r="740" spans="2:25" s="235" customFormat="1" ht="13.8">
      <c r="B740" s="307"/>
      <c r="C740" s="307"/>
      <c r="D740" s="307"/>
      <c r="E740" s="307"/>
      <c r="F740" s="307"/>
      <c r="L740" s="123"/>
      <c r="M740" s="123"/>
      <c r="N740" s="123"/>
      <c r="O740" s="123"/>
      <c r="P740" s="123"/>
      <c r="Q740" s="123"/>
      <c r="R740" s="123"/>
      <c r="S740" s="123"/>
      <c r="T740" s="123"/>
      <c r="U740" s="123"/>
      <c r="V740" s="123"/>
      <c r="W740" s="123"/>
      <c r="X740" s="123"/>
      <c r="Y740" s="123"/>
    </row>
    <row r="741" spans="2:25" s="235" customFormat="1" ht="13.8">
      <c r="B741" s="307"/>
      <c r="C741" s="307"/>
      <c r="D741" s="307"/>
      <c r="E741" s="307"/>
      <c r="F741" s="307"/>
      <c r="L741" s="123"/>
      <c r="M741" s="123"/>
      <c r="N741" s="123"/>
      <c r="O741" s="123"/>
      <c r="P741" s="123"/>
      <c r="Q741" s="123"/>
      <c r="R741" s="123"/>
      <c r="S741" s="123"/>
      <c r="T741" s="123"/>
      <c r="U741" s="123"/>
      <c r="V741" s="123"/>
      <c r="W741" s="123"/>
      <c r="X741" s="123"/>
      <c r="Y741" s="123"/>
    </row>
    <row r="742" spans="2:25" s="235" customFormat="1" ht="13.8">
      <c r="B742" s="307"/>
      <c r="C742" s="307"/>
      <c r="D742" s="307"/>
      <c r="E742" s="307"/>
      <c r="F742" s="307"/>
      <c r="L742" s="123"/>
      <c r="M742" s="123"/>
      <c r="N742" s="123"/>
      <c r="O742" s="123"/>
      <c r="P742" s="123"/>
      <c r="Q742" s="123"/>
      <c r="R742" s="123"/>
      <c r="S742" s="123"/>
      <c r="T742" s="123"/>
      <c r="U742" s="123"/>
      <c r="V742" s="123"/>
      <c r="W742" s="123"/>
      <c r="X742" s="123"/>
      <c r="Y742" s="123"/>
    </row>
    <row r="743" spans="2:25" s="235" customFormat="1" ht="13.8">
      <c r="B743" s="307"/>
      <c r="C743" s="307"/>
      <c r="D743" s="307"/>
      <c r="E743" s="307"/>
      <c r="F743" s="307"/>
      <c r="L743" s="123"/>
      <c r="M743" s="123"/>
      <c r="N743" s="123"/>
      <c r="O743" s="123"/>
      <c r="P743" s="123"/>
      <c r="Q743" s="123"/>
      <c r="R743" s="123"/>
      <c r="S743" s="123"/>
      <c r="T743" s="123"/>
      <c r="U743" s="123"/>
      <c r="V743" s="123"/>
      <c r="W743" s="123"/>
      <c r="X743" s="123"/>
      <c r="Y743" s="123"/>
    </row>
    <row r="744" spans="2:25" s="235" customFormat="1" ht="13.8">
      <c r="B744" s="307"/>
      <c r="C744" s="307"/>
      <c r="D744" s="307"/>
      <c r="E744" s="307"/>
      <c r="F744" s="307"/>
      <c r="L744" s="123"/>
      <c r="M744" s="123"/>
      <c r="N744" s="123"/>
      <c r="O744" s="123"/>
      <c r="P744" s="123"/>
      <c r="Q744" s="123"/>
      <c r="R744" s="123"/>
      <c r="S744" s="123"/>
      <c r="T744" s="123"/>
      <c r="U744" s="123"/>
      <c r="V744" s="123"/>
      <c r="W744" s="123"/>
      <c r="X744" s="123"/>
      <c r="Y744" s="123"/>
    </row>
    <row r="745" spans="2:25" s="235" customFormat="1" ht="13.8">
      <c r="B745" s="307"/>
      <c r="C745" s="307"/>
      <c r="D745" s="307"/>
      <c r="E745" s="307"/>
      <c r="F745" s="307"/>
      <c r="L745" s="123"/>
      <c r="M745" s="123"/>
      <c r="N745" s="123"/>
      <c r="O745" s="123"/>
      <c r="P745" s="123"/>
      <c r="Q745" s="123"/>
      <c r="R745" s="123"/>
      <c r="S745" s="123"/>
      <c r="T745" s="123"/>
      <c r="U745" s="123"/>
      <c r="V745" s="123"/>
      <c r="W745" s="123"/>
      <c r="X745" s="123"/>
      <c r="Y745" s="123"/>
    </row>
    <row r="746" spans="2:25" s="235" customFormat="1" ht="13.8">
      <c r="B746" s="307"/>
      <c r="C746" s="307"/>
      <c r="D746" s="307"/>
      <c r="E746" s="307"/>
      <c r="F746" s="307"/>
      <c r="L746" s="123"/>
      <c r="M746" s="123"/>
      <c r="N746" s="123"/>
      <c r="O746" s="123"/>
      <c r="P746" s="123"/>
      <c r="Q746" s="123"/>
      <c r="R746" s="123"/>
      <c r="S746" s="123"/>
      <c r="T746" s="123"/>
      <c r="U746" s="123"/>
      <c r="V746" s="123"/>
      <c r="W746" s="123"/>
      <c r="X746" s="123"/>
      <c r="Y746" s="123"/>
    </row>
    <row r="747" spans="2:25" s="235" customFormat="1" ht="13.8">
      <c r="B747" s="307"/>
      <c r="C747" s="307"/>
      <c r="D747" s="307"/>
      <c r="E747" s="307"/>
      <c r="F747" s="307"/>
      <c r="L747" s="123"/>
      <c r="M747" s="123"/>
      <c r="N747" s="123"/>
      <c r="O747" s="123"/>
      <c r="P747" s="123"/>
      <c r="Q747" s="123"/>
      <c r="R747" s="123"/>
      <c r="S747" s="123"/>
      <c r="T747" s="123"/>
      <c r="U747" s="123"/>
      <c r="V747" s="123"/>
      <c r="W747" s="123"/>
      <c r="X747" s="123"/>
      <c r="Y747" s="123"/>
    </row>
    <row r="748" spans="2:25" s="235" customFormat="1" ht="13.8">
      <c r="B748" s="307"/>
      <c r="C748" s="307"/>
      <c r="D748" s="307"/>
      <c r="E748" s="307"/>
      <c r="F748" s="307"/>
      <c r="L748" s="123"/>
      <c r="M748" s="123"/>
      <c r="N748" s="123"/>
      <c r="O748" s="123"/>
      <c r="P748" s="123"/>
      <c r="Q748" s="123"/>
      <c r="R748" s="123"/>
      <c r="S748" s="123"/>
      <c r="T748" s="123"/>
      <c r="U748" s="123"/>
      <c r="V748" s="123"/>
      <c r="W748" s="123"/>
      <c r="X748" s="123"/>
      <c r="Y748" s="123"/>
    </row>
    <row r="749" spans="2:25" s="235" customFormat="1" ht="13.8">
      <c r="B749" s="307"/>
      <c r="C749" s="307"/>
      <c r="D749" s="307"/>
      <c r="E749" s="307"/>
      <c r="F749" s="307"/>
      <c r="L749" s="123"/>
      <c r="M749" s="123"/>
      <c r="N749" s="123"/>
      <c r="O749" s="123"/>
      <c r="P749" s="123"/>
      <c r="Q749" s="123"/>
      <c r="R749" s="123"/>
      <c r="S749" s="123"/>
      <c r="T749" s="123"/>
      <c r="U749" s="123"/>
      <c r="V749" s="123"/>
      <c r="W749" s="123"/>
      <c r="X749" s="123"/>
      <c r="Y749" s="123"/>
    </row>
    <row r="750" spans="2:25" s="235" customFormat="1" ht="13.8">
      <c r="B750" s="307"/>
      <c r="C750" s="307"/>
      <c r="D750" s="307"/>
      <c r="E750" s="307"/>
      <c r="F750" s="307"/>
      <c r="L750" s="123"/>
      <c r="M750" s="123"/>
      <c r="N750" s="123"/>
      <c r="O750" s="123"/>
      <c r="P750" s="123"/>
      <c r="Q750" s="123"/>
      <c r="R750" s="123"/>
      <c r="S750" s="123"/>
      <c r="T750" s="123"/>
      <c r="U750" s="123"/>
      <c r="V750" s="123"/>
      <c r="W750" s="123"/>
      <c r="X750" s="123"/>
      <c r="Y750" s="123"/>
    </row>
    <row r="751" spans="2:25" s="235" customFormat="1" ht="13.8">
      <c r="B751" s="307"/>
      <c r="C751" s="307"/>
      <c r="D751" s="307"/>
      <c r="E751" s="307"/>
      <c r="F751" s="307"/>
      <c r="L751" s="123"/>
      <c r="M751" s="123"/>
      <c r="N751" s="123"/>
      <c r="O751" s="123"/>
      <c r="P751" s="123"/>
      <c r="Q751" s="123"/>
      <c r="R751" s="123"/>
      <c r="S751" s="123"/>
      <c r="T751" s="123"/>
      <c r="U751" s="123"/>
      <c r="V751" s="123"/>
      <c r="W751" s="123"/>
      <c r="X751" s="123"/>
      <c r="Y751" s="123"/>
    </row>
    <row r="752" spans="2:25" s="235" customFormat="1" ht="13.8">
      <c r="B752" s="307"/>
      <c r="C752" s="307"/>
      <c r="D752" s="307"/>
      <c r="E752" s="307"/>
      <c r="F752" s="307"/>
      <c r="L752" s="123"/>
      <c r="M752" s="123"/>
      <c r="N752" s="123"/>
      <c r="O752" s="123"/>
      <c r="P752" s="123"/>
      <c r="Q752" s="123"/>
      <c r="R752" s="123"/>
      <c r="S752" s="123"/>
      <c r="T752" s="123"/>
      <c r="U752" s="123"/>
      <c r="V752" s="123"/>
      <c r="W752" s="123"/>
      <c r="X752" s="123"/>
      <c r="Y752" s="123"/>
    </row>
    <row r="753" spans="2:25" s="235" customFormat="1" ht="13.8">
      <c r="B753" s="307"/>
      <c r="C753" s="307"/>
      <c r="D753" s="307"/>
      <c r="E753" s="307"/>
      <c r="F753" s="307"/>
      <c r="L753" s="123"/>
      <c r="M753" s="123"/>
      <c r="N753" s="123"/>
      <c r="O753" s="123"/>
      <c r="P753" s="123"/>
      <c r="Q753" s="123"/>
      <c r="R753" s="123"/>
      <c r="S753" s="123"/>
      <c r="T753" s="123"/>
      <c r="U753" s="123"/>
      <c r="V753" s="123"/>
      <c r="W753" s="123"/>
      <c r="X753" s="123"/>
      <c r="Y753" s="123"/>
    </row>
    <row r="754" spans="2:25" s="235" customFormat="1" ht="13.8">
      <c r="B754" s="307"/>
      <c r="C754" s="307"/>
      <c r="D754" s="307"/>
      <c r="E754" s="307"/>
      <c r="F754" s="307"/>
      <c r="L754" s="123"/>
      <c r="M754" s="123"/>
      <c r="N754" s="123"/>
      <c r="O754" s="123"/>
      <c r="P754" s="123"/>
      <c r="Q754" s="123"/>
      <c r="R754" s="123"/>
      <c r="S754" s="123"/>
      <c r="T754" s="123"/>
      <c r="U754" s="123"/>
      <c r="V754" s="123"/>
      <c r="W754" s="123"/>
      <c r="X754" s="123"/>
      <c r="Y754" s="123"/>
    </row>
    <row r="755" spans="2:25" s="235" customFormat="1" ht="13.8">
      <c r="B755" s="307"/>
      <c r="C755" s="307"/>
      <c r="D755" s="307"/>
      <c r="E755" s="307"/>
      <c r="F755" s="307"/>
      <c r="L755" s="123"/>
      <c r="M755" s="123"/>
      <c r="N755" s="123"/>
      <c r="O755" s="123"/>
      <c r="P755" s="123"/>
      <c r="Q755" s="123"/>
      <c r="R755" s="123"/>
      <c r="S755" s="123"/>
      <c r="T755" s="123"/>
      <c r="U755" s="123"/>
      <c r="V755" s="123"/>
      <c r="W755" s="123"/>
      <c r="X755" s="123"/>
      <c r="Y755" s="123"/>
    </row>
    <row r="756" spans="2:25" s="235" customFormat="1" ht="13.8">
      <c r="B756" s="307"/>
      <c r="C756" s="307"/>
      <c r="D756" s="307"/>
      <c r="E756" s="307"/>
      <c r="F756" s="307"/>
      <c r="L756" s="123"/>
      <c r="M756" s="123"/>
      <c r="N756" s="123"/>
      <c r="O756" s="123"/>
      <c r="P756" s="123"/>
      <c r="Q756" s="123"/>
      <c r="R756" s="123"/>
      <c r="S756" s="123"/>
      <c r="T756" s="123"/>
      <c r="U756" s="123"/>
      <c r="V756" s="123"/>
      <c r="W756" s="123"/>
      <c r="X756" s="123"/>
      <c r="Y756" s="123"/>
    </row>
    <row r="757" spans="2:25" s="235" customFormat="1" ht="13.8">
      <c r="B757" s="307"/>
      <c r="C757" s="307"/>
      <c r="D757" s="307"/>
      <c r="E757" s="307"/>
      <c r="F757" s="307"/>
      <c r="L757" s="123"/>
      <c r="M757" s="123"/>
      <c r="N757" s="123"/>
      <c r="O757" s="123"/>
      <c r="P757" s="123"/>
      <c r="Q757" s="123"/>
      <c r="R757" s="123"/>
      <c r="S757" s="123"/>
      <c r="T757" s="123"/>
      <c r="U757" s="123"/>
      <c r="V757" s="123"/>
      <c r="W757" s="123"/>
      <c r="X757" s="123"/>
      <c r="Y757" s="123"/>
    </row>
    <row r="758" spans="2:25" s="235" customFormat="1" ht="13.8">
      <c r="B758" s="307"/>
      <c r="C758" s="307"/>
      <c r="D758" s="307"/>
      <c r="E758" s="307"/>
      <c r="F758" s="307"/>
      <c r="L758" s="123"/>
      <c r="M758" s="123"/>
      <c r="N758" s="123"/>
      <c r="O758" s="123"/>
      <c r="P758" s="123"/>
      <c r="Q758" s="123"/>
      <c r="R758" s="123"/>
      <c r="S758" s="123"/>
      <c r="T758" s="123"/>
      <c r="U758" s="123"/>
      <c r="V758" s="123"/>
      <c r="W758" s="123"/>
      <c r="X758" s="123"/>
      <c r="Y758" s="123"/>
    </row>
    <row r="759" spans="2:25" s="235" customFormat="1" ht="13.8">
      <c r="B759" s="307"/>
      <c r="C759" s="307"/>
      <c r="D759" s="307"/>
      <c r="E759" s="307"/>
      <c r="F759" s="307"/>
      <c r="L759" s="123"/>
      <c r="M759" s="123"/>
      <c r="N759" s="123"/>
      <c r="O759" s="123"/>
      <c r="P759" s="123"/>
      <c r="Q759" s="123"/>
      <c r="R759" s="123"/>
      <c r="S759" s="123"/>
      <c r="T759" s="123"/>
      <c r="U759" s="123"/>
      <c r="V759" s="123"/>
      <c r="W759" s="123"/>
      <c r="X759" s="123"/>
      <c r="Y759" s="123"/>
    </row>
    <row r="760" spans="2:25" s="235" customFormat="1" ht="13.8">
      <c r="B760" s="307"/>
      <c r="C760" s="307"/>
      <c r="D760" s="307"/>
      <c r="E760" s="307"/>
      <c r="F760" s="307"/>
      <c r="L760" s="123"/>
      <c r="M760" s="123"/>
      <c r="N760" s="123"/>
      <c r="O760" s="123"/>
      <c r="P760" s="123"/>
      <c r="Q760" s="123"/>
      <c r="R760" s="123"/>
      <c r="S760" s="123"/>
      <c r="T760" s="123"/>
      <c r="U760" s="123"/>
      <c r="V760" s="123"/>
      <c r="W760" s="123"/>
      <c r="X760" s="123"/>
      <c r="Y760" s="123"/>
    </row>
    <row r="761" spans="2:25" s="235" customFormat="1" ht="13.8">
      <c r="B761" s="307"/>
      <c r="C761" s="307"/>
      <c r="D761" s="307"/>
      <c r="E761" s="307"/>
      <c r="F761" s="307"/>
      <c r="L761" s="123"/>
      <c r="M761" s="123"/>
      <c r="N761" s="123"/>
      <c r="O761" s="123"/>
      <c r="P761" s="123"/>
      <c r="Q761" s="123"/>
      <c r="R761" s="123"/>
      <c r="S761" s="123"/>
      <c r="T761" s="123"/>
      <c r="U761" s="123"/>
      <c r="V761" s="123"/>
      <c r="W761" s="123"/>
      <c r="X761" s="123"/>
      <c r="Y761" s="123"/>
    </row>
    <row r="762" spans="2:25" s="235" customFormat="1" ht="13.8">
      <c r="B762" s="307"/>
      <c r="C762" s="307"/>
      <c r="D762" s="307"/>
      <c r="E762" s="307"/>
      <c r="F762" s="307"/>
      <c r="L762" s="123"/>
      <c r="M762" s="123"/>
      <c r="N762" s="123"/>
      <c r="O762" s="123"/>
      <c r="P762" s="123"/>
      <c r="Q762" s="123"/>
      <c r="R762" s="123"/>
      <c r="S762" s="123"/>
      <c r="T762" s="123"/>
      <c r="U762" s="123"/>
      <c r="V762" s="123"/>
      <c r="W762" s="123"/>
      <c r="X762" s="123"/>
      <c r="Y762" s="123"/>
    </row>
    <row r="763" spans="2:25" s="235" customFormat="1" ht="13.8">
      <c r="B763" s="307"/>
      <c r="C763" s="307"/>
      <c r="D763" s="307"/>
      <c r="E763" s="307"/>
      <c r="F763" s="307"/>
      <c r="L763" s="123"/>
      <c r="M763" s="123"/>
      <c r="N763" s="123"/>
      <c r="O763" s="123"/>
      <c r="P763" s="123"/>
      <c r="Q763" s="123"/>
      <c r="R763" s="123"/>
      <c r="S763" s="123"/>
      <c r="T763" s="123"/>
      <c r="U763" s="123"/>
      <c r="V763" s="123"/>
      <c r="W763" s="123"/>
      <c r="X763" s="123"/>
      <c r="Y763" s="123"/>
    </row>
    <row r="764" spans="2:25" s="235" customFormat="1" ht="13.8">
      <c r="B764" s="307"/>
      <c r="C764" s="307"/>
      <c r="D764" s="307"/>
      <c r="E764" s="307"/>
      <c r="F764" s="307"/>
      <c r="L764" s="123"/>
      <c r="M764" s="123"/>
      <c r="N764" s="123"/>
      <c r="O764" s="123"/>
      <c r="P764" s="123"/>
      <c r="Q764" s="123"/>
      <c r="R764" s="123"/>
      <c r="S764" s="123"/>
      <c r="T764" s="123"/>
      <c r="U764" s="123"/>
      <c r="V764" s="123"/>
      <c r="W764" s="123"/>
      <c r="X764" s="123"/>
      <c r="Y764" s="123"/>
    </row>
    <row r="765" spans="2:25" s="235" customFormat="1" ht="13.8">
      <c r="B765" s="307"/>
      <c r="C765" s="307"/>
      <c r="D765" s="307"/>
      <c r="E765" s="307"/>
      <c r="F765" s="307"/>
      <c r="L765" s="123"/>
      <c r="M765" s="123"/>
      <c r="N765" s="123"/>
      <c r="O765" s="123"/>
      <c r="P765" s="123"/>
      <c r="Q765" s="123"/>
      <c r="R765" s="123"/>
      <c r="S765" s="123"/>
      <c r="T765" s="123"/>
      <c r="U765" s="123"/>
      <c r="V765" s="123"/>
      <c r="W765" s="123"/>
      <c r="X765" s="123"/>
      <c r="Y765" s="123"/>
    </row>
    <row r="766" spans="2:25" s="235" customFormat="1" ht="13.8">
      <c r="B766" s="307"/>
      <c r="C766" s="307"/>
      <c r="D766" s="307"/>
      <c r="E766" s="307"/>
      <c r="F766" s="307"/>
      <c r="L766" s="123"/>
      <c r="M766" s="123"/>
      <c r="N766" s="123"/>
      <c r="O766" s="123"/>
      <c r="P766" s="123"/>
      <c r="Q766" s="123"/>
      <c r="R766" s="123"/>
      <c r="S766" s="123"/>
      <c r="T766" s="123"/>
      <c r="U766" s="123"/>
      <c r="V766" s="123"/>
      <c r="W766" s="123"/>
      <c r="X766" s="123"/>
      <c r="Y766" s="123"/>
    </row>
    <row r="767" spans="2:25" s="235" customFormat="1" ht="13.8">
      <c r="B767" s="307"/>
      <c r="C767" s="307"/>
      <c r="D767" s="307"/>
      <c r="E767" s="307"/>
      <c r="F767" s="307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</row>
    <row r="768" spans="2:25" s="235" customFormat="1" ht="13.8">
      <c r="B768" s="307"/>
      <c r="C768" s="307"/>
      <c r="D768" s="307"/>
      <c r="E768" s="307"/>
      <c r="F768" s="307"/>
      <c r="L768" s="123"/>
      <c r="M768" s="123"/>
      <c r="N768" s="123"/>
      <c r="O768" s="123"/>
      <c r="P768" s="123"/>
      <c r="Q768" s="123"/>
      <c r="R768" s="123"/>
      <c r="S768" s="123"/>
      <c r="T768" s="123"/>
      <c r="U768" s="123"/>
      <c r="V768" s="123"/>
      <c r="W768" s="123"/>
      <c r="X768" s="123"/>
      <c r="Y768" s="123"/>
    </row>
    <row r="769" spans="2:25" s="235" customFormat="1" ht="13.8">
      <c r="B769" s="307"/>
      <c r="C769" s="307"/>
      <c r="D769" s="307"/>
      <c r="E769" s="307"/>
      <c r="F769" s="307"/>
      <c r="L769" s="123"/>
      <c r="M769" s="123"/>
      <c r="N769" s="123"/>
      <c r="O769" s="123"/>
      <c r="P769" s="123"/>
      <c r="Q769" s="123"/>
      <c r="R769" s="123"/>
      <c r="S769" s="123"/>
      <c r="T769" s="123"/>
      <c r="U769" s="123"/>
      <c r="V769" s="123"/>
      <c r="W769" s="123"/>
      <c r="X769" s="123"/>
      <c r="Y769" s="123"/>
    </row>
    <row r="770" spans="2:25" s="235" customFormat="1" ht="13.8">
      <c r="B770" s="307"/>
      <c r="C770" s="307"/>
      <c r="D770" s="307"/>
      <c r="E770" s="307"/>
      <c r="F770" s="307"/>
      <c r="L770" s="123"/>
      <c r="M770" s="123"/>
      <c r="N770" s="123"/>
      <c r="O770" s="123"/>
      <c r="P770" s="123"/>
      <c r="Q770" s="123"/>
      <c r="R770" s="123"/>
      <c r="S770" s="123"/>
      <c r="T770" s="123"/>
      <c r="U770" s="123"/>
      <c r="V770" s="123"/>
      <c r="W770" s="123"/>
      <c r="X770" s="123"/>
      <c r="Y770" s="123"/>
    </row>
    <row r="771" spans="2:25" s="235" customFormat="1" ht="13.8">
      <c r="B771" s="307"/>
      <c r="C771" s="307"/>
      <c r="D771" s="307"/>
      <c r="E771" s="307"/>
      <c r="F771" s="307"/>
      <c r="L771" s="123"/>
      <c r="M771" s="123"/>
      <c r="N771" s="123"/>
      <c r="O771" s="123"/>
      <c r="P771" s="123"/>
      <c r="Q771" s="123"/>
      <c r="R771" s="123"/>
      <c r="S771" s="123"/>
      <c r="T771" s="123"/>
      <c r="U771" s="123"/>
      <c r="V771" s="123"/>
      <c r="W771" s="123"/>
      <c r="X771" s="123"/>
      <c r="Y771" s="123"/>
    </row>
    <row r="772" spans="2:25" s="235" customFormat="1" ht="13.8">
      <c r="B772" s="307"/>
      <c r="C772" s="307"/>
      <c r="D772" s="307"/>
      <c r="E772" s="307"/>
      <c r="F772" s="307"/>
      <c r="L772" s="123"/>
      <c r="M772" s="123"/>
      <c r="N772" s="123"/>
      <c r="O772" s="123"/>
      <c r="P772" s="123"/>
      <c r="Q772" s="123"/>
      <c r="R772" s="123"/>
      <c r="S772" s="123"/>
      <c r="T772" s="123"/>
      <c r="U772" s="123"/>
      <c r="V772" s="123"/>
      <c r="W772" s="123"/>
      <c r="X772" s="123"/>
      <c r="Y772" s="123"/>
    </row>
    <row r="773" spans="2:25" s="235" customFormat="1" ht="13.8">
      <c r="B773" s="307"/>
      <c r="C773" s="307"/>
      <c r="D773" s="307"/>
      <c r="E773" s="307"/>
      <c r="F773" s="307"/>
      <c r="L773" s="123"/>
      <c r="M773" s="123"/>
      <c r="N773" s="123"/>
      <c r="O773" s="123"/>
      <c r="P773" s="123"/>
      <c r="Q773" s="123"/>
      <c r="R773" s="123"/>
      <c r="S773" s="123"/>
      <c r="T773" s="123"/>
      <c r="U773" s="123"/>
      <c r="V773" s="123"/>
      <c r="W773" s="123"/>
      <c r="X773" s="123"/>
      <c r="Y773" s="123"/>
    </row>
    <row r="774" spans="2:25" s="235" customFormat="1" ht="13.8">
      <c r="B774" s="307"/>
      <c r="C774" s="307"/>
      <c r="D774" s="307"/>
      <c r="E774" s="307"/>
      <c r="F774" s="307"/>
      <c r="L774" s="123"/>
      <c r="M774" s="123"/>
      <c r="N774" s="123"/>
      <c r="O774" s="123"/>
      <c r="P774" s="123"/>
      <c r="Q774" s="123"/>
      <c r="R774" s="123"/>
      <c r="S774" s="123"/>
      <c r="T774" s="123"/>
      <c r="U774" s="123"/>
      <c r="V774" s="123"/>
      <c r="W774" s="123"/>
      <c r="X774" s="123"/>
      <c r="Y774" s="123"/>
    </row>
    <row r="775" spans="2:25" s="235" customFormat="1" ht="13.8">
      <c r="B775" s="307"/>
      <c r="C775" s="307"/>
      <c r="D775" s="307"/>
      <c r="E775" s="307"/>
      <c r="F775" s="307"/>
      <c r="L775" s="123"/>
      <c r="M775" s="123"/>
      <c r="N775" s="123"/>
      <c r="O775" s="123"/>
      <c r="P775" s="123"/>
      <c r="Q775" s="123"/>
      <c r="R775" s="123"/>
      <c r="S775" s="123"/>
      <c r="T775" s="123"/>
      <c r="U775" s="123"/>
      <c r="V775" s="123"/>
      <c r="W775" s="123"/>
      <c r="X775" s="123"/>
      <c r="Y775" s="123"/>
    </row>
    <row r="776" spans="2:25" s="235" customFormat="1" ht="13.8">
      <c r="B776" s="307"/>
      <c r="C776" s="307"/>
      <c r="D776" s="307"/>
      <c r="E776" s="307"/>
      <c r="F776" s="307"/>
      <c r="L776" s="123"/>
      <c r="M776" s="123"/>
      <c r="N776" s="123"/>
      <c r="O776" s="123"/>
      <c r="P776" s="123"/>
      <c r="Q776" s="123"/>
      <c r="R776" s="123"/>
      <c r="S776" s="123"/>
      <c r="T776" s="123"/>
      <c r="U776" s="123"/>
      <c r="V776" s="123"/>
      <c r="W776" s="123"/>
      <c r="X776" s="123"/>
      <c r="Y776" s="123"/>
    </row>
    <row r="777" spans="2:25" s="235" customFormat="1" ht="13.8">
      <c r="B777" s="307"/>
      <c r="C777" s="307"/>
      <c r="D777" s="307"/>
      <c r="E777" s="307"/>
      <c r="F777" s="307"/>
      <c r="L777" s="123"/>
      <c r="M777" s="123"/>
      <c r="N777" s="123"/>
      <c r="O777" s="123"/>
      <c r="P777" s="123"/>
      <c r="Q777" s="123"/>
      <c r="R777" s="123"/>
      <c r="S777" s="123"/>
      <c r="T777" s="123"/>
      <c r="U777" s="123"/>
      <c r="V777" s="123"/>
      <c r="W777" s="123"/>
      <c r="X777" s="123"/>
      <c r="Y777" s="123"/>
    </row>
    <row r="778" spans="2:25" s="235" customFormat="1" ht="13.8">
      <c r="B778" s="307"/>
      <c r="C778" s="307"/>
      <c r="D778" s="307"/>
      <c r="E778" s="307"/>
      <c r="F778" s="307"/>
      <c r="L778" s="123"/>
      <c r="M778" s="123"/>
      <c r="N778" s="123"/>
      <c r="O778" s="123"/>
      <c r="P778" s="123"/>
      <c r="Q778" s="123"/>
      <c r="R778" s="123"/>
      <c r="S778" s="123"/>
      <c r="T778" s="123"/>
      <c r="U778" s="123"/>
      <c r="V778" s="123"/>
      <c r="W778" s="123"/>
      <c r="X778" s="123"/>
      <c r="Y778" s="123"/>
    </row>
    <row r="779" spans="2:25" s="235" customFormat="1" ht="13.8">
      <c r="B779" s="307"/>
      <c r="C779" s="307"/>
      <c r="D779" s="307"/>
      <c r="E779" s="307"/>
      <c r="F779" s="307"/>
      <c r="L779" s="123"/>
      <c r="M779" s="123"/>
      <c r="N779" s="123"/>
      <c r="O779" s="123"/>
      <c r="P779" s="123"/>
      <c r="Q779" s="123"/>
      <c r="R779" s="123"/>
      <c r="S779" s="123"/>
      <c r="T779" s="123"/>
      <c r="U779" s="123"/>
      <c r="V779" s="123"/>
      <c r="W779" s="123"/>
      <c r="X779" s="123"/>
      <c r="Y779" s="123"/>
    </row>
    <row r="780" spans="2:25" s="235" customFormat="1" ht="13.8">
      <c r="B780" s="307"/>
      <c r="C780" s="307"/>
      <c r="D780" s="307"/>
      <c r="E780" s="307"/>
      <c r="F780" s="307"/>
      <c r="L780" s="123"/>
      <c r="M780" s="123"/>
      <c r="N780" s="123"/>
      <c r="O780" s="123"/>
      <c r="P780" s="123"/>
      <c r="Q780" s="123"/>
      <c r="R780" s="123"/>
      <c r="S780" s="123"/>
      <c r="T780" s="123"/>
      <c r="U780" s="123"/>
      <c r="V780" s="123"/>
      <c r="W780" s="123"/>
      <c r="X780" s="123"/>
      <c r="Y780" s="123"/>
    </row>
    <row r="781" spans="2:25" s="235" customFormat="1" ht="13.8">
      <c r="B781" s="307"/>
      <c r="C781" s="307"/>
      <c r="D781" s="307"/>
      <c r="E781" s="307"/>
      <c r="F781" s="307"/>
      <c r="L781" s="123"/>
      <c r="M781" s="123"/>
      <c r="N781" s="123"/>
      <c r="O781" s="123"/>
      <c r="P781" s="123"/>
      <c r="Q781" s="123"/>
      <c r="R781" s="123"/>
      <c r="S781" s="123"/>
      <c r="T781" s="123"/>
      <c r="U781" s="123"/>
      <c r="V781" s="123"/>
      <c r="W781" s="123"/>
      <c r="X781" s="123"/>
      <c r="Y781" s="123"/>
    </row>
    <row r="782" spans="2:25" s="235" customFormat="1" ht="13.8">
      <c r="B782" s="307"/>
      <c r="C782" s="307"/>
      <c r="D782" s="307"/>
      <c r="E782" s="307"/>
      <c r="F782" s="307"/>
      <c r="L782" s="123"/>
      <c r="M782" s="123"/>
      <c r="N782" s="123"/>
      <c r="O782" s="123"/>
      <c r="P782" s="123"/>
      <c r="Q782" s="123"/>
      <c r="R782" s="123"/>
      <c r="S782" s="123"/>
      <c r="T782" s="123"/>
      <c r="U782" s="123"/>
      <c r="V782" s="123"/>
      <c r="W782" s="123"/>
      <c r="X782" s="123"/>
      <c r="Y782" s="123"/>
    </row>
    <row r="783" spans="2:25" s="235" customFormat="1" ht="13.8">
      <c r="B783" s="307"/>
      <c r="C783" s="307"/>
      <c r="D783" s="307"/>
      <c r="E783" s="307"/>
      <c r="F783" s="307"/>
      <c r="L783" s="123"/>
      <c r="M783" s="123"/>
      <c r="N783" s="123"/>
      <c r="O783" s="123"/>
      <c r="P783" s="123"/>
      <c r="Q783" s="123"/>
      <c r="R783" s="123"/>
      <c r="S783" s="123"/>
      <c r="T783" s="123"/>
      <c r="U783" s="123"/>
      <c r="V783" s="123"/>
      <c r="W783" s="123"/>
      <c r="X783" s="123"/>
      <c r="Y783" s="123"/>
    </row>
    <row r="784" spans="2:25" s="235" customFormat="1" ht="13.8">
      <c r="B784" s="307"/>
      <c r="C784" s="307"/>
      <c r="D784" s="307"/>
      <c r="E784" s="307"/>
      <c r="F784" s="307"/>
      <c r="L784" s="123"/>
      <c r="M784" s="123"/>
      <c r="N784" s="123"/>
      <c r="O784" s="123"/>
      <c r="P784" s="123"/>
      <c r="Q784" s="123"/>
      <c r="R784" s="123"/>
      <c r="S784" s="123"/>
      <c r="T784" s="123"/>
      <c r="U784" s="123"/>
      <c r="V784" s="123"/>
      <c r="W784" s="123"/>
      <c r="X784" s="123"/>
      <c r="Y784" s="123"/>
    </row>
    <row r="785" spans="2:25" s="235" customFormat="1" ht="13.8">
      <c r="B785" s="307"/>
      <c r="C785" s="307"/>
      <c r="D785" s="307"/>
      <c r="E785" s="307"/>
      <c r="F785" s="307"/>
      <c r="L785" s="123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</row>
    <row r="786" spans="2:25" s="235" customFormat="1" ht="13.8">
      <c r="B786" s="307"/>
      <c r="C786" s="307"/>
      <c r="D786" s="307"/>
      <c r="E786" s="307"/>
      <c r="F786" s="307"/>
      <c r="L786" s="123"/>
      <c r="M786" s="123"/>
      <c r="N786" s="123"/>
      <c r="O786" s="123"/>
      <c r="P786" s="123"/>
      <c r="Q786" s="123"/>
      <c r="R786" s="123"/>
      <c r="S786" s="123"/>
      <c r="T786" s="123"/>
      <c r="U786" s="123"/>
      <c r="V786" s="123"/>
      <c r="W786" s="123"/>
      <c r="X786" s="123"/>
      <c r="Y786" s="123"/>
    </row>
    <row r="787" spans="2:25" s="235" customFormat="1" ht="13.8">
      <c r="B787" s="307"/>
      <c r="C787" s="307"/>
      <c r="D787" s="307"/>
      <c r="E787" s="307"/>
      <c r="F787" s="307"/>
      <c r="L787" s="123"/>
      <c r="M787" s="123"/>
      <c r="N787" s="123"/>
      <c r="O787" s="123"/>
      <c r="P787" s="123"/>
      <c r="Q787" s="123"/>
      <c r="R787" s="123"/>
      <c r="S787" s="123"/>
      <c r="T787" s="123"/>
      <c r="U787" s="123"/>
      <c r="V787" s="123"/>
      <c r="W787" s="123"/>
      <c r="X787" s="123"/>
      <c r="Y787" s="123"/>
    </row>
    <row r="788" spans="2:25" s="235" customFormat="1" ht="13.8">
      <c r="B788" s="307"/>
      <c r="C788" s="307"/>
      <c r="D788" s="307"/>
      <c r="E788" s="307"/>
      <c r="F788" s="307"/>
      <c r="L788" s="123"/>
      <c r="M788" s="123"/>
      <c r="N788" s="123"/>
      <c r="O788" s="123"/>
      <c r="P788" s="123"/>
      <c r="Q788" s="123"/>
      <c r="R788" s="123"/>
      <c r="S788" s="123"/>
      <c r="T788" s="123"/>
      <c r="U788" s="123"/>
      <c r="V788" s="123"/>
      <c r="W788" s="123"/>
      <c r="X788" s="123"/>
      <c r="Y788" s="123"/>
    </row>
    <row r="789" spans="2:25" s="235" customFormat="1" ht="13.8">
      <c r="B789" s="307"/>
      <c r="C789" s="307"/>
      <c r="D789" s="307"/>
      <c r="E789" s="307"/>
      <c r="F789" s="307"/>
      <c r="L789" s="123"/>
      <c r="M789" s="123"/>
      <c r="N789" s="123"/>
      <c r="O789" s="123"/>
      <c r="P789" s="123"/>
      <c r="Q789" s="123"/>
      <c r="R789" s="123"/>
      <c r="S789" s="123"/>
      <c r="T789" s="123"/>
      <c r="U789" s="123"/>
      <c r="V789" s="123"/>
      <c r="W789" s="123"/>
      <c r="X789" s="123"/>
      <c r="Y789" s="123"/>
    </row>
    <row r="790" spans="2:25" s="235" customFormat="1" ht="13.8">
      <c r="B790" s="307"/>
      <c r="C790" s="307"/>
      <c r="D790" s="307"/>
      <c r="E790" s="307"/>
      <c r="F790" s="307"/>
      <c r="L790" s="123"/>
      <c r="M790" s="123"/>
      <c r="N790" s="123"/>
      <c r="O790" s="123"/>
      <c r="P790" s="123"/>
      <c r="Q790" s="123"/>
      <c r="R790" s="123"/>
      <c r="S790" s="123"/>
      <c r="T790" s="123"/>
      <c r="U790" s="123"/>
      <c r="V790" s="123"/>
      <c r="W790" s="123"/>
      <c r="X790" s="123"/>
      <c r="Y790" s="123"/>
    </row>
    <row r="791" spans="2:25" s="235" customFormat="1" ht="13.8">
      <c r="B791" s="307"/>
      <c r="C791" s="307"/>
      <c r="D791" s="307"/>
      <c r="E791" s="307"/>
      <c r="F791" s="307"/>
      <c r="L791" s="123"/>
      <c r="M791" s="123"/>
      <c r="N791" s="123"/>
      <c r="O791" s="123"/>
      <c r="P791" s="123"/>
      <c r="Q791" s="123"/>
      <c r="R791" s="123"/>
      <c r="S791" s="123"/>
      <c r="T791" s="123"/>
      <c r="U791" s="123"/>
      <c r="V791" s="123"/>
      <c r="W791" s="123"/>
      <c r="X791" s="123"/>
      <c r="Y791" s="123"/>
    </row>
    <row r="792" spans="2:25" s="235" customFormat="1" ht="13.8">
      <c r="B792" s="307"/>
      <c r="C792" s="307"/>
      <c r="D792" s="307"/>
      <c r="E792" s="307"/>
      <c r="F792" s="307"/>
      <c r="L792" s="123"/>
      <c r="M792" s="123"/>
      <c r="N792" s="123"/>
      <c r="O792" s="123"/>
      <c r="P792" s="123"/>
      <c r="Q792" s="123"/>
      <c r="R792" s="123"/>
      <c r="S792" s="123"/>
      <c r="T792" s="123"/>
      <c r="U792" s="123"/>
      <c r="V792" s="123"/>
      <c r="W792" s="123"/>
      <c r="X792" s="123"/>
      <c r="Y792" s="123"/>
    </row>
    <row r="793" spans="2:25" s="235" customFormat="1" ht="13.8">
      <c r="B793" s="307"/>
      <c r="C793" s="307"/>
      <c r="D793" s="307"/>
      <c r="E793" s="307"/>
      <c r="F793" s="307"/>
      <c r="L793" s="123"/>
      <c r="M793" s="123"/>
      <c r="N793" s="123"/>
      <c r="O793" s="123"/>
      <c r="P793" s="123"/>
      <c r="Q793" s="123"/>
      <c r="R793" s="123"/>
      <c r="S793" s="123"/>
      <c r="T793" s="123"/>
      <c r="U793" s="123"/>
      <c r="V793" s="123"/>
      <c r="W793" s="123"/>
      <c r="X793" s="123"/>
      <c r="Y793" s="123"/>
    </row>
    <row r="794" spans="2:25" s="235" customFormat="1" ht="13.8">
      <c r="B794" s="307"/>
      <c r="C794" s="307"/>
      <c r="D794" s="307"/>
      <c r="E794" s="307"/>
      <c r="F794" s="307"/>
      <c r="L794" s="123"/>
      <c r="M794" s="123"/>
      <c r="N794" s="123"/>
      <c r="O794" s="123"/>
      <c r="P794" s="123"/>
      <c r="Q794" s="123"/>
      <c r="R794" s="123"/>
      <c r="S794" s="123"/>
      <c r="T794" s="123"/>
      <c r="U794" s="123"/>
      <c r="V794" s="123"/>
      <c r="W794" s="123"/>
      <c r="X794" s="123"/>
      <c r="Y794" s="123"/>
    </row>
    <row r="795" spans="2:25" s="235" customFormat="1" ht="13.8">
      <c r="B795" s="307"/>
      <c r="C795" s="307"/>
      <c r="D795" s="307"/>
      <c r="E795" s="307"/>
      <c r="F795" s="307"/>
      <c r="L795" s="123"/>
      <c r="M795" s="123"/>
      <c r="N795" s="123"/>
      <c r="O795" s="123"/>
      <c r="P795" s="123"/>
      <c r="Q795" s="123"/>
      <c r="R795" s="123"/>
      <c r="S795" s="123"/>
      <c r="T795" s="123"/>
      <c r="U795" s="123"/>
      <c r="V795" s="123"/>
      <c r="W795" s="123"/>
      <c r="X795" s="123"/>
      <c r="Y795" s="123"/>
    </row>
    <row r="796" spans="2:25" s="235" customFormat="1" ht="13.8">
      <c r="B796" s="307"/>
      <c r="C796" s="307"/>
      <c r="D796" s="307"/>
      <c r="E796" s="307"/>
      <c r="F796" s="307"/>
      <c r="L796" s="123"/>
      <c r="M796" s="123"/>
      <c r="N796" s="123"/>
      <c r="O796" s="123"/>
      <c r="P796" s="123"/>
      <c r="Q796" s="123"/>
      <c r="R796" s="123"/>
      <c r="S796" s="123"/>
      <c r="T796" s="123"/>
      <c r="U796" s="123"/>
      <c r="V796" s="123"/>
      <c r="W796" s="123"/>
      <c r="X796" s="123"/>
      <c r="Y796" s="123"/>
    </row>
    <row r="797" spans="2:25" s="235" customFormat="1" ht="13.8">
      <c r="B797" s="307"/>
      <c r="C797" s="307"/>
      <c r="D797" s="307"/>
      <c r="E797" s="307"/>
      <c r="F797" s="307"/>
      <c r="L797" s="123"/>
      <c r="M797" s="123"/>
      <c r="N797" s="123"/>
      <c r="O797" s="123"/>
      <c r="P797" s="123"/>
      <c r="Q797" s="123"/>
      <c r="R797" s="123"/>
      <c r="S797" s="123"/>
      <c r="T797" s="123"/>
      <c r="U797" s="123"/>
      <c r="V797" s="123"/>
      <c r="W797" s="123"/>
      <c r="X797" s="123"/>
      <c r="Y797" s="123"/>
    </row>
    <row r="798" spans="2:25" s="235" customFormat="1" ht="13.8">
      <c r="B798" s="307"/>
      <c r="C798" s="307"/>
      <c r="D798" s="307"/>
      <c r="E798" s="307"/>
      <c r="F798" s="307"/>
      <c r="L798" s="123"/>
      <c r="M798" s="123"/>
      <c r="N798" s="123"/>
      <c r="O798" s="123"/>
      <c r="P798" s="123"/>
      <c r="Q798" s="123"/>
      <c r="R798" s="123"/>
      <c r="S798" s="123"/>
      <c r="T798" s="123"/>
      <c r="U798" s="123"/>
      <c r="V798" s="123"/>
      <c r="W798" s="123"/>
      <c r="X798" s="123"/>
      <c r="Y798" s="123"/>
    </row>
    <row r="799" spans="2:25" s="235" customFormat="1" ht="13.8">
      <c r="B799" s="307"/>
      <c r="C799" s="307"/>
      <c r="D799" s="307"/>
      <c r="E799" s="307"/>
      <c r="F799" s="307"/>
      <c r="L799" s="123"/>
      <c r="M799" s="123"/>
      <c r="N799" s="123"/>
      <c r="O799" s="123"/>
      <c r="P799" s="123"/>
      <c r="Q799" s="123"/>
      <c r="R799" s="123"/>
      <c r="S799" s="123"/>
      <c r="T799" s="123"/>
      <c r="U799" s="123"/>
      <c r="V799" s="123"/>
      <c r="W799" s="123"/>
      <c r="X799" s="123"/>
      <c r="Y799" s="123"/>
    </row>
    <row r="800" spans="2:25" s="235" customFormat="1" ht="13.8">
      <c r="B800" s="307"/>
      <c r="C800" s="307"/>
      <c r="D800" s="307"/>
      <c r="E800" s="307"/>
      <c r="F800" s="307"/>
      <c r="L800" s="123"/>
      <c r="M800" s="123"/>
      <c r="N800" s="123"/>
      <c r="O800" s="123"/>
      <c r="P800" s="123"/>
      <c r="Q800" s="123"/>
      <c r="R800" s="123"/>
      <c r="S800" s="123"/>
      <c r="T800" s="123"/>
      <c r="U800" s="123"/>
      <c r="V800" s="123"/>
      <c r="W800" s="123"/>
      <c r="X800" s="123"/>
      <c r="Y800" s="123"/>
    </row>
    <row r="801" spans="2:25" s="235" customFormat="1" ht="13.8">
      <c r="B801" s="307"/>
      <c r="C801" s="307"/>
      <c r="D801" s="307"/>
      <c r="E801" s="307"/>
      <c r="F801" s="307"/>
      <c r="L801" s="123"/>
      <c r="M801" s="123"/>
      <c r="N801" s="123"/>
      <c r="O801" s="123"/>
      <c r="P801" s="123"/>
      <c r="Q801" s="123"/>
      <c r="R801" s="123"/>
      <c r="S801" s="123"/>
      <c r="T801" s="123"/>
      <c r="U801" s="123"/>
      <c r="V801" s="123"/>
      <c r="W801" s="123"/>
      <c r="X801" s="123"/>
      <c r="Y801" s="123"/>
    </row>
    <row r="802" spans="2:25" s="235" customFormat="1" ht="13.8">
      <c r="B802" s="307"/>
      <c r="C802" s="307"/>
      <c r="D802" s="307"/>
      <c r="E802" s="307"/>
      <c r="F802" s="307"/>
      <c r="L802" s="123"/>
      <c r="M802" s="123"/>
      <c r="N802" s="123"/>
      <c r="O802" s="123"/>
      <c r="P802" s="123"/>
      <c r="Q802" s="123"/>
      <c r="R802" s="123"/>
      <c r="S802" s="123"/>
      <c r="T802" s="123"/>
      <c r="U802" s="123"/>
      <c r="V802" s="123"/>
      <c r="W802" s="123"/>
      <c r="X802" s="123"/>
      <c r="Y802" s="123"/>
    </row>
    <row r="803" spans="2:25" s="235" customFormat="1" ht="13.8">
      <c r="B803" s="307"/>
      <c r="C803" s="307"/>
      <c r="D803" s="307"/>
      <c r="E803" s="307"/>
      <c r="F803" s="307"/>
      <c r="L803" s="123"/>
      <c r="M803" s="123"/>
      <c r="N803" s="123"/>
      <c r="O803" s="123"/>
      <c r="P803" s="123"/>
      <c r="Q803" s="123"/>
      <c r="R803" s="123"/>
      <c r="S803" s="123"/>
      <c r="T803" s="123"/>
      <c r="U803" s="123"/>
      <c r="V803" s="123"/>
      <c r="W803" s="123"/>
      <c r="X803" s="123"/>
      <c r="Y803" s="123"/>
    </row>
    <row r="804" spans="2:25" s="235" customFormat="1" ht="13.8">
      <c r="B804" s="307"/>
      <c r="C804" s="307"/>
      <c r="D804" s="307"/>
      <c r="E804" s="307"/>
      <c r="F804" s="307"/>
      <c r="L804" s="123"/>
      <c r="M804" s="123"/>
      <c r="N804" s="123"/>
      <c r="O804" s="123"/>
      <c r="P804" s="123"/>
      <c r="Q804" s="123"/>
      <c r="R804" s="123"/>
      <c r="S804" s="123"/>
      <c r="T804" s="123"/>
      <c r="U804" s="123"/>
      <c r="V804" s="123"/>
      <c r="W804" s="123"/>
      <c r="X804" s="123"/>
      <c r="Y804" s="123"/>
    </row>
    <row r="805" spans="2:25" s="235" customFormat="1" ht="13.8">
      <c r="B805" s="307"/>
      <c r="C805" s="307"/>
      <c r="D805" s="307"/>
      <c r="E805" s="307"/>
      <c r="F805" s="307"/>
      <c r="L805" s="123"/>
      <c r="M805" s="123"/>
      <c r="N805" s="123"/>
      <c r="O805" s="123"/>
      <c r="P805" s="123"/>
      <c r="Q805" s="123"/>
      <c r="R805" s="123"/>
      <c r="S805" s="123"/>
      <c r="T805" s="123"/>
      <c r="U805" s="123"/>
      <c r="V805" s="123"/>
      <c r="W805" s="123"/>
      <c r="X805" s="123"/>
      <c r="Y805" s="123"/>
    </row>
    <row r="806" spans="2:25" s="235" customFormat="1" ht="13.8">
      <c r="B806" s="307"/>
      <c r="C806" s="307"/>
      <c r="D806" s="307"/>
      <c r="E806" s="307"/>
      <c r="F806" s="307"/>
      <c r="L806" s="123"/>
      <c r="M806" s="123"/>
      <c r="N806" s="123"/>
      <c r="O806" s="123"/>
      <c r="P806" s="123"/>
      <c r="Q806" s="123"/>
      <c r="R806" s="123"/>
      <c r="S806" s="123"/>
      <c r="T806" s="123"/>
      <c r="U806" s="123"/>
      <c r="V806" s="123"/>
      <c r="W806" s="123"/>
      <c r="X806" s="123"/>
      <c r="Y806" s="123"/>
    </row>
    <row r="807" spans="2:25" s="235" customFormat="1" ht="13.8">
      <c r="B807" s="307"/>
      <c r="C807" s="307"/>
      <c r="D807" s="307"/>
      <c r="E807" s="307"/>
      <c r="F807" s="307"/>
      <c r="L807" s="123"/>
      <c r="M807" s="123"/>
      <c r="N807" s="123"/>
      <c r="O807" s="123"/>
      <c r="P807" s="123"/>
      <c r="Q807" s="123"/>
      <c r="R807" s="123"/>
      <c r="S807" s="123"/>
      <c r="T807" s="123"/>
      <c r="U807" s="123"/>
      <c r="V807" s="123"/>
      <c r="W807" s="123"/>
      <c r="X807" s="123"/>
      <c r="Y807" s="123"/>
    </row>
    <row r="808" spans="2:25" s="235" customFormat="1" ht="13.8">
      <c r="B808" s="307"/>
      <c r="C808" s="307"/>
      <c r="D808" s="307"/>
      <c r="E808" s="307"/>
      <c r="F808" s="307"/>
      <c r="L808" s="123"/>
      <c r="M808" s="123"/>
      <c r="N808" s="123"/>
      <c r="O808" s="123"/>
      <c r="P808" s="123"/>
      <c r="Q808" s="123"/>
      <c r="R808" s="123"/>
      <c r="S808" s="123"/>
      <c r="T808" s="123"/>
      <c r="U808" s="123"/>
      <c r="V808" s="123"/>
      <c r="W808" s="123"/>
      <c r="X808" s="123"/>
      <c r="Y808" s="123"/>
    </row>
    <row r="809" spans="2:25" s="235" customFormat="1" ht="13.8">
      <c r="B809" s="307"/>
      <c r="C809" s="307"/>
      <c r="D809" s="307"/>
      <c r="E809" s="307"/>
      <c r="F809" s="307"/>
      <c r="L809" s="123"/>
      <c r="M809" s="123"/>
      <c r="N809" s="123"/>
      <c r="O809" s="123"/>
      <c r="P809" s="123"/>
      <c r="Q809" s="123"/>
      <c r="R809" s="123"/>
      <c r="S809" s="123"/>
      <c r="T809" s="123"/>
      <c r="U809" s="123"/>
      <c r="V809" s="123"/>
      <c r="W809" s="123"/>
      <c r="X809" s="123"/>
      <c r="Y809" s="123"/>
    </row>
    <row r="810" spans="2:25" s="235" customFormat="1" ht="13.8">
      <c r="B810" s="307"/>
      <c r="C810" s="307"/>
      <c r="D810" s="307"/>
      <c r="E810" s="307"/>
      <c r="F810" s="307"/>
      <c r="L810" s="123"/>
      <c r="M810" s="123"/>
      <c r="N810" s="123"/>
      <c r="O810" s="123"/>
      <c r="P810" s="123"/>
      <c r="Q810" s="123"/>
      <c r="R810" s="123"/>
      <c r="S810" s="123"/>
      <c r="T810" s="123"/>
      <c r="U810" s="123"/>
      <c r="V810" s="123"/>
      <c r="W810" s="123"/>
      <c r="X810" s="123"/>
      <c r="Y810" s="123"/>
    </row>
    <row r="811" spans="2:25" s="235" customFormat="1" ht="13.8">
      <c r="B811" s="307"/>
      <c r="C811" s="307"/>
      <c r="D811" s="307"/>
      <c r="E811" s="307"/>
      <c r="F811" s="307"/>
      <c r="L811" s="123"/>
      <c r="M811" s="123"/>
      <c r="N811" s="123"/>
      <c r="O811" s="123"/>
      <c r="P811" s="123"/>
      <c r="Q811" s="123"/>
      <c r="R811" s="123"/>
      <c r="S811" s="123"/>
      <c r="T811" s="123"/>
      <c r="U811" s="123"/>
      <c r="V811" s="123"/>
      <c r="W811" s="123"/>
      <c r="X811" s="123"/>
      <c r="Y811" s="123"/>
    </row>
    <row r="812" spans="2:25" s="235" customFormat="1" ht="13.8">
      <c r="B812" s="307"/>
      <c r="C812" s="307"/>
      <c r="D812" s="307"/>
      <c r="E812" s="307"/>
      <c r="F812" s="307"/>
      <c r="L812" s="123"/>
      <c r="M812" s="123"/>
      <c r="N812" s="123"/>
      <c r="O812" s="123"/>
      <c r="P812" s="123"/>
      <c r="Q812" s="123"/>
      <c r="R812" s="123"/>
      <c r="S812" s="123"/>
      <c r="T812" s="123"/>
      <c r="U812" s="123"/>
      <c r="V812" s="123"/>
      <c r="W812" s="123"/>
      <c r="X812" s="123"/>
      <c r="Y812" s="123"/>
    </row>
    <row r="813" spans="2:25" s="235" customFormat="1" ht="13.8">
      <c r="B813" s="307"/>
      <c r="C813" s="307"/>
      <c r="D813" s="307"/>
      <c r="E813" s="307"/>
      <c r="F813" s="307"/>
      <c r="L813" s="123"/>
      <c r="M813" s="123"/>
      <c r="N813" s="123"/>
      <c r="O813" s="123"/>
      <c r="P813" s="123"/>
      <c r="Q813" s="123"/>
      <c r="R813" s="123"/>
      <c r="S813" s="123"/>
      <c r="T813" s="123"/>
      <c r="U813" s="123"/>
      <c r="V813" s="123"/>
      <c r="W813" s="123"/>
      <c r="X813" s="123"/>
      <c r="Y813" s="123"/>
    </row>
    <row r="814" spans="2:25" s="235" customFormat="1" ht="13.8">
      <c r="B814" s="307"/>
      <c r="C814" s="307"/>
      <c r="D814" s="307"/>
      <c r="E814" s="307"/>
      <c r="F814" s="307"/>
      <c r="L814" s="123"/>
      <c r="M814" s="123"/>
      <c r="N814" s="123"/>
      <c r="O814" s="123"/>
      <c r="P814" s="123"/>
      <c r="Q814" s="123"/>
      <c r="R814" s="123"/>
      <c r="S814" s="123"/>
      <c r="T814" s="123"/>
      <c r="U814" s="123"/>
      <c r="V814" s="123"/>
      <c r="W814" s="123"/>
      <c r="X814" s="123"/>
      <c r="Y814" s="123"/>
    </row>
    <row r="815" spans="2:25" s="235" customFormat="1" ht="13.8">
      <c r="B815" s="307"/>
      <c r="C815" s="307"/>
      <c r="D815" s="307"/>
      <c r="E815" s="307"/>
      <c r="F815" s="307"/>
      <c r="L815" s="123"/>
      <c r="M815" s="123"/>
      <c r="N815" s="123"/>
      <c r="O815" s="123"/>
      <c r="P815" s="123"/>
      <c r="Q815" s="123"/>
      <c r="R815" s="123"/>
      <c r="S815" s="123"/>
      <c r="T815" s="123"/>
      <c r="U815" s="123"/>
      <c r="V815" s="123"/>
      <c r="W815" s="123"/>
      <c r="X815" s="123"/>
      <c r="Y815" s="123"/>
    </row>
    <row r="816" spans="2:25" s="235" customFormat="1" ht="13.8">
      <c r="B816" s="307"/>
      <c r="C816" s="307"/>
      <c r="D816" s="307"/>
      <c r="E816" s="307"/>
      <c r="F816" s="307"/>
      <c r="L816" s="123"/>
      <c r="M816" s="123"/>
      <c r="N816" s="123"/>
      <c r="O816" s="123"/>
      <c r="P816" s="123"/>
      <c r="Q816" s="123"/>
      <c r="R816" s="123"/>
      <c r="S816" s="123"/>
      <c r="T816" s="123"/>
      <c r="U816" s="123"/>
      <c r="V816" s="123"/>
      <c r="W816" s="123"/>
      <c r="X816" s="123"/>
      <c r="Y816" s="123"/>
    </row>
    <row r="817" spans="2:25" s="235" customFormat="1" ht="13.8">
      <c r="B817" s="307"/>
      <c r="C817" s="307"/>
      <c r="D817" s="307"/>
      <c r="E817" s="307"/>
      <c r="F817" s="307"/>
      <c r="L817" s="123"/>
      <c r="M817" s="123"/>
      <c r="N817" s="123"/>
      <c r="O817" s="123"/>
      <c r="P817" s="123"/>
      <c r="Q817" s="123"/>
      <c r="R817" s="123"/>
      <c r="S817" s="123"/>
      <c r="T817" s="123"/>
      <c r="U817" s="123"/>
      <c r="V817" s="123"/>
      <c r="W817" s="123"/>
      <c r="X817" s="123"/>
      <c r="Y817" s="123"/>
    </row>
    <row r="818" spans="2:25" s="235" customFormat="1" ht="13.8">
      <c r="B818" s="307"/>
      <c r="C818" s="307"/>
      <c r="D818" s="307"/>
      <c r="E818" s="307"/>
      <c r="F818" s="307"/>
      <c r="L818" s="123"/>
      <c r="M818" s="123"/>
      <c r="N818" s="123"/>
      <c r="O818" s="123"/>
      <c r="P818" s="123"/>
      <c r="Q818" s="123"/>
      <c r="R818" s="123"/>
      <c r="S818" s="123"/>
      <c r="T818" s="123"/>
      <c r="U818" s="123"/>
      <c r="V818" s="123"/>
      <c r="W818" s="123"/>
      <c r="X818" s="123"/>
      <c r="Y818" s="123"/>
    </row>
    <row r="819" spans="2:25" s="235" customFormat="1" ht="13.8">
      <c r="B819" s="307"/>
      <c r="C819" s="307"/>
      <c r="D819" s="307"/>
      <c r="E819" s="307"/>
      <c r="F819" s="307"/>
      <c r="L819" s="123"/>
      <c r="M819" s="123"/>
      <c r="N819" s="123"/>
      <c r="O819" s="123"/>
      <c r="P819" s="123"/>
      <c r="Q819" s="123"/>
      <c r="R819" s="123"/>
      <c r="S819" s="123"/>
      <c r="T819" s="123"/>
      <c r="U819" s="123"/>
      <c r="V819" s="123"/>
      <c r="W819" s="123"/>
      <c r="X819" s="123"/>
      <c r="Y819" s="123"/>
    </row>
    <row r="820" spans="2:25" s="235" customFormat="1" ht="13.8">
      <c r="B820" s="307"/>
      <c r="C820" s="307"/>
      <c r="D820" s="307"/>
      <c r="E820" s="307"/>
      <c r="F820" s="307"/>
      <c r="L820" s="123"/>
      <c r="M820" s="123"/>
      <c r="N820" s="123"/>
      <c r="O820" s="123"/>
      <c r="P820" s="123"/>
      <c r="Q820" s="123"/>
      <c r="R820" s="123"/>
      <c r="S820" s="123"/>
      <c r="T820" s="123"/>
      <c r="U820" s="123"/>
      <c r="V820" s="123"/>
      <c r="W820" s="123"/>
      <c r="X820" s="123"/>
      <c r="Y820" s="123"/>
    </row>
    <row r="821" spans="2:25" s="235" customFormat="1" ht="13.8">
      <c r="B821" s="307"/>
      <c r="C821" s="307"/>
      <c r="D821" s="307"/>
      <c r="E821" s="307"/>
      <c r="F821" s="307"/>
      <c r="L821" s="123"/>
      <c r="M821" s="123"/>
      <c r="N821" s="123"/>
      <c r="O821" s="123"/>
      <c r="P821" s="123"/>
      <c r="Q821" s="123"/>
      <c r="R821" s="123"/>
      <c r="S821" s="123"/>
      <c r="T821" s="123"/>
      <c r="U821" s="123"/>
      <c r="V821" s="123"/>
      <c r="W821" s="123"/>
      <c r="X821" s="123"/>
      <c r="Y821" s="123"/>
    </row>
    <row r="822" spans="2:25" s="235" customFormat="1" ht="13.8">
      <c r="B822" s="307"/>
      <c r="C822" s="307"/>
      <c r="D822" s="307"/>
      <c r="E822" s="307"/>
      <c r="F822" s="307"/>
      <c r="L822" s="123"/>
      <c r="M822" s="123"/>
      <c r="N822" s="123"/>
      <c r="O822" s="123"/>
      <c r="P822" s="123"/>
      <c r="Q822" s="123"/>
      <c r="R822" s="123"/>
      <c r="S822" s="123"/>
      <c r="T822" s="123"/>
      <c r="U822" s="123"/>
      <c r="V822" s="123"/>
      <c r="W822" s="123"/>
      <c r="X822" s="123"/>
      <c r="Y822" s="123"/>
    </row>
    <row r="823" spans="2:25" s="235" customFormat="1" ht="13.8">
      <c r="B823" s="307"/>
      <c r="C823" s="307"/>
      <c r="D823" s="307"/>
      <c r="E823" s="307"/>
      <c r="F823" s="307"/>
      <c r="L823" s="123"/>
      <c r="M823" s="123"/>
      <c r="N823" s="123"/>
      <c r="O823" s="123"/>
      <c r="P823" s="123"/>
      <c r="Q823" s="123"/>
      <c r="R823" s="123"/>
      <c r="S823" s="123"/>
      <c r="T823" s="123"/>
      <c r="U823" s="123"/>
      <c r="V823" s="123"/>
      <c r="W823" s="123"/>
      <c r="X823" s="123"/>
      <c r="Y823" s="123"/>
    </row>
    <row r="824" spans="2:25" s="235" customFormat="1" ht="13.8">
      <c r="B824" s="307"/>
      <c r="C824" s="307"/>
      <c r="D824" s="307"/>
      <c r="E824" s="307"/>
      <c r="F824" s="307"/>
      <c r="L824" s="123"/>
      <c r="M824" s="123"/>
      <c r="N824" s="123"/>
      <c r="O824" s="123"/>
      <c r="P824" s="123"/>
      <c r="Q824" s="123"/>
      <c r="R824" s="123"/>
      <c r="S824" s="123"/>
      <c r="T824" s="123"/>
      <c r="U824" s="123"/>
      <c r="V824" s="123"/>
      <c r="W824" s="123"/>
      <c r="X824" s="123"/>
      <c r="Y824" s="123"/>
    </row>
    <row r="825" spans="2:25" s="235" customFormat="1" ht="13.8">
      <c r="B825" s="307"/>
      <c r="C825" s="307"/>
      <c r="D825" s="307"/>
      <c r="E825" s="307"/>
      <c r="F825" s="307"/>
      <c r="L825" s="123"/>
      <c r="M825" s="123"/>
      <c r="N825" s="123"/>
      <c r="O825" s="123"/>
      <c r="P825" s="123"/>
      <c r="Q825" s="123"/>
      <c r="R825" s="123"/>
      <c r="S825" s="123"/>
      <c r="T825" s="123"/>
      <c r="U825" s="123"/>
      <c r="V825" s="123"/>
      <c r="W825" s="123"/>
      <c r="X825" s="123"/>
      <c r="Y825" s="123"/>
    </row>
    <row r="826" spans="2:25" s="235" customFormat="1" ht="13.8">
      <c r="B826" s="307"/>
      <c r="C826" s="307"/>
      <c r="D826" s="307"/>
      <c r="E826" s="307"/>
      <c r="F826" s="307"/>
      <c r="L826" s="123"/>
      <c r="M826" s="123"/>
      <c r="N826" s="123"/>
      <c r="O826" s="123"/>
      <c r="P826" s="123"/>
      <c r="Q826" s="123"/>
      <c r="R826" s="123"/>
      <c r="S826" s="123"/>
      <c r="T826" s="123"/>
      <c r="U826" s="123"/>
      <c r="V826" s="123"/>
      <c r="W826" s="123"/>
      <c r="X826" s="123"/>
      <c r="Y826" s="123"/>
    </row>
    <row r="827" spans="2:25" s="235" customFormat="1" ht="13.8">
      <c r="B827" s="307"/>
      <c r="C827" s="307"/>
      <c r="D827" s="307"/>
      <c r="E827" s="307"/>
      <c r="F827" s="307"/>
      <c r="L827" s="123"/>
      <c r="M827" s="123"/>
      <c r="N827" s="123"/>
      <c r="O827" s="123"/>
      <c r="P827" s="123"/>
      <c r="Q827" s="123"/>
      <c r="R827" s="123"/>
      <c r="S827" s="123"/>
      <c r="T827" s="123"/>
      <c r="U827" s="123"/>
      <c r="V827" s="123"/>
      <c r="W827" s="123"/>
      <c r="X827" s="123"/>
      <c r="Y827" s="123"/>
    </row>
    <row r="828" spans="2:25" s="235" customFormat="1" ht="13.8">
      <c r="B828" s="307"/>
      <c r="C828" s="307"/>
      <c r="D828" s="307"/>
      <c r="E828" s="307"/>
      <c r="F828" s="307"/>
      <c r="L828" s="123"/>
      <c r="M828" s="123"/>
      <c r="N828" s="123"/>
      <c r="O828" s="123"/>
      <c r="P828" s="123"/>
      <c r="Q828" s="123"/>
      <c r="R828" s="123"/>
      <c r="S828" s="123"/>
      <c r="T828" s="123"/>
      <c r="U828" s="123"/>
      <c r="V828" s="123"/>
      <c r="W828" s="123"/>
      <c r="X828" s="123"/>
      <c r="Y828" s="123"/>
    </row>
    <row r="829" spans="2:25" s="235" customFormat="1" ht="13.8">
      <c r="B829" s="307"/>
      <c r="C829" s="307"/>
      <c r="D829" s="307"/>
      <c r="E829" s="307"/>
      <c r="F829" s="307"/>
      <c r="L829" s="123"/>
      <c r="M829" s="123"/>
      <c r="N829" s="123"/>
      <c r="O829" s="123"/>
      <c r="P829" s="123"/>
      <c r="Q829" s="123"/>
      <c r="R829" s="123"/>
      <c r="S829" s="123"/>
      <c r="T829" s="123"/>
      <c r="U829" s="123"/>
      <c r="V829" s="123"/>
      <c r="W829" s="123"/>
      <c r="X829" s="123"/>
      <c r="Y829" s="123"/>
    </row>
    <row r="830" spans="2:25" s="235" customFormat="1" ht="13.8">
      <c r="B830" s="307"/>
      <c r="C830" s="307"/>
      <c r="D830" s="307"/>
      <c r="E830" s="307"/>
      <c r="F830" s="307"/>
      <c r="L830" s="123"/>
      <c r="M830" s="123"/>
      <c r="N830" s="123"/>
      <c r="O830" s="123"/>
      <c r="P830" s="123"/>
      <c r="Q830" s="123"/>
      <c r="R830" s="123"/>
      <c r="S830" s="123"/>
      <c r="T830" s="123"/>
      <c r="U830" s="123"/>
      <c r="V830" s="123"/>
      <c r="W830" s="123"/>
      <c r="X830" s="123"/>
      <c r="Y830" s="123"/>
    </row>
    <row r="831" spans="2:25" s="235" customFormat="1" ht="13.8">
      <c r="B831" s="307"/>
      <c r="C831" s="307"/>
      <c r="D831" s="307"/>
      <c r="E831" s="307"/>
      <c r="F831" s="307"/>
      <c r="L831" s="123"/>
      <c r="M831" s="123"/>
      <c r="N831" s="123"/>
      <c r="O831" s="123"/>
      <c r="P831" s="123"/>
      <c r="Q831" s="123"/>
      <c r="R831" s="123"/>
      <c r="S831" s="123"/>
      <c r="T831" s="123"/>
      <c r="U831" s="123"/>
      <c r="V831" s="123"/>
      <c r="W831" s="123"/>
      <c r="X831" s="123"/>
      <c r="Y831" s="123"/>
    </row>
    <row r="832" spans="2:25" s="235" customFormat="1" ht="13.8">
      <c r="B832" s="307"/>
      <c r="C832" s="307"/>
      <c r="D832" s="307"/>
      <c r="E832" s="307"/>
      <c r="F832" s="307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</row>
    <row r="833" spans="2:25" s="235" customFormat="1" ht="13.8">
      <c r="B833" s="307"/>
      <c r="C833" s="307"/>
      <c r="D833" s="307"/>
      <c r="E833" s="307"/>
      <c r="F833" s="307"/>
      <c r="L833" s="123"/>
      <c r="M833" s="123"/>
      <c r="N833" s="123"/>
      <c r="O833" s="123"/>
      <c r="P833" s="123"/>
      <c r="Q833" s="123"/>
      <c r="R833" s="123"/>
      <c r="S833" s="123"/>
      <c r="T833" s="123"/>
      <c r="U833" s="123"/>
      <c r="V833" s="123"/>
      <c r="W833" s="123"/>
      <c r="X833" s="123"/>
      <c r="Y833" s="123"/>
    </row>
    <row r="834" spans="2:25" s="235" customFormat="1" ht="13.8">
      <c r="B834" s="307"/>
      <c r="C834" s="307"/>
      <c r="D834" s="307"/>
      <c r="E834" s="307"/>
      <c r="F834" s="307"/>
      <c r="L834" s="123"/>
      <c r="M834" s="123"/>
      <c r="N834" s="123"/>
      <c r="O834" s="123"/>
      <c r="P834" s="123"/>
      <c r="Q834" s="123"/>
      <c r="R834" s="123"/>
      <c r="S834" s="123"/>
      <c r="T834" s="123"/>
      <c r="U834" s="123"/>
      <c r="V834" s="123"/>
      <c r="W834" s="123"/>
      <c r="X834" s="123"/>
      <c r="Y834" s="123"/>
    </row>
    <row r="835" spans="2:25" s="235" customFormat="1" ht="13.8">
      <c r="B835" s="307"/>
      <c r="C835" s="307"/>
      <c r="D835" s="307"/>
      <c r="E835" s="307"/>
      <c r="F835" s="307"/>
      <c r="L835" s="123"/>
      <c r="M835" s="123"/>
      <c r="N835" s="123"/>
      <c r="O835" s="123"/>
      <c r="P835" s="123"/>
      <c r="Q835" s="123"/>
      <c r="R835" s="123"/>
      <c r="S835" s="123"/>
      <c r="T835" s="123"/>
      <c r="U835" s="123"/>
      <c r="V835" s="123"/>
      <c r="W835" s="123"/>
      <c r="X835" s="123"/>
      <c r="Y835" s="123"/>
    </row>
    <row r="836" spans="2:25" s="235" customFormat="1" ht="13.8">
      <c r="B836" s="307"/>
      <c r="C836" s="307"/>
      <c r="D836" s="307"/>
      <c r="E836" s="307"/>
      <c r="F836" s="307"/>
      <c r="L836" s="123"/>
      <c r="M836" s="123"/>
      <c r="N836" s="123"/>
      <c r="O836" s="123"/>
      <c r="P836" s="123"/>
      <c r="Q836" s="123"/>
      <c r="R836" s="123"/>
      <c r="S836" s="123"/>
      <c r="T836" s="123"/>
      <c r="U836" s="123"/>
      <c r="V836" s="123"/>
      <c r="W836" s="123"/>
      <c r="X836" s="123"/>
      <c r="Y836" s="123"/>
    </row>
    <row r="837" spans="2:25" s="235" customFormat="1" ht="13.8">
      <c r="B837" s="307"/>
      <c r="C837" s="307"/>
      <c r="D837" s="307"/>
      <c r="E837" s="307"/>
      <c r="F837" s="307"/>
      <c r="L837" s="123"/>
      <c r="M837" s="123"/>
      <c r="N837" s="123"/>
      <c r="O837" s="123"/>
      <c r="P837" s="123"/>
      <c r="Q837" s="123"/>
      <c r="R837" s="123"/>
      <c r="S837" s="123"/>
      <c r="T837" s="123"/>
      <c r="U837" s="123"/>
      <c r="V837" s="123"/>
      <c r="W837" s="123"/>
      <c r="X837" s="123"/>
      <c r="Y837" s="123"/>
    </row>
    <row r="838" spans="2:25" s="235" customFormat="1" ht="13.8">
      <c r="B838" s="307"/>
      <c r="C838" s="307"/>
      <c r="D838" s="307"/>
      <c r="E838" s="307"/>
      <c r="F838" s="307"/>
      <c r="L838" s="123"/>
      <c r="M838" s="123"/>
      <c r="N838" s="123"/>
      <c r="O838" s="123"/>
      <c r="P838" s="123"/>
      <c r="Q838" s="123"/>
      <c r="R838" s="123"/>
      <c r="S838" s="123"/>
      <c r="T838" s="123"/>
      <c r="U838" s="123"/>
      <c r="V838" s="123"/>
      <c r="W838" s="123"/>
      <c r="X838" s="123"/>
      <c r="Y838" s="123"/>
    </row>
    <row r="839" spans="2:25" s="235" customFormat="1" ht="13.8">
      <c r="B839" s="307"/>
      <c r="C839" s="307"/>
      <c r="D839" s="307"/>
      <c r="E839" s="307"/>
      <c r="F839" s="307"/>
      <c r="L839" s="123"/>
      <c r="M839" s="123"/>
      <c r="N839" s="123"/>
      <c r="O839" s="123"/>
      <c r="P839" s="123"/>
      <c r="Q839" s="123"/>
      <c r="R839" s="123"/>
      <c r="S839" s="123"/>
      <c r="T839" s="123"/>
      <c r="U839" s="123"/>
      <c r="V839" s="123"/>
      <c r="W839" s="123"/>
      <c r="X839" s="123"/>
      <c r="Y839" s="123"/>
    </row>
    <row r="840" spans="2:25" s="235" customFormat="1" ht="13.8">
      <c r="B840" s="307"/>
      <c r="C840" s="307"/>
      <c r="D840" s="307"/>
      <c r="E840" s="307"/>
      <c r="F840" s="307"/>
      <c r="L840" s="123"/>
      <c r="M840" s="123"/>
      <c r="N840" s="123"/>
      <c r="O840" s="123"/>
      <c r="P840" s="123"/>
      <c r="Q840" s="123"/>
      <c r="R840" s="123"/>
      <c r="S840" s="123"/>
      <c r="T840" s="123"/>
      <c r="U840" s="123"/>
      <c r="V840" s="123"/>
      <c r="W840" s="123"/>
      <c r="X840" s="123"/>
      <c r="Y840" s="123"/>
    </row>
    <row r="841" spans="2:25" s="235" customFormat="1" ht="13.8">
      <c r="B841" s="307"/>
      <c r="C841" s="307"/>
      <c r="D841" s="307"/>
      <c r="E841" s="307"/>
      <c r="F841" s="307"/>
      <c r="L841" s="123"/>
      <c r="M841" s="123"/>
      <c r="N841" s="123"/>
      <c r="O841" s="123"/>
      <c r="P841" s="123"/>
      <c r="Q841" s="123"/>
      <c r="R841" s="123"/>
      <c r="S841" s="123"/>
      <c r="T841" s="123"/>
      <c r="U841" s="123"/>
      <c r="V841" s="123"/>
      <c r="W841" s="123"/>
      <c r="X841" s="123"/>
      <c r="Y841" s="123"/>
    </row>
    <row r="842" spans="2:25" s="235" customFormat="1" ht="13.8">
      <c r="B842" s="307"/>
      <c r="C842" s="307"/>
      <c r="D842" s="307"/>
      <c r="E842" s="307"/>
      <c r="F842" s="307"/>
      <c r="L842" s="123"/>
      <c r="M842" s="123"/>
      <c r="N842" s="123"/>
      <c r="O842" s="123"/>
      <c r="P842" s="123"/>
      <c r="Q842" s="123"/>
      <c r="R842" s="123"/>
      <c r="S842" s="123"/>
      <c r="T842" s="123"/>
      <c r="U842" s="123"/>
      <c r="V842" s="123"/>
      <c r="W842" s="123"/>
      <c r="X842" s="123"/>
      <c r="Y842" s="123"/>
    </row>
    <row r="843" spans="2:25" s="235" customFormat="1" ht="13.8">
      <c r="B843" s="307"/>
      <c r="C843" s="307"/>
      <c r="D843" s="307"/>
      <c r="E843" s="307"/>
      <c r="F843" s="307"/>
      <c r="L843" s="123"/>
      <c r="M843" s="123"/>
      <c r="N843" s="123"/>
      <c r="O843" s="123"/>
      <c r="P843" s="123"/>
      <c r="Q843" s="123"/>
      <c r="R843" s="123"/>
      <c r="S843" s="123"/>
      <c r="T843" s="123"/>
      <c r="U843" s="123"/>
      <c r="V843" s="123"/>
      <c r="W843" s="123"/>
      <c r="X843" s="123"/>
      <c r="Y843" s="123"/>
    </row>
    <row r="844" spans="2:25" s="235" customFormat="1" ht="13.8">
      <c r="B844" s="307"/>
      <c r="C844" s="307"/>
      <c r="D844" s="307"/>
      <c r="E844" s="307"/>
      <c r="F844" s="307"/>
      <c r="L844" s="123"/>
      <c r="M844" s="123"/>
      <c r="N844" s="123"/>
      <c r="O844" s="123"/>
      <c r="P844" s="123"/>
      <c r="Q844" s="123"/>
      <c r="R844" s="123"/>
      <c r="S844" s="123"/>
      <c r="T844" s="123"/>
      <c r="U844" s="123"/>
      <c r="V844" s="123"/>
      <c r="W844" s="123"/>
      <c r="X844" s="123"/>
      <c r="Y844" s="123"/>
    </row>
    <row r="845" spans="2:25" s="235" customFormat="1" ht="13.8">
      <c r="B845" s="307"/>
      <c r="C845" s="307"/>
      <c r="D845" s="307"/>
      <c r="E845" s="307"/>
      <c r="F845" s="307"/>
      <c r="L845" s="123"/>
      <c r="M845" s="123"/>
      <c r="N845" s="123"/>
      <c r="O845" s="123"/>
      <c r="P845" s="123"/>
      <c r="Q845" s="123"/>
      <c r="R845" s="123"/>
      <c r="S845" s="123"/>
      <c r="T845" s="123"/>
      <c r="U845" s="123"/>
      <c r="V845" s="123"/>
      <c r="W845" s="123"/>
      <c r="X845" s="123"/>
      <c r="Y845" s="123"/>
    </row>
    <row r="846" spans="2:25" s="235" customFormat="1" ht="13.8">
      <c r="B846" s="307"/>
      <c r="C846" s="307"/>
      <c r="D846" s="307"/>
      <c r="E846" s="307"/>
      <c r="F846" s="307"/>
      <c r="L846" s="123"/>
      <c r="M846" s="123"/>
      <c r="N846" s="123"/>
      <c r="O846" s="123"/>
      <c r="P846" s="123"/>
      <c r="Q846" s="123"/>
      <c r="R846" s="123"/>
      <c r="S846" s="123"/>
      <c r="T846" s="123"/>
      <c r="U846" s="123"/>
      <c r="V846" s="123"/>
      <c r="W846" s="123"/>
      <c r="X846" s="123"/>
      <c r="Y846" s="123"/>
    </row>
    <row r="847" spans="2:25" s="235" customFormat="1" ht="13.8">
      <c r="B847" s="307"/>
      <c r="C847" s="307"/>
      <c r="D847" s="307"/>
      <c r="E847" s="307"/>
      <c r="F847" s="307"/>
      <c r="L847" s="123"/>
      <c r="M847" s="123"/>
      <c r="N847" s="123"/>
      <c r="O847" s="123"/>
      <c r="P847" s="123"/>
      <c r="Q847" s="123"/>
      <c r="R847" s="123"/>
      <c r="S847" s="123"/>
      <c r="T847" s="123"/>
      <c r="U847" s="123"/>
      <c r="V847" s="123"/>
      <c r="W847" s="123"/>
      <c r="X847" s="123"/>
      <c r="Y847" s="123"/>
    </row>
    <row r="848" spans="2:25" s="235" customFormat="1" ht="13.8">
      <c r="B848" s="307"/>
      <c r="C848" s="307"/>
      <c r="D848" s="307"/>
      <c r="E848" s="307"/>
      <c r="F848" s="307"/>
      <c r="L848" s="123"/>
      <c r="M848" s="123"/>
      <c r="N848" s="123"/>
      <c r="O848" s="123"/>
      <c r="P848" s="123"/>
      <c r="Q848" s="123"/>
      <c r="R848" s="123"/>
      <c r="S848" s="123"/>
      <c r="T848" s="123"/>
      <c r="U848" s="123"/>
      <c r="V848" s="123"/>
      <c r="W848" s="123"/>
      <c r="X848" s="123"/>
      <c r="Y848" s="123"/>
    </row>
    <row r="849" spans="2:25" s="235" customFormat="1" ht="13.8">
      <c r="B849" s="307"/>
      <c r="C849" s="307"/>
      <c r="D849" s="307"/>
      <c r="E849" s="307"/>
      <c r="F849" s="307"/>
      <c r="L849" s="123"/>
      <c r="M849" s="123"/>
      <c r="N849" s="123"/>
      <c r="O849" s="123"/>
      <c r="P849" s="123"/>
      <c r="Q849" s="123"/>
      <c r="R849" s="123"/>
      <c r="S849" s="123"/>
      <c r="T849" s="123"/>
      <c r="U849" s="123"/>
      <c r="V849" s="123"/>
      <c r="W849" s="123"/>
      <c r="X849" s="123"/>
      <c r="Y849" s="123"/>
    </row>
    <row r="850" spans="2:25" s="235" customFormat="1" ht="13.8">
      <c r="B850" s="307"/>
      <c r="C850" s="307"/>
      <c r="D850" s="307"/>
      <c r="E850" s="307"/>
      <c r="F850" s="307"/>
      <c r="L850" s="123"/>
      <c r="M850" s="123"/>
      <c r="N850" s="123"/>
      <c r="O850" s="123"/>
      <c r="P850" s="123"/>
      <c r="Q850" s="123"/>
      <c r="R850" s="123"/>
      <c r="S850" s="123"/>
      <c r="T850" s="123"/>
      <c r="U850" s="123"/>
      <c r="V850" s="123"/>
      <c r="W850" s="123"/>
      <c r="X850" s="123"/>
      <c r="Y850" s="123"/>
    </row>
    <row r="851" spans="2:25" s="235" customFormat="1" ht="13.8">
      <c r="B851" s="307"/>
      <c r="C851" s="307"/>
      <c r="D851" s="307"/>
      <c r="E851" s="307"/>
      <c r="F851" s="307"/>
      <c r="L851" s="123"/>
      <c r="M851" s="123"/>
      <c r="N851" s="123"/>
      <c r="O851" s="123"/>
      <c r="P851" s="123"/>
      <c r="Q851" s="123"/>
      <c r="R851" s="123"/>
      <c r="S851" s="123"/>
      <c r="T851" s="123"/>
      <c r="U851" s="123"/>
      <c r="V851" s="123"/>
      <c r="W851" s="123"/>
      <c r="X851" s="123"/>
      <c r="Y851" s="123"/>
    </row>
    <row r="852" spans="2:25" s="235" customFormat="1" ht="13.8">
      <c r="B852" s="307"/>
      <c r="C852" s="307"/>
      <c r="D852" s="307"/>
      <c r="E852" s="307"/>
      <c r="F852" s="307"/>
      <c r="L852" s="123"/>
      <c r="M852" s="123"/>
      <c r="N852" s="123"/>
      <c r="O852" s="123"/>
      <c r="P852" s="123"/>
      <c r="Q852" s="123"/>
      <c r="R852" s="123"/>
      <c r="S852" s="123"/>
      <c r="T852" s="123"/>
      <c r="U852" s="123"/>
      <c r="V852" s="123"/>
      <c r="W852" s="123"/>
      <c r="X852" s="123"/>
      <c r="Y852" s="123"/>
    </row>
    <row r="853" spans="2:25" s="235" customFormat="1" ht="13.8">
      <c r="B853" s="307"/>
      <c r="C853" s="307"/>
      <c r="D853" s="307"/>
      <c r="E853" s="307"/>
      <c r="F853" s="307"/>
      <c r="L853" s="123"/>
      <c r="M853" s="123"/>
      <c r="N853" s="123"/>
      <c r="O853" s="123"/>
      <c r="P853" s="123"/>
      <c r="Q853" s="123"/>
      <c r="R853" s="123"/>
      <c r="S853" s="123"/>
      <c r="T853" s="123"/>
      <c r="U853" s="123"/>
      <c r="V853" s="123"/>
      <c r="W853" s="123"/>
      <c r="X853" s="123"/>
      <c r="Y853" s="123"/>
    </row>
    <row r="854" spans="2:25" s="235" customFormat="1" ht="13.8">
      <c r="B854" s="307"/>
      <c r="C854" s="307"/>
      <c r="D854" s="307"/>
      <c r="E854" s="307"/>
      <c r="F854" s="307"/>
      <c r="L854" s="123"/>
      <c r="M854" s="123"/>
      <c r="N854" s="123"/>
      <c r="O854" s="123"/>
      <c r="P854" s="123"/>
      <c r="Q854" s="123"/>
      <c r="R854" s="123"/>
      <c r="S854" s="123"/>
      <c r="T854" s="123"/>
      <c r="U854" s="123"/>
      <c r="V854" s="123"/>
      <c r="W854" s="123"/>
      <c r="X854" s="123"/>
      <c r="Y854" s="123"/>
    </row>
    <row r="855" spans="2:25" s="235" customFormat="1" ht="13.8">
      <c r="B855" s="307"/>
      <c r="C855" s="307"/>
      <c r="D855" s="307"/>
      <c r="E855" s="307"/>
      <c r="F855" s="307"/>
      <c r="L855" s="123"/>
      <c r="M855" s="123"/>
      <c r="N855" s="123"/>
      <c r="O855" s="123"/>
      <c r="P855" s="123"/>
      <c r="Q855" s="123"/>
      <c r="R855" s="123"/>
      <c r="S855" s="123"/>
      <c r="T855" s="123"/>
      <c r="U855" s="123"/>
      <c r="V855" s="123"/>
      <c r="W855" s="123"/>
      <c r="X855" s="123"/>
      <c r="Y855" s="123"/>
    </row>
    <row r="856" spans="2:25" s="235" customFormat="1" ht="13.8">
      <c r="B856" s="307"/>
      <c r="C856" s="307"/>
      <c r="D856" s="307"/>
      <c r="E856" s="307"/>
      <c r="F856" s="307"/>
      <c r="L856" s="123"/>
      <c r="M856" s="123"/>
      <c r="N856" s="123"/>
      <c r="O856" s="123"/>
      <c r="P856" s="123"/>
      <c r="Q856" s="123"/>
      <c r="R856" s="123"/>
      <c r="S856" s="123"/>
      <c r="T856" s="123"/>
      <c r="U856" s="123"/>
      <c r="V856" s="123"/>
      <c r="W856" s="123"/>
      <c r="X856" s="123"/>
      <c r="Y856" s="123"/>
    </row>
    <row r="857" spans="2:25" s="235" customFormat="1" ht="13.8">
      <c r="B857" s="307"/>
      <c r="C857" s="307"/>
      <c r="D857" s="307"/>
      <c r="E857" s="307"/>
      <c r="F857" s="307"/>
      <c r="L857" s="123"/>
      <c r="M857" s="123"/>
      <c r="N857" s="123"/>
      <c r="O857" s="123"/>
      <c r="P857" s="123"/>
      <c r="Q857" s="123"/>
      <c r="R857" s="123"/>
      <c r="S857" s="123"/>
      <c r="T857" s="123"/>
      <c r="U857" s="123"/>
      <c r="V857" s="123"/>
      <c r="W857" s="123"/>
      <c r="X857" s="123"/>
      <c r="Y857" s="123"/>
    </row>
    <row r="858" spans="2:25" s="235" customFormat="1" ht="13.8">
      <c r="B858" s="307"/>
      <c r="C858" s="307"/>
      <c r="D858" s="307"/>
      <c r="E858" s="307"/>
      <c r="F858" s="307"/>
      <c r="L858" s="123"/>
      <c r="M858" s="123"/>
      <c r="N858" s="123"/>
      <c r="O858" s="123"/>
      <c r="P858" s="123"/>
      <c r="Q858" s="123"/>
      <c r="R858" s="123"/>
      <c r="S858" s="123"/>
      <c r="T858" s="123"/>
      <c r="U858" s="123"/>
      <c r="V858" s="123"/>
      <c r="W858" s="123"/>
      <c r="X858" s="123"/>
      <c r="Y858" s="123"/>
    </row>
    <row r="859" spans="2:25" s="235" customFormat="1" ht="13.8">
      <c r="B859" s="307"/>
      <c r="C859" s="307"/>
      <c r="D859" s="307"/>
      <c r="E859" s="307"/>
      <c r="F859" s="307"/>
      <c r="L859" s="123"/>
      <c r="M859" s="123"/>
      <c r="N859" s="123"/>
      <c r="O859" s="123"/>
      <c r="P859" s="123"/>
      <c r="Q859" s="123"/>
      <c r="R859" s="123"/>
      <c r="S859" s="123"/>
      <c r="T859" s="123"/>
      <c r="U859" s="123"/>
      <c r="V859" s="123"/>
      <c r="W859" s="123"/>
      <c r="X859" s="123"/>
      <c r="Y859" s="123"/>
    </row>
    <row r="860" spans="2:25" s="235" customFormat="1" ht="13.8">
      <c r="B860" s="307"/>
      <c r="C860" s="307"/>
      <c r="D860" s="307"/>
      <c r="E860" s="307"/>
      <c r="F860" s="307"/>
      <c r="L860" s="123"/>
      <c r="M860" s="123"/>
      <c r="N860" s="123"/>
      <c r="O860" s="123"/>
      <c r="P860" s="123"/>
      <c r="Q860" s="123"/>
      <c r="R860" s="123"/>
      <c r="S860" s="123"/>
      <c r="T860" s="123"/>
      <c r="U860" s="123"/>
      <c r="V860" s="123"/>
      <c r="W860" s="123"/>
      <c r="X860" s="123"/>
      <c r="Y860" s="123"/>
    </row>
    <row r="861" spans="2:25" s="235" customFormat="1" ht="13.8">
      <c r="B861" s="307"/>
      <c r="C861" s="307"/>
      <c r="D861" s="307"/>
      <c r="E861" s="307"/>
      <c r="F861" s="307"/>
      <c r="L861" s="123"/>
      <c r="M861" s="123"/>
      <c r="N861" s="123"/>
      <c r="O861" s="123"/>
      <c r="P861" s="123"/>
      <c r="Q861" s="123"/>
      <c r="R861" s="123"/>
      <c r="S861" s="123"/>
      <c r="T861" s="123"/>
      <c r="U861" s="123"/>
      <c r="V861" s="123"/>
      <c r="W861" s="123"/>
      <c r="X861" s="123"/>
      <c r="Y861" s="123"/>
    </row>
    <row r="862" spans="2:25" s="235" customFormat="1" ht="13.8">
      <c r="B862" s="307"/>
      <c r="C862" s="307"/>
      <c r="D862" s="307"/>
      <c r="E862" s="307"/>
      <c r="F862" s="307"/>
      <c r="L862" s="123"/>
      <c r="M862" s="123"/>
      <c r="N862" s="123"/>
      <c r="O862" s="123"/>
      <c r="P862" s="123"/>
      <c r="Q862" s="123"/>
      <c r="R862" s="123"/>
      <c r="S862" s="123"/>
      <c r="T862" s="123"/>
      <c r="U862" s="123"/>
      <c r="V862" s="123"/>
      <c r="W862" s="123"/>
      <c r="X862" s="123"/>
      <c r="Y862" s="123"/>
    </row>
    <row r="863" spans="2:25" s="235" customFormat="1" ht="13.8">
      <c r="B863" s="307"/>
      <c r="C863" s="307"/>
      <c r="D863" s="307"/>
      <c r="E863" s="307"/>
      <c r="F863" s="307"/>
      <c r="L863" s="123"/>
      <c r="M863" s="123"/>
      <c r="N863" s="123"/>
      <c r="O863" s="123"/>
      <c r="P863" s="123"/>
      <c r="Q863" s="123"/>
      <c r="R863" s="123"/>
      <c r="S863" s="123"/>
      <c r="T863" s="123"/>
      <c r="U863" s="123"/>
      <c r="V863" s="123"/>
      <c r="W863" s="123"/>
      <c r="X863" s="123"/>
      <c r="Y863" s="123"/>
    </row>
    <row r="864" spans="2:25" s="235" customFormat="1" ht="13.8">
      <c r="B864" s="307"/>
      <c r="C864" s="307"/>
      <c r="D864" s="307"/>
      <c r="E864" s="307"/>
      <c r="F864" s="307"/>
      <c r="L864" s="123"/>
      <c r="M864" s="123"/>
      <c r="N864" s="123"/>
      <c r="O864" s="123"/>
      <c r="P864" s="123"/>
      <c r="Q864" s="123"/>
      <c r="R864" s="123"/>
      <c r="S864" s="123"/>
      <c r="T864" s="123"/>
      <c r="U864" s="123"/>
      <c r="V864" s="123"/>
      <c r="W864" s="123"/>
      <c r="X864" s="123"/>
      <c r="Y864" s="123"/>
    </row>
    <row r="865" spans="2:25" s="235" customFormat="1" ht="13.8">
      <c r="B865" s="307"/>
      <c r="C865" s="307"/>
      <c r="D865" s="307"/>
      <c r="E865" s="307"/>
      <c r="F865" s="307"/>
      <c r="L865" s="123"/>
      <c r="M865" s="123"/>
      <c r="N865" s="123"/>
      <c r="O865" s="123"/>
      <c r="P865" s="123"/>
      <c r="Q865" s="123"/>
      <c r="R865" s="123"/>
      <c r="S865" s="123"/>
      <c r="T865" s="123"/>
      <c r="U865" s="123"/>
      <c r="V865" s="123"/>
      <c r="W865" s="123"/>
      <c r="X865" s="123"/>
      <c r="Y865" s="123"/>
    </row>
    <row r="866" spans="2:25" s="235" customFormat="1" ht="13.8">
      <c r="B866" s="307"/>
      <c r="C866" s="307"/>
      <c r="D866" s="307"/>
      <c r="E866" s="307"/>
      <c r="F866" s="307"/>
      <c r="L866" s="123"/>
      <c r="M866" s="123"/>
      <c r="N866" s="123"/>
      <c r="O866" s="123"/>
      <c r="P866" s="123"/>
      <c r="Q866" s="123"/>
      <c r="R866" s="123"/>
      <c r="S866" s="123"/>
      <c r="T866" s="123"/>
      <c r="U866" s="123"/>
      <c r="V866" s="123"/>
      <c r="W866" s="123"/>
      <c r="X866" s="123"/>
      <c r="Y866" s="123"/>
    </row>
    <row r="867" spans="2:25" s="235" customFormat="1" ht="13.8">
      <c r="B867" s="307"/>
      <c r="C867" s="307"/>
      <c r="D867" s="307"/>
      <c r="E867" s="307"/>
      <c r="F867" s="307"/>
      <c r="L867" s="123"/>
      <c r="M867" s="123"/>
      <c r="N867" s="123"/>
      <c r="O867" s="123"/>
      <c r="P867" s="123"/>
      <c r="Q867" s="123"/>
      <c r="R867" s="123"/>
      <c r="S867" s="123"/>
      <c r="T867" s="123"/>
      <c r="U867" s="123"/>
      <c r="V867" s="123"/>
      <c r="W867" s="123"/>
      <c r="X867" s="123"/>
      <c r="Y867" s="123"/>
    </row>
    <row r="868" spans="2:25" s="235" customFormat="1" ht="13.8">
      <c r="B868" s="307"/>
      <c r="C868" s="307"/>
      <c r="D868" s="307"/>
      <c r="E868" s="307"/>
      <c r="F868" s="307"/>
      <c r="L868" s="123"/>
      <c r="M868" s="123"/>
      <c r="N868" s="123"/>
      <c r="O868" s="123"/>
      <c r="P868" s="123"/>
      <c r="Q868" s="123"/>
      <c r="R868" s="123"/>
      <c r="S868" s="123"/>
      <c r="T868" s="123"/>
      <c r="U868" s="123"/>
      <c r="V868" s="123"/>
      <c r="W868" s="123"/>
      <c r="X868" s="123"/>
      <c r="Y868" s="123"/>
    </row>
    <row r="869" spans="2:25" s="235" customFormat="1" ht="13.8">
      <c r="B869" s="307"/>
      <c r="C869" s="307"/>
      <c r="D869" s="307"/>
      <c r="E869" s="307"/>
      <c r="F869" s="307"/>
      <c r="L869" s="123"/>
      <c r="M869" s="123"/>
      <c r="N869" s="123"/>
      <c r="O869" s="123"/>
      <c r="P869" s="123"/>
      <c r="Q869" s="123"/>
      <c r="R869" s="123"/>
      <c r="S869" s="123"/>
      <c r="T869" s="123"/>
      <c r="U869" s="123"/>
      <c r="V869" s="123"/>
      <c r="W869" s="123"/>
      <c r="X869" s="123"/>
      <c r="Y869" s="123"/>
    </row>
    <row r="870" spans="2:25" s="235" customFormat="1" ht="13.8">
      <c r="B870" s="307"/>
      <c r="C870" s="307"/>
      <c r="D870" s="307"/>
      <c r="E870" s="307"/>
      <c r="F870" s="307"/>
      <c r="L870" s="123"/>
      <c r="M870" s="123"/>
      <c r="N870" s="123"/>
      <c r="O870" s="123"/>
      <c r="P870" s="123"/>
      <c r="Q870" s="123"/>
      <c r="R870" s="123"/>
      <c r="S870" s="123"/>
      <c r="T870" s="123"/>
      <c r="U870" s="123"/>
      <c r="V870" s="123"/>
      <c r="W870" s="123"/>
      <c r="X870" s="123"/>
      <c r="Y870" s="123"/>
    </row>
    <row r="871" spans="2:25" s="235" customFormat="1" ht="13.8">
      <c r="B871" s="307"/>
      <c r="C871" s="307"/>
      <c r="D871" s="307"/>
      <c r="E871" s="307"/>
      <c r="F871" s="307"/>
      <c r="L871" s="123"/>
      <c r="M871" s="123"/>
      <c r="N871" s="123"/>
      <c r="O871" s="123"/>
      <c r="P871" s="123"/>
      <c r="Q871" s="123"/>
      <c r="R871" s="123"/>
      <c r="S871" s="123"/>
      <c r="T871" s="123"/>
      <c r="U871" s="123"/>
      <c r="V871" s="123"/>
      <c r="W871" s="123"/>
      <c r="X871" s="123"/>
      <c r="Y871" s="123"/>
    </row>
    <row r="872" spans="2:25" s="235" customFormat="1" ht="13.8">
      <c r="B872" s="307"/>
      <c r="C872" s="307"/>
      <c r="D872" s="307"/>
      <c r="E872" s="307"/>
      <c r="F872" s="307"/>
      <c r="L872" s="123"/>
      <c r="M872" s="123"/>
      <c r="N872" s="123"/>
      <c r="O872" s="123"/>
      <c r="P872" s="123"/>
      <c r="Q872" s="123"/>
      <c r="R872" s="123"/>
      <c r="S872" s="123"/>
      <c r="T872" s="123"/>
      <c r="U872" s="123"/>
      <c r="V872" s="123"/>
      <c r="W872" s="123"/>
      <c r="X872" s="123"/>
      <c r="Y872" s="123"/>
    </row>
    <row r="873" spans="2:25" s="235" customFormat="1" ht="13.8">
      <c r="B873" s="307"/>
      <c r="C873" s="307"/>
      <c r="D873" s="307"/>
      <c r="E873" s="307"/>
      <c r="F873" s="307"/>
      <c r="L873" s="123"/>
      <c r="M873" s="123"/>
      <c r="N873" s="123"/>
      <c r="O873" s="123"/>
      <c r="P873" s="123"/>
      <c r="Q873" s="123"/>
      <c r="R873" s="123"/>
      <c r="S873" s="123"/>
      <c r="T873" s="123"/>
      <c r="U873" s="123"/>
      <c r="V873" s="123"/>
      <c r="W873" s="123"/>
      <c r="X873" s="123"/>
      <c r="Y873" s="123"/>
    </row>
    <row r="874" spans="2:25" s="235" customFormat="1" ht="13.8">
      <c r="B874" s="307"/>
      <c r="C874" s="307"/>
      <c r="D874" s="307"/>
      <c r="E874" s="307"/>
      <c r="F874" s="307"/>
      <c r="L874" s="123"/>
      <c r="M874" s="123"/>
      <c r="N874" s="123"/>
      <c r="O874" s="123"/>
      <c r="P874" s="123"/>
      <c r="Q874" s="123"/>
      <c r="R874" s="123"/>
      <c r="S874" s="123"/>
      <c r="T874" s="123"/>
      <c r="U874" s="123"/>
      <c r="V874" s="123"/>
      <c r="W874" s="123"/>
      <c r="X874" s="123"/>
      <c r="Y874" s="123"/>
    </row>
    <row r="875" spans="2:25" s="235" customFormat="1" ht="13.8">
      <c r="B875" s="307"/>
      <c r="C875" s="307"/>
      <c r="D875" s="307"/>
      <c r="E875" s="307"/>
      <c r="F875" s="307"/>
      <c r="L875" s="123"/>
      <c r="M875" s="123"/>
      <c r="N875" s="123"/>
      <c r="O875" s="123"/>
      <c r="P875" s="123"/>
      <c r="Q875" s="123"/>
      <c r="R875" s="123"/>
      <c r="S875" s="123"/>
      <c r="T875" s="123"/>
      <c r="U875" s="123"/>
      <c r="V875" s="123"/>
      <c r="W875" s="123"/>
      <c r="X875" s="123"/>
      <c r="Y875" s="123"/>
    </row>
    <row r="876" spans="2:25" s="235" customFormat="1" ht="13.8">
      <c r="B876" s="307"/>
      <c r="C876" s="307"/>
      <c r="D876" s="307"/>
      <c r="E876" s="307"/>
      <c r="F876" s="307"/>
      <c r="L876" s="123"/>
      <c r="M876" s="123"/>
      <c r="N876" s="123"/>
      <c r="O876" s="123"/>
      <c r="P876" s="123"/>
      <c r="Q876" s="123"/>
      <c r="R876" s="123"/>
      <c r="S876" s="123"/>
      <c r="T876" s="123"/>
      <c r="U876" s="123"/>
      <c r="V876" s="123"/>
      <c r="W876" s="123"/>
      <c r="X876" s="123"/>
      <c r="Y876" s="123"/>
    </row>
    <row r="877" spans="2:25" s="235" customFormat="1" ht="13.8">
      <c r="B877" s="307"/>
      <c r="C877" s="307"/>
      <c r="D877" s="307"/>
      <c r="E877" s="307"/>
      <c r="F877" s="307"/>
      <c r="L877" s="123"/>
      <c r="M877" s="123"/>
      <c r="N877" s="123"/>
      <c r="O877" s="123"/>
      <c r="P877" s="123"/>
      <c r="Q877" s="123"/>
      <c r="R877" s="123"/>
      <c r="S877" s="123"/>
      <c r="T877" s="123"/>
      <c r="U877" s="123"/>
      <c r="V877" s="123"/>
      <c r="W877" s="123"/>
      <c r="X877" s="123"/>
      <c r="Y877" s="123"/>
    </row>
    <row r="878" spans="2:25" s="235" customFormat="1" ht="13.8">
      <c r="B878" s="307"/>
      <c r="C878" s="307"/>
      <c r="D878" s="307"/>
      <c r="E878" s="307"/>
      <c r="F878" s="307"/>
      <c r="L878" s="123"/>
      <c r="M878" s="123"/>
      <c r="N878" s="123"/>
      <c r="O878" s="123"/>
      <c r="P878" s="123"/>
      <c r="Q878" s="123"/>
      <c r="R878" s="123"/>
      <c r="S878" s="123"/>
      <c r="T878" s="123"/>
      <c r="U878" s="123"/>
      <c r="V878" s="123"/>
      <c r="W878" s="123"/>
      <c r="X878" s="123"/>
      <c r="Y878" s="123"/>
    </row>
    <row r="879" spans="2:25" s="235" customFormat="1" ht="13.8">
      <c r="B879" s="307"/>
      <c r="C879" s="307"/>
      <c r="D879" s="307"/>
      <c r="E879" s="307"/>
      <c r="F879" s="307"/>
      <c r="L879" s="123"/>
      <c r="M879" s="123"/>
      <c r="N879" s="123"/>
      <c r="O879" s="123"/>
      <c r="P879" s="123"/>
      <c r="Q879" s="123"/>
      <c r="R879" s="123"/>
      <c r="S879" s="123"/>
      <c r="T879" s="123"/>
      <c r="U879" s="123"/>
      <c r="V879" s="123"/>
      <c r="W879" s="123"/>
      <c r="X879" s="123"/>
      <c r="Y879" s="123"/>
    </row>
    <row r="880" spans="2:25" s="235" customFormat="1" ht="13.8">
      <c r="B880" s="307"/>
      <c r="C880" s="307"/>
      <c r="D880" s="307"/>
      <c r="E880" s="307"/>
      <c r="F880" s="307"/>
      <c r="L880" s="123"/>
      <c r="M880" s="123"/>
      <c r="N880" s="123"/>
      <c r="O880" s="123"/>
      <c r="P880" s="123"/>
      <c r="Q880" s="123"/>
      <c r="R880" s="123"/>
      <c r="S880" s="123"/>
      <c r="T880" s="123"/>
      <c r="U880" s="123"/>
      <c r="V880" s="123"/>
      <c r="W880" s="123"/>
      <c r="X880" s="123"/>
      <c r="Y880" s="123"/>
    </row>
    <row r="881" spans="2:25" s="235" customFormat="1" ht="13.8">
      <c r="B881" s="307"/>
      <c r="C881" s="307"/>
      <c r="D881" s="307"/>
      <c r="E881" s="307"/>
      <c r="F881" s="307"/>
      <c r="L881" s="123"/>
      <c r="M881" s="123"/>
      <c r="N881" s="123"/>
      <c r="O881" s="123"/>
      <c r="P881" s="123"/>
      <c r="Q881" s="123"/>
      <c r="R881" s="123"/>
      <c r="S881" s="123"/>
      <c r="T881" s="123"/>
      <c r="U881" s="123"/>
      <c r="V881" s="123"/>
      <c r="W881" s="123"/>
      <c r="X881" s="123"/>
      <c r="Y881" s="123"/>
    </row>
    <row r="882" spans="2:25" s="235" customFormat="1" ht="13.8">
      <c r="B882" s="307"/>
      <c r="C882" s="307"/>
      <c r="D882" s="307"/>
      <c r="E882" s="307"/>
      <c r="F882" s="307"/>
      <c r="L882" s="123"/>
      <c r="M882" s="123"/>
      <c r="N882" s="123"/>
      <c r="O882" s="123"/>
      <c r="P882" s="123"/>
      <c r="Q882" s="123"/>
      <c r="R882" s="123"/>
      <c r="S882" s="123"/>
      <c r="T882" s="123"/>
      <c r="U882" s="123"/>
      <c r="V882" s="123"/>
      <c r="W882" s="123"/>
      <c r="X882" s="123"/>
      <c r="Y882" s="123"/>
    </row>
    <row r="883" spans="2:25" s="235" customFormat="1" ht="13.8">
      <c r="B883" s="307"/>
      <c r="C883" s="307"/>
      <c r="D883" s="307"/>
      <c r="E883" s="307"/>
      <c r="F883" s="307"/>
      <c r="L883" s="123"/>
      <c r="M883" s="123"/>
      <c r="N883" s="123"/>
      <c r="O883" s="123"/>
      <c r="P883" s="123"/>
      <c r="Q883" s="123"/>
      <c r="R883" s="123"/>
      <c r="S883" s="123"/>
      <c r="T883" s="123"/>
      <c r="U883" s="123"/>
      <c r="V883" s="123"/>
      <c r="W883" s="123"/>
      <c r="X883" s="123"/>
      <c r="Y883" s="123"/>
    </row>
    <row r="884" spans="2:25" s="235" customFormat="1" ht="13.8">
      <c r="B884" s="307"/>
      <c r="C884" s="307"/>
      <c r="D884" s="307"/>
      <c r="E884" s="307"/>
      <c r="F884" s="307"/>
      <c r="L884" s="123"/>
      <c r="M884" s="123"/>
      <c r="N884" s="123"/>
      <c r="O884" s="123"/>
      <c r="P884" s="123"/>
      <c r="Q884" s="123"/>
      <c r="R884" s="123"/>
      <c r="S884" s="123"/>
      <c r="T884" s="123"/>
      <c r="U884" s="123"/>
      <c r="V884" s="123"/>
      <c r="W884" s="123"/>
      <c r="X884" s="123"/>
      <c r="Y884" s="123"/>
    </row>
    <row r="885" spans="2:25" s="235" customFormat="1" ht="13.8">
      <c r="B885" s="307"/>
      <c r="C885" s="307"/>
      <c r="D885" s="307"/>
      <c r="E885" s="307"/>
      <c r="F885" s="307"/>
      <c r="L885" s="123"/>
      <c r="M885" s="123"/>
      <c r="N885" s="123"/>
      <c r="O885" s="123"/>
      <c r="P885" s="123"/>
      <c r="Q885" s="123"/>
      <c r="R885" s="123"/>
      <c r="S885" s="123"/>
      <c r="T885" s="123"/>
      <c r="U885" s="123"/>
      <c r="V885" s="123"/>
      <c r="W885" s="123"/>
      <c r="X885" s="123"/>
      <c r="Y885" s="123"/>
    </row>
    <row r="886" spans="2:25" s="235" customFormat="1" ht="13.8">
      <c r="B886" s="307"/>
      <c r="C886" s="307"/>
      <c r="D886" s="307"/>
      <c r="E886" s="307"/>
      <c r="F886" s="307"/>
      <c r="L886" s="123"/>
      <c r="M886" s="123"/>
      <c r="N886" s="123"/>
      <c r="O886" s="123"/>
      <c r="P886" s="123"/>
      <c r="Q886" s="123"/>
      <c r="R886" s="123"/>
      <c r="S886" s="123"/>
      <c r="T886" s="123"/>
      <c r="U886" s="123"/>
      <c r="V886" s="123"/>
      <c r="W886" s="123"/>
      <c r="X886" s="123"/>
      <c r="Y886" s="123"/>
    </row>
    <row r="887" spans="2:25" s="235" customFormat="1" ht="13.8">
      <c r="B887" s="307"/>
      <c r="C887" s="307"/>
      <c r="D887" s="307"/>
      <c r="E887" s="307"/>
      <c r="F887" s="307"/>
      <c r="L887" s="123"/>
      <c r="M887" s="123"/>
      <c r="N887" s="123"/>
      <c r="O887" s="123"/>
      <c r="P887" s="123"/>
      <c r="Q887" s="123"/>
      <c r="R887" s="123"/>
      <c r="S887" s="123"/>
      <c r="T887" s="123"/>
      <c r="U887" s="123"/>
      <c r="V887" s="123"/>
      <c r="W887" s="123"/>
      <c r="X887" s="123"/>
      <c r="Y887" s="123"/>
    </row>
    <row r="888" spans="2:25" s="235" customFormat="1" ht="13.8">
      <c r="B888" s="307"/>
      <c r="C888" s="307"/>
      <c r="D888" s="307"/>
      <c r="E888" s="307"/>
      <c r="F888" s="307"/>
      <c r="L888" s="123"/>
      <c r="M888" s="123"/>
      <c r="N888" s="123"/>
      <c r="O888" s="123"/>
      <c r="P888" s="123"/>
      <c r="Q888" s="123"/>
      <c r="R888" s="123"/>
      <c r="S888" s="123"/>
      <c r="T888" s="123"/>
      <c r="U888" s="123"/>
      <c r="V888" s="123"/>
      <c r="W888" s="123"/>
      <c r="X888" s="123"/>
      <c r="Y888" s="123"/>
    </row>
    <row r="889" spans="2:25" s="235" customFormat="1" ht="13.8">
      <c r="B889" s="307"/>
      <c r="C889" s="307"/>
      <c r="D889" s="307"/>
      <c r="E889" s="307"/>
      <c r="F889" s="307"/>
      <c r="L889" s="123"/>
      <c r="M889" s="123"/>
      <c r="N889" s="123"/>
      <c r="O889" s="123"/>
      <c r="P889" s="123"/>
      <c r="Q889" s="123"/>
      <c r="R889" s="123"/>
      <c r="S889" s="123"/>
      <c r="T889" s="123"/>
      <c r="U889" s="123"/>
      <c r="V889" s="123"/>
      <c r="W889" s="123"/>
      <c r="X889" s="123"/>
      <c r="Y889" s="123"/>
    </row>
    <row r="890" spans="2:25" s="235" customFormat="1" ht="13.8">
      <c r="B890" s="307"/>
      <c r="C890" s="307"/>
      <c r="D890" s="307"/>
      <c r="E890" s="307"/>
      <c r="F890" s="307"/>
      <c r="L890" s="123"/>
      <c r="M890" s="123"/>
      <c r="N890" s="123"/>
      <c r="O890" s="123"/>
      <c r="P890" s="123"/>
      <c r="Q890" s="123"/>
      <c r="R890" s="123"/>
      <c r="S890" s="123"/>
      <c r="T890" s="123"/>
      <c r="U890" s="123"/>
      <c r="V890" s="123"/>
      <c r="W890" s="123"/>
      <c r="X890" s="123"/>
      <c r="Y890" s="123"/>
    </row>
    <row r="891" spans="2:25" s="235" customFormat="1" ht="13.8">
      <c r="B891" s="307"/>
      <c r="C891" s="307"/>
      <c r="D891" s="307"/>
      <c r="E891" s="307"/>
      <c r="F891" s="307"/>
      <c r="L891" s="123"/>
      <c r="M891" s="123"/>
      <c r="N891" s="123"/>
      <c r="O891" s="123"/>
      <c r="P891" s="123"/>
      <c r="Q891" s="123"/>
      <c r="R891" s="123"/>
      <c r="S891" s="123"/>
      <c r="T891" s="123"/>
      <c r="U891" s="123"/>
      <c r="V891" s="123"/>
      <c r="W891" s="123"/>
      <c r="X891" s="123"/>
      <c r="Y891" s="123"/>
    </row>
    <row r="892" spans="2:25" s="235" customFormat="1" ht="13.8">
      <c r="B892" s="307"/>
      <c r="C892" s="307"/>
      <c r="D892" s="307"/>
      <c r="E892" s="307"/>
      <c r="F892" s="307"/>
      <c r="L892" s="123"/>
      <c r="M892" s="123"/>
      <c r="N892" s="123"/>
      <c r="O892" s="123"/>
      <c r="P892" s="123"/>
      <c r="Q892" s="123"/>
      <c r="R892" s="123"/>
      <c r="S892" s="123"/>
      <c r="T892" s="123"/>
      <c r="U892" s="123"/>
      <c r="V892" s="123"/>
      <c r="W892" s="123"/>
      <c r="X892" s="123"/>
      <c r="Y892" s="123"/>
    </row>
    <row r="893" spans="2:25" s="235" customFormat="1" ht="13.8">
      <c r="B893" s="307"/>
      <c r="C893" s="307"/>
      <c r="D893" s="307"/>
      <c r="E893" s="307"/>
      <c r="F893" s="307"/>
      <c r="L893" s="123"/>
      <c r="M893" s="123"/>
      <c r="N893" s="123"/>
      <c r="O893" s="123"/>
      <c r="P893" s="123"/>
      <c r="Q893" s="123"/>
      <c r="R893" s="123"/>
      <c r="S893" s="123"/>
      <c r="T893" s="123"/>
      <c r="U893" s="123"/>
      <c r="V893" s="123"/>
      <c r="W893" s="123"/>
      <c r="X893" s="123"/>
      <c r="Y893" s="123"/>
    </row>
    <row r="894" spans="2:25" s="235" customFormat="1" ht="13.8">
      <c r="B894" s="307"/>
      <c r="C894" s="307"/>
      <c r="D894" s="307"/>
      <c r="E894" s="307"/>
      <c r="F894" s="307"/>
      <c r="L894" s="123"/>
      <c r="M894" s="123"/>
      <c r="N894" s="123"/>
      <c r="O894" s="123"/>
      <c r="P894" s="123"/>
      <c r="Q894" s="123"/>
      <c r="R894" s="123"/>
      <c r="S894" s="123"/>
      <c r="T894" s="123"/>
      <c r="U894" s="123"/>
      <c r="V894" s="123"/>
      <c r="W894" s="123"/>
      <c r="X894" s="123"/>
      <c r="Y894" s="123"/>
    </row>
    <row r="895" spans="2:25" s="235" customFormat="1" ht="13.8">
      <c r="B895" s="307"/>
      <c r="C895" s="307"/>
      <c r="D895" s="307"/>
      <c r="E895" s="307"/>
      <c r="F895" s="307"/>
      <c r="L895" s="123"/>
      <c r="M895" s="123"/>
      <c r="N895" s="123"/>
      <c r="O895" s="123"/>
      <c r="P895" s="123"/>
      <c r="Q895" s="123"/>
      <c r="R895" s="123"/>
      <c r="S895" s="123"/>
      <c r="T895" s="123"/>
      <c r="U895" s="123"/>
      <c r="V895" s="123"/>
      <c r="W895" s="123"/>
      <c r="X895" s="123"/>
      <c r="Y895" s="123"/>
    </row>
    <row r="896" spans="2:25" s="235" customFormat="1" ht="13.8">
      <c r="B896" s="307"/>
      <c r="C896" s="307"/>
      <c r="D896" s="307"/>
      <c r="E896" s="307"/>
      <c r="F896" s="307"/>
      <c r="L896" s="123"/>
      <c r="M896" s="123"/>
      <c r="N896" s="123"/>
      <c r="O896" s="123"/>
      <c r="P896" s="123"/>
      <c r="Q896" s="123"/>
      <c r="R896" s="123"/>
      <c r="S896" s="123"/>
      <c r="T896" s="123"/>
      <c r="U896" s="123"/>
      <c r="V896" s="123"/>
      <c r="W896" s="123"/>
      <c r="X896" s="123"/>
      <c r="Y896" s="123"/>
    </row>
    <row r="897" spans="2:25" s="235" customFormat="1" ht="13.8">
      <c r="B897" s="307"/>
      <c r="C897" s="307"/>
      <c r="D897" s="307"/>
      <c r="E897" s="307"/>
      <c r="F897" s="307"/>
      <c r="L897" s="123"/>
      <c r="M897" s="123"/>
      <c r="N897" s="123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  <c r="Y897" s="123"/>
    </row>
    <row r="898" spans="2:25" s="235" customFormat="1" ht="13.8">
      <c r="B898" s="307"/>
      <c r="C898" s="307"/>
      <c r="D898" s="307"/>
      <c r="E898" s="307"/>
      <c r="F898" s="307"/>
      <c r="L898" s="123"/>
      <c r="M898" s="123"/>
      <c r="N898" s="123"/>
      <c r="O898" s="123"/>
      <c r="P898" s="123"/>
      <c r="Q898" s="123"/>
      <c r="R898" s="123"/>
      <c r="S898" s="123"/>
      <c r="T898" s="123"/>
      <c r="U898" s="123"/>
      <c r="V898" s="123"/>
      <c r="W898" s="123"/>
      <c r="X898" s="123"/>
      <c r="Y898" s="123"/>
    </row>
    <row r="899" spans="2:25" s="235" customFormat="1" ht="13.8">
      <c r="B899" s="307"/>
      <c r="C899" s="307"/>
      <c r="D899" s="307"/>
      <c r="E899" s="307"/>
      <c r="F899" s="307"/>
      <c r="L899" s="123"/>
      <c r="M899" s="123"/>
      <c r="N899" s="123"/>
      <c r="O899" s="123"/>
      <c r="P899" s="123"/>
      <c r="Q899" s="123"/>
      <c r="R899" s="123"/>
      <c r="S899" s="123"/>
      <c r="T899" s="123"/>
      <c r="U899" s="123"/>
      <c r="V899" s="123"/>
      <c r="W899" s="123"/>
      <c r="X899" s="123"/>
      <c r="Y899" s="123"/>
    </row>
    <row r="900" spans="2:25" s="235" customFormat="1" ht="13.8">
      <c r="B900" s="307"/>
      <c r="C900" s="307"/>
      <c r="D900" s="307"/>
      <c r="E900" s="307"/>
      <c r="F900" s="307"/>
      <c r="L900" s="123"/>
      <c r="M900" s="123"/>
      <c r="N900" s="123"/>
      <c r="O900" s="123"/>
      <c r="P900" s="123"/>
      <c r="Q900" s="123"/>
      <c r="R900" s="123"/>
      <c r="S900" s="123"/>
      <c r="T900" s="123"/>
      <c r="U900" s="123"/>
      <c r="V900" s="123"/>
      <c r="W900" s="123"/>
      <c r="X900" s="123"/>
      <c r="Y900" s="123"/>
    </row>
    <row r="901" spans="2:25" s="235" customFormat="1" ht="13.8">
      <c r="B901" s="307"/>
      <c r="C901" s="307"/>
      <c r="D901" s="307"/>
      <c r="E901" s="307"/>
      <c r="F901" s="307"/>
      <c r="L901" s="123"/>
      <c r="M901" s="123"/>
      <c r="N901" s="123"/>
      <c r="O901" s="123"/>
      <c r="P901" s="123"/>
      <c r="Q901" s="123"/>
      <c r="R901" s="123"/>
      <c r="S901" s="123"/>
      <c r="T901" s="123"/>
      <c r="U901" s="123"/>
      <c r="V901" s="123"/>
      <c r="W901" s="123"/>
      <c r="X901" s="123"/>
      <c r="Y901" s="123"/>
    </row>
    <row r="902" spans="2:25" s="235" customFormat="1" ht="13.8">
      <c r="B902" s="307"/>
      <c r="C902" s="307"/>
      <c r="D902" s="307"/>
      <c r="E902" s="307"/>
      <c r="F902" s="307"/>
      <c r="L902" s="123"/>
      <c r="M902" s="123"/>
      <c r="N902" s="123"/>
      <c r="O902" s="123"/>
      <c r="P902" s="123"/>
      <c r="Q902" s="123"/>
      <c r="R902" s="123"/>
      <c r="S902" s="123"/>
      <c r="T902" s="123"/>
      <c r="U902" s="123"/>
      <c r="V902" s="123"/>
      <c r="W902" s="123"/>
      <c r="X902" s="123"/>
      <c r="Y902" s="123"/>
    </row>
    <row r="903" spans="2:25" s="235" customFormat="1" ht="13.8">
      <c r="B903" s="307"/>
      <c r="C903" s="307"/>
      <c r="D903" s="307"/>
      <c r="E903" s="307"/>
      <c r="F903" s="307"/>
      <c r="L903" s="123"/>
      <c r="M903" s="123"/>
      <c r="N903" s="123"/>
      <c r="O903" s="123"/>
      <c r="P903" s="123"/>
      <c r="Q903" s="123"/>
      <c r="R903" s="123"/>
      <c r="S903" s="123"/>
      <c r="T903" s="123"/>
      <c r="U903" s="123"/>
      <c r="V903" s="123"/>
      <c r="W903" s="123"/>
      <c r="X903" s="123"/>
      <c r="Y903" s="123"/>
    </row>
    <row r="904" spans="2:25" s="235" customFormat="1" ht="13.8">
      <c r="B904" s="307"/>
      <c r="C904" s="307"/>
      <c r="D904" s="307"/>
      <c r="E904" s="307"/>
      <c r="F904" s="307"/>
      <c r="L904" s="123"/>
      <c r="M904" s="123"/>
      <c r="N904" s="123"/>
      <c r="O904" s="123"/>
      <c r="P904" s="123"/>
      <c r="Q904" s="123"/>
      <c r="R904" s="123"/>
      <c r="S904" s="123"/>
      <c r="T904" s="123"/>
      <c r="U904" s="123"/>
      <c r="V904" s="123"/>
      <c r="W904" s="123"/>
      <c r="X904" s="123"/>
      <c r="Y904" s="123"/>
    </row>
    <row r="905" spans="2:25" s="235" customFormat="1" ht="13.8">
      <c r="B905" s="307"/>
      <c r="C905" s="307"/>
      <c r="D905" s="307"/>
      <c r="E905" s="307"/>
      <c r="F905" s="307"/>
      <c r="L905" s="123"/>
      <c r="M905" s="123"/>
      <c r="N905" s="123"/>
      <c r="O905" s="123"/>
      <c r="P905" s="123"/>
      <c r="Q905" s="123"/>
      <c r="R905" s="123"/>
      <c r="S905" s="123"/>
      <c r="T905" s="123"/>
      <c r="U905" s="123"/>
      <c r="V905" s="123"/>
      <c r="W905" s="123"/>
      <c r="X905" s="123"/>
      <c r="Y905" s="123"/>
    </row>
    <row r="906" spans="2:25" s="235" customFormat="1" ht="13.8">
      <c r="B906" s="307"/>
      <c r="C906" s="307"/>
      <c r="D906" s="307"/>
      <c r="E906" s="307"/>
      <c r="F906" s="307"/>
      <c r="L906" s="123"/>
      <c r="M906" s="123"/>
      <c r="N906" s="123"/>
      <c r="O906" s="123"/>
      <c r="P906" s="123"/>
      <c r="Q906" s="123"/>
      <c r="R906" s="123"/>
      <c r="S906" s="123"/>
      <c r="T906" s="123"/>
      <c r="U906" s="123"/>
      <c r="V906" s="123"/>
      <c r="W906" s="123"/>
      <c r="X906" s="123"/>
      <c r="Y906" s="123"/>
    </row>
    <row r="907" spans="2:25" s="235" customFormat="1" ht="13.8">
      <c r="B907" s="307"/>
      <c r="C907" s="307"/>
      <c r="D907" s="307"/>
      <c r="E907" s="307"/>
      <c r="F907" s="307"/>
      <c r="L907" s="123"/>
      <c r="M907" s="123"/>
      <c r="N907" s="123"/>
      <c r="O907" s="123"/>
      <c r="P907" s="123"/>
      <c r="Q907" s="123"/>
      <c r="R907" s="123"/>
      <c r="S907" s="123"/>
      <c r="T907" s="123"/>
      <c r="U907" s="123"/>
      <c r="V907" s="123"/>
      <c r="W907" s="123"/>
      <c r="X907" s="123"/>
      <c r="Y907" s="123"/>
    </row>
    <row r="908" spans="2:25" s="235" customFormat="1" ht="13.8">
      <c r="B908" s="307"/>
      <c r="C908" s="307"/>
      <c r="D908" s="307"/>
      <c r="E908" s="307"/>
      <c r="F908" s="307"/>
      <c r="L908" s="123"/>
      <c r="M908" s="123"/>
      <c r="N908" s="123"/>
      <c r="O908" s="123"/>
      <c r="P908" s="123"/>
      <c r="Q908" s="123"/>
      <c r="R908" s="123"/>
      <c r="S908" s="123"/>
      <c r="T908" s="123"/>
      <c r="U908" s="123"/>
      <c r="V908" s="123"/>
      <c r="W908" s="123"/>
      <c r="X908" s="123"/>
      <c r="Y908" s="123"/>
    </row>
    <row r="909" spans="2:25" s="235" customFormat="1" ht="13.8">
      <c r="B909" s="307"/>
      <c r="C909" s="307"/>
      <c r="D909" s="307"/>
      <c r="E909" s="307"/>
      <c r="F909" s="307"/>
      <c r="L909" s="123"/>
      <c r="M909" s="123"/>
      <c r="N909" s="123"/>
      <c r="O909" s="123"/>
      <c r="P909" s="123"/>
      <c r="Q909" s="123"/>
      <c r="R909" s="123"/>
      <c r="S909" s="123"/>
      <c r="T909" s="123"/>
      <c r="U909" s="123"/>
      <c r="V909" s="123"/>
      <c r="W909" s="123"/>
      <c r="X909" s="123"/>
      <c r="Y909" s="123"/>
    </row>
    <row r="910" spans="2:25" s="235" customFormat="1" ht="13.8">
      <c r="B910" s="307"/>
      <c r="C910" s="307"/>
      <c r="D910" s="307"/>
      <c r="E910" s="307"/>
      <c r="F910" s="307"/>
      <c r="L910" s="123"/>
      <c r="M910" s="123"/>
      <c r="N910" s="123"/>
      <c r="O910" s="123"/>
      <c r="P910" s="123"/>
      <c r="Q910" s="123"/>
      <c r="R910" s="123"/>
      <c r="S910" s="123"/>
      <c r="T910" s="123"/>
      <c r="U910" s="123"/>
      <c r="V910" s="123"/>
      <c r="W910" s="123"/>
      <c r="X910" s="123"/>
      <c r="Y910" s="123"/>
    </row>
    <row r="911" spans="2:25" s="235" customFormat="1" ht="13.8">
      <c r="B911" s="307"/>
      <c r="C911" s="307"/>
      <c r="D911" s="307"/>
      <c r="E911" s="307"/>
      <c r="F911" s="307"/>
      <c r="L911" s="123"/>
      <c r="M911" s="123"/>
      <c r="N911" s="123"/>
      <c r="O911" s="123"/>
      <c r="P911" s="123"/>
      <c r="Q911" s="123"/>
      <c r="R911" s="123"/>
      <c r="S911" s="123"/>
      <c r="T911" s="123"/>
      <c r="U911" s="123"/>
      <c r="V911" s="123"/>
      <c r="W911" s="123"/>
      <c r="X911" s="123"/>
      <c r="Y911" s="123"/>
    </row>
    <row r="912" spans="2:25" s="235" customFormat="1" ht="13.8">
      <c r="B912" s="307"/>
      <c r="C912" s="307"/>
      <c r="D912" s="307"/>
      <c r="E912" s="307"/>
      <c r="F912" s="307"/>
      <c r="L912" s="123"/>
      <c r="M912" s="123"/>
      <c r="N912" s="123"/>
      <c r="O912" s="123"/>
      <c r="P912" s="123"/>
      <c r="Q912" s="123"/>
      <c r="R912" s="123"/>
      <c r="S912" s="123"/>
      <c r="T912" s="123"/>
      <c r="U912" s="123"/>
      <c r="V912" s="123"/>
      <c r="W912" s="123"/>
      <c r="X912" s="123"/>
      <c r="Y912" s="123"/>
    </row>
    <row r="913" spans="2:25" s="235" customFormat="1" ht="13.8">
      <c r="B913" s="307"/>
      <c r="C913" s="307"/>
      <c r="D913" s="307"/>
      <c r="E913" s="307"/>
      <c r="F913" s="307"/>
      <c r="L913" s="123"/>
      <c r="M913" s="123"/>
      <c r="N913" s="123"/>
      <c r="O913" s="123"/>
      <c r="P913" s="123"/>
      <c r="Q913" s="123"/>
      <c r="R913" s="123"/>
      <c r="S913" s="123"/>
      <c r="T913" s="123"/>
      <c r="U913" s="123"/>
      <c r="V913" s="123"/>
      <c r="W913" s="123"/>
      <c r="X913" s="123"/>
      <c r="Y913" s="123"/>
    </row>
    <row r="914" spans="2:25" s="235" customFormat="1" ht="13.8">
      <c r="B914" s="307"/>
      <c r="C914" s="307"/>
      <c r="D914" s="307"/>
      <c r="E914" s="307"/>
      <c r="F914" s="307"/>
      <c r="L914" s="123"/>
      <c r="M914" s="123"/>
      <c r="N914" s="123"/>
      <c r="O914" s="123"/>
      <c r="P914" s="123"/>
      <c r="Q914" s="123"/>
      <c r="R914" s="123"/>
      <c r="S914" s="123"/>
      <c r="T914" s="123"/>
      <c r="U914" s="123"/>
      <c r="V914" s="123"/>
      <c r="W914" s="123"/>
      <c r="X914" s="123"/>
      <c r="Y914" s="123"/>
    </row>
    <row r="915" spans="2:25" s="235" customFormat="1" ht="13.8">
      <c r="B915" s="307"/>
      <c r="C915" s="307"/>
      <c r="D915" s="307"/>
      <c r="E915" s="307"/>
      <c r="F915" s="307"/>
      <c r="L915" s="123"/>
      <c r="M915" s="123"/>
      <c r="N915" s="123"/>
      <c r="O915" s="123"/>
      <c r="P915" s="123"/>
      <c r="Q915" s="123"/>
      <c r="R915" s="123"/>
      <c r="S915" s="123"/>
      <c r="T915" s="123"/>
      <c r="U915" s="123"/>
      <c r="V915" s="123"/>
      <c r="W915" s="123"/>
      <c r="X915" s="123"/>
      <c r="Y915" s="123"/>
    </row>
    <row r="916" spans="2:25" s="235" customFormat="1" ht="13.8">
      <c r="B916" s="307"/>
      <c r="C916" s="307"/>
      <c r="D916" s="307"/>
      <c r="E916" s="307"/>
      <c r="F916" s="307"/>
      <c r="L916" s="123"/>
      <c r="M916" s="123"/>
      <c r="N916" s="123"/>
      <c r="O916" s="123"/>
      <c r="P916" s="123"/>
      <c r="Q916" s="123"/>
      <c r="R916" s="123"/>
      <c r="S916" s="123"/>
      <c r="T916" s="123"/>
      <c r="U916" s="123"/>
      <c r="V916" s="123"/>
      <c r="W916" s="123"/>
      <c r="X916" s="123"/>
      <c r="Y916" s="123"/>
    </row>
    <row r="917" spans="2:25" s="235" customFormat="1" ht="13.8">
      <c r="B917" s="307"/>
      <c r="C917" s="307"/>
      <c r="D917" s="307"/>
      <c r="E917" s="307"/>
      <c r="F917" s="307"/>
      <c r="L917" s="123"/>
      <c r="M917" s="123"/>
      <c r="N917" s="123"/>
      <c r="O917" s="123"/>
      <c r="P917" s="123"/>
      <c r="Q917" s="123"/>
      <c r="R917" s="123"/>
      <c r="S917" s="123"/>
      <c r="T917" s="123"/>
      <c r="U917" s="123"/>
      <c r="V917" s="123"/>
      <c r="W917" s="123"/>
      <c r="X917" s="123"/>
      <c r="Y917" s="123"/>
    </row>
    <row r="918" spans="2:25" s="235" customFormat="1" ht="13.8">
      <c r="B918" s="307"/>
      <c r="C918" s="307"/>
      <c r="D918" s="307"/>
      <c r="E918" s="307"/>
      <c r="F918" s="307"/>
      <c r="L918" s="123"/>
      <c r="M918" s="123"/>
      <c r="N918" s="123"/>
      <c r="O918" s="123"/>
      <c r="P918" s="123"/>
      <c r="Q918" s="123"/>
      <c r="R918" s="123"/>
      <c r="S918" s="123"/>
      <c r="T918" s="123"/>
      <c r="U918" s="123"/>
      <c r="V918" s="123"/>
      <c r="W918" s="123"/>
      <c r="X918" s="123"/>
      <c r="Y918" s="123"/>
    </row>
    <row r="919" spans="2:25" s="235" customFormat="1" ht="13.8">
      <c r="B919" s="307"/>
      <c r="C919" s="307"/>
      <c r="D919" s="307"/>
      <c r="E919" s="307"/>
      <c r="F919" s="307"/>
      <c r="L919" s="123"/>
      <c r="M919" s="123"/>
      <c r="N919" s="123"/>
      <c r="O919" s="123"/>
      <c r="P919" s="123"/>
      <c r="Q919" s="123"/>
      <c r="R919" s="123"/>
      <c r="S919" s="123"/>
      <c r="T919" s="123"/>
      <c r="U919" s="123"/>
      <c r="V919" s="123"/>
      <c r="W919" s="123"/>
      <c r="X919" s="123"/>
      <c r="Y919" s="123"/>
    </row>
    <row r="920" spans="2:25" s="235" customFormat="1" ht="13.8">
      <c r="B920" s="307"/>
      <c r="C920" s="307"/>
      <c r="D920" s="307"/>
      <c r="E920" s="307"/>
      <c r="F920" s="307"/>
      <c r="L920" s="123"/>
      <c r="M920" s="123"/>
      <c r="N920" s="123"/>
      <c r="O920" s="123"/>
      <c r="P920" s="123"/>
      <c r="Q920" s="123"/>
      <c r="R920" s="123"/>
      <c r="S920" s="123"/>
      <c r="T920" s="123"/>
      <c r="U920" s="123"/>
      <c r="V920" s="123"/>
      <c r="W920" s="123"/>
      <c r="X920" s="123"/>
      <c r="Y920" s="123"/>
    </row>
    <row r="921" spans="2:25" s="235" customFormat="1" ht="13.8">
      <c r="B921" s="307"/>
      <c r="C921" s="307"/>
      <c r="D921" s="307"/>
      <c r="E921" s="307"/>
      <c r="F921" s="307"/>
      <c r="L921" s="123"/>
      <c r="M921" s="123"/>
      <c r="N921" s="123"/>
      <c r="O921" s="123"/>
      <c r="P921" s="123"/>
      <c r="Q921" s="123"/>
      <c r="R921" s="123"/>
      <c r="S921" s="123"/>
      <c r="T921" s="123"/>
      <c r="U921" s="123"/>
      <c r="V921" s="123"/>
      <c r="W921" s="123"/>
      <c r="X921" s="123"/>
      <c r="Y921" s="123"/>
    </row>
    <row r="922" spans="2:25" s="235" customFormat="1" ht="13.8">
      <c r="B922" s="307"/>
      <c r="C922" s="307"/>
      <c r="D922" s="307"/>
      <c r="E922" s="307"/>
      <c r="F922" s="307"/>
      <c r="L922" s="123"/>
      <c r="M922" s="123"/>
      <c r="N922" s="123"/>
      <c r="O922" s="123"/>
      <c r="P922" s="123"/>
      <c r="Q922" s="123"/>
      <c r="R922" s="123"/>
      <c r="S922" s="123"/>
      <c r="T922" s="123"/>
      <c r="U922" s="123"/>
      <c r="V922" s="123"/>
      <c r="W922" s="123"/>
      <c r="X922" s="123"/>
      <c r="Y922" s="123"/>
    </row>
    <row r="923" spans="2:25" s="235" customFormat="1" ht="13.8">
      <c r="B923" s="307"/>
      <c r="C923" s="307"/>
      <c r="D923" s="307"/>
      <c r="E923" s="307"/>
      <c r="F923" s="307"/>
      <c r="L923" s="123"/>
      <c r="M923" s="123"/>
      <c r="N923" s="123"/>
      <c r="O923" s="123"/>
      <c r="P923" s="123"/>
      <c r="Q923" s="123"/>
      <c r="R923" s="123"/>
      <c r="S923" s="123"/>
      <c r="T923" s="123"/>
      <c r="U923" s="123"/>
      <c r="V923" s="123"/>
      <c r="W923" s="123"/>
      <c r="X923" s="123"/>
      <c r="Y923" s="123"/>
    </row>
    <row r="924" spans="2:25" s="235" customFormat="1" ht="13.8">
      <c r="B924" s="307"/>
      <c r="C924" s="307"/>
      <c r="D924" s="307"/>
      <c r="E924" s="307"/>
      <c r="F924" s="307"/>
      <c r="L924" s="123"/>
      <c r="M924" s="123"/>
      <c r="N924" s="123"/>
      <c r="O924" s="123"/>
      <c r="P924" s="123"/>
      <c r="Q924" s="123"/>
      <c r="R924" s="123"/>
      <c r="S924" s="123"/>
      <c r="T924" s="123"/>
      <c r="U924" s="123"/>
      <c r="V924" s="123"/>
      <c r="W924" s="123"/>
      <c r="X924" s="123"/>
      <c r="Y924" s="123"/>
    </row>
    <row r="925" spans="2:25" s="235" customFormat="1" ht="13.8">
      <c r="B925" s="307"/>
      <c r="C925" s="307"/>
      <c r="D925" s="307"/>
      <c r="E925" s="307"/>
      <c r="F925" s="307"/>
      <c r="L925" s="123"/>
      <c r="M925" s="123"/>
      <c r="N925" s="123"/>
      <c r="O925" s="123"/>
      <c r="P925" s="123"/>
      <c r="Q925" s="123"/>
      <c r="R925" s="123"/>
      <c r="S925" s="123"/>
      <c r="T925" s="123"/>
      <c r="U925" s="123"/>
      <c r="V925" s="123"/>
      <c r="W925" s="123"/>
      <c r="X925" s="123"/>
      <c r="Y925" s="123"/>
    </row>
    <row r="926" spans="2:25" s="235" customFormat="1" ht="13.8">
      <c r="B926" s="307"/>
      <c r="C926" s="307"/>
      <c r="D926" s="307"/>
      <c r="E926" s="307"/>
      <c r="F926" s="307"/>
      <c r="L926" s="123"/>
      <c r="M926" s="123"/>
      <c r="N926" s="123"/>
      <c r="O926" s="123"/>
      <c r="P926" s="123"/>
      <c r="Q926" s="123"/>
      <c r="R926" s="123"/>
      <c r="S926" s="123"/>
      <c r="T926" s="123"/>
      <c r="U926" s="123"/>
      <c r="V926" s="123"/>
      <c r="W926" s="123"/>
      <c r="X926" s="123"/>
      <c r="Y926" s="123"/>
    </row>
    <row r="927" spans="2:25" s="235" customFormat="1" ht="13.8">
      <c r="B927" s="307"/>
      <c r="C927" s="307"/>
      <c r="D927" s="307"/>
      <c r="E927" s="307"/>
      <c r="F927" s="307"/>
      <c r="L927" s="123"/>
      <c r="M927" s="123"/>
      <c r="N927" s="123"/>
      <c r="O927" s="123"/>
      <c r="P927" s="123"/>
      <c r="Q927" s="123"/>
      <c r="R927" s="123"/>
      <c r="S927" s="123"/>
      <c r="T927" s="123"/>
      <c r="U927" s="123"/>
      <c r="V927" s="123"/>
      <c r="W927" s="123"/>
      <c r="X927" s="123"/>
      <c r="Y927" s="123"/>
    </row>
    <row r="928" spans="2:25" s="235" customFormat="1" ht="13.8">
      <c r="B928" s="307"/>
      <c r="C928" s="307"/>
      <c r="D928" s="307"/>
      <c r="E928" s="307"/>
      <c r="F928" s="307"/>
      <c r="L928" s="123"/>
      <c r="M928" s="123"/>
      <c r="N928" s="123"/>
      <c r="O928" s="123"/>
      <c r="P928" s="123"/>
      <c r="Q928" s="123"/>
      <c r="R928" s="123"/>
      <c r="S928" s="123"/>
      <c r="T928" s="123"/>
      <c r="U928" s="123"/>
      <c r="V928" s="123"/>
      <c r="W928" s="123"/>
      <c r="X928" s="123"/>
      <c r="Y928" s="123"/>
    </row>
    <row r="929" spans="2:25" s="235" customFormat="1" ht="13.8">
      <c r="B929" s="307"/>
      <c r="C929" s="307"/>
      <c r="D929" s="307"/>
      <c r="E929" s="307"/>
      <c r="F929" s="307"/>
      <c r="L929" s="123"/>
      <c r="M929" s="123"/>
      <c r="N929" s="123"/>
      <c r="O929" s="123"/>
      <c r="P929" s="123"/>
      <c r="Q929" s="123"/>
      <c r="R929" s="123"/>
      <c r="S929" s="123"/>
      <c r="T929" s="123"/>
      <c r="U929" s="123"/>
      <c r="V929" s="123"/>
      <c r="W929" s="123"/>
      <c r="X929" s="123"/>
      <c r="Y929" s="123"/>
    </row>
    <row r="930" spans="2:25" s="235" customFormat="1" ht="13.8">
      <c r="B930" s="307"/>
      <c r="C930" s="307"/>
      <c r="D930" s="307"/>
      <c r="E930" s="307"/>
      <c r="F930" s="307"/>
      <c r="L930" s="123"/>
      <c r="M930" s="123"/>
      <c r="N930" s="123"/>
      <c r="O930" s="123"/>
      <c r="P930" s="123"/>
      <c r="Q930" s="123"/>
      <c r="R930" s="123"/>
      <c r="S930" s="123"/>
      <c r="T930" s="123"/>
      <c r="U930" s="123"/>
      <c r="V930" s="123"/>
      <c r="W930" s="123"/>
      <c r="X930" s="123"/>
      <c r="Y930" s="123"/>
    </row>
    <row r="931" spans="2:25" s="235" customFormat="1" ht="13.8">
      <c r="B931" s="307"/>
      <c r="C931" s="307"/>
      <c r="D931" s="307"/>
      <c r="E931" s="307"/>
      <c r="F931" s="307"/>
      <c r="L931" s="123"/>
      <c r="M931" s="123"/>
      <c r="N931" s="123"/>
      <c r="O931" s="123"/>
      <c r="P931" s="123"/>
      <c r="Q931" s="123"/>
      <c r="R931" s="123"/>
      <c r="S931" s="123"/>
      <c r="T931" s="123"/>
      <c r="U931" s="123"/>
      <c r="V931" s="123"/>
      <c r="W931" s="123"/>
      <c r="X931" s="123"/>
      <c r="Y931" s="123"/>
    </row>
    <row r="932" spans="2:25" s="235" customFormat="1" ht="13.8">
      <c r="B932" s="307"/>
      <c r="C932" s="307"/>
      <c r="D932" s="307"/>
      <c r="E932" s="307"/>
      <c r="F932" s="307"/>
      <c r="L932" s="123"/>
      <c r="M932" s="123"/>
      <c r="N932" s="123"/>
      <c r="O932" s="123"/>
      <c r="P932" s="123"/>
      <c r="Q932" s="123"/>
      <c r="R932" s="123"/>
      <c r="S932" s="123"/>
      <c r="T932" s="123"/>
      <c r="U932" s="123"/>
      <c r="V932" s="123"/>
      <c r="W932" s="123"/>
      <c r="X932" s="123"/>
      <c r="Y932" s="123"/>
    </row>
    <row r="933" spans="2:25" s="235" customFormat="1" ht="13.8">
      <c r="B933" s="307"/>
      <c r="C933" s="307"/>
      <c r="D933" s="307"/>
      <c r="E933" s="307"/>
      <c r="F933" s="307"/>
      <c r="L933" s="123"/>
      <c r="M933" s="123"/>
      <c r="N933" s="123"/>
      <c r="O933" s="123"/>
      <c r="P933" s="123"/>
      <c r="Q933" s="123"/>
      <c r="R933" s="123"/>
      <c r="S933" s="123"/>
      <c r="T933" s="123"/>
      <c r="U933" s="123"/>
      <c r="V933" s="123"/>
      <c r="W933" s="123"/>
      <c r="X933" s="123"/>
      <c r="Y933" s="123"/>
    </row>
    <row r="934" spans="2:25" s="235" customFormat="1" ht="13.8">
      <c r="B934" s="307"/>
      <c r="C934" s="307"/>
      <c r="D934" s="307"/>
      <c r="E934" s="307"/>
      <c r="F934" s="307"/>
      <c r="L934" s="123"/>
      <c r="M934" s="123"/>
      <c r="N934" s="123"/>
      <c r="O934" s="123"/>
      <c r="P934" s="123"/>
      <c r="Q934" s="123"/>
      <c r="R934" s="123"/>
      <c r="S934" s="123"/>
      <c r="T934" s="123"/>
      <c r="U934" s="123"/>
      <c r="V934" s="123"/>
      <c r="W934" s="123"/>
      <c r="X934" s="123"/>
      <c r="Y934" s="123"/>
    </row>
    <row r="935" spans="2:25" s="235" customFormat="1" ht="13.8">
      <c r="B935" s="307"/>
      <c r="C935" s="307"/>
      <c r="D935" s="307"/>
      <c r="E935" s="307"/>
      <c r="F935" s="307"/>
      <c r="L935" s="123"/>
      <c r="M935" s="123"/>
      <c r="N935" s="123"/>
      <c r="O935" s="123"/>
      <c r="P935" s="123"/>
      <c r="Q935" s="123"/>
      <c r="R935" s="123"/>
      <c r="S935" s="123"/>
      <c r="T935" s="123"/>
      <c r="U935" s="123"/>
      <c r="V935" s="123"/>
      <c r="W935" s="123"/>
      <c r="X935" s="123"/>
      <c r="Y935" s="123"/>
    </row>
    <row r="936" spans="2:25" s="235" customFormat="1" ht="13.8">
      <c r="B936" s="307"/>
      <c r="C936" s="307"/>
      <c r="D936" s="307"/>
      <c r="E936" s="307"/>
      <c r="F936" s="307"/>
      <c r="L936" s="123"/>
      <c r="M936" s="123"/>
      <c r="N936" s="123"/>
      <c r="O936" s="123"/>
      <c r="P936" s="123"/>
      <c r="Q936" s="123"/>
      <c r="R936" s="123"/>
      <c r="S936" s="123"/>
      <c r="T936" s="123"/>
      <c r="U936" s="123"/>
      <c r="V936" s="123"/>
      <c r="W936" s="123"/>
      <c r="X936" s="123"/>
      <c r="Y936" s="123"/>
    </row>
    <row r="937" spans="2:25" s="235" customFormat="1" ht="13.8">
      <c r="B937" s="307"/>
      <c r="C937" s="307"/>
      <c r="D937" s="307"/>
      <c r="E937" s="307"/>
      <c r="F937" s="307"/>
      <c r="L937" s="123"/>
      <c r="M937" s="123"/>
      <c r="N937" s="123"/>
      <c r="O937" s="123"/>
      <c r="P937" s="123"/>
      <c r="Q937" s="123"/>
      <c r="R937" s="123"/>
      <c r="S937" s="123"/>
      <c r="T937" s="123"/>
      <c r="U937" s="123"/>
      <c r="V937" s="123"/>
      <c r="W937" s="123"/>
      <c r="X937" s="123"/>
      <c r="Y937" s="123"/>
    </row>
    <row r="938" spans="2:25" s="235" customFormat="1" ht="13.8">
      <c r="B938" s="307"/>
      <c r="C938" s="307"/>
      <c r="D938" s="307"/>
      <c r="E938" s="307"/>
      <c r="F938" s="307"/>
      <c r="L938" s="123"/>
      <c r="M938" s="123"/>
      <c r="N938" s="123"/>
      <c r="O938" s="123"/>
      <c r="P938" s="123"/>
      <c r="Q938" s="123"/>
      <c r="R938" s="123"/>
      <c r="S938" s="123"/>
      <c r="T938" s="123"/>
      <c r="U938" s="123"/>
      <c r="V938" s="123"/>
      <c r="W938" s="123"/>
      <c r="X938" s="123"/>
      <c r="Y938" s="123"/>
    </row>
    <row r="939" spans="2:25" s="235" customFormat="1" ht="13.8">
      <c r="B939" s="307"/>
      <c r="C939" s="307"/>
      <c r="D939" s="307"/>
      <c r="E939" s="307"/>
      <c r="F939" s="307"/>
      <c r="L939" s="123"/>
      <c r="M939" s="123"/>
      <c r="N939" s="123"/>
      <c r="O939" s="123"/>
      <c r="P939" s="123"/>
      <c r="Q939" s="123"/>
      <c r="R939" s="123"/>
      <c r="S939" s="123"/>
      <c r="T939" s="123"/>
      <c r="U939" s="123"/>
      <c r="V939" s="123"/>
      <c r="W939" s="123"/>
      <c r="X939" s="123"/>
      <c r="Y939" s="123"/>
    </row>
    <row r="940" spans="2:25" s="235" customFormat="1" ht="13.8">
      <c r="B940" s="307"/>
      <c r="C940" s="307"/>
      <c r="D940" s="307"/>
      <c r="E940" s="307"/>
      <c r="F940" s="307"/>
      <c r="L940" s="123"/>
      <c r="M940" s="123"/>
      <c r="N940" s="123"/>
      <c r="O940" s="123"/>
      <c r="P940" s="123"/>
      <c r="Q940" s="123"/>
      <c r="R940" s="123"/>
      <c r="S940" s="123"/>
      <c r="T940" s="123"/>
      <c r="U940" s="123"/>
      <c r="V940" s="123"/>
      <c r="W940" s="123"/>
      <c r="X940" s="123"/>
      <c r="Y940" s="123"/>
    </row>
    <row r="941" spans="2:25" s="235" customFormat="1" ht="13.8">
      <c r="B941" s="307"/>
      <c r="C941" s="307"/>
      <c r="D941" s="307"/>
      <c r="E941" s="307"/>
      <c r="F941" s="307"/>
      <c r="L941" s="123"/>
      <c r="M941" s="123"/>
      <c r="N941" s="123"/>
      <c r="O941" s="123"/>
      <c r="P941" s="123"/>
      <c r="Q941" s="123"/>
      <c r="R941" s="123"/>
      <c r="S941" s="123"/>
      <c r="T941" s="123"/>
      <c r="U941" s="123"/>
      <c r="V941" s="123"/>
      <c r="W941" s="123"/>
      <c r="X941" s="123"/>
      <c r="Y941" s="123"/>
    </row>
    <row r="942" spans="2:25" s="235" customFormat="1" ht="13.8">
      <c r="B942" s="307"/>
      <c r="C942" s="307"/>
      <c r="D942" s="307"/>
      <c r="E942" s="307"/>
      <c r="F942" s="307"/>
      <c r="L942" s="123"/>
      <c r="M942" s="123"/>
      <c r="N942" s="123"/>
      <c r="O942" s="123"/>
      <c r="P942" s="123"/>
      <c r="Q942" s="123"/>
      <c r="R942" s="123"/>
      <c r="S942" s="123"/>
      <c r="T942" s="123"/>
      <c r="U942" s="123"/>
      <c r="V942" s="123"/>
      <c r="W942" s="123"/>
      <c r="X942" s="123"/>
      <c r="Y942" s="123"/>
    </row>
    <row r="943" spans="2:25" s="235" customFormat="1" ht="13.8">
      <c r="B943" s="307"/>
      <c r="C943" s="307"/>
      <c r="D943" s="307"/>
      <c r="E943" s="307"/>
      <c r="F943" s="307"/>
      <c r="L943" s="123"/>
      <c r="M943" s="123"/>
      <c r="N943" s="123"/>
      <c r="O943" s="123"/>
      <c r="P943" s="123"/>
      <c r="Q943" s="123"/>
      <c r="R943" s="123"/>
      <c r="S943" s="123"/>
      <c r="T943" s="123"/>
      <c r="U943" s="123"/>
      <c r="V943" s="123"/>
      <c r="W943" s="123"/>
      <c r="X943" s="123"/>
      <c r="Y943" s="123"/>
    </row>
    <row r="944" spans="2:25" s="235" customFormat="1" ht="13.8">
      <c r="B944" s="307"/>
      <c r="C944" s="307"/>
      <c r="D944" s="307"/>
      <c r="E944" s="307"/>
      <c r="F944" s="307"/>
      <c r="L944" s="123"/>
      <c r="M944" s="123"/>
      <c r="N944" s="123"/>
      <c r="O944" s="123"/>
      <c r="P944" s="123"/>
      <c r="Q944" s="123"/>
      <c r="R944" s="123"/>
      <c r="S944" s="123"/>
      <c r="T944" s="123"/>
      <c r="U944" s="123"/>
      <c r="V944" s="123"/>
      <c r="W944" s="123"/>
      <c r="X944" s="123"/>
      <c r="Y944" s="123"/>
    </row>
    <row r="945" spans="2:25" s="235" customFormat="1" ht="13.8">
      <c r="B945" s="307"/>
      <c r="C945" s="307"/>
      <c r="D945" s="307"/>
      <c r="E945" s="307"/>
      <c r="F945" s="307"/>
      <c r="L945" s="123"/>
      <c r="M945" s="123"/>
      <c r="N945" s="123"/>
      <c r="O945" s="123"/>
      <c r="P945" s="123"/>
      <c r="Q945" s="123"/>
      <c r="R945" s="123"/>
      <c r="S945" s="123"/>
      <c r="T945" s="123"/>
      <c r="U945" s="123"/>
      <c r="V945" s="123"/>
      <c r="W945" s="123"/>
      <c r="X945" s="123"/>
      <c r="Y945" s="123"/>
    </row>
    <row r="946" spans="2:25" s="235" customFormat="1" ht="13.8">
      <c r="B946" s="307"/>
      <c r="C946" s="307"/>
      <c r="D946" s="307"/>
      <c r="E946" s="307"/>
      <c r="F946" s="307"/>
      <c r="L946" s="123"/>
      <c r="M946" s="123"/>
      <c r="N946" s="123"/>
      <c r="O946" s="123"/>
      <c r="P946" s="123"/>
      <c r="Q946" s="123"/>
      <c r="R946" s="123"/>
      <c r="S946" s="123"/>
      <c r="T946" s="123"/>
      <c r="U946" s="123"/>
      <c r="V946" s="123"/>
      <c r="W946" s="123"/>
      <c r="X946" s="123"/>
      <c r="Y946" s="123"/>
    </row>
    <row r="947" spans="2:25" s="235" customFormat="1" ht="13.8">
      <c r="B947" s="307"/>
      <c r="C947" s="307"/>
      <c r="D947" s="307"/>
      <c r="E947" s="307"/>
      <c r="F947" s="307"/>
      <c r="L947" s="123"/>
      <c r="M947" s="123"/>
      <c r="N947" s="123"/>
      <c r="O947" s="123"/>
      <c r="P947" s="123"/>
      <c r="Q947" s="123"/>
      <c r="R947" s="123"/>
      <c r="S947" s="123"/>
      <c r="T947" s="123"/>
      <c r="U947" s="123"/>
      <c r="V947" s="123"/>
      <c r="W947" s="123"/>
      <c r="X947" s="123"/>
      <c r="Y947" s="123"/>
    </row>
    <row r="948" spans="2:25" s="235" customFormat="1" ht="13.8">
      <c r="B948" s="307"/>
      <c r="C948" s="307"/>
      <c r="D948" s="307"/>
      <c r="E948" s="307"/>
      <c r="F948" s="307"/>
      <c r="L948" s="123"/>
      <c r="M948" s="123"/>
      <c r="N948" s="123"/>
      <c r="O948" s="123"/>
      <c r="P948" s="123"/>
      <c r="Q948" s="123"/>
      <c r="R948" s="123"/>
      <c r="S948" s="123"/>
      <c r="T948" s="123"/>
      <c r="U948" s="123"/>
      <c r="V948" s="123"/>
      <c r="W948" s="123"/>
      <c r="X948" s="123"/>
      <c r="Y948" s="123"/>
    </row>
    <row r="949" spans="2:25" s="235" customFormat="1" ht="13.8">
      <c r="B949" s="307"/>
      <c r="C949" s="307"/>
      <c r="D949" s="307"/>
      <c r="E949" s="307"/>
      <c r="F949" s="307"/>
      <c r="L949" s="123"/>
      <c r="M949" s="123"/>
      <c r="N949" s="123"/>
      <c r="O949" s="123"/>
      <c r="P949" s="123"/>
      <c r="Q949" s="123"/>
      <c r="R949" s="123"/>
      <c r="S949" s="123"/>
      <c r="T949" s="123"/>
      <c r="U949" s="123"/>
      <c r="V949" s="123"/>
      <c r="W949" s="123"/>
      <c r="X949" s="123"/>
      <c r="Y949" s="123"/>
    </row>
    <row r="950" spans="2:25" s="235" customFormat="1" ht="13.8">
      <c r="B950" s="307"/>
      <c r="C950" s="307"/>
      <c r="D950" s="307"/>
      <c r="E950" s="307"/>
      <c r="F950" s="307"/>
      <c r="L950" s="123"/>
      <c r="M950" s="123"/>
      <c r="N950" s="123"/>
      <c r="O950" s="123"/>
      <c r="P950" s="123"/>
      <c r="Q950" s="123"/>
      <c r="R950" s="123"/>
      <c r="S950" s="123"/>
      <c r="T950" s="123"/>
      <c r="U950" s="123"/>
      <c r="V950" s="123"/>
      <c r="W950" s="123"/>
      <c r="X950" s="123"/>
      <c r="Y950" s="123"/>
    </row>
    <row r="951" spans="2:25" s="235" customFormat="1" ht="13.8">
      <c r="B951" s="307"/>
      <c r="C951" s="307"/>
      <c r="D951" s="307"/>
      <c r="E951" s="307"/>
      <c r="F951" s="307"/>
      <c r="L951" s="123"/>
      <c r="M951" s="123"/>
      <c r="N951" s="123"/>
      <c r="O951" s="123"/>
      <c r="P951" s="123"/>
      <c r="Q951" s="123"/>
      <c r="R951" s="123"/>
      <c r="S951" s="123"/>
      <c r="T951" s="123"/>
      <c r="U951" s="123"/>
      <c r="V951" s="123"/>
      <c r="W951" s="123"/>
      <c r="X951" s="123"/>
      <c r="Y951" s="123"/>
    </row>
    <row r="952" spans="2:25" s="235" customFormat="1" ht="13.8">
      <c r="B952" s="307"/>
      <c r="C952" s="307"/>
      <c r="D952" s="307"/>
      <c r="E952" s="307"/>
      <c r="F952" s="307"/>
      <c r="L952" s="123"/>
      <c r="M952" s="123"/>
      <c r="N952" s="123"/>
      <c r="O952" s="123"/>
      <c r="P952" s="123"/>
      <c r="Q952" s="123"/>
      <c r="R952" s="123"/>
      <c r="S952" s="123"/>
      <c r="T952" s="123"/>
      <c r="U952" s="123"/>
      <c r="V952" s="123"/>
      <c r="W952" s="123"/>
      <c r="X952" s="123"/>
      <c r="Y952" s="123"/>
    </row>
    <row r="953" spans="2:25" s="235" customFormat="1" ht="13.8">
      <c r="B953" s="307"/>
      <c r="C953" s="307"/>
      <c r="D953" s="307"/>
      <c r="E953" s="307"/>
      <c r="F953" s="307"/>
      <c r="L953" s="123"/>
      <c r="M953" s="123"/>
      <c r="N953" s="123"/>
      <c r="O953" s="123"/>
      <c r="P953" s="123"/>
      <c r="Q953" s="123"/>
      <c r="R953" s="123"/>
      <c r="S953" s="123"/>
      <c r="T953" s="123"/>
      <c r="U953" s="123"/>
      <c r="V953" s="123"/>
      <c r="W953" s="123"/>
      <c r="X953" s="123"/>
      <c r="Y953" s="123"/>
    </row>
    <row r="954" spans="2:25" s="235" customFormat="1" ht="13.8">
      <c r="B954" s="307"/>
      <c r="C954" s="307"/>
      <c r="D954" s="307"/>
      <c r="E954" s="307"/>
      <c r="F954" s="307"/>
      <c r="L954" s="123"/>
      <c r="M954" s="123"/>
      <c r="N954" s="123"/>
      <c r="O954" s="123"/>
      <c r="P954" s="123"/>
      <c r="Q954" s="123"/>
      <c r="R954" s="123"/>
      <c r="S954" s="123"/>
      <c r="T954" s="123"/>
      <c r="U954" s="123"/>
      <c r="V954" s="123"/>
      <c r="W954" s="123"/>
      <c r="X954" s="123"/>
      <c r="Y954" s="123"/>
    </row>
    <row r="955" spans="2:25" s="235" customFormat="1" ht="13.8">
      <c r="B955" s="307"/>
      <c r="C955" s="307"/>
      <c r="D955" s="307"/>
      <c r="E955" s="307"/>
      <c r="F955" s="307"/>
      <c r="L955" s="123"/>
      <c r="M955" s="123"/>
      <c r="N955" s="123"/>
      <c r="O955" s="123"/>
      <c r="P955" s="123"/>
      <c r="Q955" s="123"/>
      <c r="R955" s="123"/>
      <c r="S955" s="123"/>
      <c r="T955" s="123"/>
      <c r="U955" s="123"/>
      <c r="V955" s="123"/>
      <c r="W955" s="123"/>
      <c r="X955" s="123"/>
      <c r="Y955" s="123"/>
    </row>
    <row r="956" spans="2:25" s="235" customFormat="1" ht="13.8">
      <c r="B956" s="307"/>
      <c r="C956" s="307"/>
      <c r="D956" s="307"/>
      <c r="E956" s="307"/>
      <c r="F956" s="307"/>
      <c r="L956" s="123"/>
      <c r="M956" s="123"/>
      <c r="N956" s="123"/>
      <c r="O956" s="123"/>
      <c r="P956" s="123"/>
      <c r="Q956" s="123"/>
      <c r="R956" s="123"/>
      <c r="S956" s="123"/>
      <c r="T956" s="123"/>
      <c r="U956" s="123"/>
      <c r="V956" s="123"/>
      <c r="W956" s="123"/>
      <c r="X956" s="123"/>
      <c r="Y956" s="123"/>
    </row>
    <row r="957" spans="2:25" s="235" customFormat="1" ht="13.8">
      <c r="B957" s="307"/>
      <c r="C957" s="307"/>
      <c r="D957" s="307"/>
      <c r="E957" s="307"/>
      <c r="F957" s="307"/>
      <c r="L957" s="123"/>
      <c r="M957" s="123"/>
      <c r="N957" s="123"/>
      <c r="O957" s="123"/>
      <c r="P957" s="123"/>
      <c r="Q957" s="123"/>
      <c r="R957" s="123"/>
      <c r="S957" s="123"/>
      <c r="T957" s="123"/>
      <c r="U957" s="123"/>
      <c r="V957" s="123"/>
      <c r="W957" s="123"/>
      <c r="X957" s="123"/>
      <c r="Y957" s="123"/>
    </row>
    <row r="958" spans="2:25" s="235" customFormat="1" ht="13.8">
      <c r="B958" s="307"/>
      <c r="C958" s="307"/>
      <c r="D958" s="307"/>
      <c r="E958" s="307"/>
      <c r="F958" s="307"/>
      <c r="L958" s="123"/>
      <c r="M958" s="123"/>
      <c r="N958" s="123"/>
      <c r="O958" s="123"/>
      <c r="P958" s="123"/>
      <c r="Q958" s="123"/>
      <c r="R958" s="123"/>
      <c r="S958" s="123"/>
      <c r="T958" s="123"/>
      <c r="U958" s="123"/>
      <c r="V958" s="123"/>
      <c r="W958" s="123"/>
      <c r="X958" s="123"/>
      <c r="Y958" s="123"/>
    </row>
    <row r="959" spans="2:25" s="235" customFormat="1" ht="13.8">
      <c r="B959" s="307"/>
      <c r="C959" s="307"/>
      <c r="D959" s="307"/>
      <c r="E959" s="307"/>
      <c r="F959" s="307"/>
      <c r="L959" s="123"/>
      <c r="M959" s="123"/>
      <c r="N959" s="123"/>
      <c r="O959" s="123"/>
      <c r="P959" s="123"/>
      <c r="Q959" s="123"/>
      <c r="R959" s="123"/>
      <c r="S959" s="123"/>
      <c r="T959" s="123"/>
      <c r="U959" s="123"/>
      <c r="V959" s="123"/>
      <c r="W959" s="123"/>
      <c r="X959" s="123"/>
      <c r="Y959" s="123"/>
    </row>
    <row r="960" spans="2:25" s="235" customFormat="1" ht="13.8">
      <c r="B960" s="307"/>
      <c r="C960" s="307"/>
      <c r="D960" s="307"/>
      <c r="E960" s="307"/>
      <c r="F960" s="307"/>
      <c r="L960" s="123"/>
      <c r="M960" s="123"/>
      <c r="N960" s="123"/>
      <c r="O960" s="123"/>
      <c r="P960" s="123"/>
      <c r="Q960" s="123"/>
      <c r="R960" s="123"/>
      <c r="S960" s="123"/>
      <c r="T960" s="123"/>
      <c r="U960" s="123"/>
      <c r="V960" s="123"/>
      <c r="W960" s="123"/>
      <c r="X960" s="123"/>
      <c r="Y960" s="123"/>
    </row>
    <row r="961" spans="2:25" s="235" customFormat="1" ht="13.8">
      <c r="B961" s="307"/>
      <c r="C961" s="307"/>
      <c r="D961" s="307"/>
      <c r="E961" s="307"/>
      <c r="F961" s="307"/>
      <c r="L961" s="123"/>
      <c r="M961" s="123"/>
      <c r="N961" s="123"/>
      <c r="O961" s="123"/>
      <c r="P961" s="123"/>
      <c r="Q961" s="123"/>
      <c r="R961" s="123"/>
      <c r="S961" s="123"/>
      <c r="T961" s="123"/>
      <c r="U961" s="123"/>
      <c r="V961" s="123"/>
      <c r="W961" s="123"/>
      <c r="X961" s="123"/>
      <c r="Y961" s="123"/>
    </row>
    <row r="962" spans="2:25" s="235" customFormat="1" ht="13.8">
      <c r="B962" s="307"/>
      <c r="C962" s="307"/>
      <c r="D962" s="307"/>
      <c r="E962" s="307"/>
      <c r="F962" s="307"/>
      <c r="L962" s="123"/>
      <c r="M962" s="123"/>
      <c r="N962" s="123"/>
      <c r="O962" s="123"/>
      <c r="P962" s="123"/>
      <c r="Q962" s="123"/>
      <c r="R962" s="123"/>
      <c r="S962" s="123"/>
      <c r="T962" s="123"/>
      <c r="U962" s="123"/>
      <c r="V962" s="123"/>
      <c r="W962" s="123"/>
      <c r="X962" s="123"/>
      <c r="Y962" s="123"/>
    </row>
    <row r="963" spans="2:25" s="235" customFormat="1" ht="13.8">
      <c r="B963" s="307"/>
      <c r="C963" s="307"/>
      <c r="D963" s="307"/>
      <c r="E963" s="307"/>
      <c r="F963" s="307"/>
      <c r="L963" s="123"/>
      <c r="M963" s="123"/>
      <c r="N963" s="123"/>
      <c r="O963" s="123"/>
      <c r="P963" s="123"/>
      <c r="Q963" s="123"/>
      <c r="R963" s="123"/>
      <c r="S963" s="123"/>
      <c r="T963" s="123"/>
      <c r="U963" s="123"/>
      <c r="V963" s="123"/>
      <c r="W963" s="123"/>
      <c r="X963" s="123"/>
      <c r="Y963" s="123"/>
    </row>
    <row r="964" spans="2:25" s="235" customFormat="1" ht="13.8">
      <c r="B964" s="307"/>
      <c r="C964" s="307"/>
      <c r="D964" s="307"/>
      <c r="E964" s="307"/>
      <c r="F964" s="307"/>
      <c r="L964" s="123"/>
      <c r="M964" s="123"/>
      <c r="N964" s="123"/>
      <c r="O964" s="123"/>
      <c r="P964" s="123"/>
      <c r="Q964" s="123"/>
      <c r="R964" s="123"/>
      <c r="S964" s="123"/>
      <c r="T964" s="123"/>
      <c r="U964" s="123"/>
      <c r="V964" s="123"/>
      <c r="W964" s="123"/>
      <c r="X964" s="123"/>
      <c r="Y964" s="123"/>
    </row>
    <row r="965" spans="2:25" s="235" customFormat="1" ht="13.8">
      <c r="B965" s="307"/>
      <c r="C965" s="307"/>
      <c r="D965" s="307"/>
      <c r="E965" s="307"/>
      <c r="F965" s="307"/>
      <c r="L965" s="123"/>
      <c r="M965" s="123"/>
      <c r="N965" s="123"/>
      <c r="O965" s="123"/>
      <c r="P965" s="123"/>
      <c r="Q965" s="123"/>
      <c r="R965" s="123"/>
      <c r="S965" s="123"/>
      <c r="T965" s="123"/>
      <c r="U965" s="123"/>
      <c r="V965" s="123"/>
      <c r="W965" s="123"/>
      <c r="X965" s="123"/>
      <c r="Y965" s="123"/>
    </row>
    <row r="966" spans="2:25" s="235" customFormat="1" ht="13.8">
      <c r="B966" s="307"/>
      <c r="C966" s="307"/>
      <c r="D966" s="307"/>
      <c r="E966" s="307"/>
      <c r="F966" s="307"/>
      <c r="L966" s="123"/>
      <c r="M966" s="123"/>
      <c r="N966" s="123"/>
      <c r="O966" s="123"/>
      <c r="P966" s="123"/>
      <c r="Q966" s="123"/>
      <c r="R966" s="123"/>
      <c r="S966" s="123"/>
      <c r="T966" s="123"/>
      <c r="U966" s="123"/>
      <c r="V966" s="123"/>
      <c r="W966" s="123"/>
      <c r="X966" s="123"/>
      <c r="Y966" s="123"/>
    </row>
    <row r="967" spans="2:25" s="235" customFormat="1" ht="13.8">
      <c r="B967" s="307"/>
      <c r="C967" s="307"/>
      <c r="D967" s="307"/>
      <c r="E967" s="307"/>
      <c r="F967" s="307"/>
      <c r="L967" s="123"/>
      <c r="M967" s="123"/>
      <c r="N967" s="123"/>
      <c r="O967" s="123"/>
      <c r="P967" s="123"/>
      <c r="Q967" s="123"/>
      <c r="R967" s="123"/>
      <c r="S967" s="123"/>
      <c r="T967" s="123"/>
      <c r="U967" s="123"/>
      <c r="V967" s="123"/>
      <c r="W967" s="123"/>
      <c r="X967" s="123"/>
      <c r="Y967" s="123"/>
    </row>
    <row r="968" spans="2:25" s="235" customFormat="1" ht="13.8">
      <c r="B968" s="307"/>
      <c r="C968" s="307"/>
      <c r="D968" s="307"/>
      <c r="E968" s="307"/>
      <c r="F968" s="307"/>
      <c r="L968" s="123"/>
      <c r="M968" s="123"/>
      <c r="N968" s="123"/>
      <c r="O968" s="123"/>
      <c r="P968" s="123"/>
      <c r="Q968" s="123"/>
      <c r="R968" s="123"/>
      <c r="S968" s="123"/>
      <c r="T968" s="123"/>
      <c r="U968" s="123"/>
      <c r="V968" s="123"/>
      <c r="W968" s="123"/>
      <c r="X968" s="123"/>
      <c r="Y968" s="123"/>
    </row>
    <row r="969" spans="2:25" s="235" customFormat="1" ht="13.8">
      <c r="B969" s="307"/>
      <c r="C969" s="307"/>
      <c r="D969" s="307"/>
      <c r="E969" s="307"/>
      <c r="F969" s="307"/>
      <c r="L969" s="123"/>
      <c r="M969" s="123"/>
      <c r="N969" s="123"/>
      <c r="O969" s="123"/>
      <c r="P969" s="123"/>
      <c r="Q969" s="123"/>
      <c r="R969" s="123"/>
      <c r="S969" s="123"/>
      <c r="T969" s="123"/>
      <c r="U969" s="123"/>
      <c r="V969" s="123"/>
      <c r="W969" s="123"/>
      <c r="X969" s="123"/>
      <c r="Y969" s="123"/>
    </row>
    <row r="970" spans="2:25" s="235" customFormat="1" ht="13.8">
      <c r="B970" s="307"/>
      <c r="C970" s="307"/>
      <c r="D970" s="307"/>
      <c r="E970" s="307"/>
      <c r="F970" s="307"/>
      <c r="L970" s="123"/>
      <c r="M970" s="123"/>
      <c r="N970" s="123"/>
      <c r="O970" s="123"/>
      <c r="P970" s="123"/>
      <c r="Q970" s="123"/>
      <c r="R970" s="123"/>
      <c r="S970" s="123"/>
      <c r="T970" s="123"/>
      <c r="U970" s="123"/>
      <c r="V970" s="123"/>
      <c r="W970" s="123"/>
      <c r="X970" s="123"/>
      <c r="Y970" s="123"/>
    </row>
    <row r="971" spans="2:25" s="235" customFormat="1" ht="13.8">
      <c r="B971" s="307"/>
      <c r="C971" s="307"/>
      <c r="D971" s="307"/>
      <c r="E971" s="307"/>
      <c r="F971" s="307"/>
      <c r="L971" s="123"/>
      <c r="M971" s="123"/>
      <c r="N971" s="123"/>
      <c r="O971" s="123"/>
      <c r="P971" s="123"/>
      <c r="Q971" s="123"/>
      <c r="R971" s="123"/>
      <c r="S971" s="123"/>
      <c r="T971" s="123"/>
      <c r="U971" s="123"/>
      <c r="V971" s="123"/>
      <c r="W971" s="123"/>
      <c r="X971" s="123"/>
      <c r="Y971" s="123"/>
    </row>
    <row r="972" spans="2:25" s="235" customFormat="1" ht="13.8">
      <c r="B972" s="307"/>
      <c r="C972" s="307"/>
      <c r="D972" s="307"/>
      <c r="E972" s="307"/>
      <c r="F972" s="307"/>
      <c r="L972" s="123"/>
      <c r="M972" s="123"/>
      <c r="N972" s="123"/>
      <c r="O972" s="123"/>
      <c r="P972" s="123"/>
      <c r="Q972" s="123"/>
      <c r="R972" s="123"/>
      <c r="S972" s="123"/>
      <c r="T972" s="123"/>
      <c r="U972" s="123"/>
      <c r="V972" s="123"/>
      <c r="W972" s="123"/>
      <c r="X972" s="123"/>
      <c r="Y972" s="123"/>
    </row>
    <row r="973" spans="2:25" s="235" customFormat="1" ht="13.8">
      <c r="B973" s="307"/>
      <c r="C973" s="307"/>
      <c r="D973" s="307"/>
      <c r="E973" s="307"/>
      <c r="F973" s="307"/>
      <c r="L973" s="123"/>
      <c r="M973" s="123"/>
      <c r="N973" s="123"/>
      <c r="O973" s="123"/>
      <c r="P973" s="123"/>
      <c r="Q973" s="123"/>
      <c r="R973" s="123"/>
      <c r="S973" s="123"/>
      <c r="T973" s="123"/>
      <c r="U973" s="123"/>
      <c r="V973" s="123"/>
      <c r="W973" s="123"/>
      <c r="X973" s="123"/>
      <c r="Y973" s="123"/>
    </row>
    <row r="974" spans="2:25" s="235" customFormat="1" ht="13.8">
      <c r="B974" s="307"/>
      <c r="C974" s="307"/>
      <c r="D974" s="307"/>
      <c r="E974" s="307"/>
      <c r="F974" s="307"/>
      <c r="L974" s="123"/>
      <c r="M974" s="123"/>
      <c r="N974" s="123"/>
      <c r="O974" s="123"/>
      <c r="P974" s="123"/>
      <c r="Q974" s="123"/>
      <c r="R974" s="123"/>
      <c r="S974" s="123"/>
      <c r="T974" s="123"/>
      <c r="U974" s="123"/>
      <c r="V974" s="123"/>
      <c r="W974" s="123"/>
      <c r="X974" s="123"/>
      <c r="Y974" s="123"/>
    </row>
    <row r="975" spans="2:25" s="235" customFormat="1" ht="13.8">
      <c r="B975" s="307"/>
      <c r="C975" s="307"/>
      <c r="D975" s="307"/>
      <c r="E975" s="307"/>
      <c r="F975" s="307"/>
      <c r="L975" s="123"/>
      <c r="M975" s="123"/>
      <c r="N975" s="123"/>
      <c r="O975" s="123"/>
      <c r="P975" s="123"/>
      <c r="Q975" s="123"/>
      <c r="R975" s="123"/>
      <c r="S975" s="123"/>
      <c r="T975" s="123"/>
      <c r="U975" s="123"/>
      <c r="V975" s="123"/>
      <c r="W975" s="123"/>
      <c r="X975" s="123"/>
      <c r="Y975" s="123"/>
    </row>
    <row r="976" spans="2:25" s="235" customFormat="1" ht="13.8">
      <c r="B976" s="307"/>
      <c r="C976" s="307"/>
      <c r="D976" s="307"/>
      <c r="E976" s="307"/>
      <c r="F976" s="307"/>
      <c r="L976" s="123"/>
      <c r="M976" s="123"/>
      <c r="N976" s="123"/>
      <c r="O976" s="123"/>
      <c r="P976" s="123"/>
      <c r="Q976" s="123"/>
      <c r="R976" s="123"/>
      <c r="S976" s="123"/>
      <c r="T976" s="123"/>
      <c r="U976" s="123"/>
      <c r="V976" s="123"/>
      <c r="W976" s="123"/>
      <c r="X976" s="123"/>
      <c r="Y976" s="123"/>
    </row>
    <row r="977" spans="2:25" s="235" customFormat="1" ht="13.8">
      <c r="B977" s="307"/>
      <c r="C977" s="307"/>
      <c r="D977" s="307"/>
      <c r="E977" s="307"/>
      <c r="F977" s="307"/>
      <c r="L977" s="123"/>
      <c r="M977" s="123"/>
      <c r="N977" s="123"/>
      <c r="O977" s="123"/>
      <c r="P977" s="123"/>
      <c r="Q977" s="123"/>
      <c r="R977" s="123"/>
      <c r="S977" s="123"/>
      <c r="T977" s="123"/>
      <c r="U977" s="123"/>
      <c r="V977" s="123"/>
      <c r="W977" s="123"/>
      <c r="X977" s="123"/>
      <c r="Y977" s="123"/>
    </row>
    <row r="978" spans="2:25" s="235" customFormat="1" ht="13.8">
      <c r="B978" s="307"/>
      <c r="C978" s="307"/>
      <c r="D978" s="307"/>
      <c r="E978" s="307"/>
      <c r="F978" s="307"/>
      <c r="L978" s="123"/>
      <c r="M978" s="123"/>
      <c r="N978" s="123"/>
      <c r="O978" s="123"/>
      <c r="P978" s="123"/>
      <c r="Q978" s="123"/>
      <c r="R978" s="123"/>
      <c r="S978" s="123"/>
      <c r="T978" s="123"/>
      <c r="U978" s="123"/>
      <c r="V978" s="123"/>
      <c r="W978" s="123"/>
      <c r="X978" s="123"/>
      <c r="Y978" s="123"/>
    </row>
    <row r="979" spans="2:25" s="235" customFormat="1" ht="13.8">
      <c r="B979" s="307"/>
      <c r="C979" s="307"/>
      <c r="D979" s="307"/>
      <c r="E979" s="307"/>
      <c r="F979" s="307"/>
      <c r="L979" s="123"/>
      <c r="M979" s="123"/>
      <c r="N979" s="123"/>
      <c r="O979" s="123"/>
      <c r="P979" s="123"/>
      <c r="Q979" s="123"/>
      <c r="R979" s="123"/>
      <c r="S979" s="123"/>
      <c r="T979" s="123"/>
      <c r="U979" s="123"/>
      <c r="V979" s="123"/>
      <c r="W979" s="123"/>
      <c r="X979" s="123"/>
      <c r="Y979" s="123"/>
    </row>
    <row r="980" spans="2:25" s="235" customFormat="1" ht="13.8">
      <c r="B980" s="307"/>
      <c r="C980" s="307"/>
      <c r="D980" s="307"/>
      <c r="E980" s="307"/>
      <c r="F980" s="307"/>
      <c r="L980" s="123"/>
      <c r="M980" s="123"/>
      <c r="N980" s="123"/>
      <c r="O980" s="123"/>
      <c r="P980" s="123"/>
      <c r="Q980" s="123"/>
      <c r="R980" s="123"/>
      <c r="S980" s="123"/>
      <c r="T980" s="123"/>
      <c r="U980" s="123"/>
      <c r="V980" s="123"/>
      <c r="W980" s="123"/>
      <c r="X980" s="123"/>
      <c r="Y980" s="123"/>
    </row>
    <row r="981" spans="2:25" s="235" customFormat="1" ht="13.8">
      <c r="B981" s="307"/>
      <c r="C981" s="307"/>
      <c r="D981" s="307"/>
      <c r="E981" s="307"/>
      <c r="F981" s="307"/>
      <c r="L981" s="123"/>
      <c r="M981" s="123"/>
      <c r="N981" s="123"/>
      <c r="O981" s="123"/>
      <c r="P981" s="123"/>
      <c r="Q981" s="123"/>
      <c r="R981" s="123"/>
      <c r="S981" s="123"/>
      <c r="T981" s="123"/>
      <c r="U981" s="123"/>
      <c r="V981" s="123"/>
      <c r="W981" s="123"/>
      <c r="X981" s="123"/>
      <c r="Y981" s="123"/>
    </row>
    <row r="982" spans="2:25" s="235" customFormat="1" ht="13.8">
      <c r="B982" s="307"/>
      <c r="C982" s="307"/>
      <c r="D982" s="307"/>
      <c r="E982" s="307"/>
      <c r="F982" s="307"/>
      <c r="L982" s="123"/>
      <c r="M982" s="123"/>
      <c r="N982" s="123"/>
      <c r="O982" s="123"/>
      <c r="P982" s="123"/>
      <c r="Q982" s="123"/>
      <c r="R982" s="123"/>
      <c r="S982" s="123"/>
      <c r="T982" s="123"/>
      <c r="U982" s="123"/>
      <c r="V982" s="123"/>
      <c r="W982" s="123"/>
      <c r="X982" s="123"/>
      <c r="Y982" s="123"/>
    </row>
    <row r="983" spans="2:25" s="235" customFormat="1" ht="13.8">
      <c r="B983" s="307"/>
      <c r="C983" s="307"/>
      <c r="D983" s="307"/>
      <c r="E983" s="307"/>
      <c r="F983" s="307"/>
      <c r="L983" s="123"/>
      <c r="M983" s="123"/>
      <c r="N983" s="123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  <c r="Y983" s="123"/>
    </row>
    <row r="984" spans="2:25" s="235" customFormat="1" ht="13.8">
      <c r="B984" s="307"/>
      <c r="C984" s="307"/>
      <c r="D984" s="307"/>
      <c r="E984" s="307"/>
      <c r="F984" s="307"/>
      <c r="L984" s="123"/>
      <c r="M984" s="123"/>
      <c r="N984" s="123"/>
      <c r="O984" s="123"/>
      <c r="P984" s="123"/>
      <c r="Q984" s="123"/>
      <c r="R984" s="123"/>
      <c r="S984" s="123"/>
      <c r="T984" s="123"/>
      <c r="U984" s="123"/>
      <c r="V984" s="123"/>
      <c r="W984" s="123"/>
      <c r="X984" s="123"/>
      <c r="Y984" s="123"/>
    </row>
    <row r="985" spans="2:25" s="235" customFormat="1" ht="13.8">
      <c r="B985" s="307"/>
      <c r="C985" s="307"/>
      <c r="D985" s="307"/>
      <c r="E985" s="307"/>
      <c r="F985" s="307"/>
      <c r="L985" s="123"/>
      <c r="M985" s="123"/>
      <c r="N985" s="123"/>
      <c r="O985" s="123"/>
      <c r="P985" s="123"/>
      <c r="Q985" s="123"/>
      <c r="R985" s="123"/>
      <c r="S985" s="123"/>
      <c r="T985" s="123"/>
      <c r="U985" s="123"/>
      <c r="V985" s="123"/>
      <c r="W985" s="123"/>
      <c r="X985" s="123"/>
      <c r="Y985" s="123"/>
    </row>
    <row r="986" spans="2:25" s="235" customFormat="1" ht="13.8">
      <c r="B986" s="307"/>
      <c r="C986" s="307"/>
      <c r="D986" s="307"/>
      <c r="E986" s="307"/>
      <c r="F986" s="307"/>
      <c r="L986" s="123"/>
      <c r="M986" s="123"/>
      <c r="N986" s="123"/>
      <c r="O986" s="123"/>
      <c r="P986" s="123"/>
      <c r="Q986" s="123"/>
      <c r="R986" s="123"/>
      <c r="S986" s="123"/>
      <c r="T986" s="123"/>
      <c r="U986" s="123"/>
      <c r="V986" s="123"/>
      <c r="W986" s="123"/>
      <c r="X986" s="123"/>
      <c r="Y986" s="123"/>
    </row>
    <row r="987" spans="2:25" s="235" customFormat="1" ht="13.8">
      <c r="B987" s="307"/>
      <c r="C987" s="307"/>
      <c r="D987" s="307"/>
      <c r="E987" s="307"/>
      <c r="F987" s="307"/>
      <c r="L987" s="123"/>
      <c r="M987" s="123"/>
      <c r="N987" s="123"/>
      <c r="O987" s="123"/>
      <c r="P987" s="123"/>
      <c r="Q987" s="123"/>
      <c r="R987" s="123"/>
      <c r="S987" s="123"/>
      <c r="T987" s="123"/>
      <c r="U987" s="123"/>
      <c r="V987" s="123"/>
      <c r="W987" s="123"/>
      <c r="X987" s="123"/>
      <c r="Y987" s="123"/>
    </row>
    <row r="988" spans="2:25" s="235" customFormat="1" ht="13.8">
      <c r="B988" s="307"/>
      <c r="C988" s="307"/>
      <c r="D988" s="307"/>
      <c r="E988" s="307"/>
      <c r="F988" s="307"/>
      <c r="L988" s="123"/>
      <c r="M988" s="123"/>
      <c r="N988" s="123"/>
      <c r="O988" s="123"/>
      <c r="P988" s="123"/>
      <c r="Q988" s="123"/>
      <c r="R988" s="123"/>
      <c r="S988" s="123"/>
      <c r="T988" s="123"/>
      <c r="U988" s="123"/>
      <c r="V988" s="123"/>
      <c r="W988" s="123"/>
      <c r="X988" s="123"/>
      <c r="Y988" s="123"/>
    </row>
    <row r="989" spans="2:25" s="235" customFormat="1" ht="13.8">
      <c r="B989" s="307"/>
      <c r="C989" s="307"/>
      <c r="D989" s="307"/>
      <c r="E989" s="307"/>
      <c r="F989" s="307"/>
      <c r="L989" s="123"/>
      <c r="M989" s="123"/>
      <c r="N989" s="123"/>
      <c r="O989" s="123"/>
      <c r="P989" s="123"/>
      <c r="Q989" s="123"/>
      <c r="R989" s="123"/>
      <c r="S989" s="123"/>
      <c r="T989" s="123"/>
      <c r="U989" s="123"/>
      <c r="V989" s="123"/>
      <c r="W989" s="123"/>
      <c r="X989" s="123"/>
      <c r="Y989" s="123"/>
    </row>
    <row r="990" spans="2:25" s="235" customFormat="1" ht="13.8">
      <c r="B990" s="307"/>
      <c r="C990" s="307"/>
      <c r="D990" s="307"/>
      <c r="E990" s="307"/>
      <c r="F990" s="307"/>
      <c r="L990" s="123"/>
      <c r="M990" s="123"/>
      <c r="N990" s="123"/>
      <c r="O990" s="123"/>
      <c r="P990" s="123"/>
      <c r="Q990" s="123"/>
      <c r="R990" s="123"/>
      <c r="S990" s="123"/>
      <c r="T990" s="123"/>
      <c r="U990" s="123"/>
      <c r="V990" s="123"/>
      <c r="W990" s="123"/>
      <c r="X990" s="123"/>
      <c r="Y990" s="123"/>
    </row>
    <row r="991" spans="2:25" s="235" customFormat="1" ht="13.8">
      <c r="B991" s="307"/>
      <c r="C991" s="307"/>
      <c r="D991" s="307"/>
      <c r="E991" s="307"/>
      <c r="F991" s="307"/>
      <c r="L991" s="123"/>
      <c r="M991" s="123"/>
      <c r="N991" s="123"/>
      <c r="O991" s="123"/>
      <c r="P991" s="123"/>
      <c r="Q991" s="123"/>
      <c r="R991" s="123"/>
      <c r="S991" s="123"/>
      <c r="T991" s="123"/>
      <c r="U991" s="123"/>
      <c r="V991" s="123"/>
      <c r="W991" s="123"/>
      <c r="X991" s="123"/>
      <c r="Y991" s="123"/>
    </row>
    <row r="992" spans="2:25" s="235" customFormat="1" ht="13.8">
      <c r="B992" s="307"/>
      <c r="C992" s="307"/>
      <c r="D992" s="307"/>
      <c r="E992" s="307"/>
      <c r="F992" s="307"/>
      <c r="L992" s="123"/>
      <c r="M992" s="123"/>
      <c r="N992" s="123"/>
      <c r="O992" s="123"/>
      <c r="P992" s="123"/>
      <c r="Q992" s="123"/>
      <c r="R992" s="123"/>
      <c r="S992" s="123"/>
      <c r="T992" s="123"/>
      <c r="U992" s="123"/>
      <c r="V992" s="123"/>
      <c r="W992" s="123"/>
      <c r="X992" s="123"/>
      <c r="Y992" s="123"/>
    </row>
    <row r="993" spans="2:25" s="235" customFormat="1" ht="13.8">
      <c r="B993" s="307"/>
      <c r="C993" s="307"/>
      <c r="D993" s="307"/>
      <c r="E993" s="307"/>
      <c r="F993" s="307"/>
      <c r="L993" s="123"/>
      <c r="M993" s="123"/>
      <c r="N993" s="123"/>
      <c r="O993" s="123"/>
      <c r="P993" s="123"/>
      <c r="Q993" s="123"/>
      <c r="R993" s="123"/>
      <c r="S993" s="123"/>
      <c r="T993" s="123"/>
      <c r="U993" s="123"/>
      <c r="V993" s="123"/>
      <c r="W993" s="123"/>
      <c r="X993" s="123"/>
      <c r="Y993" s="123"/>
    </row>
    <row r="994" spans="2:25" s="235" customFormat="1" ht="13.8">
      <c r="B994" s="307"/>
      <c r="C994" s="307"/>
      <c r="D994" s="307"/>
      <c r="E994" s="307"/>
      <c r="F994" s="307"/>
      <c r="L994" s="123"/>
      <c r="M994" s="123"/>
      <c r="N994" s="123"/>
      <c r="O994" s="123"/>
      <c r="P994" s="123"/>
      <c r="Q994" s="123"/>
      <c r="R994" s="123"/>
      <c r="S994" s="123"/>
      <c r="T994" s="123"/>
      <c r="U994" s="123"/>
      <c r="V994" s="123"/>
      <c r="W994" s="123"/>
      <c r="X994" s="123"/>
      <c r="Y994" s="123"/>
    </row>
    <row r="995" spans="2:25" s="235" customFormat="1" ht="13.8">
      <c r="B995" s="307"/>
      <c r="C995" s="307"/>
      <c r="D995" s="307"/>
      <c r="E995" s="307"/>
      <c r="F995" s="307"/>
      <c r="L995" s="123"/>
      <c r="M995" s="123"/>
      <c r="N995" s="123"/>
      <c r="O995" s="123"/>
      <c r="P995" s="123"/>
      <c r="Q995" s="123"/>
      <c r="R995" s="123"/>
      <c r="S995" s="123"/>
      <c r="T995" s="123"/>
      <c r="U995" s="123"/>
      <c r="V995" s="123"/>
      <c r="W995" s="123"/>
      <c r="X995" s="123"/>
      <c r="Y995" s="123"/>
    </row>
  </sheetData>
  <mergeCells count="1">
    <mergeCell ref="A1:F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2"/>
  <sheetViews>
    <sheetView workbookViewId="0">
      <selection activeCell="A4" sqref="A4"/>
    </sheetView>
  </sheetViews>
  <sheetFormatPr defaultColWidth="15.59765625" defaultRowHeight="15" customHeight="1"/>
  <cols>
    <col min="1" max="1" width="30.8984375" style="235" customWidth="1"/>
    <col min="2" max="4" width="12.5" style="307" customWidth="1"/>
    <col min="5" max="5" width="14.296875" style="307" customWidth="1"/>
    <col min="6" max="6" width="16.19921875" style="307" customWidth="1"/>
    <col min="7" max="7" width="15.8984375" style="235" customWidth="1"/>
    <col min="8" max="8" width="21.3984375" style="235" customWidth="1"/>
    <col min="9" max="9" width="17.796875" style="235" customWidth="1"/>
    <col min="10" max="11" width="18.3984375" style="235" customWidth="1"/>
    <col min="12" max="12" width="22.5" style="235" customWidth="1"/>
    <col min="13" max="17" width="8" style="123" customWidth="1"/>
    <col min="18" max="26" width="15.3984375" style="123" customWidth="1"/>
    <col min="27" max="16384" width="15.59765625" style="123"/>
  </cols>
  <sheetData>
    <row r="1" spans="1:26" ht="22.5" customHeight="1">
      <c r="A1" s="819" t="s">
        <v>287</v>
      </c>
      <c r="B1" s="820"/>
      <c r="C1" s="820"/>
      <c r="D1" s="820"/>
      <c r="E1" s="820"/>
      <c r="F1" s="820"/>
      <c r="G1" s="234"/>
      <c r="H1" s="237"/>
      <c r="I1" s="238"/>
      <c r="J1" s="237"/>
    </row>
    <row r="2" spans="1:26" s="312" customFormat="1" ht="14.25" customHeight="1">
      <c r="A2" s="313" t="s">
        <v>217</v>
      </c>
      <c r="B2" s="314">
        <v>2024</v>
      </c>
      <c r="C2" s="314">
        <v>2025</v>
      </c>
      <c r="D2" s="314">
        <v>2026</v>
      </c>
      <c r="E2" s="314">
        <v>2027</v>
      </c>
      <c r="F2" s="314">
        <v>2028</v>
      </c>
      <c r="G2" s="308"/>
      <c r="H2" s="309"/>
      <c r="I2" s="309"/>
      <c r="J2" s="309"/>
      <c r="K2" s="310"/>
      <c r="L2" s="310"/>
      <c r="M2" s="311"/>
      <c r="N2" s="311"/>
      <c r="O2" s="311"/>
      <c r="P2" s="311"/>
      <c r="Q2" s="311"/>
      <c r="R2" s="311"/>
      <c r="S2" s="311"/>
      <c r="T2" s="311"/>
      <c r="U2" s="311"/>
    </row>
    <row r="3" spans="1:26" ht="44.4" customHeight="1">
      <c r="A3" s="315" t="s">
        <v>504</v>
      </c>
      <c r="B3" s="232">
        <f>'Прогноз выручки'!B33*30/365</f>
        <v>4041.9416255707756</v>
      </c>
      <c r="C3" s="232">
        <f>'Прогноз выручки'!C33*30/365</f>
        <v>146724.88416438355</v>
      </c>
      <c r="D3" s="232">
        <f>'Прогноз выручки'!D33*30/365</f>
        <v>779047.57260273967</v>
      </c>
      <c r="E3" s="232">
        <f>'Прогноз выручки'!E33*30/365</f>
        <v>6520471.6127853878</v>
      </c>
      <c r="F3" s="232">
        <f>'Прогноз выручки'!F33*30/365</f>
        <v>66623427.769863017</v>
      </c>
      <c r="G3" s="246"/>
      <c r="H3" s="247"/>
      <c r="I3" s="237"/>
      <c r="J3" s="237"/>
    </row>
    <row r="4" spans="1:26" ht="25.05" customHeight="1">
      <c r="A4" s="318" t="s">
        <v>289</v>
      </c>
      <c r="B4" s="319">
        <f>-SUM(B3:B3)</f>
        <v>-4041.9416255707756</v>
      </c>
      <c r="C4" s="319">
        <f t="shared" ref="C4:F4" si="0">B3-C3</f>
        <v>-142682.94253881279</v>
      </c>
      <c r="D4" s="319">
        <f t="shared" si="0"/>
        <v>-632322.68843835616</v>
      </c>
      <c r="E4" s="319">
        <f t="shared" si="0"/>
        <v>-5741424.0401826482</v>
      </c>
      <c r="F4" s="319">
        <f t="shared" si="0"/>
        <v>-60102956.157077625</v>
      </c>
      <c r="G4" s="255"/>
      <c r="H4" s="244"/>
      <c r="I4" s="237"/>
      <c r="J4" s="237"/>
    </row>
    <row r="5" spans="1:26" ht="25.05" customHeight="1">
      <c r="A5" s="250"/>
      <c r="B5" s="306"/>
      <c r="C5" s="306"/>
      <c r="D5" s="306"/>
      <c r="E5" s="306"/>
      <c r="F5" s="306"/>
      <c r="G5" s="246"/>
      <c r="H5" s="247"/>
      <c r="I5" s="237"/>
      <c r="J5" s="237"/>
    </row>
    <row r="6" spans="1:26" ht="25.05" customHeight="1">
      <c r="A6" s="251"/>
      <c r="B6" s="306"/>
      <c r="C6" s="306"/>
      <c r="D6" s="306"/>
      <c r="E6" s="306"/>
      <c r="F6" s="306"/>
      <c r="G6" s="255"/>
      <c r="H6" s="244"/>
      <c r="I6" s="237"/>
      <c r="J6" s="237"/>
    </row>
    <row r="7" spans="1:26" ht="25.05" customHeight="1">
      <c r="A7" s="252"/>
      <c r="B7" s="306"/>
      <c r="C7" s="306"/>
      <c r="D7" s="306"/>
      <c r="E7" s="306"/>
      <c r="F7" s="306"/>
      <c r="G7" s="246"/>
      <c r="H7" s="247"/>
      <c r="I7" s="237"/>
      <c r="J7" s="237"/>
    </row>
    <row r="8" spans="1:26" s="235" customFormat="1" ht="25.05" customHeight="1">
      <c r="A8" s="253"/>
      <c r="B8" s="306"/>
      <c r="C8" s="306"/>
      <c r="D8" s="306"/>
      <c r="E8" s="306"/>
      <c r="F8" s="306"/>
      <c r="G8" s="255"/>
      <c r="H8" s="244"/>
      <c r="I8" s="237"/>
      <c r="J8" s="237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 spans="1:26" s="235" customFormat="1" ht="25.05" customHeight="1">
      <c r="A9" s="250"/>
      <c r="B9" s="306"/>
      <c r="C9" s="306"/>
      <c r="D9" s="306"/>
      <c r="E9" s="306"/>
      <c r="F9" s="306"/>
      <c r="G9" s="246"/>
      <c r="H9" s="247"/>
      <c r="I9" s="237"/>
      <c r="J9" s="237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 spans="1:26" s="235" customFormat="1" ht="25.05" customHeight="1">
      <c r="A10" s="250"/>
      <c r="B10" s="306"/>
      <c r="C10" s="306"/>
      <c r="D10" s="306"/>
      <c r="E10" s="306"/>
      <c r="F10" s="306"/>
      <c r="G10" s="255"/>
      <c r="H10" s="244"/>
      <c r="I10" s="237"/>
      <c r="J10" s="237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</row>
    <row r="11" spans="1:26" s="235" customFormat="1" ht="25.05" customHeight="1">
      <c r="A11" s="250"/>
      <c r="B11" s="306"/>
      <c r="C11" s="306"/>
      <c r="D11" s="306"/>
      <c r="E11" s="306"/>
      <c r="F11" s="306"/>
      <c r="G11" s="246"/>
      <c r="H11" s="247"/>
      <c r="I11" s="237"/>
      <c r="J11" s="237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</row>
    <row r="12" spans="1:26" s="235" customFormat="1" ht="25.05" customHeight="1">
      <c r="A12" s="250"/>
      <c r="B12" s="306"/>
      <c r="C12" s="306"/>
      <c r="D12" s="306"/>
      <c r="E12" s="306"/>
      <c r="F12" s="306"/>
      <c r="G12" s="255"/>
      <c r="H12" s="244"/>
      <c r="I12" s="237"/>
      <c r="J12" s="237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</row>
    <row r="13" spans="1:26" s="235" customFormat="1" ht="25.05" customHeight="1">
      <c r="A13" s="250"/>
      <c r="B13" s="306"/>
      <c r="C13" s="306"/>
      <c r="D13" s="306"/>
      <c r="E13" s="306"/>
      <c r="F13" s="306"/>
      <c r="G13" s="246"/>
      <c r="H13" s="247"/>
      <c r="I13" s="237"/>
      <c r="J13" s="237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</row>
    <row r="14" spans="1:26" s="235" customFormat="1" ht="25.05" customHeight="1">
      <c r="B14" s="307"/>
      <c r="C14" s="307"/>
      <c r="D14" s="307"/>
      <c r="E14" s="307"/>
      <c r="F14" s="307"/>
      <c r="G14" s="255"/>
      <c r="H14" s="244"/>
      <c r="I14" s="237"/>
      <c r="J14" s="237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</row>
    <row r="15" spans="1:26" s="235" customFormat="1" ht="25.05" customHeight="1">
      <c r="B15" s="307"/>
      <c r="C15" s="307"/>
      <c r="D15" s="307"/>
      <c r="E15" s="307"/>
      <c r="F15" s="307"/>
      <c r="G15" s="246"/>
      <c r="H15" s="247"/>
      <c r="I15" s="237"/>
      <c r="J15" s="237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</row>
    <row r="16" spans="1:26" s="235" customFormat="1" ht="25.05" customHeight="1">
      <c r="B16" s="307"/>
      <c r="C16" s="307"/>
      <c r="D16" s="307"/>
      <c r="E16" s="307"/>
      <c r="F16" s="307"/>
      <c r="G16" s="255"/>
      <c r="H16" s="244"/>
      <c r="I16" s="237"/>
      <c r="J16" s="237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</row>
    <row r="17" spans="2:26" s="235" customFormat="1" ht="25.05" customHeight="1">
      <c r="B17" s="307"/>
      <c r="C17" s="307"/>
      <c r="D17" s="307"/>
      <c r="E17" s="307"/>
      <c r="F17" s="307"/>
      <c r="G17" s="255"/>
      <c r="H17" s="244"/>
      <c r="I17" s="237"/>
      <c r="J17" s="237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</row>
    <row r="18" spans="2:26" s="235" customFormat="1" ht="25.05" customHeight="1">
      <c r="B18" s="307"/>
      <c r="C18" s="307"/>
      <c r="D18" s="307"/>
      <c r="E18" s="307"/>
      <c r="F18" s="307"/>
      <c r="G18" s="255"/>
      <c r="H18" s="244"/>
      <c r="I18" s="237"/>
      <c r="J18" s="237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</row>
    <row r="19" spans="2:26" s="235" customFormat="1" ht="25.05" customHeight="1">
      <c r="B19" s="307"/>
      <c r="C19" s="307"/>
      <c r="D19" s="307"/>
      <c r="E19" s="307"/>
      <c r="F19" s="307"/>
      <c r="G19" s="255"/>
      <c r="H19" s="244"/>
      <c r="I19" s="237"/>
      <c r="J19" s="237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</row>
    <row r="20" spans="2:26" s="235" customFormat="1" ht="25.05" customHeight="1">
      <c r="B20" s="307"/>
      <c r="C20" s="307"/>
      <c r="D20" s="307"/>
      <c r="E20" s="307"/>
      <c r="F20" s="307"/>
      <c r="G20" s="246"/>
      <c r="H20" s="247"/>
      <c r="I20" s="237"/>
      <c r="J20" s="237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</row>
    <row r="21" spans="2:26" s="235" customFormat="1" ht="25.05" customHeight="1">
      <c r="B21" s="307"/>
      <c r="C21" s="307"/>
      <c r="D21" s="307"/>
      <c r="E21" s="307"/>
      <c r="F21" s="307"/>
      <c r="G21" s="255"/>
      <c r="H21" s="244"/>
      <c r="I21" s="237"/>
      <c r="J21" s="237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</row>
    <row r="22" spans="2:26" s="235" customFormat="1" ht="25.05" customHeight="1">
      <c r="B22" s="307"/>
      <c r="C22" s="307"/>
      <c r="D22" s="307"/>
      <c r="E22" s="307"/>
      <c r="F22" s="307"/>
      <c r="G22" s="255"/>
      <c r="H22" s="244"/>
      <c r="I22" s="237"/>
      <c r="J22" s="237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</row>
    <row r="23" spans="2:26" s="235" customFormat="1" ht="25.05" customHeight="1">
      <c r="B23" s="307"/>
      <c r="C23" s="307"/>
      <c r="D23" s="307"/>
      <c r="E23" s="307"/>
      <c r="F23" s="307"/>
      <c r="G23" s="255"/>
      <c r="H23" s="244"/>
      <c r="I23" s="237"/>
      <c r="J23" s="237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</row>
    <row r="24" spans="2:26" s="235" customFormat="1" ht="25.05" customHeight="1">
      <c r="B24" s="307"/>
      <c r="C24" s="307"/>
      <c r="D24" s="307"/>
      <c r="E24" s="307"/>
      <c r="F24" s="307"/>
      <c r="G24" s="255"/>
      <c r="H24" s="244"/>
      <c r="I24" s="237"/>
      <c r="J24" s="237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</row>
    <row r="25" spans="2:26" s="235" customFormat="1" ht="25.05" customHeight="1">
      <c r="B25" s="307"/>
      <c r="C25" s="307"/>
      <c r="D25" s="307"/>
      <c r="E25" s="307"/>
      <c r="F25" s="307"/>
      <c r="G25" s="255"/>
      <c r="H25" s="244"/>
      <c r="I25" s="237"/>
      <c r="J25" s="237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</row>
    <row r="26" spans="2:26" s="235" customFormat="1" ht="25.05" customHeight="1">
      <c r="B26" s="307"/>
      <c r="C26" s="307"/>
      <c r="D26" s="307"/>
      <c r="E26" s="307"/>
      <c r="F26" s="307"/>
      <c r="G26" s="255"/>
      <c r="H26" s="244"/>
      <c r="I26" s="237"/>
      <c r="J26" s="237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</row>
    <row r="27" spans="2:26" s="235" customFormat="1" ht="25.05" customHeight="1">
      <c r="B27" s="307"/>
      <c r="C27" s="307"/>
      <c r="D27" s="307"/>
      <c r="E27" s="307"/>
      <c r="F27" s="307"/>
      <c r="G27" s="255"/>
      <c r="H27" s="244"/>
      <c r="I27" s="237"/>
      <c r="J27" s="237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</row>
    <row r="28" spans="2:26" s="235" customFormat="1" ht="25.05" customHeight="1">
      <c r="B28" s="307"/>
      <c r="C28" s="307"/>
      <c r="D28" s="307"/>
      <c r="E28" s="307"/>
      <c r="F28" s="307"/>
      <c r="G28" s="246"/>
      <c r="H28" s="247"/>
      <c r="I28" s="237"/>
      <c r="J28" s="237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</row>
    <row r="29" spans="2:26" s="235" customFormat="1" ht="25.05" customHeight="1">
      <c r="B29" s="307"/>
      <c r="C29" s="307"/>
      <c r="D29" s="307"/>
      <c r="E29" s="307"/>
      <c r="F29" s="307"/>
      <c r="G29" s="255"/>
      <c r="H29" s="244"/>
      <c r="I29" s="237"/>
      <c r="J29" s="237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</row>
    <row r="30" spans="2:26" s="235" customFormat="1" ht="25.05" customHeight="1">
      <c r="B30" s="307"/>
      <c r="C30" s="307"/>
      <c r="D30" s="307"/>
      <c r="E30" s="307"/>
      <c r="F30" s="307"/>
      <c r="G30" s="246"/>
      <c r="H30" s="247"/>
      <c r="I30" s="237"/>
      <c r="J30" s="237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</row>
    <row r="31" spans="2:26" s="235" customFormat="1" ht="25.05" customHeight="1">
      <c r="B31" s="307"/>
      <c r="C31" s="307"/>
      <c r="D31" s="307"/>
      <c r="E31" s="307"/>
      <c r="F31" s="307"/>
      <c r="G31" s="255"/>
      <c r="H31" s="244"/>
      <c r="I31" s="237"/>
      <c r="J31" s="237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</row>
    <row r="32" spans="2:26" s="235" customFormat="1" ht="25.05" customHeight="1">
      <c r="B32" s="307"/>
      <c r="C32" s="307"/>
      <c r="D32" s="307"/>
      <c r="E32" s="307"/>
      <c r="F32" s="307"/>
      <c r="G32" s="255"/>
      <c r="H32" s="244"/>
      <c r="I32" s="237"/>
      <c r="J32" s="237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</row>
    <row r="33" spans="2:26" s="235" customFormat="1" ht="25.05" customHeight="1">
      <c r="B33" s="307"/>
      <c r="C33" s="307"/>
      <c r="D33" s="307"/>
      <c r="E33" s="307"/>
      <c r="F33" s="307"/>
      <c r="G33" s="255"/>
      <c r="H33" s="244"/>
      <c r="I33" s="237"/>
      <c r="J33" s="237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</row>
    <row r="34" spans="2:26" s="235" customFormat="1" ht="25.05" customHeight="1">
      <c r="B34" s="307"/>
      <c r="C34" s="307"/>
      <c r="D34" s="307"/>
      <c r="E34" s="307"/>
      <c r="F34" s="307"/>
      <c r="G34" s="255"/>
      <c r="H34" s="244"/>
      <c r="I34" s="237"/>
      <c r="J34" s="237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</row>
    <row r="35" spans="2:26" s="235" customFormat="1" ht="25.05" customHeight="1">
      <c r="B35" s="307"/>
      <c r="C35" s="307"/>
      <c r="D35" s="307"/>
      <c r="E35" s="307"/>
      <c r="F35" s="307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</row>
    <row r="36" spans="2:26" s="235" customFormat="1" ht="25.05" customHeight="1">
      <c r="B36" s="307"/>
      <c r="C36" s="307"/>
      <c r="D36" s="307"/>
      <c r="E36" s="307"/>
      <c r="F36" s="307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</row>
    <row r="37" spans="2:26" s="235" customFormat="1" ht="25.05" customHeight="1">
      <c r="B37" s="307"/>
      <c r="C37" s="307"/>
      <c r="D37" s="307"/>
      <c r="E37" s="307"/>
      <c r="F37" s="307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</row>
    <row r="38" spans="2:26" s="235" customFormat="1" ht="25.05" customHeight="1">
      <c r="B38" s="307"/>
      <c r="C38" s="307"/>
      <c r="D38" s="307"/>
      <c r="E38" s="307"/>
      <c r="F38" s="307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</row>
    <row r="39" spans="2:26" s="235" customFormat="1" ht="25.05" customHeight="1">
      <c r="B39" s="307"/>
      <c r="C39" s="307"/>
      <c r="D39" s="307"/>
      <c r="E39" s="307"/>
      <c r="F39" s="307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</row>
    <row r="40" spans="2:26" s="235" customFormat="1" ht="25.05" customHeight="1">
      <c r="B40" s="307"/>
      <c r="C40" s="307"/>
      <c r="D40" s="307"/>
      <c r="E40" s="307"/>
      <c r="F40" s="307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</row>
    <row r="41" spans="2:26" s="235" customFormat="1" ht="25.05" customHeight="1">
      <c r="B41" s="307"/>
      <c r="C41" s="307"/>
      <c r="D41" s="307"/>
      <c r="E41" s="307"/>
      <c r="F41" s="307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</row>
    <row r="42" spans="2:26" s="235" customFormat="1" ht="25.05" customHeight="1">
      <c r="B42" s="307"/>
      <c r="C42" s="307"/>
      <c r="D42" s="307"/>
      <c r="E42" s="307"/>
      <c r="F42" s="307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</row>
    <row r="43" spans="2:26" s="235" customFormat="1" ht="25.05" customHeight="1">
      <c r="B43" s="307"/>
      <c r="C43" s="307"/>
      <c r="D43" s="307"/>
      <c r="E43" s="307"/>
      <c r="F43" s="307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</row>
    <row r="44" spans="2:26" s="235" customFormat="1" ht="25.05" customHeight="1">
      <c r="B44" s="307"/>
      <c r="C44" s="307"/>
      <c r="D44" s="307"/>
      <c r="E44" s="307"/>
      <c r="F44" s="307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</row>
    <row r="45" spans="2:26" s="235" customFormat="1" ht="25.05" customHeight="1">
      <c r="B45" s="307"/>
      <c r="C45" s="307"/>
      <c r="D45" s="307"/>
      <c r="E45" s="307"/>
      <c r="F45" s="307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</row>
    <row r="46" spans="2:26" s="235" customFormat="1" ht="25.05" customHeight="1">
      <c r="B46" s="307"/>
      <c r="C46" s="307"/>
      <c r="D46" s="307"/>
      <c r="E46" s="307"/>
      <c r="F46" s="307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</row>
    <row r="47" spans="2:26" s="235" customFormat="1" ht="25.05" customHeight="1">
      <c r="B47" s="307"/>
      <c r="C47" s="307"/>
      <c r="D47" s="307"/>
      <c r="E47" s="307"/>
      <c r="F47" s="307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</row>
    <row r="48" spans="2:26" s="235" customFormat="1" ht="25.05" customHeight="1">
      <c r="B48" s="307"/>
      <c r="C48" s="307"/>
      <c r="D48" s="307"/>
      <c r="E48" s="307"/>
      <c r="F48" s="307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</row>
    <row r="49" spans="2:26" s="235" customFormat="1" ht="25.05" customHeight="1">
      <c r="B49" s="307"/>
      <c r="C49" s="307"/>
      <c r="D49" s="307"/>
      <c r="E49" s="307"/>
      <c r="F49" s="307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</row>
    <row r="50" spans="2:26" s="235" customFormat="1" ht="25.05" customHeight="1">
      <c r="B50" s="307"/>
      <c r="C50" s="307"/>
      <c r="D50" s="307"/>
      <c r="E50" s="307"/>
      <c r="F50" s="307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</row>
    <row r="51" spans="2:26" s="235" customFormat="1" ht="25.05" customHeight="1">
      <c r="B51" s="307"/>
      <c r="C51" s="307"/>
      <c r="D51" s="307"/>
      <c r="E51" s="307"/>
      <c r="F51" s="307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</row>
    <row r="52" spans="2:26" s="235" customFormat="1" ht="25.05" customHeight="1">
      <c r="B52" s="307"/>
      <c r="C52" s="307"/>
      <c r="D52" s="307"/>
      <c r="E52" s="307"/>
      <c r="F52" s="307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</row>
    <row r="53" spans="2:26" s="235" customFormat="1" ht="25.05" customHeight="1">
      <c r="B53" s="307"/>
      <c r="C53" s="307"/>
      <c r="D53" s="307"/>
      <c r="E53" s="307"/>
      <c r="F53" s="307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</row>
    <row r="54" spans="2:26" s="235" customFormat="1" ht="25.05" customHeight="1">
      <c r="B54" s="307"/>
      <c r="C54" s="307"/>
      <c r="D54" s="307"/>
      <c r="E54" s="307"/>
      <c r="F54" s="307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</row>
    <row r="55" spans="2:26" s="235" customFormat="1" ht="25.05" customHeight="1">
      <c r="B55" s="307"/>
      <c r="C55" s="307"/>
      <c r="D55" s="307"/>
      <c r="E55" s="307"/>
      <c r="F55" s="307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</row>
    <row r="56" spans="2:26" s="235" customFormat="1" ht="25.05" customHeight="1">
      <c r="B56" s="307"/>
      <c r="C56" s="307"/>
      <c r="D56" s="307"/>
      <c r="E56" s="307"/>
      <c r="F56" s="307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</row>
    <row r="57" spans="2:26" s="235" customFormat="1" ht="25.05" customHeight="1">
      <c r="B57" s="307"/>
      <c r="C57" s="307"/>
      <c r="D57" s="307"/>
      <c r="E57" s="307"/>
      <c r="F57" s="307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</row>
    <row r="58" spans="2:26" s="235" customFormat="1" ht="25.05" customHeight="1">
      <c r="B58" s="307"/>
      <c r="C58" s="307"/>
      <c r="D58" s="307"/>
      <c r="E58" s="307"/>
      <c r="F58" s="307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</row>
    <row r="59" spans="2:26" s="235" customFormat="1" ht="25.05" customHeight="1">
      <c r="B59" s="307"/>
      <c r="C59" s="307"/>
      <c r="D59" s="307"/>
      <c r="E59" s="307"/>
      <c r="F59" s="307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</row>
    <row r="60" spans="2:26" s="235" customFormat="1" ht="25.05" customHeight="1">
      <c r="B60" s="307"/>
      <c r="C60" s="307"/>
      <c r="D60" s="307"/>
      <c r="E60" s="307"/>
      <c r="F60" s="307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</row>
    <row r="61" spans="2:26" s="235" customFormat="1" ht="25.05" customHeight="1">
      <c r="B61" s="307"/>
      <c r="C61" s="307"/>
      <c r="D61" s="307"/>
      <c r="E61" s="307"/>
      <c r="F61" s="307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</row>
    <row r="62" spans="2:26" s="235" customFormat="1" ht="25.05" customHeight="1">
      <c r="B62" s="307"/>
      <c r="C62" s="307"/>
      <c r="D62" s="307"/>
      <c r="E62" s="307"/>
      <c r="F62" s="307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</row>
    <row r="63" spans="2:26" s="235" customFormat="1" ht="25.05" customHeight="1">
      <c r="B63" s="307"/>
      <c r="C63" s="307"/>
      <c r="D63" s="307"/>
      <c r="E63" s="307"/>
      <c r="F63" s="307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</row>
    <row r="64" spans="2:26" s="235" customFormat="1" ht="25.05" customHeight="1">
      <c r="B64" s="307"/>
      <c r="C64" s="307"/>
      <c r="D64" s="307"/>
      <c r="E64" s="307"/>
      <c r="F64" s="307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</row>
    <row r="65" spans="2:26" s="235" customFormat="1" ht="25.05" customHeight="1">
      <c r="B65" s="307"/>
      <c r="C65" s="307"/>
      <c r="D65" s="307"/>
      <c r="E65" s="307"/>
      <c r="F65" s="307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</row>
    <row r="66" spans="2:26" s="235" customFormat="1" ht="25.05" customHeight="1">
      <c r="B66" s="307"/>
      <c r="C66" s="307"/>
      <c r="D66" s="307"/>
      <c r="E66" s="307"/>
      <c r="F66" s="307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</row>
    <row r="67" spans="2:26" s="235" customFormat="1" ht="25.05" customHeight="1">
      <c r="B67" s="307"/>
      <c r="C67" s="307"/>
      <c r="D67" s="307"/>
      <c r="E67" s="307"/>
      <c r="F67" s="307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</row>
    <row r="68" spans="2:26" s="235" customFormat="1" ht="25.05" customHeight="1">
      <c r="B68" s="307"/>
      <c r="C68" s="307"/>
      <c r="D68" s="307"/>
      <c r="E68" s="307"/>
      <c r="F68" s="307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</row>
    <row r="69" spans="2:26" s="235" customFormat="1" ht="25.05" customHeight="1">
      <c r="B69" s="307"/>
      <c r="C69" s="307"/>
      <c r="D69" s="307"/>
      <c r="E69" s="307"/>
      <c r="F69" s="307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</row>
    <row r="70" spans="2:26" s="235" customFormat="1" ht="25.05" customHeight="1">
      <c r="B70" s="307"/>
      <c r="C70" s="307"/>
      <c r="D70" s="307"/>
      <c r="E70" s="307"/>
      <c r="F70" s="307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</row>
    <row r="71" spans="2:26" s="235" customFormat="1" ht="25.05" customHeight="1">
      <c r="B71" s="307"/>
      <c r="C71" s="307"/>
      <c r="D71" s="307"/>
      <c r="E71" s="307"/>
      <c r="F71" s="307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</row>
    <row r="72" spans="2:26" s="235" customFormat="1" ht="25.05" customHeight="1">
      <c r="B72" s="307"/>
      <c r="C72" s="307"/>
      <c r="D72" s="307"/>
      <c r="E72" s="307"/>
      <c r="F72" s="307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</row>
    <row r="73" spans="2:26" s="235" customFormat="1" ht="25.05" customHeight="1">
      <c r="B73" s="307"/>
      <c r="C73" s="307"/>
      <c r="D73" s="307"/>
      <c r="E73" s="307"/>
      <c r="F73" s="307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</row>
    <row r="74" spans="2:26" s="235" customFormat="1" ht="25.05" customHeight="1">
      <c r="B74" s="307"/>
      <c r="C74" s="307"/>
      <c r="D74" s="307"/>
      <c r="E74" s="307"/>
      <c r="F74" s="307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</row>
    <row r="75" spans="2:26" s="235" customFormat="1" ht="25.05" customHeight="1">
      <c r="B75" s="307"/>
      <c r="C75" s="307"/>
      <c r="D75" s="307"/>
      <c r="E75" s="307"/>
      <c r="F75" s="307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</row>
    <row r="76" spans="2:26" s="235" customFormat="1" ht="25.05" customHeight="1">
      <c r="B76" s="307"/>
      <c r="C76" s="307"/>
      <c r="D76" s="307"/>
      <c r="E76" s="307"/>
      <c r="F76" s="307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</row>
    <row r="77" spans="2:26" s="235" customFormat="1" ht="25.05" customHeight="1">
      <c r="B77" s="307"/>
      <c r="C77" s="307"/>
      <c r="D77" s="307"/>
      <c r="E77" s="307"/>
      <c r="F77" s="307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</row>
    <row r="78" spans="2:26" s="235" customFormat="1" ht="25.05" customHeight="1">
      <c r="B78" s="307"/>
      <c r="C78" s="307"/>
      <c r="D78" s="307"/>
      <c r="E78" s="307"/>
      <c r="F78" s="307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</row>
    <row r="79" spans="2:26" s="235" customFormat="1" ht="25.05" customHeight="1">
      <c r="B79" s="307"/>
      <c r="C79" s="307"/>
      <c r="D79" s="307"/>
      <c r="E79" s="307"/>
      <c r="F79" s="307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</row>
    <row r="80" spans="2:26" s="235" customFormat="1" ht="25.05" customHeight="1">
      <c r="B80" s="307"/>
      <c r="C80" s="307"/>
      <c r="D80" s="307"/>
      <c r="E80" s="307"/>
      <c r="F80" s="307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</row>
    <row r="81" spans="2:26" s="235" customFormat="1" ht="25.05" customHeight="1">
      <c r="B81" s="307"/>
      <c r="C81" s="307"/>
      <c r="D81" s="307"/>
      <c r="E81" s="307"/>
      <c r="F81" s="307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</row>
    <row r="82" spans="2:26" s="235" customFormat="1" ht="25.05" customHeight="1">
      <c r="B82" s="307"/>
      <c r="C82" s="307"/>
      <c r="D82" s="307"/>
      <c r="E82" s="307"/>
      <c r="F82" s="307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</row>
    <row r="83" spans="2:26" s="235" customFormat="1" ht="25.05" customHeight="1">
      <c r="B83" s="307"/>
      <c r="C83" s="307"/>
      <c r="D83" s="307"/>
      <c r="E83" s="307"/>
      <c r="F83" s="307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</row>
    <row r="84" spans="2:26" s="235" customFormat="1" ht="25.05" customHeight="1">
      <c r="B84" s="307"/>
      <c r="C84" s="307"/>
      <c r="D84" s="307"/>
      <c r="E84" s="307"/>
      <c r="F84" s="307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</row>
    <row r="85" spans="2:26" s="235" customFormat="1" ht="25.05" customHeight="1">
      <c r="B85" s="307"/>
      <c r="C85" s="307"/>
      <c r="D85" s="307"/>
      <c r="E85" s="307"/>
      <c r="F85" s="307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</row>
    <row r="86" spans="2:26" s="235" customFormat="1" ht="25.05" customHeight="1">
      <c r="B86" s="307"/>
      <c r="C86" s="307"/>
      <c r="D86" s="307"/>
      <c r="E86" s="307"/>
      <c r="F86" s="307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</row>
    <row r="87" spans="2:26" s="235" customFormat="1" ht="25.05" customHeight="1">
      <c r="B87" s="307"/>
      <c r="C87" s="307"/>
      <c r="D87" s="307"/>
      <c r="E87" s="307"/>
      <c r="F87" s="307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</row>
    <row r="88" spans="2:26" s="235" customFormat="1" ht="25.05" customHeight="1">
      <c r="B88" s="307"/>
      <c r="C88" s="307"/>
      <c r="D88" s="307"/>
      <c r="E88" s="307"/>
      <c r="F88" s="307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</row>
    <row r="89" spans="2:26" s="235" customFormat="1" ht="25.05" customHeight="1">
      <c r="B89" s="307"/>
      <c r="C89" s="307"/>
      <c r="D89" s="307"/>
      <c r="E89" s="307"/>
      <c r="F89" s="307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</row>
    <row r="90" spans="2:26" s="235" customFormat="1" ht="25.05" customHeight="1">
      <c r="B90" s="307"/>
      <c r="C90" s="307"/>
      <c r="D90" s="307"/>
      <c r="E90" s="307"/>
      <c r="F90" s="307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</row>
    <row r="91" spans="2:26" s="235" customFormat="1" ht="25.05" customHeight="1">
      <c r="B91" s="307"/>
      <c r="C91" s="307"/>
      <c r="D91" s="307"/>
      <c r="E91" s="307"/>
      <c r="F91" s="307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</row>
    <row r="92" spans="2:26" s="235" customFormat="1" ht="25.05" customHeight="1">
      <c r="B92" s="307"/>
      <c r="C92" s="307"/>
      <c r="D92" s="307"/>
      <c r="E92" s="307"/>
      <c r="F92" s="307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</row>
    <row r="93" spans="2:26" s="235" customFormat="1" ht="25.05" customHeight="1">
      <c r="B93" s="307"/>
      <c r="C93" s="307"/>
      <c r="D93" s="307"/>
      <c r="E93" s="307"/>
      <c r="F93" s="307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</row>
    <row r="94" spans="2:26" s="235" customFormat="1" ht="25.05" customHeight="1">
      <c r="B94" s="307"/>
      <c r="C94" s="307"/>
      <c r="D94" s="307"/>
      <c r="E94" s="307"/>
      <c r="F94" s="307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</row>
    <row r="95" spans="2:26" s="235" customFormat="1" ht="25.05" customHeight="1">
      <c r="B95" s="307"/>
      <c r="C95" s="307"/>
      <c r="D95" s="307"/>
      <c r="E95" s="307"/>
      <c r="F95" s="307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</row>
    <row r="96" spans="2:26" s="235" customFormat="1" ht="25.05" customHeight="1">
      <c r="B96" s="307"/>
      <c r="C96" s="307"/>
      <c r="D96" s="307"/>
      <c r="E96" s="307"/>
      <c r="F96" s="307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</row>
    <row r="97" spans="2:26" s="235" customFormat="1" ht="25.05" customHeight="1">
      <c r="B97" s="307"/>
      <c r="C97" s="307"/>
      <c r="D97" s="307"/>
      <c r="E97" s="307"/>
      <c r="F97" s="307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</row>
    <row r="98" spans="2:26" s="235" customFormat="1" ht="25.05" customHeight="1">
      <c r="B98" s="307"/>
      <c r="C98" s="307"/>
      <c r="D98" s="307"/>
      <c r="E98" s="307"/>
      <c r="F98" s="307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</row>
    <row r="99" spans="2:26" s="235" customFormat="1" ht="25.05" customHeight="1">
      <c r="B99" s="307"/>
      <c r="C99" s="307"/>
      <c r="D99" s="307"/>
      <c r="E99" s="307"/>
      <c r="F99" s="307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</row>
    <row r="100" spans="2:26" s="235" customFormat="1" ht="25.05" customHeight="1">
      <c r="B100" s="307"/>
      <c r="C100" s="307"/>
      <c r="D100" s="307"/>
      <c r="E100" s="307"/>
      <c r="F100" s="307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</row>
    <row r="101" spans="2:26" s="235" customFormat="1" ht="25.05" customHeight="1">
      <c r="B101" s="307"/>
      <c r="C101" s="307"/>
      <c r="D101" s="307"/>
      <c r="E101" s="307"/>
      <c r="F101" s="307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</row>
    <row r="102" spans="2:26" s="235" customFormat="1" ht="25.05" customHeight="1">
      <c r="B102" s="307"/>
      <c r="C102" s="307"/>
      <c r="D102" s="307"/>
      <c r="E102" s="307"/>
      <c r="F102" s="307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</row>
    <row r="103" spans="2:26" s="235" customFormat="1" ht="25.05" customHeight="1">
      <c r="B103" s="307"/>
      <c r="C103" s="307"/>
      <c r="D103" s="307"/>
      <c r="E103" s="307"/>
      <c r="F103" s="307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</row>
    <row r="104" spans="2:26" s="235" customFormat="1" ht="25.05" customHeight="1">
      <c r="B104" s="307"/>
      <c r="C104" s="307"/>
      <c r="D104" s="307"/>
      <c r="E104" s="307"/>
      <c r="F104" s="307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</row>
    <row r="105" spans="2:26" s="235" customFormat="1" ht="25.05" customHeight="1">
      <c r="B105" s="307"/>
      <c r="C105" s="307"/>
      <c r="D105" s="307"/>
      <c r="E105" s="307"/>
      <c r="F105" s="307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</row>
    <row r="106" spans="2:26" s="235" customFormat="1" ht="25.05" customHeight="1">
      <c r="B106" s="307"/>
      <c r="C106" s="307"/>
      <c r="D106" s="307"/>
      <c r="E106" s="307"/>
      <c r="F106" s="307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</row>
    <row r="107" spans="2:26" s="235" customFormat="1" ht="25.05" customHeight="1">
      <c r="B107" s="307"/>
      <c r="C107" s="307"/>
      <c r="D107" s="307"/>
      <c r="E107" s="307"/>
      <c r="F107" s="307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</row>
    <row r="108" spans="2:26" s="235" customFormat="1" ht="25.05" customHeight="1">
      <c r="B108" s="307"/>
      <c r="C108" s="307"/>
      <c r="D108" s="307"/>
      <c r="E108" s="307"/>
      <c r="F108" s="307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</row>
    <row r="109" spans="2:26" s="235" customFormat="1" ht="25.05" customHeight="1">
      <c r="B109" s="307"/>
      <c r="C109" s="307"/>
      <c r="D109" s="307"/>
      <c r="E109" s="307"/>
      <c r="F109" s="307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</row>
    <row r="110" spans="2:26" s="235" customFormat="1" ht="25.05" customHeight="1">
      <c r="B110" s="307"/>
      <c r="C110" s="307"/>
      <c r="D110" s="307"/>
      <c r="E110" s="307"/>
      <c r="F110" s="307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</row>
    <row r="111" spans="2:26" s="235" customFormat="1" ht="25.05" customHeight="1">
      <c r="B111" s="307"/>
      <c r="C111" s="307"/>
      <c r="D111" s="307"/>
      <c r="E111" s="307"/>
      <c r="F111" s="307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</row>
    <row r="112" spans="2:26" s="235" customFormat="1" ht="25.05" customHeight="1">
      <c r="B112" s="307"/>
      <c r="C112" s="307"/>
      <c r="D112" s="307"/>
      <c r="E112" s="307"/>
      <c r="F112" s="307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</row>
    <row r="113" spans="2:26" s="235" customFormat="1" ht="25.05" customHeight="1">
      <c r="B113" s="307"/>
      <c r="C113" s="307"/>
      <c r="D113" s="307"/>
      <c r="E113" s="307"/>
      <c r="F113" s="307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</row>
    <row r="114" spans="2:26" s="235" customFormat="1" ht="25.05" customHeight="1">
      <c r="B114" s="307"/>
      <c r="C114" s="307"/>
      <c r="D114" s="307"/>
      <c r="E114" s="307"/>
      <c r="F114" s="307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</row>
    <row r="115" spans="2:26" s="235" customFormat="1" ht="25.05" customHeight="1">
      <c r="B115" s="307"/>
      <c r="C115" s="307"/>
      <c r="D115" s="307"/>
      <c r="E115" s="307"/>
      <c r="F115" s="307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</row>
    <row r="116" spans="2:26" s="235" customFormat="1" ht="25.05" customHeight="1">
      <c r="B116" s="307"/>
      <c r="C116" s="307"/>
      <c r="D116" s="307"/>
      <c r="E116" s="307"/>
      <c r="F116" s="307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</row>
    <row r="117" spans="2:26" s="235" customFormat="1" ht="25.05" customHeight="1">
      <c r="B117" s="307"/>
      <c r="C117" s="307"/>
      <c r="D117" s="307"/>
      <c r="E117" s="307"/>
      <c r="F117" s="307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</row>
    <row r="118" spans="2:26" s="235" customFormat="1" ht="25.05" customHeight="1">
      <c r="B118" s="307"/>
      <c r="C118" s="307"/>
      <c r="D118" s="307"/>
      <c r="E118" s="307"/>
      <c r="F118" s="307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</row>
    <row r="119" spans="2:26" s="235" customFormat="1" ht="25.05" customHeight="1">
      <c r="B119" s="307"/>
      <c r="C119" s="307"/>
      <c r="D119" s="307"/>
      <c r="E119" s="307"/>
      <c r="F119" s="307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</row>
    <row r="120" spans="2:26" s="235" customFormat="1" ht="25.05" customHeight="1">
      <c r="B120" s="307"/>
      <c r="C120" s="307"/>
      <c r="D120" s="307"/>
      <c r="E120" s="307"/>
      <c r="F120" s="307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</row>
    <row r="121" spans="2:26" s="235" customFormat="1" ht="25.05" customHeight="1">
      <c r="B121" s="307"/>
      <c r="C121" s="307"/>
      <c r="D121" s="307"/>
      <c r="E121" s="307"/>
      <c r="F121" s="307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</row>
    <row r="122" spans="2:26" s="235" customFormat="1" ht="25.05" customHeight="1">
      <c r="B122" s="307"/>
      <c r="C122" s="307"/>
      <c r="D122" s="307"/>
      <c r="E122" s="307"/>
      <c r="F122" s="307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</row>
    <row r="123" spans="2:26" s="235" customFormat="1" ht="25.05" customHeight="1">
      <c r="B123" s="307"/>
      <c r="C123" s="307"/>
      <c r="D123" s="307"/>
      <c r="E123" s="307"/>
      <c r="F123" s="307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</row>
    <row r="124" spans="2:26" s="235" customFormat="1" ht="25.05" customHeight="1">
      <c r="B124" s="307"/>
      <c r="C124" s="307"/>
      <c r="D124" s="307"/>
      <c r="E124" s="307"/>
      <c r="F124" s="307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</row>
    <row r="125" spans="2:26" s="235" customFormat="1" ht="25.05" customHeight="1">
      <c r="B125" s="307"/>
      <c r="C125" s="307"/>
      <c r="D125" s="307"/>
      <c r="E125" s="307"/>
      <c r="F125" s="307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</row>
    <row r="126" spans="2:26" s="235" customFormat="1" ht="25.05" customHeight="1">
      <c r="B126" s="307"/>
      <c r="C126" s="307"/>
      <c r="D126" s="307"/>
      <c r="E126" s="307"/>
      <c r="F126" s="307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</row>
    <row r="127" spans="2:26" s="235" customFormat="1" ht="25.05" customHeight="1">
      <c r="B127" s="307"/>
      <c r="C127" s="307"/>
      <c r="D127" s="307"/>
      <c r="E127" s="307"/>
      <c r="F127" s="307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  <c r="Z127" s="123"/>
    </row>
    <row r="128" spans="2:26" s="235" customFormat="1" ht="25.05" customHeight="1">
      <c r="B128" s="307"/>
      <c r="C128" s="307"/>
      <c r="D128" s="307"/>
      <c r="E128" s="307"/>
      <c r="F128" s="307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</row>
    <row r="129" spans="2:26" s="235" customFormat="1" ht="25.05" customHeight="1">
      <c r="B129" s="307"/>
      <c r="C129" s="307"/>
      <c r="D129" s="307"/>
      <c r="E129" s="307"/>
      <c r="F129" s="307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</row>
    <row r="130" spans="2:26" s="235" customFormat="1" ht="25.05" customHeight="1">
      <c r="B130" s="307"/>
      <c r="C130" s="307"/>
      <c r="D130" s="307"/>
      <c r="E130" s="307"/>
      <c r="F130" s="307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  <c r="Z130" s="123"/>
    </row>
    <row r="131" spans="2:26" s="235" customFormat="1" ht="25.05" customHeight="1">
      <c r="B131" s="307"/>
      <c r="C131" s="307"/>
      <c r="D131" s="307"/>
      <c r="E131" s="307"/>
      <c r="F131" s="307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  <c r="Z131" s="123"/>
    </row>
    <row r="132" spans="2:26" s="235" customFormat="1" ht="25.05" customHeight="1">
      <c r="B132" s="307"/>
      <c r="C132" s="307"/>
      <c r="D132" s="307"/>
      <c r="E132" s="307"/>
      <c r="F132" s="307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  <c r="Z132" s="123"/>
    </row>
    <row r="133" spans="2:26" s="235" customFormat="1" ht="25.05" customHeight="1">
      <c r="B133" s="307"/>
      <c r="C133" s="307"/>
      <c r="D133" s="307"/>
      <c r="E133" s="307"/>
      <c r="F133" s="307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  <c r="Z133" s="123"/>
    </row>
    <row r="134" spans="2:26" s="235" customFormat="1" ht="25.05" customHeight="1">
      <c r="B134" s="307"/>
      <c r="C134" s="307"/>
      <c r="D134" s="307"/>
      <c r="E134" s="307"/>
      <c r="F134" s="307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  <c r="Z134" s="123"/>
    </row>
    <row r="135" spans="2:26" s="235" customFormat="1" ht="25.05" customHeight="1">
      <c r="B135" s="307"/>
      <c r="C135" s="307"/>
      <c r="D135" s="307"/>
      <c r="E135" s="307"/>
      <c r="F135" s="307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  <c r="Z135" s="123"/>
    </row>
    <row r="136" spans="2:26" s="235" customFormat="1" ht="25.05" customHeight="1">
      <c r="B136" s="307"/>
      <c r="C136" s="307"/>
      <c r="D136" s="307"/>
      <c r="E136" s="307"/>
      <c r="F136" s="307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  <c r="Z136" s="123"/>
    </row>
    <row r="137" spans="2:26" s="235" customFormat="1" ht="25.05" customHeight="1">
      <c r="B137" s="307"/>
      <c r="C137" s="307"/>
      <c r="D137" s="307"/>
      <c r="E137" s="307"/>
      <c r="F137" s="307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</row>
    <row r="138" spans="2:26" s="235" customFormat="1" ht="25.05" customHeight="1">
      <c r="B138" s="307"/>
      <c r="C138" s="307"/>
      <c r="D138" s="307"/>
      <c r="E138" s="307"/>
      <c r="F138" s="307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</row>
    <row r="139" spans="2:26" s="235" customFormat="1" ht="25.05" customHeight="1">
      <c r="B139" s="307"/>
      <c r="C139" s="307"/>
      <c r="D139" s="307"/>
      <c r="E139" s="307"/>
      <c r="F139" s="307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  <c r="Z139" s="123"/>
    </row>
    <row r="140" spans="2:26" s="235" customFormat="1" ht="25.05" customHeight="1">
      <c r="B140" s="307"/>
      <c r="C140" s="307"/>
      <c r="D140" s="307"/>
      <c r="E140" s="307"/>
      <c r="F140" s="307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  <c r="Z140" s="123"/>
    </row>
    <row r="141" spans="2:26" s="235" customFormat="1" ht="25.05" customHeight="1">
      <c r="B141" s="307"/>
      <c r="C141" s="307"/>
      <c r="D141" s="307"/>
      <c r="E141" s="307"/>
      <c r="F141" s="307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  <c r="Z141" s="123"/>
    </row>
    <row r="142" spans="2:26" s="235" customFormat="1" ht="25.05" customHeight="1">
      <c r="B142" s="307"/>
      <c r="C142" s="307"/>
      <c r="D142" s="307"/>
      <c r="E142" s="307"/>
      <c r="F142" s="307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</row>
    <row r="143" spans="2:26" s="235" customFormat="1" ht="25.05" customHeight="1">
      <c r="B143" s="307"/>
      <c r="C143" s="307"/>
      <c r="D143" s="307"/>
      <c r="E143" s="307"/>
      <c r="F143" s="307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  <c r="Z143" s="123"/>
    </row>
    <row r="144" spans="2:26" s="235" customFormat="1" ht="25.05" customHeight="1">
      <c r="B144" s="307"/>
      <c r="C144" s="307"/>
      <c r="D144" s="307"/>
      <c r="E144" s="307"/>
      <c r="F144" s="307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  <c r="Z144" s="123"/>
    </row>
    <row r="145" spans="2:26" s="235" customFormat="1" ht="25.05" customHeight="1">
      <c r="B145" s="307"/>
      <c r="C145" s="307"/>
      <c r="D145" s="307"/>
      <c r="E145" s="307"/>
      <c r="F145" s="307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  <c r="Z145" s="123"/>
    </row>
    <row r="146" spans="2:26" s="235" customFormat="1" ht="25.05" customHeight="1">
      <c r="B146" s="307"/>
      <c r="C146" s="307"/>
      <c r="D146" s="307"/>
      <c r="E146" s="307"/>
      <c r="F146" s="307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</row>
    <row r="147" spans="2:26" s="235" customFormat="1" ht="25.05" customHeight="1">
      <c r="B147" s="307"/>
      <c r="C147" s="307"/>
      <c r="D147" s="307"/>
      <c r="E147" s="307"/>
      <c r="F147" s="307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</row>
    <row r="148" spans="2:26" s="235" customFormat="1" ht="25.05" customHeight="1">
      <c r="B148" s="307"/>
      <c r="C148" s="307"/>
      <c r="D148" s="307"/>
      <c r="E148" s="307"/>
      <c r="F148" s="307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</row>
    <row r="149" spans="2:26" s="235" customFormat="1" ht="25.05" customHeight="1">
      <c r="B149" s="307"/>
      <c r="C149" s="307"/>
      <c r="D149" s="307"/>
      <c r="E149" s="307"/>
      <c r="F149" s="307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</row>
    <row r="150" spans="2:26" s="235" customFormat="1" ht="25.05" customHeight="1">
      <c r="B150" s="307"/>
      <c r="C150" s="307"/>
      <c r="D150" s="307"/>
      <c r="E150" s="307"/>
      <c r="F150" s="307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</row>
    <row r="151" spans="2:26" s="235" customFormat="1" ht="25.05" customHeight="1">
      <c r="B151" s="307"/>
      <c r="C151" s="307"/>
      <c r="D151" s="307"/>
      <c r="E151" s="307"/>
      <c r="F151" s="307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</row>
    <row r="152" spans="2:26" s="235" customFormat="1" ht="25.05" customHeight="1">
      <c r="B152" s="307"/>
      <c r="C152" s="307"/>
      <c r="D152" s="307"/>
      <c r="E152" s="307"/>
      <c r="F152" s="307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</row>
    <row r="153" spans="2:26" s="235" customFormat="1" ht="25.05" customHeight="1">
      <c r="B153" s="307"/>
      <c r="C153" s="307"/>
      <c r="D153" s="307"/>
      <c r="E153" s="307"/>
      <c r="F153" s="307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</row>
    <row r="154" spans="2:26" s="235" customFormat="1" ht="25.05" customHeight="1">
      <c r="B154" s="307"/>
      <c r="C154" s="307"/>
      <c r="D154" s="307"/>
      <c r="E154" s="307"/>
      <c r="F154" s="307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</row>
    <row r="155" spans="2:26" s="235" customFormat="1" ht="25.05" customHeight="1">
      <c r="B155" s="307"/>
      <c r="C155" s="307"/>
      <c r="D155" s="307"/>
      <c r="E155" s="307"/>
      <c r="F155" s="307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</row>
    <row r="156" spans="2:26" s="235" customFormat="1" ht="25.05" customHeight="1">
      <c r="B156" s="307"/>
      <c r="C156" s="307"/>
      <c r="D156" s="307"/>
      <c r="E156" s="307"/>
      <c r="F156" s="307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</row>
    <row r="157" spans="2:26" s="235" customFormat="1" ht="25.05" customHeight="1">
      <c r="B157" s="307"/>
      <c r="C157" s="307"/>
      <c r="D157" s="307"/>
      <c r="E157" s="307"/>
      <c r="F157" s="307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</row>
    <row r="158" spans="2:26" s="235" customFormat="1" ht="25.05" customHeight="1">
      <c r="B158" s="307"/>
      <c r="C158" s="307"/>
      <c r="D158" s="307"/>
      <c r="E158" s="307"/>
      <c r="F158" s="307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</row>
    <row r="159" spans="2:26" s="235" customFormat="1" ht="25.05" customHeight="1">
      <c r="B159" s="307"/>
      <c r="C159" s="307"/>
      <c r="D159" s="307"/>
      <c r="E159" s="307"/>
      <c r="F159" s="307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</row>
    <row r="160" spans="2:26" s="235" customFormat="1" ht="25.05" customHeight="1">
      <c r="B160" s="307"/>
      <c r="C160" s="307"/>
      <c r="D160" s="307"/>
      <c r="E160" s="307"/>
      <c r="F160" s="307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</row>
    <row r="161" spans="2:26" s="235" customFormat="1" ht="13.8">
      <c r="B161" s="307"/>
      <c r="C161" s="307"/>
      <c r="D161" s="307"/>
      <c r="E161" s="307"/>
      <c r="F161" s="307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</row>
    <row r="162" spans="2:26" s="235" customFormat="1" ht="13.8">
      <c r="B162" s="307"/>
      <c r="C162" s="307"/>
      <c r="D162" s="307"/>
      <c r="E162" s="307"/>
      <c r="F162" s="307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</row>
    <row r="163" spans="2:26" s="235" customFormat="1" ht="13.8">
      <c r="B163" s="307"/>
      <c r="C163" s="307"/>
      <c r="D163" s="307"/>
      <c r="E163" s="307"/>
      <c r="F163" s="307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  <c r="Z163" s="123"/>
    </row>
    <row r="164" spans="2:26" s="235" customFormat="1" ht="13.8">
      <c r="B164" s="307"/>
      <c r="C164" s="307"/>
      <c r="D164" s="307"/>
      <c r="E164" s="307"/>
      <c r="F164" s="307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  <c r="Z164" s="123"/>
    </row>
    <row r="165" spans="2:26" s="235" customFormat="1" ht="13.8">
      <c r="B165" s="307"/>
      <c r="C165" s="307"/>
      <c r="D165" s="307"/>
      <c r="E165" s="307"/>
      <c r="F165" s="307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  <c r="Z165" s="123"/>
    </row>
    <row r="166" spans="2:26" s="235" customFormat="1" ht="13.8">
      <c r="B166" s="307"/>
      <c r="C166" s="307"/>
      <c r="D166" s="307"/>
      <c r="E166" s="307"/>
      <c r="F166" s="307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  <c r="Z166" s="123"/>
    </row>
    <row r="167" spans="2:26" s="235" customFormat="1" ht="13.8">
      <c r="B167" s="307"/>
      <c r="C167" s="307"/>
      <c r="D167" s="307"/>
      <c r="E167" s="307"/>
      <c r="F167" s="307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</row>
    <row r="168" spans="2:26" s="235" customFormat="1" ht="13.8">
      <c r="B168" s="307"/>
      <c r="C168" s="307"/>
      <c r="D168" s="307"/>
      <c r="E168" s="307"/>
      <c r="F168" s="307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  <c r="Z168" s="123"/>
    </row>
    <row r="169" spans="2:26" s="235" customFormat="1" ht="13.8">
      <c r="B169" s="307"/>
      <c r="C169" s="307"/>
      <c r="D169" s="307"/>
      <c r="E169" s="307"/>
      <c r="F169" s="307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  <c r="Z169" s="123"/>
    </row>
    <row r="170" spans="2:26" s="235" customFormat="1" ht="13.8">
      <c r="B170" s="307"/>
      <c r="C170" s="307"/>
      <c r="D170" s="307"/>
      <c r="E170" s="307"/>
      <c r="F170" s="307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  <c r="Z170" s="123"/>
    </row>
    <row r="171" spans="2:26" s="235" customFormat="1" ht="13.8">
      <c r="B171" s="307"/>
      <c r="C171" s="307"/>
      <c r="D171" s="307"/>
      <c r="E171" s="307"/>
      <c r="F171" s="307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  <c r="Z171" s="123"/>
    </row>
    <row r="172" spans="2:26" s="235" customFormat="1" ht="13.8">
      <c r="B172" s="307"/>
      <c r="C172" s="307"/>
      <c r="D172" s="307"/>
      <c r="E172" s="307"/>
      <c r="F172" s="307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  <c r="Z172" s="123"/>
    </row>
    <row r="173" spans="2:26" s="235" customFormat="1" ht="13.8">
      <c r="B173" s="307"/>
      <c r="C173" s="307"/>
      <c r="D173" s="307"/>
      <c r="E173" s="307"/>
      <c r="F173" s="307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  <c r="Z173" s="123"/>
    </row>
    <row r="174" spans="2:26" s="235" customFormat="1" ht="13.8">
      <c r="B174" s="307"/>
      <c r="C174" s="307"/>
      <c r="D174" s="307"/>
      <c r="E174" s="307"/>
      <c r="F174" s="307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  <c r="Z174" s="123"/>
    </row>
    <row r="175" spans="2:26" s="235" customFormat="1" ht="13.8">
      <c r="B175" s="307"/>
      <c r="C175" s="307"/>
      <c r="D175" s="307"/>
      <c r="E175" s="307"/>
      <c r="F175" s="307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</row>
    <row r="176" spans="2:26" s="235" customFormat="1" ht="13.8">
      <c r="B176" s="307"/>
      <c r="C176" s="307"/>
      <c r="D176" s="307"/>
      <c r="E176" s="307"/>
      <c r="F176" s="307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</row>
    <row r="177" spans="2:26" s="235" customFormat="1" ht="13.8">
      <c r="B177" s="307"/>
      <c r="C177" s="307"/>
      <c r="D177" s="307"/>
      <c r="E177" s="307"/>
      <c r="F177" s="307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</row>
    <row r="178" spans="2:26" s="235" customFormat="1" ht="13.8">
      <c r="B178" s="307"/>
      <c r="C178" s="307"/>
      <c r="D178" s="307"/>
      <c r="E178" s="307"/>
      <c r="F178" s="307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</row>
    <row r="179" spans="2:26" s="235" customFormat="1" ht="13.8">
      <c r="B179" s="307"/>
      <c r="C179" s="307"/>
      <c r="D179" s="307"/>
      <c r="E179" s="307"/>
      <c r="F179" s="307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  <c r="Z179" s="123"/>
    </row>
    <row r="180" spans="2:26" s="235" customFormat="1" ht="13.8">
      <c r="B180" s="307"/>
      <c r="C180" s="307"/>
      <c r="D180" s="307"/>
      <c r="E180" s="307"/>
      <c r="F180" s="307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  <c r="Z180" s="123"/>
    </row>
    <row r="181" spans="2:26" s="235" customFormat="1" ht="13.8">
      <c r="B181" s="307"/>
      <c r="C181" s="307"/>
      <c r="D181" s="307"/>
      <c r="E181" s="307"/>
      <c r="F181" s="307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</row>
    <row r="182" spans="2:26" s="235" customFormat="1" ht="13.8">
      <c r="B182" s="307"/>
      <c r="C182" s="307"/>
      <c r="D182" s="307"/>
      <c r="E182" s="307"/>
      <c r="F182" s="307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  <c r="Z182" s="123"/>
    </row>
    <row r="183" spans="2:26" s="235" customFormat="1" ht="13.8">
      <c r="B183" s="307"/>
      <c r="C183" s="307"/>
      <c r="D183" s="307"/>
      <c r="E183" s="307"/>
      <c r="F183" s="307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  <c r="Z183" s="123"/>
    </row>
    <row r="184" spans="2:26" s="235" customFormat="1" ht="13.8">
      <c r="B184" s="307"/>
      <c r="C184" s="307"/>
      <c r="D184" s="307"/>
      <c r="E184" s="307"/>
      <c r="F184" s="307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  <c r="Z184" s="123"/>
    </row>
    <row r="185" spans="2:26" s="235" customFormat="1" ht="13.8">
      <c r="B185" s="307"/>
      <c r="C185" s="307"/>
      <c r="D185" s="307"/>
      <c r="E185" s="307"/>
      <c r="F185" s="307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</row>
    <row r="186" spans="2:26" s="235" customFormat="1" ht="13.8">
      <c r="B186" s="307"/>
      <c r="C186" s="307"/>
      <c r="D186" s="307"/>
      <c r="E186" s="307"/>
      <c r="F186" s="307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</row>
    <row r="187" spans="2:26" s="235" customFormat="1" ht="13.8">
      <c r="B187" s="307"/>
      <c r="C187" s="307"/>
      <c r="D187" s="307"/>
      <c r="E187" s="307"/>
      <c r="F187" s="307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</row>
    <row r="188" spans="2:26" s="235" customFormat="1" ht="13.8">
      <c r="B188" s="307"/>
      <c r="C188" s="307"/>
      <c r="D188" s="307"/>
      <c r="E188" s="307"/>
      <c r="F188" s="307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</row>
    <row r="189" spans="2:26" s="235" customFormat="1" ht="13.8">
      <c r="B189" s="307"/>
      <c r="C189" s="307"/>
      <c r="D189" s="307"/>
      <c r="E189" s="307"/>
      <c r="F189" s="307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</row>
    <row r="190" spans="2:26" s="235" customFormat="1" ht="13.8">
      <c r="B190" s="307"/>
      <c r="C190" s="307"/>
      <c r="D190" s="307"/>
      <c r="E190" s="307"/>
      <c r="F190" s="307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</row>
    <row r="191" spans="2:26" s="235" customFormat="1" ht="13.8">
      <c r="B191" s="307"/>
      <c r="C191" s="307"/>
      <c r="D191" s="307"/>
      <c r="E191" s="307"/>
      <c r="F191" s="307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</row>
    <row r="192" spans="2:26" s="235" customFormat="1" ht="13.8">
      <c r="B192" s="307"/>
      <c r="C192" s="307"/>
      <c r="D192" s="307"/>
      <c r="E192" s="307"/>
      <c r="F192" s="307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</row>
    <row r="193" spans="2:26" s="235" customFormat="1" ht="13.8">
      <c r="B193" s="307"/>
      <c r="C193" s="307"/>
      <c r="D193" s="307"/>
      <c r="E193" s="307"/>
      <c r="F193" s="307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</row>
    <row r="194" spans="2:26" s="235" customFormat="1" ht="13.8">
      <c r="B194" s="307"/>
      <c r="C194" s="307"/>
      <c r="D194" s="307"/>
      <c r="E194" s="307"/>
      <c r="F194" s="307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  <c r="Z194" s="123"/>
    </row>
    <row r="195" spans="2:26" s="235" customFormat="1" ht="13.8">
      <c r="B195" s="307"/>
      <c r="C195" s="307"/>
      <c r="D195" s="307"/>
      <c r="E195" s="307"/>
      <c r="F195" s="307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  <c r="Z195" s="123"/>
    </row>
    <row r="196" spans="2:26" s="235" customFormat="1" ht="13.8">
      <c r="B196" s="307"/>
      <c r="C196" s="307"/>
      <c r="D196" s="307"/>
      <c r="E196" s="307"/>
      <c r="F196" s="307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  <c r="Z196" s="123"/>
    </row>
    <row r="197" spans="2:26" s="235" customFormat="1" ht="13.8">
      <c r="B197" s="307"/>
      <c r="C197" s="307"/>
      <c r="D197" s="307"/>
      <c r="E197" s="307"/>
      <c r="F197" s="307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  <c r="Z197" s="123"/>
    </row>
    <row r="198" spans="2:26" s="235" customFormat="1" ht="13.8">
      <c r="B198" s="307"/>
      <c r="C198" s="307"/>
      <c r="D198" s="307"/>
      <c r="E198" s="307"/>
      <c r="F198" s="307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  <c r="Z198" s="123"/>
    </row>
    <row r="199" spans="2:26" s="235" customFormat="1" ht="13.8">
      <c r="B199" s="307"/>
      <c r="C199" s="307"/>
      <c r="D199" s="307"/>
      <c r="E199" s="307"/>
      <c r="F199" s="307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  <c r="Z199" s="123"/>
    </row>
    <row r="200" spans="2:26" s="235" customFormat="1" ht="13.8">
      <c r="B200" s="307"/>
      <c r="C200" s="307"/>
      <c r="D200" s="307"/>
      <c r="E200" s="307"/>
      <c r="F200" s="307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  <c r="Z200" s="123"/>
    </row>
    <row r="201" spans="2:26" s="235" customFormat="1" ht="13.8">
      <c r="B201" s="307"/>
      <c r="C201" s="307"/>
      <c r="D201" s="307"/>
      <c r="E201" s="307"/>
      <c r="F201" s="307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  <c r="Z201" s="123"/>
    </row>
    <row r="202" spans="2:26" s="235" customFormat="1" ht="13.8">
      <c r="B202" s="307"/>
      <c r="C202" s="307"/>
      <c r="D202" s="307"/>
      <c r="E202" s="307"/>
      <c r="F202" s="307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  <c r="Z202" s="123"/>
    </row>
    <row r="203" spans="2:26" s="235" customFormat="1" ht="13.8">
      <c r="B203" s="307"/>
      <c r="C203" s="307"/>
      <c r="D203" s="307"/>
      <c r="E203" s="307"/>
      <c r="F203" s="307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  <c r="Z203" s="123"/>
    </row>
    <row r="204" spans="2:26" s="235" customFormat="1" ht="13.8">
      <c r="B204" s="307"/>
      <c r="C204" s="307"/>
      <c r="D204" s="307"/>
      <c r="E204" s="307"/>
      <c r="F204" s="307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</row>
    <row r="205" spans="2:26" s="235" customFormat="1" ht="13.8">
      <c r="B205" s="307"/>
      <c r="C205" s="307"/>
      <c r="D205" s="307"/>
      <c r="E205" s="307"/>
      <c r="F205" s="307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</row>
    <row r="206" spans="2:26" s="235" customFormat="1" ht="13.8">
      <c r="B206" s="307"/>
      <c r="C206" s="307"/>
      <c r="D206" s="307"/>
      <c r="E206" s="307"/>
      <c r="F206" s="307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</row>
    <row r="207" spans="2:26" s="235" customFormat="1" ht="13.8">
      <c r="B207" s="307"/>
      <c r="C207" s="307"/>
      <c r="D207" s="307"/>
      <c r="E207" s="307"/>
      <c r="F207" s="307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</row>
    <row r="208" spans="2:26" s="235" customFormat="1" ht="13.8">
      <c r="B208" s="307"/>
      <c r="C208" s="307"/>
      <c r="D208" s="307"/>
      <c r="E208" s="307"/>
      <c r="F208" s="307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</row>
    <row r="209" spans="2:26" s="235" customFormat="1" ht="13.8">
      <c r="B209" s="307"/>
      <c r="C209" s="307"/>
      <c r="D209" s="307"/>
      <c r="E209" s="307"/>
      <c r="F209" s="307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</row>
    <row r="210" spans="2:26" s="235" customFormat="1" ht="13.8">
      <c r="B210" s="307"/>
      <c r="C210" s="307"/>
      <c r="D210" s="307"/>
      <c r="E210" s="307"/>
      <c r="F210" s="307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</row>
    <row r="211" spans="2:26" s="235" customFormat="1" ht="13.8">
      <c r="B211" s="307"/>
      <c r="C211" s="307"/>
      <c r="D211" s="307"/>
      <c r="E211" s="307"/>
      <c r="F211" s="307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</row>
    <row r="212" spans="2:26" s="235" customFormat="1" ht="13.8">
      <c r="B212" s="307"/>
      <c r="C212" s="307"/>
      <c r="D212" s="307"/>
      <c r="E212" s="307"/>
      <c r="F212" s="307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</row>
    <row r="213" spans="2:26" s="235" customFormat="1" ht="13.8">
      <c r="B213" s="307"/>
      <c r="C213" s="307"/>
      <c r="D213" s="307"/>
      <c r="E213" s="307"/>
      <c r="F213" s="307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</row>
    <row r="214" spans="2:26" s="235" customFormat="1" ht="13.8">
      <c r="B214" s="307"/>
      <c r="C214" s="307"/>
      <c r="D214" s="307"/>
      <c r="E214" s="307"/>
      <c r="F214" s="307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</row>
    <row r="215" spans="2:26" s="235" customFormat="1" ht="13.8">
      <c r="B215" s="307"/>
      <c r="C215" s="307"/>
      <c r="D215" s="307"/>
      <c r="E215" s="307"/>
      <c r="F215" s="307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</row>
    <row r="216" spans="2:26" s="235" customFormat="1" ht="13.8">
      <c r="B216" s="307"/>
      <c r="C216" s="307"/>
      <c r="D216" s="307"/>
      <c r="E216" s="307"/>
      <c r="F216" s="307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</row>
    <row r="217" spans="2:26" s="235" customFormat="1" ht="13.8">
      <c r="B217" s="307"/>
      <c r="C217" s="307"/>
      <c r="D217" s="307"/>
      <c r="E217" s="307"/>
      <c r="F217" s="307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</row>
    <row r="218" spans="2:26" s="235" customFormat="1" ht="13.8">
      <c r="B218" s="307"/>
      <c r="C218" s="307"/>
      <c r="D218" s="307"/>
      <c r="E218" s="307"/>
      <c r="F218" s="307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</row>
    <row r="219" spans="2:26" s="235" customFormat="1" ht="13.8">
      <c r="B219" s="307"/>
      <c r="C219" s="307"/>
      <c r="D219" s="307"/>
      <c r="E219" s="307"/>
      <c r="F219" s="307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</row>
    <row r="220" spans="2:26" s="235" customFormat="1" ht="13.8">
      <c r="B220" s="307"/>
      <c r="C220" s="307"/>
      <c r="D220" s="307"/>
      <c r="E220" s="307"/>
      <c r="F220" s="307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</row>
    <row r="221" spans="2:26" s="235" customFormat="1" ht="13.8">
      <c r="B221" s="307"/>
      <c r="C221" s="307"/>
      <c r="D221" s="307"/>
      <c r="E221" s="307"/>
      <c r="F221" s="307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</row>
    <row r="222" spans="2:26" s="235" customFormat="1" ht="13.8">
      <c r="B222" s="307"/>
      <c r="C222" s="307"/>
      <c r="D222" s="307"/>
      <c r="E222" s="307"/>
      <c r="F222" s="307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</row>
    <row r="223" spans="2:26" s="235" customFormat="1" ht="13.8">
      <c r="B223" s="307"/>
      <c r="C223" s="307"/>
      <c r="D223" s="307"/>
      <c r="E223" s="307"/>
      <c r="F223" s="307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</row>
    <row r="224" spans="2:26" s="235" customFormat="1" ht="13.8">
      <c r="B224" s="307"/>
      <c r="C224" s="307"/>
      <c r="D224" s="307"/>
      <c r="E224" s="307"/>
      <c r="F224" s="307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23"/>
      <c r="Z224" s="123"/>
    </row>
    <row r="225" spans="2:26" s="235" customFormat="1" ht="13.8">
      <c r="B225" s="307"/>
      <c r="C225" s="307"/>
      <c r="D225" s="307"/>
      <c r="E225" s="307"/>
      <c r="F225" s="307"/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23"/>
      <c r="Z225" s="123"/>
    </row>
    <row r="226" spans="2:26" s="235" customFormat="1" ht="13.8">
      <c r="B226" s="307"/>
      <c r="C226" s="307"/>
      <c r="D226" s="307"/>
      <c r="E226" s="307"/>
      <c r="F226" s="307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</row>
    <row r="227" spans="2:26" s="235" customFormat="1" ht="13.8">
      <c r="B227" s="307"/>
      <c r="C227" s="307"/>
      <c r="D227" s="307"/>
      <c r="E227" s="307"/>
      <c r="F227" s="307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</row>
    <row r="228" spans="2:26" s="235" customFormat="1" ht="13.8">
      <c r="B228" s="307"/>
      <c r="C228" s="307"/>
      <c r="D228" s="307"/>
      <c r="E228" s="307"/>
      <c r="F228" s="307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</row>
    <row r="229" spans="2:26" s="235" customFormat="1" ht="13.8">
      <c r="B229" s="307"/>
      <c r="C229" s="307"/>
      <c r="D229" s="307"/>
      <c r="E229" s="307"/>
      <c r="F229" s="307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</row>
    <row r="230" spans="2:26" s="235" customFormat="1" ht="13.8">
      <c r="B230" s="307"/>
      <c r="C230" s="307"/>
      <c r="D230" s="307"/>
      <c r="E230" s="307"/>
      <c r="F230" s="307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</row>
    <row r="231" spans="2:26" s="235" customFormat="1" ht="13.8">
      <c r="B231" s="307"/>
      <c r="C231" s="307"/>
      <c r="D231" s="307"/>
      <c r="E231" s="307"/>
      <c r="F231" s="307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</row>
    <row r="232" spans="2:26" s="235" customFormat="1" ht="13.8">
      <c r="B232" s="307"/>
      <c r="C232" s="307"/>
      <c r="D232" s="307"/>
      <c r="E232" s="307"/>
      <c r="F232" s="307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</row>
    <row r="233" spans="2:26" s="235" customFormat="1" ht="13.8">
      <c r="B233" s="307"/>
      <c r="C233" s="307"/>
      <c r="D233" s="307"/>
      <c r="E233" s="307"/>
      <c r="F233" s="307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</row>
    <row r="234" spans="2:26" s="235" customFormat="1" ht="13.8">
      <c r="B234" s="307"/>
      <c r="C234" s="307"/>
      <c r="D234" s="307"/>
      <c r="E234" s="307"/>
      <c r="F234" s="307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</row>
    <row r="235" spans="2:26" s="235" customFormat="1" ht="13.8">
      <c r="B235" s="307"/>
      <c r="C235" s="307"/>
      <c r="D235" s="307"/>
      <c r="E235" s="307"/>
      <c r="F235" s="307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</row>
    <row r="236" spans="2:26" s="235" customFormat="1" ht="13.8">
      <c r="B236" s="307"/>
      <c r="C236" s="307"/>
      <c r="D236" s="307"/>
      <c r="E236" s="307"/>
      <c r="F236" s="307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</row>
    <row r="237" spans="2:26" s="235" customFormat="1" ht="13.8">
      <c r="B237" s="307"/>
      <c r="C237" s="307"/>
      <c r="D237" s="307"/>
      <c r="E237" s="307"/>
      <c r="F237" s="307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</row>
    <row r="238" spans="2:26" s="235" customFormat="1" ht="13.8">
      <c r="B238" s="307"/>
      <c r="C238" s="307"/>
      <c r="D238" s="307"/>
      <c r="E238" s="307"/>
      <c r="F238" s="307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</row>
    <row r="239" spans="2:26" s="235" customFormat="1" ht="13.8">
      <c r="B239" s="307"/>
      <c r="C239" s="307"/>
      <c r="D239" s="307"/>
      <c r="E239" s="307"/>
      <c r="F239" s="307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</row>
    <row r="240" spans="2:26" s="235" customFormat="1" ht="13.8">
      <c r="B240" s="307"/>
      <c r="C240" s="307"/>
      <c r="D240" s="307"/>
      <c r="E240" s="307"/>
      <c r="F240" s="307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</row>
    <row r="241" spans="2:26" s="235" customFormat="1" ht="13.8">
      <c r="B241" s="307"/>
      <c r="C241" s="307"/>
      <c r="D241" s="307"/>
      <c r="E241" s="307"/>
      <c r="F241" s="307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</row>
    <row r="242" spans="2:26" s="235" customFormat="1" ht="13.8">
      <c r="B242" s="307"/>
      <c r="C242" s="307"/>
      <c r="D242" s="307"/>
      <c r="E242" s="307"/>
      <c r="F242" s="307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</row>
    <row r="243" spans="2:26" s="235" customFormat="1" ht="13.8">
      <c r="B243" s="307"/>
      <c r="C243" s="307"/>
      <c r="D243" s="307"/>
      <c r="E243" s="307"/>
      <c r="F243" s="307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</row>
    <row r="244" spans="2:26" s="235" customFormat="1" ht="13.8">
      <c r="B244" s="307"/>
      <c r="C244" s="307"/>
      <c r="D244" s="307"/>
      <c r="E244" s="307"/>
      <c r="F244" s="307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</row>
    <row r="245" spans="2:26" s="235" customFormat="1" ht="13.8">
      <c r="B245" s="307"/>
      <c r="C245" s="307"/>
      <c r="D245" s="307"/>
      <c r="E245" s="307"/>
      <c r="F245" s="307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</row>
    <row r="246" spans="2:26" s="235" customFormat="1" ht="13.8">
      <c r="B246" s="307"/>
      <c r="C246" s="307"/>
      <c r="D246" s="307"/>
      <c r="E246" s="307"/>
      <c r="F246" s="307"/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23"/>
      <c r="Z246" s="123"/>
    </row>
    <row r="247" spans="2:26" s="235" customFormat="1" ht="13.8">
      <c r="B247" s="307"/>
      <c r="C247" s="307"/>
      <c r="D247" s="307"/>
      <c r="E247" s="307"/>
      <c r="F247" s="307"/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23"/>
      <c r="Z247" s="123"/>
    </row>
    <row r="248" spans="2:26" s="235" customFormat="1" ht="13.8">
      <c r="B248" s="307"/>
      <c r="C248" s="307"/>
      <c r="D248" s="307"/>
      <c r="E248" s="307"/>
      <c r="F248" s="307"/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23"/>
      <c r="Z248" s="123"/>
    </row>
    <row r="249" spans="2:26" s="235" customFormat="1" ht="13.8">
      <c r="B249" s="307"/>
      <c r="C249" s="307"/>
      <c r="D249" s="307"/>
      <c r="E249" s="307"/>
      <c r="F249" s="307"/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23"/>
      <c r="Z249" s="123"/>
    </row>
    <row r="250" spans="2:26" s="235" customFormat="1" ht="13.8">
      <c r="B250" s="307"/>
      <c r="C250" s="307"/>
      <c r="D250" s="307"/>
      <c r="E250" s="307"/>
      <c r="F250" s="307"/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23"/>
      <c r="Z250" s="123"/>
    </row>
    <row r="251" spans="2:26" s="235" customFormat="1" ht="13.8">
      <c r="B251" s="307"/>
      <c r="C251" s="307"/>
      <c r="D251" s="307"/>
      <c r="E251" s="307"/>
      <c r="F251" s="307"/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23"/>
      <c r="Z251" s="123"/>
    </row>
    <row r="252" spans="2:26" s="235" customFormat="1" ht="13.8">
      <c r="B252" s="307"/>
      <c r="C252" s="307"/>
      <c r="D252" s="307"/>
      <c r="E252" s="307"/>
      <c r="F252" s="307"/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23"/>
      <c r="Z252" s="123"/>
    </row>
    <row r="253" spans="2:26" s="235" customFormat="1" ht="13.8">
      <c r="B253" s="307"/>
      <c r="C253" s="307"/>
      <c r="D253" s="307"/>
      <c r="E253" s="307"/>
      <c r="F253" s="307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123"/>
    </row>
    <row r="254" spans="2:26" s="235" customFormat="1" ht="13.8">
      <c r="B254" s="307"/>
      <c r="C254" s="307"/>
      <c r="D254" s="307"/>
      <c r="E254" s="307"/>
      <c r="F254" s="307"/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23"/>
      <c r="Z254" s="123"/>
    </row>
    <row r="255" spans="2:26" s="235" customFormat="1" ht="13.8">
      <c r="B255" s="307"/>
      <c r="C255" s="307"/>
      <c r="D255" s="307"/>
      <c r="E255" s="307"/>
      <c r="F255" s="307"/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23"/>
      <c r="Z255" s="123"/>
    </row>
    <row r="256" spans="2:26" s="235" customFormat="1" ht="13.8">
      <c r="B256" s="307"/>
      <c r="C256" s="307"/>
      <c r="D256" s="307"/>
      <c r="E256" s="307"/>
      <c r="F256" s="307"/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</row>
    <row r="257" spans="2:26" s="235" customFormat="1" ht="13.8">
      <c r="B257" s="307"/>
      <c r="C257" s="307"/>
      <c r="D257" s="307"/>
      <c r="E257" s="307"/>
      <c r="F257" s="307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</row>
    <row r="258" spans="2:26" s="235" customFormat="1" ht="13.8">
      <c r="B258" s="307"/>
      <c r="C258" s="307"/>
      <c r="D258" s="307"/>
      <c r="E258" s="307"/>
      <c r="F258" s="307"/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</row>
    <row r="259" spans="2:26" s="235" customFormat="1" ht="13.8">
      <c r="B259" s="307"/>
      <c r="C259" s="307"/>
      <c r="D259" s="307"/>
      <c r="E259" s="307"/>
      <c r="F259" s="307"/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23"/>
      <c r="Z259" s="123"/>
    </row>
    <row r="260" spans="2:26" s="235" customFormat="1" ht="13.8">
      <c r="B260" s="307"/>
      <c r="C260" s="307"/>
      <c r="D260" s="307"/>
      <c r="E260" s="307"/>
      <c r="F260" s="307"/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23"/>
      <c r="Z260" s="123"/>
    </row>
    <row r="261" spans="2:26" s="235" customFormat="1" ht="13.8">
      <c r="B261" s="307"/>
      <c r="C261" s="307"/>
      <c r="D261" s="307"/>
      <c r="E261" s="307"/>
      <c r="F261" s="307"/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23"/>
      <c r="Z261" s="123"/>
    </row>
    <row r="262" spans="2:26" s="235" customFormat="1" ht="13.8">
      <c r="B262" s="307"/>
      <c r="C262" s="307"/>
      <c r="D262" s="307"/>
      <c r="E262" s="307"/>
      <c r="F262" s="307"/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23"/>
      <c r="Z262" s="123"/>
    </row>
    <row r="263" spans="2:26" s="235" customFormat="1" ht="13.8">
      <c r="B263" s="307"/>
      <c r="C263" s="307"/>
      <c r="D263" s="307"/>
      <c r="E263" s="307"/>
      <c r="F263" s="307"/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23"/>
      <c r="Z263" s="123"/>
    </row>
    <row r="264" spans="2:26" s="235" customFormat="1" ht="13.8">
      <c r="B264" s="307"/>
      <c r="C264" s="307"/>
      <c r="D264" s="307"/>
      <c r="E264" s="307"/>
      <c r="F264" s="307"/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23"/>
      <c r="Z264" s="123"/>
    </row>
    <row r="265" spans="2:26" s="235" customFormat="1" ht="13.8">
      <c r="B265" s="307"/>
      <c r="C265" s="307"/>
      <c r="D265" s="307"/>
      <c r="E265" s="307"/>
      <c r="F265" s="307"/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23"/>
      <c r="Z265" s="123"/>
    </row>
    <row r="266" spans="2:26" s="235" customFormat="1" ht="13.8">
      <c r="B266" s="307"/>
      <c r="C266" s="307"/>
      <c r="D266" s="307"/>
      <c r="E266" s="307"/>
      <c r="F266" s="307"/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23"/>
      <c r="Z266" s="123"/>
    </row>
    <row r="267" spans="2:26" s="235" customFormat="1" ht="13.8">
      <c r="B267" s="307"/>
      <c r="C267" s="307"/>
      <c r="D267" s="307"/>
      <c r="E267" s="307"/>
      <c r="F267" s="307"/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23"/>
      <c r="Z267" s="123"/>
    </row>
    <row r="268" spans="2:26" s="235" customFormat="1" ht="13.8">
      <c r="B268" s="307"/>
      <c r="C268" s="307"/>
      <c r="D268" s="307"/>
      <c r="E268" s="307"/>
      <c r="F268" s="307"/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23"/>
      <c r="Z268" s="123"/>
    </row>
    <row r="269" spans="2:26" s="235" customFormat="1" ht="13.8">
      <c r="B269" s="307"/>
      <c r="C269" s="307"/>
      <c r="D269" s="307"/>
      <c r="E269" s="307"/>
      <c r="F269" s="307"/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23"/>
      <c r="Z269" s="123"/>
    </row>
    <row r="270" spans="2:26" s="235" customFormat="1" ht="13.8">
      <c r="B270" s="307"/>
      <c r="C270" s="307"/>
      <c r="D270" s="307"/>
      <c r="E270" s="307"/>
      <c r="F270" s="307"/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23"/>
      <c r="Z270" s="123"/>
    </row>
    <row r="271" spans="2:26" s="235" customFormat="1" ht="13.8">
      <c r="B271" s="307"/>
      <c r="C271" s="307"/>
      <c r="D271" s="307"/>
      <c r="E271" s="307"/>
      <c r="F271" s="307"/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23"/>
      <c r="Z271" s="123"/>
    </row>
    <row r="272" spans="2:26" s="235" customFormat="1" ht="13.8">
      <c r="B272" s="307"/>
      <c r="C272" s="307"/>
      <c r="D272" s="307"/>
      <c r="E272" s="307"/>
      <c r="F272" s="307"/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23"/>
      <c r="Z272" s="123"/>
    </row>
    <row r="273" spans="2:26" s="235" customFormat="1" ht="13.8">
      <c r="B273" s="307"/>
      <c r="C273" s="307"/>
      <c r="D273" s="307"/>
      <c r="E273" s="307"/>
      <c r="F273" s="307"/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23"/>
      <c r="Z273" s="123"/>
    </row>
    <row r="274" spans="2:26" s="235" customFormat="1" ht="13.8">
      <c r="B274" s="307"/>
      <c r="C274" s="307"/>
      <c r="D274" s="307"/>
      <c r="E274" s="307"/>
      <c r="F274" s="307"/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  <c r="Z274" s="123"/>
    </row>
    <row r="275" spans="2:26" s="235" customFormat="1" ht="13.8">
      <c r="B275" s="307"/>
      <c r="C275" s="307"/>
      <c r="D275" s="307"/>
      <c r="E275" s="307"/>
      <c r="F275" s="307"/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23"/>
      <c r="Z275" s="123"/>
    </row>
    <row r="276" spans="2:26" s="235" customFormat="1" ht="13.8">
      <c r="B276" s="307"/>
      <c r="C276" s="307"/>
      <c r="D276" s="307"/>
      <c r="E276" s="307"/>
      <c r="F276" s="307"/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23"/>
      <c r="Z276" s="123"/>
    </row>
    <row r="277" spans="2:26" s="235" customFormat="1" ht="13.8">
      <c r="B277" s="307"/>
      <c r="C277" s="307"/>
      <c r="D277" s="307"/>
      <c r="E277" s="307"/>
      <c r="F277" s="307"/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23"/>
      <c r="Z277" s="123"/>
    </row>
    <row r="278" spans="2:26" s="235" customFormat="1" ht="13.8">
      <c r="B278" s="307"/>
      <c r="C278" s="307"/>
      <c r="D278" s="307"/>
      <c r="E278" s="307"/>
      <c r="F278" s="307"/>
      <c r="M278" s="123"/>
      <c r="N278" s="123"/>
      <c r="O278" s="123"/>
      <c r="P278" s="123"/>
      <c r="Q278" s="123"/>
      <c r="R278" s="123"/>
      <c r="S278" s="123"/>
      <c r="T278" s="123"/>
      <c r="U278" s="123"/>
      <c r="V278" s="123"/>
      <c r="W278" s="123"/>
      <c r="X278" s="123"/>
      <c r="Y278" s="123"/>
      <c r="Z278" s="123"/>
    </row>
    <row r="279" spans="2:26" s="235" customFormat="1" ht="13.8">
      <c r="B279" s="307"/>
      <c r="C279" s="307"/>
      <c r="D279" s="307"/>
      <c r="E279" s="307"/>
      <c r="F279" s="307"/>
      <c r="M279" s="123"/>
      <c r="N279" s="123"/>
      <c r="O279" s="123"/>
      <c r="P279" s="123"/>
      <c r="Q279" s="123"/>
      <c r="R279" s="123"/>
      <c r="S279" s="123"/>
      <c r="T279" s="123"/>
      <c r="U279" s="123"/>
      <c r="V279" s="123"/>
      <c r="W279" s="123"/>
      <c r="X279" s="123"/>
      <c r="Y279" s="123"/>
      <c r="Z279" s="123"/>
    </row>
    <row r="280" spans="2:26" s="235" customFormat="1" ht="13.8">
      <c r="B280" s="307"/>
      <c r="C280" s="307"/>
      <c r="D280" s="307"/>
      <c r="E280" s="307"/>
      <c r="F280" s="307"/>
      <c r="M280" s="123"/>
      <c r="N280" s="123"/>
      <c r="O280" s="123"/>
      <c r="P280" s="123"/>
      <c r="Q280" s="123"/>
      <c r="R280" s="123"/>
      <c r="S280" s="123"/>
      <c r="T280" s="123"/>
      <c r="U280" s="123"/>
      <c r="V280" s="123"/>
      <c r="W280" s="123"/>
      <c r="X280" s="123"/>
      <c r="Y280" s="123"/>
      <c r="Z280" s="123"/>
    </row>
    <row r="281" spans="2:26" s="235" customFormat="1" ht="13.8">
      <c r="B281" s="307"/>
      <c r="C281" s="307"/>
      <c r="D281" s="307"/>
      <c r="E281" s="307"/>
      <c r="F281" s="307"/>
      <c r="M281" s="123"/>
      <c r="N281" s="123"/>
      <c r="O281" s="123"/>
      <c r="P281" s="123"/>
      <c r="Q281" s="123"/>
      <c r="R281" s="123"/>
      <c r="S281" s="123"/>
      <c r="T281" s="123"/>
      <c r="U281" s="123"/>
      <c r="V281" s="123"/>
      <c r="W281" s="123"/>
      <c r="X281" s="123"/>
      <c r="Y281" s="123"/>
      <c r="Z281" s="123"/>
    </row>
    <row r="282" spans="2:26" s="235" customFormat="1" ht="13.8">
      <c r="B282" s="307"/>
      <c r="C282" s="307"/>
      <c r="D282" s="307"/>
      <c r="E282" s="307"/>
      <c r="F282" s="307"/>
      <c r="M282" s="123"/>
      <c r="N282" s="123"/>
      <c r="O282" s="123"/>
      <c r="P282" s="123"/>
      <c r="Q282" s="123"/>
      <c r="R282" s="123"/>
      <c r="S282" s="123"/>
      <c r="T282" s="123"/>
      <c r="U282" s="123"/>
      <c r="V282" s="123"/>
      <c r="W282" s="123"/>
      <c r="X282" s="123"/>
      <c r="Y282" s="123"/>
      <c r="Z282" s="123"/>
    </row>
    <row r="283" spans="2:26" s="235" customFormat="1" ht="13.8">
      <c r="B283" s="307"/>
      <c r="C283" s="307"/>
      <c r="D283" s="307"/>
      <c r="E283" s="307"/>
      <c r="F283" s="307"/>
      <c r="M283" s="123"/>
      <c r="N283" s="123"/>
      <c r="O283" s="123"/>
      <c r="P283" s="123"/>
      <c r="Q283" s="123"/>
      <c r="R283" s="123"/>
      <c r="S283" s="123"/>
      <c r="T283" s="123"/>
      <c r="U283" s="123"/>
      <c r="V283" s="123"/>
      <c r="W283" s="123"/>
      <c r="X283" s="123"/>
      <c r="Y283" s="123"/>
      <c r="Z283" s="123"/>
    </row>
    <row r="284" spans="2:26" s="235" customFormat="1" ht="13.8">
      <c r="B284" s="307"/>
      <c r="C284" s="307"/>
      <c r="D284" s="307"/>
      <c r="E284" s="307"/>
      <c r="F284" s="307"/>
      <c r="M284" s="123"/>
      <c r="N284" s="123"/>
      <c r="O284" s="123"/>
      <c r="P284" s="123"/>
      <c r="Q284" s="123"/>
      <c r="R284" s="123"/>
      <c r="S284" s="123"/>
      <c r="T284" s="123"/>
      <c r="U284" s="123"/>
      <c r="V284" s="123"/>
      <c r="W284" s="123"/>
      <c r="X284" s="123"/>
      <c r="Y284" s="123"/>
      <c r="Z284" s="123"/>
    </row>
    <row r="285" spans="2:26" s="235" customFormat="1" ht="13.8">
      <c r="B285" s="307"/>
      <c r="C285" s="307"/>
      <c r="D285" s="307"/>
      <c r="E285" s="307"/>
      <c r="F285" s="307"/>
      <c r="M285" s="123"/>
      <c r="N285" s="123"/>
      <c r="O285" s="123"/>
      <c r="P285" s="123"/>
      <c r="Q285" s="123"/>
      <c r="R285" s="123"/>
      <c r="S285" s="123"/>
      <c r="T285" s="123"/>
      <c r="U285" s="123"/>
      <c r="V285" s="123"/>
      <c r="W285" s="123"/>
      <c r="X285" s="123"/>
      <c r="Y285" s="123"/>
      <c r="Z285" s="123"/>
    </row>
    <row r="286" spans="2:26" s="235" customFormat="1" ht="13.8">
      <c r="B286" s="307"/>
      <c r="C286" s="307"/>
      <c r="D286" s="307"/>
      <c r="E286" s="307"/>
      <c r="F286" s="307"/>
      <c r="M286" s="123"/>
      <c r="N286" s="123"/>
      <c r="O286" s="123"/>
      <c r="P286" s="123"/>
      <c r="Q286" s="123"/>
      <c r="R286" s="123"/>
      <c r="S286" s="123"/>
      <c r="T286" s="123"/>
      <c r="U286" s="123"/>
      <c r="V286" s="123"/>
      <c r="W286" s="123"/>
      <c r="X286" s="123"/>
      <c r="Y286" s="123"/>
      <c r="Z286" s="123"/>
    </row>
    <row r="287" spans="2:26" s="235" customFormat="1" ht="13.8">
      <c r="B287" s="307"/>
      <c r="C287" s="307"/>
      <c r="D287" s="307"/>
      <c r="E287" s="307"/>
      <c r="F287" s="307"/>
      <c r="M287" s="123"/>
      <c r="N287" s="123"/>
      <c r="O287" s="123"/>
      <c r="P287" s="123"/>
      <c r="Q287" s="123"/>
      <c r="R287" s="123"/>
      <c r="S287" s="123"/>
      <c r="T287" s="123"/>
      <c r="U287" s="123"/>
      <c r="V287" s="123"/>
      <c r="W287" s="123"/>
      <c r="X287" s="123"/>
      <c r="Y287" s="123"/>
      <c r="Z287" s="123"/>
    </row>
    <row r="288" spans="2:26" s="235" customFormat="1" ht="13.8">
      <c r="B288" s="307"/>
      <c r="C288" s="307"/>
      <c r="D288" s="307"/>
      <c r="E288" s="307"/>
      <c r="F288" s="307"/>
      <c r="M288" s="123"/>
      <c r="N288" s="123"/>
      <c r="O288" s="123"/>
      <c r="P288" s="123"/>
      <c r="Q288" s="123"/>
      <c r="R288" s="123"/>
      <c r="S288" s="123"/>
      <c r="T288" s="123"/>
      <c r="U288" s="123"/>
      <c r="V288" s="123"/>
      <c r="W288" s="123"/>
      <c r="X288" s="123"/>
      <c r="Y288" s="123"/>
      <c r="Z288" s="123"/>
    </row>
    <row r="289" spans="2:26" s="235" customFormat="1" ht="13.8">
      <c r="B289" s="307"/>
      <c r="C289" s="307"/>
      <c r="D289" s="307"/>
      <c r="E289" s="307"/>
      <c r="F289" s="307"/>
      <c r="M289" s="123"/>
      <c r="N289" s="123"/>
      <c r="O289" s="123"/>
      <c r="P289" s="123"/>
      <c r="Q289" s="123"/>
      <c r="R289" s="123"/>
      <c r="S289" s="123"/>
      <c r="T289" s="123"/>
      <c r="U289" s="123"/>
      <c r="V289" s="123"/>
      <c r="W289" s="123"/>
      <c r="X289" s="123"/>
      <c r="Y289" s="123"/>
      <c r="Z289" s="123"/>
    </row>
    <row r="290" spans="2:26" s="235" customFormat="1" ht="13.8">
      <c r="B290" s="307"/>
      <c r="C290" s="307"/>
      <c r="D290" s="307"/>
      <c r="E290" s="307"/>
      <c r="F290" s="307"/>
      <c r="M290" s="123"/>
      <c r="N290" s="123"/>
      <c r="O290" s="123"/>
      <c r="P290" s="123"/>
      <c r="Q290" s="123"/>
      <c r="R290" s="123"/>
      <c r="S290" s="123"/>
      <c r="T290" s="123"/>
      <c r="U290" s="123"/>
      <c r="V290" s="123"/>
      <c r="W290" s="123"/>
      <c r="X290" s="123"/>
      <c r="Y290" s="123"/>
      <c r="Z290" s="123"/>
    </row>
    <row r="291" spans="2:26" s="235" customFormat="1" ht="13.8">
      <c r="B291" s="307"/>
      <c r="C291" s="307"/>
      <c r="D291" s="307"/>
      <c r="E291" s="307"/>
      <c r="F291" s="307"/>
      <c r="M291" s="123"/>
      <c r="N291" s="123"/>
      <c r="O291" s="123"/>
      <c r="P291" s="123"/>
      <c r="Q291" s="123"/>
      <c r="R291" s="123"/>
      <c r="S291" s="123"/>
      <c r="T291" s="123"/>
      <c r="U291" s="123"/>
      <c r="V291" s="123"/>
      <c r="W291" s="123"/>
      <c r="X291" s="123"/>
      <c r="Y291" s="123"/>
      <c r="Z291" s="123"/>
    </row>
    <row r="292" spans="2:26" s="235" customFormat="1" ht="13.8">
      <c r="B292" s="307"/>
      <c r="C292" s="307"/>
      <c r="D292" s="307"/>
      <c r="E292" s="307"/>
      <c r="F292" s="307"/>
      <c r="M292" s="123"/>
      <c r="N292" s="123"/>
      <c r="O292" s="123"/>
      <c r="P292" s="123"/>
      <c r="Q292" s="123"/>
      <c r="R292" s="123"/>
      <c r="S292" s="123"/>
      <c r="T292" s="123"/>
      <c r="U292" s="123"/>
      <c r="V292" s="123"/>
      <c r="W292" s="123"/>
      <c r="X292" s="123"/>
      <c r="Y292" s="123"/>
      <c r="Z292" s="123"/>
    </row>
    <row r="293" spans="2:26" s="235" customFormat="1" ht="13.8">
      <c r="B293" s="307"/>
      <c r="C293" s="307"/>
      <c r="D293" s="307"/>
      <c r="E293" s="307"/>
      <c r="F293" s="307"/>
      <c r="M293" s="123"/>
      <c r="N293" s="123"/>
      <c r="O293" s="123"/>
      <c r="P293" s="123"/>
      <c r="Q293" s="123"/>
      <c r="R293" s="123"/>
      <c r="S293" s="123"/>
      <c r="T293" s="123"/>
      <c r="U293" s="123"/>
      <c r="V293" s="123"/>
      <c r="W293" s="123"/>
      <c r="X293" s="123"/>
      <c r="Y293" s="123"/>
      <c r="Z293" s="123"/>
    </row>
    <row r="294" spans="2:26" s="235" customFormat="1" ht="13.8">
      <c r="B294" s="307"/>
      <c r="C294" s="307"/>
      <c r="D294" s="307"/>
      <c r="E294" s="307"/>
      <c r="F294" s="307"/>
      <c r="M294" s="123"/>
      <c r="N294" s="123"/>
      <c r="O294" s="123"/>
      <c r="P294" s="123"/>
      <c r="Q294" s="123"/>
      <c r="R294" s="123"/>
      <c r="S294" s="123"/>
      <c r="T294" s="123"/>
      <c r="U294" s="123"/>
      <c r="V294" s="123"/>
      <c r="W294" s="123"/>
      <c r="X294" s="123"/>
      <c r="Y294" s="123"/>
      <c r="Z294" s="123"/>
    </row>
    <row r="295" spans="2:26" s="235" customFormat="1" ht="13.8">
      <c r="B295" s="307"/>
      <c r="C295" s="307"/>
      <c r="D295" s="307"/>
      <c r="E295" s="307"/>
      <c r="F295" s="307"/>
      <c r="M295" s="123"/>
      <c r="N295" s="123"/>
      <c r="O295" s="123"/>
      <c r="P295" s="123"/>
      <c r="Q295" s="123"/>
      <c r="R295" s="123"/>
      <c r="S295" s="123"/>
      <c r="T295" s="123"/>
      <c r="U295" s="123"/>
      <c r="V295" s="123"/>
      <c r="W295" s="123"/>
      <c r="X295" s="123"/>
      <c r="Y295" s="123"/>
      <c r="Z295" s="123"/>
    </row>
    <row r="296" spans="2:26" s="235" customFormat="1" ht="13.8">
      <c r="B296" s="307"/>
      <c r="C296" s="307"/>
      <c r="D296" s="307"/>
      <c r="E296" s="307"/>
      <c r="F296" s="307"/>
      <c r="M296" s="123"/>
      <c r="N296" s="123"/>
      <c r="O296" s="123"/>
      <c r="P296" s="123"/>
      <c r="Q296" s="123"/>
      <c r="R296" s="123"/>
      <c r="S296" s="123"/>
      <c r="T296" s="123"/>
      <c r="U296" s="123"/>
      <c r="V296" s="123"/>
      <c r="W296" s="123"/>
      <c r="X296" s="123"/>
      <c r="Y296" s="123"/>
      <c r="Z296" s="123"/>
    </row>
    <row r="297" spans="2:26" s="235" customFormat="1" ht="13.8">
      <c r="B297" s="307"/>
      <c r="C297" s="307"/>
      <c r="D297" s="307"/>
      <c r="E297" s="307"/>
      <c r="F297" s="307"/>
      <c r="M297" s="123"/>
      <c r="N297" s="123"/>
      <c r="O297" s="123"/>
      <c r="P297" s="123"/>
      <c r="Q297" s="123"/>
      <c r="R297" s="123"/>
      <c r="S297" s="123"/>
      <c r="T297" s="123"/>
      <c r="U297" s="123"/>
      <c r="V297" s="123"/>
      <c r="W297" s="123"/>
      <c r="X297" s="123"/>
      <c r="Y297" s="123"/>
      <c r="Z297" s="123"/>
    </row>
    <row r="298" spans="2:26" s="235" customFormat="1" ht="13.8">
      <c r="B298" s="307"/>
      <c r="C298" s="307"/>
      <c r="D298" s="307"/>
      <c r="E298" s="307"/>
      <c r="F298" s="307"/>
      <c r="M298" s="123"/>
      <c r="N298" s="123"/>
      <c r="O298" s="123"/>
      <c r="P298" s="123"/>
      <c r="Q298" s="123"/>
      <c r="R298" s="123"/>
      <c r="S298" s="123"/>
      <c r="T298" s="123"/>
      <c r="U298" s="123"/>
      <c r="V298" s="123"/>
      <c r="W298" s="123"/>
      <c r="X298" s="123"/>
      <c r="Y298" s="123"/>
      <c r="Z298" s="123"/>
    </row>
    <row r="299" spans="2:26" s="235" customFormat="1" ht="13.8">
      <c r="B299" s="307"/>
      <c r="C299" s="307"/>
      <c r="D299" s="307"/>
      <c r="E299" s="307"/>
      <c r="F299" s="307"/>
      <c r="M299" s="123"/>
      <c r="N299" s="123"/>
      <c r="O299" s="123"/>
      <c r="P299" s="123"/>
      <c r="Q299" s="123"/>
      <c r="R299" s="123"/>
      <c r="S299" s="123"/>
      <c r="T299" s="123"/>
      <c r="U299" s="123"/>
      <c r="V299" s="123"/>
      <c r="W299" s="123"/>
      <c r="X299" s="123"/>
      <c r="Y299" s="123"/>
      <c r="Z299" s="123"/>
    </row>
    <row r="300" spans="2:26" s="235" customFormat="1" ht="13.8">
      <c r="B300" s="307"/>
      <c r="C300" s="307"/>
      <c r="D300" s="307"/>
      <c r="E300" s="307"/>
      <c r="F300" s="307"/>
      <c r="M300" s="123"/>
      <c r="N300" s="123"/>
      <c r="O300" s="123"/>
      <c r="P300" s="123"/>
      <c r="Q300" s="123"/>
      <c r="R300" s="123"/>
      <c r="S300" s="123"/>
      <c r="T300" s="123"/>
      <c r="U300" s="123"/>
      <c r="V300" s="123"/>
      <c r="W300" s="123"/>
      <c r="X300" s="123"/>
      <c r="Y300" s="123"/>
      <c r="Z300" s="123"/>
    </row>
    <row r="301" spans="2:26" s="235" customFormat="1" ht="13.8">
      <c r="B301" s="307"/>
      <c r="C301" s="307"/>
      <c r="D301" s="307"/>
      <c r="E301" s="307"/>
      <c r="F301" s="307"/>
      <c r="M301" s="123"/>
      <c r="N301" s="123"/>
      <c r="O301" s="123"/>
      <c r="P301" s="123"/>
      <c r="Q301" s="123"/>
      <c r="R301" s="123"/>
      <c r="S301" s="123"/>
      <c r="T301" s="123"/>
      <c r="U301" s="123"/>
      <c r="V301" s="123"/>
      <c r="W301" s="123"/>
      <c r="X301" s="123"/>
      <c r="Y301" s="123"/>
      <c r="Z301" s="123"/>
    </row>
    <row r="302" spans="2:26" s="235" customFormat="1" ht="13.8">
      <c r="B302" s="307"/>
      <c r="C302" s="307"/>
      <c r="D302" s="307"/>
      <c r="E302" s="307"/>
      <c r="F302" s="307"/>
      <c r="M302" s="123"/>
      <c r="N302" s="123"/>
      <c r="O302" s="123"/>
      <c r="P302" s="123"/>
      <c r="Q302" s="123"/>
      <c r="R302" s="123"/>
      <c r="S302" s="123"/>
      <c r="T302" s="123"/>
      <c r="U302" s="123"/>
      <c r="V302" s="123"/>
      <c r="W302" s="123"/>
      <c r="X302" s="123"/>
      <c r="Y302" s="123"/>
      <c r="Z302" s="123"/>
    </row>
    <row r="303" spans="2:26" s="235" customFormat="1" ht="13.8">
      <c r="B303" s="307"/>
      <c r="C303" s="307"/>
      <c r="D303" s="307"/>
      <c r="E303" s="307"/>
      <c r="F303" s="307"/>
      <c r="M303" s="123"/>
      <c r="N303" s="123"/>
      <c r="O303" s="123"/>
      <c r="P303" s="123"/>
      <c r="Q303" s="123"/>
      <c r="R303" s="123"/>
      <c r="S303" s="123"/>
      <c r="T303" s="123"/>
      <c r="U303" s="123"/>
      <c r="V303" s="123"/>
      <c r="W303" s="123"/>
      <c r="X303" s="123"/>
      <c r="Y303" s="123"/>
      <c r="Z303" s="123"/>
    </row>
    <row r="304" spans="2:26" s="235" customFormat="1" ht="13.8">
      <c r="B304" s="307"/>
      <c r="C304" s="307"/>
      <c r="D304" s="307"/>
      <c r="E304" s="307"/>
      <c r="F304" s="307"/>
      <c r="M304" s="123"/>
      <c r="N304" s="123"/>
      <c r="O304" s="123"/>
      <c r="P304" s="123"/>
      <c r="Q304" s="123"/>
      <c r="R304" s="123"/>
      <c r="S304" s="123"/>
      <c r="T304" s="123"/>
      <c r="U304" s="123"/>
      <c r="V304" s="123"/>
      <c r="W304" s="123"/>
      <c r="X304" s="123"/>
      <c r="Y304" s="123"/>
      <c r="Z304" s="123"/>
    </row>
    <row r="305" spans="2:26" s="235" customFormat="1" ht="13.8">
      <c r="B305" s="307"/>
      <c r="C305" s="307"/>
      <c r="D305" s="307"/>
      <c r="E305" s="307"/>
      <c r="F305" s="307"/>
      <c r="M305" s="123"/>
      <c r="N305" s="123"/>
      <c r="O305" s="123"/>
      <c r="P305" s="123"/>
      <c r="Q305" s="123"/>
      <c r="R305" s="123"/>
      <c r="S305" s="123"/>
      <c r="T305" s="123"/>
      <c r="U305" s="123"/>
      <c r="V305" s="123"/>
      <c r="W305" s="123"/>
      <c r="X305" s="123"/>
      <c r="Y305" s="123"/>
      <c r="Z305" s="123"/>
    </row>
    <row r="306" spans="2:26" s="235" customFormat="1" ht="13.8">
      <c r="B306" s="307"/>
      <c r="C306" s="307"/>
      <c r="D306" s="307"/>
      <c r="E306" s="307"/>
      <c r="F306" s="307"/>
      <c r="M306" s="123"/>
      <c r="N306" s="123"/>
      <c r="O306" s="123"/>
      <c r="P306" s="123"/>
      <c r="Q306" s="123"/>
      <c r="R306" s="123"/>
      <c r="S306" s="123"/>
      <c r="T306" s="123"/>
      <c r="U306" s="123"/>
      <c r="V306" s="123"/>
      <c r="W306" s="123"/>
      <c r="X306" s="123"/>
      <c r="Y306" s="123"/>
      <c r="Z306" s="123"/>
    </row>
    <row r="307" spans="2:26" s="235" customFormat="1" ht="13.8">
      <c r="B307" s="307"/>
      <c r="C307" s="307"/>
      <c r="D307" s="307"/>
      <c r="E307" s="307"/>
      <c r="F307" s="307"/>
      <c r="M307" s="123"/>
      <c r="N307" s="123"/>
      <c r="O307" s="123"/>
      <c r="P307" s="123"/>
      <c r="Q307" s="123"/>
      <c r="R307" s="123"/>
      <c r="S307" s="123"/>
      <c r="T307" s="123"/>
      <c r="U307" s="123"/>
      <c r="V307" s="123"/>
      <c r="W307" s="123"/>
      <c r="X307" s="123"/>
      <c r="Y307" s="123"/>
      <c r="Z307" s="123"/>
    </row>
    <row r="308" spans="2:26" s="235" customFormat="1" ht="13.8">
      <c r="B308" s="307"/>
      <c r="C308" s="307"/>
      <c r="D308" s="307"/>
      <c r="E308" s="307"/>
      <c r="F308" s="307"/>
      <c r="M308" s="123"/>
      <c r="N308" s="123"/>
      <c r="O308" s="123"/>
      <c r="P308" s="123"/>
      <c r="Q308" s="123"/>
      <c r="R308" s="123"/>
      <c r="S308" s="123"/>
      <c r="T308" s="123"/>
      <c r="U308" s="123"/>
      <c r="V308" s="123"/>
      <c r="W308" s="123"/>
      <c r="X308" s="123"/>
      <c r="Y308" s="123"/>
      <c r="Z308" s="123"/>
    </row>
    <row r="309" spans="2:26" s="235" customFormat="1" ht="13.8">
      <c r="B309" s="307"/>
      <c r="C309" s="307"/>
      <c r="D309" s="307"/>
      <c r="E309" s="307"/>
      <c r="F309" s="307"/>
      <c r="M309" s="123"/>
      <c r="N309" s="123"/>
      <c r="O309" s="123"/>
      <c r="P309" s="123"/>
      <c r="Q309" s="123"/>
      <c r="R309" s="123"/>
      <c r="S309" s="123"/>
      <c r="T309" s="123"/>
      <c r="U309" s="123"/>
      <c r="V309" s="123"/>
      <c r="W309" s="123"/>
      <c r="X309" s="123"/>
      <c r="Y309" s="123"/>
      <c r="Z309" s="123"/>
    </row>
    <row r="310" spans="2:26" s="235" customFormat="1" ht="13.8">
      <c r="B310" s="307"/>
      <c r="C310" s="307"/>
      <c r="D310" s="307"/>
      <c r="E310" s="307"/>
      <c r="F310" s="307"/>
      <c r="M310" s="123"/>
      <c r="N310" s="123"/>
      <c r="O310" s="123"/>
      <c r="P310" s="123"/>
      <c r="Q310" s="123"/>
      <c r="R310" s="123"/>
      <c r="S310" s="123"/>
      <c r="T310" s="123"/>
      <c r="U310" s="123"/>
      <c r="V310" s="123"/>
      <c r="W310" s="123"/>
      <c r="X310" s="123"/>
      <c r="Y310" s="123"/>
      <c r="Z310" s="123"/>
    </row>
    <row r="311" spans="2:26" s="235" customFormat="1" ht="13.8">
      <c r="B311" s="307"/>
      <c r="C311" s="307"/>
      <c r="D311" s="307"/>
      <c r="E311" s="307"/>
      <c r="F311" s="307"/>
      <c r="M311" s="123"/>
      <c r="N311" s="123"/>
      <c r="O311" s="123"/>
      <c r="P311" s="123"/>
      <c r="Q311" s="123"/>
      <c r="R311" s="123"/>
      <c r="S311" s="123"/>
      <c r="T311" s="123"/>
      <c r="U311" s="123"/>
      <c r="V311" s="123"/>
      <c r="W311" s="123"/>
      <c r="X311" s="123"/>
      <c r="Y311" s="123"/>
      <c r="Z311" s="123"/>
    </row>
    <row r="312" spans="2:26" s="235" customFormat="1" ht="13.8">
      <c r="B312" s="307"/>
      <c r="C312" s="307"/>
      <c r="D312" s="307"/>
      <c r="E312" s="307"/>
      <c r="F312" s="307"/>
      <c r="M312" s="123"/>
      <c r="N312" s="123"/>
      <c r="O312" s="123"/>
      <c r="P312" s="123"/>
      <c r="Q312" s="123"/>
      <c r="R312" s="123"/>
      <c r="S312" s="123"/>
      <c r="T312" s="123"/>
      <c r="U312" s="123"/>
      <c r="V312" s="123"/>
      <c r="W312" s="123"/>
      <c r="X312" s="123"/>
      <c r="Y312" s="123"/>
      <c r="Z312" s="123"/>
    </row>
    <row r="313" spans="2:26" s="235" customFormat="1" ht="13.8">
      <c r="B313" s="307"/>
      <c r="C313" s="307"/>
      <c r="D313" s="307"/>
      <c r="E313" s="307"/>
      <c r="F313" s="307"/>
      <c r="M313" s="123"/>
      <c r="N313" s="123"/>
      <c r="O313" s="123"/>
      <c r="P313" s="123"/>
      <c r="Q313" s="123"/>
      <c r="R313" s="123"/>
      <c r="S313" s="123"/>
      <c r="T313" s="123"/>
      <c r="U313" s="123"/>
      <c r="V313" s="123"/>
      <c r="W313" s="123"/>
      <c r="X313" s="123"/>
      <c r="Y313" s="123"/>
      <c r="Z313" s="123"/>
    </row>
    <row r="314" spans="2:26" s="235" customFormat="1" ht="13.8">
      <c r="B314" s="307"/>
      <c r="C314" s="307"/>
      <c r="D314" s="307"/>
      <c r="E314" s="307"/>
      <c r="F314" s="307"/>
      <c r="M314" s="123"/>
      <c r="N314" s="123"/>
      <c r="O314" s="123"/>
      <c r="P314" s="123"/>
      <c r="Q314" s="123"/>
      <c r="R314" s="123"/>
      <c r="S314" s="123"/>
      <c r="T314" s="123"/>
      <c r="U314" s="123"/>
      <c r="V314" s="123"/>
      <c r="W314" s="123"/>
      <c r="X314" s="123"/>
      <c r="Y314" s="123"/>
      <c r="Z314" s="123"/>
    </row>
    <row r="315" spans="2:26" s="235" customFormat="1" ht="13.8">
      <c r="B315" s="307"/>
      <c r="C315" s="307"/>
      <c r="D315" s="307"/>
      <c r="E315" s="307"/>
      <c r="F315" s="307"/>
      <c r="M315" s="123"/>
      <c r="N315" s="123"/>
      <c r="O315" s="123"/>
      <c r="P315" s="123"/>
      <c r="Q315" s="123"/>
      <c r="R315" s="123"/>
      <c r="S315" s="123"/>
      <c r="T315" s="123"/>
      <c r="U315" s="123"/>
      <c r="V315" s="123"/>
      <c r="W315" s="123"/>
      <c r="X315" s="123"/>
      <c r="Y315" s="123"/>
      <c r="Z315" s="123"/>
    </row>
    <row r="316" spans="2:26" s="235" customFormat="1" ht="13.8">
      <c r="B316" s="307"/>
      <c r="C316" s="307"/>
      <c r="D316" s="307"/>
      <c r="E316" s="307"/>
      <c r="F316" s="307"/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23"/>
      <c r="Z316" s="123"/>
    </row>
    <row r="317" spans="2:26" s="235" customFormat="1" ht="13.8">
      <c r="B317" s="307"/>
      <c r="C317" s="307"/>
      <c r="D317" s="307"/>
      <c r="E317" s="307"/>
      <c r="F317" s="307"/>
      <c r="M317" s="123"/>
      <c r="N317" s="123"/>
      <c r="O317" s="123"/>
      <c r="P317" s="123"/>
      <c r="Q317" s="123"/>
      <c r="R317" s="123"/>
      <c r="S317" s="123"/>
      <c r="T317" s="123"/>
      <c r="U317" s="123"/>
      <c r="V317" s="123"/>
      <c r="W317" s="123"/>
      <c r="X317" s="123"/>
      <c r="Y317" s="123"/>
      <c r="Z317" s="123"/>
    </row>
    <row r="318" spans="2:26" s="235" customFormat="1" ht="13.8">
      <c r="B318" s="307"/>
      <c r="C318" s="307"/>
      <c r="D318" s="307"/>
      <c r="E318" s="307"/>
      <c r="F318" s="307"/>
      <c r="M318" s="123"/>
      <c r="N318" s="123"/>
      <c r="O318" s="123"/>
      <c r="P318" s="123"/>
      <c r="Q318" s="123"/>
      <c r="R318" s="123"/>
      <c r="S318" s="123"/>
      <c r="T318" s="123"/>
      <c r="U318" s="123"/>
      <c r="V318" s="123"/>
      <c r="W318" s="123"/>
      <c r="X318" s="123"/>
      <c r="Y318" s="123"/>
      <c r="Z318" s="123"/>
    </row>
    <row r="319" spans="2:26" s="235" customFormat="1" ht="13.8">
      <c r="B319" s="307"/>
      <c r="C319" s="307"/>
      <c r="D319" s="307"/>
      <c r="E319" s="307"/>
      <c r="F319" s="307"/>
      <c r="M319" s="123"/>
      <c r="N319" s="123"/>
      <c r="O319" s="123"/>
      <c r="P319" s="123"/>
      <c r="Q319" s="123"/>
      <c r="R319" s="123"/>
      <c r="S319" s="123"/>
      <c r="T319" s="123"/>
      <c r="U319" s="123"/>
      <c r="V319" s="123"/>
      <c r="W319" s="123"/>
      <c r="X319" s="123"/>
      <c r="Y319" s="123"/>
      <c r="Z319" s="123"/>
    </row>
    <row r="320" spans="2:26" s="235" customFormat="1" ht="13.8">
      <c r="B320" s="307"/>
      <c r="C320" s="307"/>
      <c r="D320" s="307"/>
      <c r="E320" s="307"/>
      <c r="F320" s="307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  <c r="Z320" s="123"/>
    </row>
    <row r="321" spans="2:26" s="235" customFormat="1" ht="13.8">
      <c r="B321" s="307"/>
      <c r="C321" s="307"/>
      <c r="D321" s="307"/>
      <c r="E321" s="307"/>
      <c r="F321" s="307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  <c r="Z321" s="123"/>
    </row>
    <row r="322" spans="2:26" s="235" customFormat="1" ht="13.8">
      <c r="B322" s="307"/>
      <c r="C322" s="307"/>
      <c r="D322" s="307"/>
      <c r="E322" s="307"/>
      <c r="F322" s="307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  <c r="Z322" s="123"/>
    </row>
    <row r="323" spans="2:26" s="235" customFormat="1" ht="13.8">
      <c r="B323" s="307"/>
      <c r="C323" s="307"/>
      <c r="D323" s="307"/>
      <c r="E323" s="307"/>
      <c r="F323" s="307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  <c r="Z323" s="123"/>
    </row>
    <row r="324" spans="2:26" s="235" customFormat="1" ht="13.8">
      <c r="B324" s="307"/>
      <c r="C324" s="307"/>
      <c r="D324" s="307"/>
      <c r="E324" s="307"/>
      <c r="F324" s="307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  <c r="Z324" s="123"/>
    </row>
    <row r="325" spans="2:26" s="235" customFormat="1" ht="13.8">
      <c r="B325" s="307"/>
      <c r="C325" s="307"/>
      <c r="D325" s="307"/>
      <c r="E325" s="307"/>
      <c r="F325" s="307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  <c r="Z325" s="123"/>
    </row>
    <row r="326" spans="2:26" s="235" customFormat="1" ht="13.8">
      <c r="B326" s="307"/>
      <c r="C326" s="307"/>
      <c r="D326" s="307"/>
      <c r="E326" s="307"/>
      <c r="F326" s="307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  <c r="Z326" s="123"/>
    </row>
    <row r="327" spans="2:26" s="235" customFormat="1" ht="13.8">
      <c r="B327" s="307"/>
      <c r="C327" s="307"/>
      <c r="D327" s="307"/>
      <c r="E327" s="307"/>
      <c r="F327" s="307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  <c r="Z327" s="123"/>
    </row>
    <row r="328" spans="2:26" s="235" customFormat="1" ht="13.8">
      <c r="B328" s="307"/>
      <c r="C328" s="307"/>
      <c r="D328" s="307"/>
      <c r="E328" s="307"/>
      <c r="F328" s="307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  <c r="Z328" s="123"/>
    </row>
    <row r="329" spans="2:26" s="235" customFormat="1" ht="13.8">
      <c r="B329" s="307"/>
      <c r="C329" s="307"/>
      <c r="D329" s="307"/>
      <c r="E329" s="307"/>
      <c r="F329" s="307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  <c r="Z329" s="123"/>
    </row>
    <row r="330" spans="2:26" s="235" customFormat="1" ht="13.8">
      <c r="B330" s="307"/>
      <c r="C330" s="307"/>
      <c r="D330" s="307"/>
      <c r="E330" s="307"/>
      <c r="F330" s="307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  <c r="Z330" s="123"/>
    </row>
    <row r="331" spans="2:26" s="235" customFormat="1" ht="13.8">
      <c r="B331" s="307"/>
      <c r="C331" s="307"/>
      <c r="D331" s="307"/>
      <c r="E331" s="307"/>
      <c r="F331" s="307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  <c r="Z331" s="123"/>
    </row>
    <row r="332" spans="2:26" s="235" customFormat="1" ht="13.8">
      <c r="B332" s="307"/>
      <c r="C332" s="307"/>
      <c r="D332" s="307"/>
      <c r="E332" s="307"/>
      <c r="F332" s="307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  <c r="Z332" s="123"/>
    </row>
    <row r="333" spans="2:26" s="235" customFormat="1" ht="13.8">
      <c r="B333" s="307"/>
      <c r="C333" s="307"/>
      <c r="D333" s="307"/>
      <c r="E333" s="307"/>
      <c r="F333" s="307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</row>
    <row r="334" spans="2:26" s="235" customFormat="1" ht="13.8">
      <c r="B334" s="307"/>
      <c r="C334" s="307"/>
      <c r="D334" s="307"/>
      <c r="E334" s="307"/>
      <c r="F334" s="307"/>
      <c r="M334" s="123"/>
      <c r="N334" s="123"/>
      <c r="O334" s="123"/>
      <c r="P334" s="123"/>
      <c r="Q334" s="123"/>
      <c r="R334" s="123"/>
      <c r="S334" s="123"/>
      <c r="T334" s="123"/>
      <c r="U334" s="123"/>
      <c r="V334" s="123"/>
      <c r="W334" s="123"/>
      <c r="X334" s="123"/>
      <c r="Y334" s="123"/>
      <c r="Z334" s="123"/>
    </row>
    <row r="335" spans="2:26" s="235" customFormat="1" ht="13.8">
      <c r="B335" s="307"/>
      <c r="C335" s="307"/>
      <c r="D335" s="307"/>
      <c r="E335" s="307"/>
      <c r="F335" s="307"/>
      <c r="M335" s="123"/>
      <c r="N335" s="123"/>
      <c r="O335" s="123"/>
      <c r="P335" s="123"/>
      <c r="Q335" s="123"/>
      <c r="R335" s="123"/>
      <c r="S335" s="123"/>
      <c r="T335" s="123"/>
      <c r="U335" s="123"/>
      <c r="V335" s="123"/>
      <c r="W335" s="123"/>
      <c r="X335" s="123"/>
      <c r="Y335" s="123"/>
      <c r="Z335" s="123"/>
    </row>
    <row r="336" spans="2:26" s="235" customFormat="1" ht="13.8">
      <c r="B336" s="307"/>
      <c r="C336" s="307"/>
      <c r="D336" s="307"/>
      <c r="E336" s="307"/>
      <c r="F336" s="307"/>
      <c r="M336" s="123"/>
      <c r="N336" s="123"/>
      <c r="O336" s="123"/>
      <c r="P336" s="123"/>
      <c r="Q336" s="123"/>
      <c r="R336" s="123"/>
      <c r="S336" s="123"/>
      <c r="T336" s="123"/>
      <c r="U336" s="123"/>
      <c r="V336" s="123"/>
      <c r="W336" s="123"/>
      <c r="X336" s="123"/>
      <c r="Y336" s="123"/>
      <c r="Z336" s="123"/>
    </row>
    <row r="337" spans="2:26" s="235" customFormat="1" ht="13.8">
      <c r="B337" s="307"/>
      <c r="C337" s="307"/>
      <c r="D337" s="307"/>
      <c r="E337" s="307"/>
      <c r="F337" s="307"/>
      <c r="M337" s="123"/>
      <c r="N337" s="123"/>
      <c r="O337" s="123"/>
      <c r="P337" s="123"/>
      <c r="Q337" s="123"/>
      <c r="R337" s="123"/>
      <c r="S337" s="123"/>
      <c r="T337" s="123"/>
      <c r="U337" s="123"/>
      <c r="V337" s="123"/>
      <c r="W337" s="123"/>
      <c r="X337" s="123"/>
      <c r="Y337" s="123"/>
      <c r="Z337" s="123"/>
    </row>
    <row r="338" spans="2:26" s="235" customFormat="1" ht="13.8">
      <c r="B338" s="307"/>
      <c r="C338" s="307"/>
      <c r="D338" s="307"/>
      <c r="E338" s="307"/>
      <c r="F338" s="307"/>
      <c r="M338" s="123"/>
      <c r="N338" s="123"/>
      <c r="O338" s="123"/>
      <c r="P338" s="123"/>
      <c r="Q338" s="123"/>
      <c r="R338" s="123"/>
      <c r="S338" s="123"/>
      <c r="T338" s="123"/>
      <c r="U338" s="123"/>
      <c r="V338" s="123"/>
      <c r="W338" s="123"/>
      <c r="X338" s="123"/>
      <c r="Y338" s="123"/>
      <c r="Z338" s="123"/>
    </row>
    <row r="339" spans="2:26" s="235" customFormat="1" ht="13.8">
      <c r="B339" s="307"/>
      <c r="C339" s="307"/>
      <c r="D339" s="307"/>
      <c r="E339" s="307"/>
      <c r="F339" s="307"/>
      <c r="M339" s="123"/>
      <c r="N339" s="123"/>
      <c r="O339" s="123"/>
      <c r="P339" s="123"/>
      <c r="Q339" s="123"/>
      <c r="R339" s="123"/>
      <c r="S339" s="123"/>
      <c r="T339" s="123"/>
      <c r="U339" s="123"/>
      <c r="V339" s="123"/>
      <c r="W339" s="123"/>
      <c r="X339" s="123"/>
      <c r="Y339" s="123"/>
      <c r="Z339" s="123"/>
    </row>
    <row r="340" spans="2:26" s="235" customFormat="1" ht="13.8">
      <c r="B340" s="307"/>
      <c r="C340" s="307"/>
      <c r="D340" s="307"/>
      <c r="E340" s="307"/>
      <c r="F340" s="307"/>
      <c r="M340" s="123"/>
      <c r="N340" s="123"/>
      <c r="O340" s="123"/>
      <c r="P340" s="123"/>
      <c r="Q340" s="123"/>
      <c r="R340" s="123"/>
      <c r="S340" s="123"/>
      <c r="T340" s="123"/>
      <c r="U340" s="123"/>
      <c r="V340" s="123"/>
      <c r="W340" s="123"/>
      <c r="X340" s="123"/>
      <c r="Y340" s="123"/>
      <c r="Z340" s="123"/>
    </row>
    <row r="341" spans="2:26" s="235" customFormat="1" ht="13.8">
      <c r="B341" s="307"/>
      <c r="C341" s="307"/>
      <c r="D341" s="307"/>
      <c r="E341" s="307"/>
      <c r="F341" s="307"/>
      <c r="M341" s="123"/>
      <c r="N341" s="123"/>
      <c r="O341" s="123"/>
      <c r="P341" s="123"/>
      <c r="Q341" s="123"/>
      <c r="R341" s="123"/>
      <c r="S341" s="123"/>
      <c r="T341" s="123"/>
      <c r="U341" s="123"/>
      <c r="V341" s="123"/>
      <c r="W341" s="123"/>
      <c r="X341" s="123"/>
      <c r="Y341" s="123"/>
      <c r="Z341" s="123"/>
    </row>
    <row r="342" spans="2:26" s="235" customFormat="1" ht="13.8">
      <c r="B342" s="307"/>
      <c r="C342" s="307"/>
      <c r="D342" s="307"/>
      <c r="E342" s="307"/>
      <c r="F342" s="307"/>
      <c r="M342" s="123"/>
      <c r="N342" s="123"/>
      <c r="O342" s="123"/>
      <c r="P342" s="123"/>
      <c r="Q342" s="123"/>
      <c r="R342" s="123"/>
      <c r="S342" s="123"/>
      <c r="T342" s="123"/>
      <c r="U342" s="123"/>
      <c r="V342" s="123"/>
      <c r="W342" s="123"/>
      <c r="X342" s="123"/>
      <c r="Y342" s="123"/>
      <c r="Z342" s="123"/>
    </row>
    <row r="343" spans="2:26" s="235" customFormat="1" ht="13.8">
      <c r="B343" s="307"/>
      <c r="C343" s="307"/>
      <c r="D343" s="307"/>
      <c r="E343" s="307"/>
      <c r="F343" s="307"/>
      <c r="M343" s="123"/>
      <c r="N343" s="123"/>
      <c r="O343" s="123"/>
      <c r="P343" s="123"/>
      <c r="Q343" s="123"/>
      <c r="R343" s="123"/>
      <c r="S343" s="123"/>
      <c r="T343" s="123"/>
      <c r="U343" s="123"/>
      <c r="V343" s="123"/>
      <c r="W343" s="123"/>
      <c r="X343" s="123"/>
      <c r="Y343" s="123"/>
      <c r="Z343" s="123"/>
    </row>
    <row r="344" spans="2:26" s="235" customFormat="1" ht="13.8">
      <c r="B344" s="307"/>
      <c r="C344" s="307"/>
      <c r="D344" s="307"/>
      <c r="E344" s="307"/>
      <c r="F344" s="307"/>
      <c r="M344" s="123"/>
      <c r="N344" s="123"/>
      <c r="O344" s="123"/>
      <c r="P344" s="123"/>
      <c r="Q344" s="123"/>
      <c r="R344" s="123"/>
      <c r="S344" s="123"/>
      <c r="T344" s="123"/>
      <c r="U344" s="123"/>
      <c r="V344" s="123"/>
      <c r="W344" s="123"/>
      <c r="X344" s="123"/>
      <c r="Y344" s="123"/>
      <c r="Z344" s="123"/>
    </row>
    <row r="345" spans="2:26" s="235" customFormat="1" ht="13.8">
      <c r="B345" s="307"/>
      <c r="C345" s="307"/>
      <c r="D345" s="307"/>
      <c r="E345" s="307"/>
      <c r="F345" s="307"/>
      <c r="M345" s="123"/>
      <c r="N345" s="123"/>
      <c r="O345" s="123"/>
      <c r="P345" s="123"/>
      <c r="Q345" s="123"/>
      <c r="R345" s="123"/>
      <c r="S345" s="123"/>
      <c r="T345" s="123"/>
      <c r="U345" s="123"/>
      <c r="V345" s="123"/>
      <c r="W345" s="123"/>
      <c r="X345" s="123"/>
      <c r="Y345" s="123"/>
      <c r="Z345" s="123"/>
    </row>
    <row r="346" spans="2:26" s="235" customFormat="1" ht="13.8">
      <c r="B346" s="307"/>
      <c r="C346" s="307"/>
      <c r="D346" s="307"/>
      <c r="E346" s="307"/>
      <c r="F346" s="307"/>
      <c r="M346" s="123"/>
      <c r="N346" s="123"/>
      <c r="O346" s="123"/>
      <c r="P346" s="123"/>
      <c r="Q346" s="123"/>
      <c r="R346" s="123"/>
      <c r="S346" s="123"/>
      <c r="T346" s="123"/>
      <c r="U346" s="123"/>
      <c r="V346" s="123"/>
      <c r="W346" s="123"/>
      <c r="X346" s="123"/>
      <c r="Y346" s="123"/>
      <c r="Z346" s="123"/>
    </row>
    <row r="347" spans="2:26" s="235" customFormat="1" ht="13.8">
      <c r="B347" s="307"/>
      <c r="C347" s="307"/>
      <c r="D347" s="307"/>
      <c r="E347" s="307"/>
      <c r="F347" s="307"/>
      <c r="M347" s="123"/>
      <c r="N347" s="123"/>
      <c r="O347" s="123"/>
      <c r="P347" s="123"/>
      <c r="Q347" s="123"/>
      <c r="R347" s="123"/>
      <c r="S347" s="123"/>
      <c r="T347" s="123"/>
      <c r="U347" s="123"/>
      <c r="V347" s="123"/>
      <c r="W347" s="123"/>
      <c r="X347" s="123"/>
      <c r="Y347" s="123"/>
      <c r="Z347" s="123"/>
    </row>
    <row r="348" spans="2:26" s="235" customFormat="1" ht="13.8">
      <c r="B348" s="307"/>
      <c r="C348" s="307"/>
      <c r="D348" s="307"/>
      <c r="E348" s="307"/>
      <c r="F348" s="307"/>
      <c r="M348" s="123"/>
      <c r="N348" s="123"/>
      <c r="O348" s="123"/>
      <c r="P348" s="123"/>
      <c r="Q348" s="123"/>
      <c r="R348" s="123"/>
      <c r="S348" s="123"/>
      <c r="T348" s="123"/>
      <c r="U348" s="123"/>
      <c r="V348" s="123"/>
      <c r="W348" s="123"/>
      <c r="X348" s="123"/>
      <c r="Y348" s="123"/>
      <c r="Z348" s="123"/>
    </row>
    <row r="349" spans="2:26" s="235" customFormat="1" ht="13.8">
      <c r="B349" s="307"/>
      <c r="C349" s="307"/>
      <c r="D349" s="307"/>
      <c r="E349" s="307"/>
      <c r="F349" s="307"/>
      <c r="M349" s="123"/>
      <c r="N349" s="123"/>
      <c r="O349" s="123"/>
      <c r="P349" s="123"/>
      <c r="Q349" s="123"/>
      <c r="R349" s="123"/>
      <c r="S349" s="123"/>
      <c r="T349" s="123"/>
      <c r="U349" s="123"/>
      <c r="V349" s="123"/>
      <c r="W349" s="123"/>
      <c r="X349" s="123"/>
      <c r="Y349" s="123"/>
      <c r="Z349" s="123"/>
    </row>
    <row r="350" spans="2:26" s="235" customFormat="1" ht="13.8">
      <c r="B350" s="307"/>
      <c r="C350" s="307"/>
      <c r="D350" s="307"/>
      <c r="E350" s="307"/>
      <c r="F350" s="307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  <c r="Z350" s="123"/>
    </row>
    <row r="351" spans="2:26" s="235" customFormat="1" ht="13.8">
      <c r="B351" s="307"/>
      <c r="C351" s="307"/>
      <c r="D351" s="307"/>
      <c r="E351" s="307"/>
      <c r="F351" s="307"/>
      <c r="M351" s="123"/>
      <c r="N351" s="123"/>
      <c r="O351" s="123"/>
      <c r="P351" s="123"/>
      <c r="Q351" s="123"/>
      <c r="R351" s="123"/>
      <c r="S351" s="123"/>
      <c r="T351" s="123"/>
      <c r="U351" s="123"/>
      <c r="V351" s="123"/>
      <c r="W351" s="123"/>
      <c r="X351" s="123"/>
      <c r="Y351" s="123"/>
      <c r="Z351" s="123"/>
    </row>
    <row r="352" spans="2:26" s="235" customFormat="1" ht="13.8">
      <c r="B352" s="307"/>
      <c r="C352" s="307"/>
      <c r="D352" s="307"/>
      <c r="E352" s="307"/>
      <c r="F352" s="307"/>
      <c r="M352" s="123"/>
      <c r="N352" s="123"/>
      <c r="O352" s="123"/>
      <c r="P352" s="123"/>
      <c r="Q352" s="123"/>
      <c r="R352" s="123"/>
      <c r="S352" s="123"/>
      <c r="T352" s="123"/>
      <c r="U352" s="123"/>
      <c r="V352" s="123"/>
      <c r="W352" s="123"/>
      <c r="X352" s="123"/>
      <c r="Y352" s="123"/>
      <c r="Z352" s="123"/>
    </row>
    <row r="353" spans="2:26" s="235" customFormat="1" ht="13.8">
      <c r="B353" s="307"/>
      <c r="C353" s="307"/>
      <c r="D353" s="307"/>
      <c r="E353" s="307"/>
      <c r="F353" s="307"/>
      <c r="M353" s="123"/>
      <c r="N353" s="123"/>
      <c r="O353" s="123"/>
      <c r="P353" s="123"/>
      <c r="Q353" s="123"/>
      <c r="R353" s="123"/>
      <c r="S353" s="123"/>
      <c r="T353" s="123"/>
      <c r="U353" s="123"/>
      <c r="V353" s="123"/>
      <c r="W353" s="123"/>
      <c r="X353" s="123"/>
      <c r="Y353" s="123"/>
      <c r="Z353" s="123"/>
    </row>
    <row r="354" spans="2:26" s="235" customFormat="1" ht="13.8">
      <c r="B354" s="307"/>
      <c r="C354" s="307"/>
      <c r="D354" s="307"/>
      <c r="E354" s="307"/>
      <c r="F354" s="307"/>
      <c r="M354" s="123"/>
      <c r="N354" s="123"/>
      <c r="O354" s="123"/>
      <c r="P354" s="123"/>
      <c r="Q354" s="123"/>
      <c r="R354" s="123"/>
      <c r="S354" s="123"/>
      <c r="T354" s="123"/>
      <c r="U354" s="123"/>
      <c r="V354" s="123"/>
      <c r="W354" s="123"/>
      <c r="X354" s="123"/>
      <c r="Y354" s="123"/>
      <c r="Z354" s="123"/>
    </row>
    <row r="355" spans="2:26" s="235" customFormat="1" ht="13.8">
      <c r="B355" s="307"/>
      <c r="C355" s="307"/>
      <c r="D355" s="307"/>
      <c r="E355" s="307"/>
      <c r="F355" s="307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  <c r="X355" s="123"/>
      <c r="Y355" s="123"/>
      <c r="Z355" s="123"/>
    </row>
    <row r="356" spans="2:26" s="235" customFormat="1" ht="13.8">
      <c r="B356" s="307"/>
      <c r="C356" s="307"/>
      <c r="D356" s="307"/>
      <c r="E356" s="307"/>
      <c r="F356" s="307"/>
      <c r="M356" s="123"/>
      <c r="N356" s="123"/>
      <c r="O356" s="123"/>
      <c r="P356" s="123"/>
      <c r="Q356" s="123"/>
      <c r="R356" s="123"/>
      <c r="S356" s="123"/>
      <c r="T356" s="123"/>
      <c r="U356" s="123"/>
      <c r="V356" s="123"/>
      <c r="W356" s="123"/>
      <c r="X356" s="123"/>
      <c r="Y356" s="123"/>
      <c r="Z356" s="123"/>
    </row>
    <row r="357" spans="2:26" s="235" customFormat="1" ht="13.8">
      <c r="B357" s="307"/>
      <c r="C357" s="307"/>
      <c r="D357" s="307"/>
      <c r="E357" s="307"/>
      <c r="F357" s="307"/>
      <c r="M357" s="123"/>
      <c r="N357" s="123"/>
      <c r="O357" s="123"/>
      <c r="P357" s="123"/>
      <c r="Q357" s="123"/>
      <c r="R357" s="123"/>
      <c r="S357" s="123"/>
      <c r="T357" s="123"/>
      <c r="U357" s="123"/>
      <c r="V357" s="123"/>
      <c r="W357" s="123"/>
      <c r="X357" s="123"/>
      <c r="Y357" s="123"/>
      <c r="Z357" s="123"/>
    </row>
    <row r="358" spans="2:26" s="235" customFormat="1" ht="13.8">
      <c r="B358" s="307"/>
      <c r="C358" s="307"/>
      <c r="D358" s="307"/>
      <c r="E358" s="307"/>
      <c r="F358" s="307"/>
      <c r="M358" s="123"/>
      <c r="N358" s="123"/>
      <c r="O358" s="123"/>
      <c r="P358" s="123"/>
      <c r="Q358" s="123"/>
      <c r="R358" s="123"/>
      <c r="S358" s="123"/>
      <c r="T358" s="123"/>
      <c r="U358" s="123"/>
      <c r="V358" s="123"/>
      <c r="W358" s="123"/>
      <c r="X358" s="123"/>
      <c r="Y358" s="123"/>
      <c r="Z358" s="123"/>
    </row>
    <row r="359" spans="2:26" s="235" customFormat="1" ht="13.8">
      <c r="B359" s="307"/>
      <c r="C359" s="307"/>
      <c r="D359" s="307"/>
      <c r="E359" s="307"/>
      <c r="F359" s="307"/>
      <c r="M359" s="123"/>
      <c r="N359" s="123"/>
      <c r="O359" s="123"/>
      <c r="P359" s="123"/>
      <c r="Q359" s="123"/>
      <c r="R359" s="123"/>
      <c r="S359" s="123"/>
      <c r="T359" s="123"/>
      <c r="U359" s="123"/>
      <c r="V359" s="123"/>
      <c r="W359" s="123"/>
      <c r="X359" s="123"/>
      <c r="Y359" s="123"/>
      <c r="Z359" s="123"/>
    </row>
    <row r="360" spans="2:26" s="235" customFormat="1" ht="13.8">
      <c r="B360" s="307"/>
      <c r="C360" s="307"/>
      <c r="D360" s="307"/>
      <c r="E360" s="307"/>
      <c r="F360" s="307"/>
      <c r="M360" s="123"/>
      <c r="N360" s="123"/>
      <c r="O360" s="123"/>
      <c r="P360" s="123"/>
      <c r="Q360" s="123"/>
      <c r="R360" s="123"/>
      <c r="S360" s="123"/>
      <c r="T360" s="123"/>
      <c r="U360" s="123"/>
      <c r="V360" s="123"/>
      <c r="W360" s="123"/>
      <c r="X360" s="123"/>
      <c r="Y360" s="123"/>
      <c r="Z360" s="123"/>
    </row>
    <row r="361" spans="2:26" s="235" customFormat="1" ht="13.8">
      <c r="B361" s="307"/>
      <c r="C361" s="307"/>
      <c r="D361" s="307"/>
      <c r="E361" s="307"/>
      <c r="F361" s="307"/>
      <c r="M361" s="123"/>
      <c r="N361" s="123"/>
      <c r="O361" s="123"/>
      <c r="P361" s="123"/>
      <c r="Q361" s="123"/>
      <c r="R361" s="123"/>
      <c r="S361" s="123"/>
      <c r="T361" s="123"/>
      <c r="U361" s="123"/>
      <c r="V361" s="123"/>
      <c r="W361" s="123"/>
      <c r="X361" s="123"/>
      <c r="Y361" s="123"/>
      <c r="Z361" s="123"/>
    </row>
    <row r="362" spans="2:26" s="235" customFormat="1" ht="13.8">
      <c r="B362" s="307"/>
      <c r="C362" s="307"/>
      <c r="D362" s="307"/>
      <c r="E362" s="307"/>
      <c r="F362" s="307"/>
      <c r="M362" s="123"/>
      <c r="N362" s="123"/>
      <c r="O362" s="123"/>
      <c r="P362" s="123"/>
      <c r="Q362" s="123"/>
      <c r="R362" s="123"/>
      <c r="S362" s="123"/>
      <c r="T362" s="123"/>
      <c r="U362" s="123"/>
      <c r="V362" s="123"/>
      <c r="W362" s="123"/>
      <c r="X362" s="123"/>
      <c r="Y362" s="123"/>
      <c r="Z362" s="123"/>
    </row>
    <row r="363" spans="2:26" s="235" customFormat="1" ht="13.8">
      <c r="B363" s="307"/>
      <c r="C363" s="307"/>
      <c r="D363" s="307"/>
      <c r="E363" s="307"/>
      <c r="F363" s="307"/>
      <c r="M363" s="123"/>
      <c r="N363" s="123"/>
      <c r="O363" s="123"/>
      <c r="P363" s="123"/>
      <c r="Q363" s="123"/>
      <c r="R363" s="123"/>
      <c r="S363" s="123"/>
      <c r="T363" s="123"/>
      <c r="U363" s="123"/>
      <c r="V363" s="123"/>
      <c r="W363" s="123"/>
      <c r="X363" s="123"/>
      <c r="Y363" s="123"/>
      <c r="Z363" s="123"/>
    </row>
    <row r="364" spans="2:26" s="235" customFormat="1" ht="13.8">
      <c r="B364" s="307"/>
      <c r="C364" s="307"/>
      <c r="D364" s="307"/>
      <c r="E364" s="307"/>
      <c r="F364" s="307"/>
      <c r="M364" s="123"/>
      <c r="N364" s="123"/>
      <c r="O364" s="123"/>
      <c r="P364" s="123"/>
      <c r="Q364" s="123"/>
      <c r="R364" s="123"/>
      <c r="S364" s="123"/>
      <c r="T364" s="123"/>
      <c r="U364" s="123"/>
      <c r="V364" s="123"/>
      <c r="W364" s="123"/>
      <c r="X364" s="123"/>
      <c r="Y364" s="123"/>
      <c r="Z364" s="123"/>
    </row>
    <row r="365" spans="2:26" s="235" customFormat="1" ht="13.8">
      <c r="B365" s="307"/>
      <c r="C365" s="307"/>
      <c r="D365" s="307"/>
      <c r="E365" s="307"/>
      <c r="F365" s="307"/>
      <c r="M365" s="123"/>
      <c r="N365" s="123"/>
      <c r="O365" s="123"/>
      <c r="P365" s="123"/>
      <c r="Q365" s="123"/>
      <c r="R365" s="123"/>
      <c r="S365" s="123"/>
      <c r="T365" s="123"/>
      <c r="U365" s="123"/>
      <c r="V365" s="123"/>
      <c r="W365" s="123"/>
      <c r="X365" s="123"/>
      <c r="Y365" s="123"/>
      <c r="Z365" s="123"/>
    </row>
    <row r="366" spans="2:26" s="235" customFormat="1" ht="13.8">
      <c r="B366" s="307"/>
      <c r="C366" s="307"/>
      <c r="D366" s="307"/>
      <c r="E366" s="307"/>
      <c r="F366" s="307"/>
      <c r="M366" s="123"/>
      <c r="N366" s="123"/>
      <c r="O366" s="123"/>
      <c r="P366" s="123"/>
      <c r="Q366" s="123"/>
      <c r="R366" s="123"/>
      <c r="S366" s="123"/>
      <c r="T366" s="123"/>
      <c r="U366" s="123"/>
      <c r="V366" s="123"/>
      <c r="W366" s="123"/>
      <c r="X366" s="123"/>
      <c r="Y366" s="123"/>
      <c r="Z366" s="123"/>
    </row>
    <row r="367" spans="2:26" s="235" customFormat="1" ht="13.8">
      <c r="B367" s="307"/>
      <c r="C367" s="307"/>
      <c r="D367" s="307"/>
      <c r="E367" s="307"/>
      <c r="F367" s="307"/>
      <c r="M367" s="123"/>
      <c r="N367" s="123"/>
      <c r="O367" s="123"/>
      <c r="P367" s="123"/>
      <c r="Q367" s="123"/>
      <c r="R367" s="123"/>
      <c r="S367" s="123"/>
      <c r="T367" s="123"/>
      <c r="U367" s="123"/>
      <c r="V367" s="123"/>
      <c r="W367" s="123"/>
      <c r="X367" s="123"/>
      <c r="Y367" s="123"/>
      <c r="Z367" s="123"/>
    </row>
    <row r="368" spans="2:26" s="235" customFormat="1" ht="13.8">
      <c r="B368" s="307"/>
      <c r="C368" s="307"/>
      <c r="D368" s="307"/>
      <c r="E368" s="307"/>
      <c r="F368" s="307"/>
      <c r="M368" s="123"/>
      <c r="N368" s="123"/>
      <c r="O368" s="123"/>
      <c r="P368" s="123"/>
      <c r="Q368" s="123"/>
      <c r="R368" s="123"/>
      <c r="S368" s="123"/>
      <c r="T368" s="123"/>
      <c r="U368" s="123"/>
      <c r="V368" s="123"/>
      <c r="W368" s="123"/>
      <c r="X368" s="123"/>
      <c r="Y368" s="123"/>
      <c r="Z368" s="123"/>
    </row>
    <row r="369" spans="2:26" s="235" customFormat="1" ht="13.8">
      <c r="B369" s="307"/>
      <c r="C369" s="307"/>
      <c r="D369" s="307"/>
      <c r="E369" s="307"/>
      <c r="F369" s="307"/>
      <c r="M369" s="123"/>
      <c r="N369" s="123"/>
      <c r="O369" s="123"/>
      <c r="P369" s="123"/>
      <c r="Q369" s="123"/>
      <c r="R369" s="123"/>
      <c r="S369" s="123"/>
      <c r="T369" s="123"/>
      <c r="U369" s="123"/>
      <c r="V369" s="123"/>
      <c r="W369" s="123"/>
      <c r="X369" s="123"/>
      <c r="Y369" s="123"/>
      <c r="Z369" s="123"/>
    </row>
    <row r="370" spans="2:26" s="235" customFormat="1" ht="13.8">
      <c r="B370" s="307"/>
      <c r="C370" s="307"/>
      <c r="D370" s="307"/>
      <c r="E370" s="307"/>
      <c r="F370" s="307"/>
      <c r="M370" s="123"/>
      <c r="N370" s="123"/>
      <c r="O370" s="123"/>
      <c r="P370" s="123"/>
      <c r="Q370" s="123"/>
      <c r="R370" s="123"/>
      <c r="S370" s="123"/>
      <c r="T370" s="123"/>
      <c r="U370" s="123"/>
      <c r="V370" s="123"/>
      <c r="W370" s="123"/>
      <c r="X370" s="123"/>
      <c r="Y370" s="123"/>
      <c r="Z370" s="123"/>
    </row>
    <row r="371" spans="2:26" s="235" customFormat="1" ht="13.8">
      <c r="B371" s="307"/>
      <c r="C371" s="307"/>
      <c r="D371" s="307"/>
      <c r="E371" s="307"/>
      <c r="F371" s="307"/>
      <c r="M371" s="123"/>
      <c r="N371" s="123"/>
      <c r="O371" s="123"/>
      <c r="P371" s="123"/>
      <c r="Q371" s="123"/>
      <c r="R371" s="123"/>
      <c r="S371" s="123"/>
      <c r="T371" s="123"/>
      <c r="U371" s="123"/>
      <c r="V371" s="123"/>
      <c r="W371" s="123"/>
      <c r="X371" s="123"/>
      <c r="Y371" s="123"/>
      <c r="Z371" s="123"/>
    </row>
    <row r="372" spans="2:26" s="235" customFormat="1" ht="13.8">
      <c r="B372" s="307"/>
      <c r="C372" s="307"/>
      <c r="D372" s="307"/>
      <c r="E372" s="307"/>
      <c r="F372" s="307"/>
      <c r="M372" s="123"/>
      <c r="N372" s="123"/>
      <c r="O372" s="123"/>
      <c r="P372" s="123"/>
      <c r="Q372" s="123"/>
      <c r="R372" s="123"/>
      <c r="S372" s="123"/>
      <c r="T372" s="123"/>
      <c r="U372" s="123"/>
      <c r="V372" s="123"/>
      <c r="W372" s="123"/>
      <c r="X372" s="123"/>
      <c r="Y372" s="123"/>
      <c r="Z372" s="123"/>
    </row>
    <row r="373" spans="2:26" s="235" customFormat="1" ht="13.8">
      <c r="B373" s="307"/>
      <c r="C373" s="307"/>
      <c r="D373" s="307"/>
      <c r="E373" s="307"/>
      <c r="F373" s="307"/>
      <c r="M373" s="123"/>
      <c r="N373" s="123"/>
      <c r="O373" s="123"/>
      <c r="P373" s="123"/>
      <c r="Q373" s="123"/>
      <c r="R373" s="123"/>
      <c r="S373" s="123"/>
      <c r="T373" s="123"/>
      <c r="U373" s="123"/>
      <c r="V373" s="123"/>
      <c r="W373" s="123"/>
      <c r="X373" s="123"/>
      <c r="Y373" s="123"/>
      <c r="Z373" s="123"/>
    </row>
    <row r="374" spans="2:26" s="235" customFormat="1" ht="13.8">
      <c r="B374" s="307"/>
      <c r="C374" s="307"/>
      <c r="D374" s="307"/>
      <c r="E374" s="307"/>
      <c r="F374" s="307"/>
      <c r="M374" s="123"/>
      <c r="N374" s="123"/>
      <c r="O374" s="123"/>
      <c r="P374" s="123"/>
      <c r="Q374" s="123"/>
      <c r="R374" s="123"/>
      <c r="S374" s="123"/>
      <c r="T374" s="123"/>
      <c r="U374" s="123"/>
      <c r="V374" s="123"/>
      <c r="W374" s="123"/>
      <c r="X374" s="123"/>
      <c r="Y374" s="123"/>
      <c r="Z374" s="123"/>
    </row>
    <row r="375" spans="2:26" s="235" customFormat="1" ht="13.8">
      <c r="B375" s="307"/>
      <c r="C375" s="307"/>
      <c r="D375" s="307"/>
      <c r="E375" s="307"/>
      <c r="F375" s="307"/>
      <c r="M375" s="123"/>
      <c r="N375" s="123"/>
      <c r="O375" s="123"/>
      <c r="P375" s="123"/>
      <c r="Q375" s="123"/>
      <c r="R375" s="123"/>
      <c r="S375" s="123"/>
      <c r="T375" s="123"/>
      <c r="U375" s="123"/>
      <c r="V375" s="123"/>
      <c r="W375" s="123"/>
      <c r="X375" s="123"/>
      <c r="Y375" s="123"/>
      <c r="Z375" s="123"/>
    </row>
    <row r="376" spans="2:26" s="235" customFormat="1" ht="13.8">
      <c r="B376" s="307"/>
      <c r="C376" s="307"/>
      <c r="D376" s="307"/>
      <c r="E376" s="307"/>
      <c r="F376" s="307"/>
      <c r="M376" s="123"/>
      <c r="N376" s="123"/>
      <c r="O376" s="123"/>
      <c r="P376" s="123"/>
      <c r="Q376" s="123"/>
      <c r="R376" s="123"/>
      <c r="S376" s="123"/>
      <c r="T376" s="123"/>
      <c r="U376" s="123"/>
      <c r="V376" s="123"/>
      <c r="W376" s="123"/>
      <c r="X376" s="123"/>
      <c r="Y376" s="123"/>
      <c r="Z376" s="123"/>
    </row>
    <row r="377" spans="2:26" s="235" customFormat="1" ht="13.8">
      <c r="B377" s="307"/>
      <c r="C377" s="307"/>
      <c r="D377" s="307"/>
      <c r="E377" s="307"/>
      <c r="F377" s="307"/>
      <c r="M377" s="123"/>
      <c r="N377" s="123"/>
      <c r="O377" s="123"/>
      <c r="P377" s="123"/>
      <c r="Q377" s="123"/>
      <c r="R377" s="123"/>
      <c r="S377" s="123"/>
      <c r="T377" s="123"/>
      <c r="U377" s="123"/>
      <c r="V377" s="123"/>
      <c r="W377" s="123"/>
      <c r="X377" s="123"/>
      <c r="Y377" s="123"/>
      <c r="Z377" s="123"/>
    </row>
    <row r="378" spans="2:26" s="235" customFormat="1" ht="13.8">
      <c r="B378" s="307"/>
      <c r="C378" s="307"/>
      <c r="D378" s="307"/>
      <c r="E378" s="307"/>
      <c r="F378" s="307"/>
      <c r="M378" s="123"/>
      <c r="N378" s="123"/>
      <c r="O378" s="123"/>
      <c r="P378" s="123"/>
      <c r="Q378" s="123"/>
      <c r="R378" s="123"/>
      <c r="S378" s="123"/>
      <c r="T378" s="123"/>
      <c r="U378" s="123"/>
      <c r="V378" s="123"/>
      <c r="W378" s="123"/>
      <c r="X378" s="123"/>
      <c r="Y378" s="123"/>
      <c r="Z378" s="123"/>
    </row>
    <row r="379" spans="2:26" s="235" customFormat="1" ht="13.8">
      <c r="B379" s="307"/>
      <c r="C379" s="307"/>
      <c r="D379" s="307"/>
      <c r="E379" s="307"/>
      <c r="F379" s="307"/>
      <c r="M379" s="123"/>
      <c r="N379" s="123"/>
      <c r="O379" s="123"/>
      <c r="P379" s="123"/>
      <c r="Q379" s="123"/>
      <c r="R379" s="123"/>
      <c r="S379" s="123"/>
      <c r="T379" s="123"/>
      <c r="U379" s="123"/>
      <c r="V379" s="123"/>
      <c r="W379" s="123"/>
      <c r="X379" s="123"/>
      <c r="Y379" s="123"/>
      <c r="Z379" s="123"/>
    </row>
    <row r="380" spans="2:26" s="235" customFormat="1" ht="13.8">
      <c r="B380" s="307"/>
      <c r="C380" s="307"/>
      <c r="D380" s="307"/>
      <c r="E380" s="307"/>
      <c r="F380" s="307"/>
      <c r="M380" s="123"/>
      <c r="N380" s="123"/>
      <c r="O380" s="123"/>
      <c r="P380" s="123"/>
      <c r="Q380" s="123"/>
      <c r="R380" s="123"/>
      <c r="S380" s="123"/>
      <c r="T380" s="123"/>
      <c r="U380" s="123"/>
      <c r="V380" s="123"/>
      <c r="W380" s="123"/>
      <c r="X380" s="123"/>
      <c r="Y380" s="123"/>
      <c r="Z380" s="123"/>
    </row>
    <row r="381" spans="2:26" s="235" customFormat="1" ht="13.8">
      <c r="B381" s="307"/>
      <c r="C381" s="307"/>
      <c r="D381" s="307"/>
      <c r="E381" s="307"/>
      <c r="F381" s="307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</row>
    <row r="382" spans="2:26" s="235" customFormat="1" ht="13.8">
      <c r="B382" s="307"/>
      <c r="C382" s="307"/>
      <c r="D382" s="307"/>
      <c r="E382" s="307"/>
      <c r="F382" s="307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</row>
    <row r="383" spans="2:26" s="235" customFormat="1" ht="13.8">
      <c r="B383" s="307"/>
      <c r="C383" s="307"/>
      <c r="D383" s="307"/>
      <c r="E383" s="307"/>
      <c r="F383" s="307"/>
      <c r="M383" s="123"/>
      <c r="N383" s="123"/>
      <c r="O383" s="123"/>
      <c r="P383" s="123"/>
      <c r="Q383" s="123"/>
      <c r="R383" s="123"/>
      <c r="S383" s="123"/>
      <c r="T383" s="123"/>
      <c r="U383" s="123"/>
      <c r="V383" s="123"/>
      <c r="W383" s="123"/>
      <c r="X383" s="123"/>
      <c r="Y383" s="123"/>
      <c r="Z383" s="123"/>
    </row>
    <row r="384" spans="2:26" s="235" customFormat="1" ht="13.8">
      <c r="B384" s="307"/>
      <c r="C384" s="307"/>
      <c r="D384" s="307"/>
      <c r="E384" s="307"/>
      <c r="F384" s="307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  <c r="Z384" s="123"/>
    </row>
    <row r="385" spans="2:26" s="235" customFormat="1" ht="13.8">
      <c r="B385" s="307"/>
      <c r="C385" s="307"/>
      <c r="D385" s="307"/>
      <c r="E385" s="307"/>
      <c r="F385" s="307"/>
      <c r="M385" s="123"/>
      <c r="N385" s="123"/>
      <c r="O385" s="123"/>
      <c r="P385" s="123"/>
      <c r="Q385" s="123"/>
      <c r="R385" s="123"/>
      <c r="S385" s="123"/>
      <c r="T385" s="123"/>
      <c r="U385" s="123"/>
      <c r="V385" s="123"/>
      <c r="W385" s="123"/>
      <c r="X385" s="123"/>
      <c r="Y385" s="123"/>
      <c r="Z385" s="123"/>
    </row>
    <row r="386" spans="2:26" s="235" customFormat="1" ht="13.8">
      <c r="B386" s="307"/>
      <c r="C386" s="307"/>
      <c r="D386" s="307"/>
      <c r="E386" s="307"/>
      <c r="F386" s="307"/>
      <c r="M386" s="123"/>
      <c r="N386" s="123"/>
      <c r="O386" s="123"/>
      <c r="P386" s="123"/>
      <c r="Q386" s="123"/>
      <c r="R386" s="123"/>
      <c r="S386" s="123"/>
      <c r="T386" s="123"/>
      <c r="U386" s="123"/>
      <c r="V386" s="123"/>
      <c r="W386" s="123"/>
      <c r="X386" s="123"/>
      <c r="Y386" s="123"/>
      <c r="Z386" s="123"/>
    </row>
    <row r="387" spans="2:26" s="235" customFormat="1" ht="13.8">
      <c r="B387" s="307"/>
      <c r="C387" s="307"/>
      <c r="D387" s="307"/>
      <c r="E387" s="307"/>
      <c r="F387" s="307"/>
      <c r="M387" s="123"/>
      <c r="N387" s="123"/>
      <c r="O387" s="123"/>
      <c r="P387" s="123"/>
      <c r="Q387" s="123"/>
      <c r="R387" s="123"/>
      <c r="S387" s="123"/>
      <c r="T387" s="123"/>
      <c r="U387" s="123"/>
      <c r="V387" s="123"/>
      <c r="W387" s="123"/>
      <c r="X387" s="123"/>
      <c r="Y387" s="123"/>
      <c r="Z387" s="123"/>
    </row>
    <row r="388" spans="2:26" s="235" customFormat="1" ht="13.8">
      <c r="B388" s="307"/>
      <c r="C388" s="307"/>
      <c r="D388" s="307"/>
      <c r="E388" s="307"/>
      <c r="F388" s="307"/>
      <c r="M388" s="123"/>
      <c r="N388" s="123"/>
      <c r="O388" s="123"/>
      <c r="P388" s="123"/>
      <c r="Q388" s="123"/>
      <c r="R388" s="123"/>
      <c r="S388" s="123"/>
      <c r="T388" s="123"/>
      <c r="U388" s="123"/>
      <c r="V388" s="123"/>
      <c r="W388" s="123"/>
      <c r="X388" s="123"/>
      <c r="Y388" s="123"/>
      <c r="Z388" s="123"/>
    </row>
    <row r="389" spans="2:26" s="235" customFormat="1" ht="13.8">
      <c r="B389" s="307"/>
      <c r="C389" s="307"/>
      <c r="D389" s="307"/>
      <c r="E389" s="307"/>
      <c r="F389" s="307"/>
      <c r="M389" s="123"/>
      <c r="N389" s="123"/>
      <c r="O389" s="123"/>
      <c r="P389" s="123"/>
      <c r="Q389" s="123"/>
      <c r="R389" s="123"/>
      <c r="S389" s="123"/>
      <c r="T389" s="123"/>
      <c r="U389" s="123"/>
      <c r="V389" s="123"/>
      <c r="W389" s="123"/>
      <c r="X389" s="123"/>
      <c r="Y389" s="123"/>
      <c r="Z389" s="123"/>
    </row>
    <row r="390" spans="2:26" s="235" customFormat="1" ht="13.8">
      <c r="B390" s="307"/>
      <c r="C390" s="307"/>
      <c r="D390" s="307"/>
      <c r="E390" s="307"/>
      <c r="F390" s="307"/>
      <c r="M390" s="123"/>
      <c r="N390" s="123"/>
      <c r="O390" s="123"/>
      <c r="P390" s="123"/>
      <c r="Q390" s="123"/>
      <c r="R390" s="123"/>
      <c r="S390" s="123"/>
      <c r="T390" s="123"/>
      <c r="U390" s="123"/>
      <c r="V390" s="123"/>
      <c r="W390" s="123"/>
      <c r="X390" s="123"/>
      <c r="Y390" s="123"/>
      <c r="Z390" s="123"/>
    </row>
    <row r="391" spans="2:26" s="235" customFormat="1" ht="13.8">
      <c r="B391" s="307"/>
      <c r="C391" s="307"/>
      <c r="D391" s="307"/>
      <c r="E391" s="307"/>
      <c r="F391" s="307"/>
      <c r="M391" s="123"/>
      <c r="N391" s="123"/>
      <c r="O391" s="123"/>
      <c r="P391" s="123"/>
      <c r="Q391" s="123"/>
      <c r="R391" s="123"/>
      <c r="S391" s="123"/>
      <c r="T391" s="123"/>
      <c r="U391" s="123"/>
      <c r="V391" s="123"/>
      <c r="W391" s="123"/>
      <c r="X391" s="123"/>
      <c r="Y391" s="123"/>
      <c r="Z391" s="123"/>
    </row>
    <row r="392" spans="2:26" s="235" customFormat="1" ht="13.8">
      <c r="B392" s="307"/>
      <c r="C392" s="307"/>
      <c r="D392" s="307"/>
      <c r="E392" s="307"/>
      <c r="F392" s="307"/>
      <c r="M392" s="123"/>
      <c r="N392" s="123"/>
      <c r="O392" s="123"/>
      <c r="P392" s="123"/>
      <c r="Q392" s="123"/>
      <c r="R392" s="123"/>
      <c r="S392" s="123"/>
      <c r="T392" s="123"/>
      <c r="U392" s="123"/>
      <c r="V392" s="123"/>
      <c r="W392" s="123"/>
      <c r="X392" s="123"/>
      <c r="Y392" s="123"/>
      <c r="Z392" s="123"/>
    </row>
    <row r="393" spans="2:26" s="235" customFormat="1" ht="13.8">
      <c r="B393" s="307"/>
      <c r="C393" s="307"/>
      <c r="D393" s="307"/>
      <c r="E393" s="307"/>
      <c r="F393" s="307"/>
      <c r="M393" s="123"/>
      <c r="N393" s="123"/>
      <c r="O393" s="123"/>
      <c r="P393" s="123"/>
      <c r="Q393" s="123"/>
      <c r="R393" s="123"/>
      <c r="S393" s="123"/>
      <c r="T393" s="123"/>
      <c r="U393" s="123"/>
      <c r="V393" s="123"/>
      <c r="W393" s="123"/>
      <c r="X393" s="123"/>
      <c r="Y393" s="123"/>
      <c r="Z393" s="123"/>
    </row>
    <row r="394" spans="2:26" s="235" customFormat="1" ht="13.8">
      <c r="B394" s="307"/>
      <c r="C394" s="307"/>
      <c r="D394" s="307"/>
      <c r="E394" s="307"/>
      <c r="F394" s="307"/>
      <c r="M394" s="123"/>
      <c r="N394" s="123"/>
      <c r="O394" s="123"/>
      <c r="P394" s="123"/>
      <c r="Q394" s="123"/>
      <c r="R394" s="123"/>
      <c r="S394" s="123"/>
      <c r="T394" s="123"/>
      <c r="U394" s="123"/>
      <c r="V394" s="123"/>
      <c r="W394" s="123"/>
      <c r="X394" s="123"/>
      <c r="Y394" s="123"/>
      <c r="Z394" s="123"/>
    </row>
    <row r="395" spans="2:26" s="235" customFormat="1" ht="13.8">
      <c r="B395" s="307"/>
      <c r="C395" s="307"/>
      <c r="D395" s="307"/>
      <c r="E395" s="307"/>
      <c r="F395" s="307"/>
      <c r="M395" s="123"/>
      <c r="N395" s="123"/>
      <c r="O395" s="123"/>
      <c r="P395" s="123"/>
      <c r="Q395" s="123"/>
      <c r="R395" s="123"/>
      <c r="S395" s="123"/>
      <c r="T395" s="123"/>
      <c r="U395" s="123"/>
      <c r="V395" s="123"/>
      <c r="W395" s="123"/>
      <c r="X395" s="123"/>
      <c r="Y395" s="123"/>
      <c r="Z395" s="123"/>
    </row>
    <row r="396" spans="2:26" s="235" customFormat="1" ht="13.8">
      <c r="B396" s="307"/>
      <c r="C396" s="307"/>
      <c r="D396" s="307"/>
      <c r="E396" s="307"/>
      <c r="F396" s="307"/>
      <c r="M396" s="123"/>
      <c r="N396" s="123"/>
      <c r="O396" s="123"/>
      <c r="P396" s="123"/>
      <c r="Q396" s="123"/>
      <c r="R396" s="123"/>
      <c r="S396" s="123"/>
      <c r="T396" s="123"/>
      <c r="U396" s="123"/>
      <c r="V396" s="123"/>
      <c r="W396" s="123"/>
      <c r="X396" s="123"/>
      <c r="Y396" s="123"/>
      <c r="Z396" s="123"/>
    </row>
    <row r="397" spans="2:26" s="235" customFormat="1" ht="13.8">
      <c r="B397" s="307"/>
      <c r="C397" s="307"/>
      <c r="D397" s="307"/>
      <c r="E397" s="307"/>
      <c r="F397" s="307"/>
      <c r="M397" s="123"/>
      <c r="N397" s="123"/>
      <c r="O397" s="123"/>
      <c r="P397" s="123"/>
      <c r="Q397" s="123"/>
      <c r="R397" s="123"/>
      <c r="S397" s="123"/>
      <c r="T397" s="123"/>
      <c r="U397" s="123"/>
      <c r="V397" s="123"/>
      <c r="W397" s="123"/>
      <c r="X397" s="123"/>
      <c r="Y397" s="123"/>
      <c r="Z397" s="123"/>
    </row>
    <row r="398" spans="2:26" s="235" customFormat="1" ht="13.8">
      <c r="B398" s="307"/>
      <c r="C398" s="307"/>
      <c r="D398" s="307"/>
      <c r="E398" s="307"/>
      <c r="F398" s="307"/>
      <c r="M398" s="123"/>
      <c r="N398" s="123"/>
      <c r="O398" s="123"/>
      <c r="P398" s="123"/>
      <c r="Q398" s="123"/>
      <c r="R398" s="123"/>
      <c r="S398" s="123"/>
      <c r="T398" s="123"/>
      <c r="U398" s="123"/>
      <c r="V398" s="123"/>
      <c r="W398" s="123"/>
      <c r="X398" s="123"/>
      <c r="Y398" s="123"/>
      <c r="Z398" s="123"/>
    </row>
    <row r="399" spans="2:26" s="235" customFormat="1" ht="13.8">
      <c r="B399" s="307"/>
      <c r="C399" s="307"/>
      <c r="D399" s="307"/>
      <c r="E399" s="307"/>
      <c r="F399" s="307"/>
      <c r="M399" s="123"/>
      <c r="N399" s="123"/>
      <c r="O399" s="123"/>
      <c r="P399" s="123"/>
      <c r="Q399" s="123"/>
      <c r="R399" s="123"/>
      <c r="S399" s="123"/>
      <c r="T399" s="123"/>
      <c r="U399" s="123"/>
      <c r="V399" s="123"/>
      <c r="W399" s="123"/>
      <c r="X399" s="123"/>
      <c r="Y399" s="123"/>
      <c r="Z399" s="123"/>
    </row>
    <row r="400" spans="2:26" s="235" customFormat="1" ht="13.8">
      <c r="B400" s="307"/>
      <c r="C400" s="307"/>
      <c r="D400" s="307"/>
      <c r="E400" s="307"/>
      <c r="F400" s="307"/>
      <c r="M400" s="123"/>
      <c r="N400" s="123"/>
      <c r="O400" s="123"/>
      <c r="P400" s="123"/>
      <c r="Q400" s="123"/>
      <c r="R400" s="123"/>
      <c r="S400" s="123"/>
      <c r="T400" s="123"/>
      <c r="U400" s="123"/>
      <c r="V400" s="123"/>
      <c r="W400" s="123"/>
      <c r="X400" s="123"/>
      <c r="Y400" s="123"/>
      <c r="Z400" s="123"/>
    </row>
    <row r="401" spans="2:26" s="235" customFormat="1" ht="13.8">
      <c r="B401" s="307"/>
      <c r="C401" s="307"/>
      <c r="D401" s="307"/>
      <c r="E401" s="307"/>
      <c r="F401" s="307"/>
      <c r="M401" s="123"/>
      <c r="N401" s="123"/>
      <c r="O401" s="123"/>
      <c r="P401" s="123"/>
      <c r="Q401" s="123"/>
      <c r="R401" s="123"/>
      <c r="S401" s="123"/>
      <c r="T401" s="123"/>
      <c r="U401" s="123"/>
      <c r="V401" s="123"/>
      <c r="W401" s="123"/>
      <c r="X401" s="123"/>
      <c r="Y401" s="123"/>
      <c r="Z401" s="123"/>
    </row>
    <row r="402" spans="2:26" s="235" customFormat="1" ht="13.8">
      <c r="B402" s="307"/>
      <c r="C402" s="307"/>
      <c r="D402" s="307"/>
      <c r="E402" s="307"/>
      <c r="F402" s="307"/>
      <c r="M402" s="123"/>
      <c r="N402" s="123"/>
      <c r="O402" s="123"/>
      <c r="P402" s="123"/>
      <c r="Q402" s="123"/>
      <c r="R402" s="123"/>
      <c r="S402" s="123"/>
      <c r="T402" s="123"/>
      <c r="U402" s="123"/>
      <c r="V402" s="123"/>
      <c r="W402" s="123"/>
      <c r="X402" s="123"/>
      <c r="Y402" s="123"/>
      <c r="Z402" s="123"/>
    </row>
    <row r="403" spans="2:26" s="235" customFormat="1" ht="13.8">
      <c r="B403" s="307"/>
      <c r="C403" s="307"/>
      <c r="D403" s="307"/>
      <c r="E403" s="307"/>
      <c r="F403" s="307"/>
      <c r="M403" s="123"/>
      <c r="N403" s="123"/>
      <c r="O403" s="123"/>
      <c r="P403" s="123"/>
      <c r="Q403" s="123"/>
      <c r="R403" s="123"/>
      <c r="S403" s="123"/>
      <c r="T403" s="123"/>
      <c r="U403" s="123"/>
      <c r="V403" s="123"/>
      <c r="W403" s="123"/>
      <c r="X403" s="123"/>
      <c r="Y403" s="123"/>
      <c r="Z403" s="123"/>
    </row>
    <row r="404" spans="2:26" s="235" customFormat="1" ht="13.8">
      <c r="B404" s="307"/>
      <c r="C404" s="307"/>
      <c r="D404" s="307"/>
      <c r="E404" s="307"/>
      <c r="F404" s="307"/>
      <c r="M404" s="123"/>
      <c r="N404" s="123"/>
      <c r="O404" s="123"/>
      <c r="P404" s="123"/>
      <c r="Q404" s="123"/>
      <c r="R404" s="123"/>
      <c r="S404" s="123"/>
      <c r="T404" s="123"/>
      <c r="U404" s="123"/>
      <c r="V404" s="123"/>
      <c r="W404" s="123"/>
      <c r="X404" s="123"/>
      <c r="Y404" s="123"/>
      <c r="Z404" s="123"/>
    </row>
    <row r="405" spans="2:26" s="235" customFormat="1" ht="13.8">
      <c r="B405" s="307"/>
      <c r="C405" s="307"/>
      <c r="D405" s="307"/>
      <c r="E405" s="307"/>
      <c r="F405" s="307"/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  <c r="Y405" s="123"/>
      <c r="Z405" s="123"/>
    </row>
    <row r="406" spans="2:26" s="235" customFormat="1" ht="13.8">
      <c r="B406" s="307"/>
      <c r="C406" s="307"/>
      <c r="D406" s="307"/>
      <c r="E406" s="307"/>
      <c r="F406" s="307"/>
      <c r="M406" s="123"/>
      <c r="N406" s="123"/>
      <c r="O406" s="123"/>
      <c r="P406" s="123"/>
      <c r="Q406" s="123"/>
      <c r="R406" s="123"/>
      <c r="S406" s="123"/>
      <c r="T406" s="123"/>
      <c r="U406" s="123"/>
      <c r="V406" s="123"/>
      <c r="W406" s="123"/>
      <c r="X406" s="123"/>
      <c r="Y406" s="123"/>
      <c r="Z406" s="123"/>
    </row>
    <row r="407" spans="2:26" s="235" customFormat="1" ht="13.8">
      <c r="B407" s="307"/>
      <c r="C407" s="307"/>
      <c r="D407" s="307"/>
      <c r="E407" s="307"/>
      <c r="F407" s="307"/>
      <c r="M407" s="123"/>
      <c r="N407" s="123"/>
      <c r="O407" s="123"/>
      <c r="P407" s="123"/>
      <c r="Q407" s="123"/>
      <c r="R407" s="123"/>
      <c r="S407" s="123"/>
      <c r="T407" s="123"/>
      <c r="U407" s="123"/>
      <c r="V407" s="123"/>
      <c r="W407" s="123"/>
      <c r="X407" s="123"/>
      <c r="Y407" s="123"/>
      <c r="Z407" s="123"/>
    </row>
    <row r="408" spans="2:26" s="235" customFormat="1" ht="13.8">
      <c r="B408" s="307"/>
      <c r="C408" s="307"/>
      <c r="D408" s="307"/>
      <c r="E408" s="307"/>
      <c r="F408" s="307"/>
      <c r="M408" s="123"/>
      <c r="N408" s="123"/>
      <c r="O408" s="123"/>
      <c r="P408" s="123"/>
      <c r="Q408" s="123"/>
      <c r="R408" s="123"/>
      <c r="S408" s="123"/>
      <c r="T408" s="123"/>
      <c r="U408" s="123"/>
      <c r="V408" s="123"/>
      <c r="W408" s="123"/>
      <c r="X408" s="123"/>
      <c r="Y408" s="123"/>
      <c r="Z408" s="123"/>
    </row>
    <row r="409" spans="2:26" s="235" customFormat="1" ht="13.8">
      <c r="B409" s="307"/>
      <c r="C409" s="307"/>
      <c r="D409" s="307"/>
      <c r="E409" s="307"/>
      <c r="F409" s="307"/>
      <c r="M409" s="123"/>
      <c r="N409" s="123"/>
      <c r="O409" s="123"/>
      <c r="P409" s="123"/>
      <c r="Q409" s="123"/>
      <c r="R409" s="123"/>
      <c r="S409" s="123"/>
      <c r="T409" s="123"/>
      <c r="U409" s="123"/>
      <c r="V409" s="123"/>
      <c r="W409" s="123"/>
      <c r="X409" s="123"/>
      <c r="Y409" s="123"/>
      <c r="Z409" s="123"/>
    </row>
    <row r="410" spans="2:26" s="235" customFormat="1" ht="13.8">
      <c r="B410" s="307"/>
      <c r="C410" s="307"/>
      <c r="D410" s="307"/>
      <c r="E410" s="307"/>
      <c r="F410" s="307"/>
      <c r="M410" s="123"/>
      <c r="N410" s="123"/>
      <c r="O410" s="123"/>
      <c r="P410" s="123"/>
      <c r="Q410" s="123"/>
      <c r="R410" s="123"/>
      <c r="S410" s="123"/>
      <c r="T410" s="123"/>
      <c r="U410" s="123"/>
      <c r="V410" s="123"/>
      <c r="W410" s="123"/>
      <c r="X410" s="123"/>
      <c r="Y410" s="123"/>
      <c r="Z410" s="123"/>
    </row>
    <row r="411" spans="2:26" s="235" customFormat="1" ht="13.8">
      <c r="B411" s="307"/>
      <c r="C411" s="307"/>
      <c r="D411" s="307"/>
      <c r="E411" s="307"/>
      <c r="F411" s="307"/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23"/>
      <c r="Z411" s="123"/>
    </row>
    <row r="412" spans="2:26" s="235" customFormat="1" ht="13.8">
      <c r="B412" s="307"/>
      <c r="C412" s="307"/>
      <c r="D412" s="307"/>
      <c r="E412" s="307"/>
      <c r="F412" s="307"/>
      <c r="M412" s="123"/>
      <c r="N412" s="123"/>
      <c r="O412" s="123"/>
      <c r="P412" s="123"/>
      <c r="Q412" s="123"/>
      <c r="R412" s="123"/>
      <c r="S412" s="123"/>
      <c r="T412" s="123"/>
      <c r="U412" s="123"/>
      <c r="V412" s="123"/>
      <c r="W412" s="123"/>
      <c r="X412" s="123"/>
      <c r="Y412" s="123"/>
      <c r="Z412" s="123"/>
    </row>
    <row r="413" spans="2:26" s="235" customFormat="1" ht="13.8">
      <c r="B413" s="307"/>
      <c r="C413" s="307"/>
      <c r="D413" s="307"/>
      <c r="E413" s="307"/>
      <c r="F413" s="307"/>
      <c r="M413" s="123"/>
      <c r="N413" s="123"/>
      <c r="O413" s="123"/>
      <c r="P413" s="123"/>
      <c r="Q413" s="123"/>
      <c r="R413" s="123"/>
      <c r="S413" s="123"/>
      <c r="T413" s="123"/>
      <c r="U413" s="123"/>
      <c r="V413" s="123"/>
      <c r="W413" s="123"/>
      <c r="X413" s="123"/>
      <c r="Y413" s="123"/>
      <c r="Z413" s="123"/>
    </row>
    <row r="414" spans="2:26" s="235" customFormat="1" ht="13.8">
      <c r="B414" s="307"/>
      <c r="C414" s="307"/>
      <c r="D414" s="307"/>
      <c r="E414" s="307"/>
      <c r="F414" s="307"/>
      <c r="M414" s="123"/>
      <c r="N414" s="123"/>
      <c r="O414" s="123"/>
      <c r="P414" s="123"/>
      <c r="Q414" s="123"/>
      <c r="R414" s="123"/>
      <c r="S414" s="123"/>
      <c r="T414" s="123"/>
      <c r="U414" s="123"/>
      <c r="V414" s="123"/>
      <c r="W414" s="123"/>
      <c r="X414" s="123"/>
      <c r="Y414" s="123"/>
      <c r="Z414" s="123"/>
    </row>
    <row r="415" spans="2:26" s="235" customFormat="1" ht="13.8">
      <c r="B415" s="307"/>
      <c r="C415" s="307"/>
      <c r="D415" s="307"/>
      <c r="E415" s="307"/>
      <c r="F415" s="307"/>
      <c r="M415" s="123"/>
      <c r="N415" s="123"/>
      <c r="O415" s="123"/>
      <c r="P415" s="123"/>
      <c r="Q415" s="123"/>
      <c r="R415" s="123"/>
      <c r="S415" s="123"/>
      <c r="T415" s="123"/>
      <c r="U415" s="123"/>
      <c r="V415" s="123"/>
      <c r="W415" s="123"/>
      <c r="X415" s="123"/>
      <c r="Y415" s="123"/>
      <c r="Z415" s="123"/>
    </row>
    <row r="416" spans="2:26" s="235" customFormat="1" ht="13.8">
      <c r="B416" s="307"/>
      <c r="C416" s="307"/>
      <c r="D416" s="307"/>
      <c r="E416" s="307"/>
      <c r="F416" s="307"/>
      <c r="M416" s="123"/>
      <c r="N416" s="123"/>
      <c r="O416" s="123"/>
      <c r="P416" s="123"/>
      <c r="Q416" s="123"/>
      <c r="R416" s="123"/>
      <c r="S416" s="123"/>
      <c r="T416" s="123"/>
      <c r="U416" s="123"/>
      <c r="V416" s="123"/>
      <c r="W416" s="123"/>
      <c r="X416" s="123"/>
      <c r="Y416" s="123"/>
      <c r="Z416" s="123"/>
    </row>
    <row r="417" spans="2:26" s="235" customFormat="1" ht="13.8">
      <c r="B417" s="307"/>
      <c r="C417" s="307"/>
      <c r="D417" s="307"/>
      <c r="E417" s="307"/>
      <c r="F417" s="307"/>
      <c r="M417" s="123"/>
      <c r="N417" s="123"/>
      <c r="O417" s="123"/>
      <c r="P417" s="123"/>
      <c r="Q417" s="123"/>
      <c r="R417" s="123"/>
      <c r="S417" s="123"/>
      <c r="T417" s="123"/>
      <c r="U417" s="123"/>
      <c r="V417" s="123"/>
      <c r="W417" s="123"/>
      <c r="X417" s="123"/>
      <c r="Y417" s="123"/>
      <c r="Z417" s="123"/>
    </row>
    <row r="418" spans="2:26" s="235" customFormat="1" ht="13.8">
      <c r="B418" s="307"/>
      <c r="C418" s="307"/>
      <c r="D418" s="307"/>
      <c r="E418" s="307"/>
      <c r="F418" s="307"/>
      <c r="M418" s="123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23"/>
      <c r="Z418" s="123"/>
    </row>
    <row r="419" spans="2:26" s="235" customFormat="1" ht="13.8">
      <c r="B419" s="307"/>
      <c r="C419" s="307"/>
      <c r="D419" s="307"/>
      <c r="E419" s="307"/>
      <c r="F419" s="307"/>
      <c r="M419" s="123"/>
      <c r="N419" s="123"/>
      <c r="O419" s="123"/>
      <c r="P419" s="123"/>
      <c r="Q419" s="123"/>
      <c r="R419" s="123"/>
      <c r="S419" s="123"/>
      <c r="T419" s="123"/>
      <c r="U419" s="123"/>
      <c r="V419" s="123"/>
      <c r="W419" s="123"/>
      <c r="X419" s="123"/>
      <c r="Y419" s="123"/>
      <c r="Z419" s="123"/>
    </row>
    <row r="420" spans="2:26" s="235" customFormat="1" ht="13.8">
      <c r="B420" s="307"/>
      <c r="C420" s="307"/>
      <c r="D420" s="307"/>
      <c r="E420" s="307"/>
      <c r="F420" s="307"/>
      <c r="M420" s="123"/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23"/>
      <c r="Z420" s="123"/>
    </row>
    <row r="421" spans="2:26" s="235" customFormat="1" ht="13.8">
      <c r="B421" s="307"/>
      <c r="C421" s="307"/>
      <c r="D421" s="307"/>
      <c r="E421" s="307"/>
      <c r="F421" s="307"/>
      <c r="M421" s="123"/>
      <c r="N421" s="123"/>
      <c r="O421" s="123"/>
      <c r="P421" s="123"/>
      <c r="Q421" s="123"/>
      <c r="R421" s="123"/>
      <c r="S421" s="123"/>
      <c r="T421" s="123"/>
      <c r="U421" s="123"/>
      <c r="V421" s="123"/>
      <c r="W421" s="123"/>
      <c r="X421" s="123"/>
      <c r="Y421" s="123"/>
      <c r="Z421" s="123"/>
    </row>
    <row r="422" spans="2:26" s="235" customFormat="1" ht="13.8">
      <c r="B422" s="307"/>
      <c r="C422" s="307"/>
      <c r="D422" s="307"/>
      <c r="E422" s="307"/>
      <c r="F422" s="307"/>
      <c r="M422" s="123"/>
      <c r="N422" s="123"/>
      <c r="O422" s="123"/>
      <c r="P422" s="123"/>
      <c r="Q422" s="123"/>
      <c r="R422" s="123"/>
      <c r="S422" s="123"/>
      <c r="T422" s="123"/>
      <c r="U422" s="123"/>
      <c r="V422" s="123"/>
      <c r="W422" s="123"/>
      <c r="X422" s="123"/>
      <c r="Y422" s="123"/>
      <c r="Z422" s="123"/>
    </row>
    <row r="423" spans="2:26" s="235" customFormat="1" ht="13.8">
      <c r="B423" s="307"/>
      <c r="C423" s="307"/>
      <c r="D423" s="307"/>
      <c r="E423" s="307"/>
      <c r="F423" s="307"/>
      <c r="M423" s="123"/>
      <c r="N423" s="123"/>
      <c r="O423" s="123"/>
      <c r="P423" s="123"/>
      <c r="Q423" s="123"/>
      <c r="R423" s="123"/>
      <c r="S423" s="123"/>
      <c r="T423" s="123"/>
      <c r="U423" s="123"/>
      <c r="V423" s="123"/>
      <c r="W423" s="123"/>
      <c r="X423" s="123"/>
      <c r="Y423" s="123"/>
      <c r="Z423" s="123"/>
    </row>
    <row r="424" spans="2:26" s="235" customFormat="1" ht="13.8">
      <c r="B424" s="307"/>
      <c r="C424" s="307"/>
      <c r="D424" s="307"/>
      <c r="E424" s="307"/>
      <c r="F424" s="307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</row>
    <row r="425" spans="2:26" s="235" customFormat="1" ht="13.8">
      <c r="B425" s="307"/>
      <c r="C425" s="307"/>
      <c r="D425" s="307"/>
      <c r="E425" s="307"/>
      <c r="F425" s="307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</row>
    <row r="426" spans="2:26" s="235" customFormat="1" ht="13.8">
      <c r="B426" s="307"/>
      <c r="C426" s="307"/>
      <c r="D426" s="307"/>
      <c r="E426" s="307"/>
      <c r="F426" s="307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</row>
    <row r="427" spans="2:26" s="235" customFormat="1" ht="13.8">
      <c r="B427" s="307"/>
      <c r="C427" s="307"/>
      <c r="D427" s="307"/>
      <c r="E427" s="307"/>
      <c r="F427" s="307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</row>
    <row r="428" spans="2:26" s="235" customFormat="1" ht="13.8">
      <c r="B428" s="307"/>
      <c r="C428" s="307"/>
      <c r="D428" s="307"/>
      <c r="E428" s="307"/>
      <c r="F428" s="307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</row>
    <row r="429" spans="2:26" s="235" customFormat="1" ht="13.8">
      <c r="B429" s="307"/>
      <c r="C429" s="307"/>
      <c r="D429" s="307"/>
      <c r="E429" s="307"/>
      <c r="F429" s="307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</row>
    <row r="430" spans="2:26" s="235" customFormat="1" ht="13.8">
      <c r="B430" s="307"/>
      <c r="C430" s="307"/>
      <c r="D430" s="307"/>
      <c r="E430" s="307"/>
      <c r="F430" s="307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</row>
    <row r="431" spans="2:26" s="235" customFormat="1" ht="13.8">
      <c r="B431" s="307"/>
      <c r="C431" s="307"/>
      <c r="D431" s="307"/>
      <c r="E431" s="307"/>
      <c r="F431" s="307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</row>
    <row r="432" spans="2:26" s="235" customFormat="1" ht="13.8">
      <c r="B432" s="307"/>
      <c r="C432" s="307"/>
      <c r="D432" s="307"/>
      <c r="E432" s="307"/>
      <c r="F432" s="307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  <c r="Z432" s="123"/>
    </row>
    <row r="433" spans="2:26" s="235" customFormat="1" ht="13.8">
      <c r="B433" s="307"/>
      <c r="C433" s="307"/>
      <c r="D433" s="307"/>
      <c r="E433" s="307"/>
      <c r="F433" s="307"/>
      <c r="M433" s="123"/>
      <c r="N433" s="123"/>
      <c r="O433" s="123"/>
      <c r="P433" s="123"/>
      <c r="Q433" s="123"/>
      <c r="R433" s="123"/>
      <c r="S433" s="123"/>
      <c r="T433" s="123"/>
      <c r="U433" s="123"/>
      <c r="V433" s="123"/>
      <c r="W433" s="123"/>
      <c r="X433" s="123"/>
      <c r="Y433" s="123"/>
      <c r="Z433" s="123"/>
    </row>
    <row r="434" spans="2:26" s="235" customFormat="1" ht="13.8">
      <c r="B434" s="307"/>
      <c r="C434" s="307"/>
      <c r="D434" s="307"/>
      <c r="E434" s="307"/>
      <c r="F434" s="307"/>
      <c r="M434" s="123"/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23"/>
      <c r="Z434" s="123"/>
    </row>
    <row r="435" spans="2:26" s="235" customFormat="1" ht="13.8">
      <c r="B435" s="307"/>
      <c r="C435" s="307"/>
      <c r="D435" s="307"/>
      <c r="E435" s="307"/>
      <c r="F435" s="307"/>
      <c r="M435" s="123"/>
      <c r="N435" s="123"/>
      <c r="O435" s="123"/>
      <c r="P435" s="123"/>
      <c r="Q435" s="123"/>
      <c r="R435" s="123"/>
      <c r="S435" s="123"/>
      <c r="T435" s="123"/>
      <c r="U435" s="123"/>
      <c r="V435" s="123"/>
      <c r="W435" s="123"/>
      <c r="X435" s="123"/>
      <c r="Y435" s="123"/>
      <c r="Z435" s="123"/>
    </row>
    <row r="436" spans="2:26" s="235" customFormat="1" ht="13.8">
      <c r="B436" s="307"/>
      <c r="C436" s="307"/>
      <c r="D436" s="307"/>
      <c r="E436" s="307"/>
      <c r="F436" s="307"/>
      <c r="M436" s="123"/>
      <c r="N436" s="123"/>
      <c r="O436" s="123"/>
      <c r="P436" s="123"/>
      <c r="Q436" s="123"/>
      <c r="R436" s="123"/>
      <c r="S436" s="123"/>
      <c r="T436" s="123"/>
      <c r="U436" s="123"/>
      <c r="V436" s="123"/>
      <c r="W436" s="123"/>
      <c r="X436" s="123"/>
      <c r="Y436" s="123"/>
      <c r="Z436" s="123"/>
    </row>
    <row r="437" spans="2:26" s="235" customFormat="1" ht="13.8">
      <c r="B437" s="307"/>
      <c r="C437" s="307"/>
      <c r="D437" s="307"/>
      <c r="E437" s="307"/>
      <c r="F437" s="307"/>
      <c r="M437" s="123"/>
      <c r="N437" s="123"/>
      <c r="O437" s="123"/>
      <c r="P437" s="123"/>
      <c r="Q437" s="123"/>
      <c r="R437" s="123"/>
      <c r="S437" s="123"/>
      <c r="T437" s="123"/>
      <c r="U437" s="123"/>
      <c r="V437" s="123"/>
      <c r="W437" s="123"/>
      <c r="X437" s="123"/>
      <c r="Y437" s="123"/>
      <c r="Z437" s="123"/>
    </row>
    <row r="438" spans="2:26" s="235" customFormat="1" ht="13.8">
      <c r="B438" s="307"/>
      <c r="C438" s="307"/>
      <c r="D438" s="307"/>
      <c r="E438" s="307"/>
      <c r="F438" s="307"/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123"/>
      <c r="Z438" s="123"/>
    </row>
    <row r="439" spans="2:26" s="235" customFormat="1" ht="13.8">
      <c r="B439" s="307"/>
      <c r="C439" s="307"/>
      <c r="D439" s="307"/>
      <c r="E439" s="307"/>
      <c r="F439" s="307"/>
      <c r="M439" s="123"/>
      <c r="N439" s="123"/>
      <c r="O439" s="123"/>
      <c r="P439" s="123"/>
      <c r="Q439" s="123"/>
      <c r="R439" s="123"/>
      <c r="S439" s="123"/>
      <c r="T439" s="123"/>
      <c r="U439" s="123"/>
      <c r="V439" s="123"/>
      <c r="W439" s="123"/>
      <c r="X439" s="123"/>
      <c r="Y439" s="123"/>
      <c r="Z439" s="123"/>
    </row>
    <row r="440" spans="2:26" s="235" customFormat="1" ht="13.8">
      <c r="B440" s="307"/>
      <c r="C440" s="307"/>
      <c r="D440" s="307"/>
      <c r="E440" s="307"/>
      <c r="F440" s="307"/>
      <c r="M440" s="123"/>
      <c r="N440" s="123"/>
      <c r="O440" s="123"/>
      <c r="P440" s="123"/>
      <c r="Q440" s="123"/>
      <c r="R440" s="123"/>
      <c r="S440" s="123"/>
      <c r="T440" s="123"/>
      <c r="U440" s="123"/>
      <c r="V440" s="123"/>
      <c r="W440" s="123"/>
      <c r="X440" s="123"/>
      <c r="Y440" s="123"/>
      <c r="Z440" s="123"/>
    </row>
    <row r="441" spans="2:26" s="235" customFormat="1" ht="13.8">
      <c r="B441" s="307"/>
      <c r="C441" s="307"/>
      <c r="D441" s="307"/>
      <c r="E441" s="307"/>
      <c r="F441" s="307"/>
      <c r="M441" s="123"/>
      <c r="N441" s="123"/>
      <c r="O441" s="123"/>
      <c r="P441" s="123"/>
      <c r="Q441" s="123"/>
      <c r="R441" s="123"/>
      <c r="S441" s="123"/>
      <c r="T441" s="123"/>
      <c r="U441" s="123"/>
      <c r="V441" s="123"/>
      <c r="W441" s="123"/>
      <c r="X441" s="123"/>
      <c r="Y441" s="123"/>
      <c r="Z441" s="123"/>
    </row>
    <row r="442" spans="2:26" s="235" customFormat="1" ht="13.8">
      <c r="B442" s="307"/>
      <c r="C442" s="307"/>
      <c r="D442" s="307"/>
      <c r="E442" s="307"/>
      <c r="F442" s="307"/>
      <c r="M442" s="123"/>
      <c r="N442" s="123"/>
      <c r="O442" s="123"/>
      <c r="P442" s="123"/>
      <c r="Q442" s="123"/>
      <c r="R442" s="123"/>
      <c r="S442" s="123"/>
      <c r="T442" s="123"/>
      <c r="U442" s="123"/>
      <c r="V442" s="123"/>
      <c r="W442" s="123"/>
      <c r="X442" s="123"/>
      <c r="Y442" s="123"/>
      <c r="Z442" s="123"/>
    </row>
    <row r="443" spans="2:26" s="235" customFormat="1" ht="13.8">
      <c r="B443" s="307"/>
      <c r="C443" s="307"/>
      <c r="D443" s="307"/>
      <c r="E443" s="307"/>
      <c r="F443" s="307"/>
      <c r="M443" s="123"/>
      <c r="N443" s="123"/>
      <c r="O443" s="123"/>
      <c r="P443" s="123"/>
      <c r="Q443" s="123"/>
      <c r="R443" s="123"/>
      <c r="S443" s="123"/>
      <c r="T443" s="123"/>
      <c r="U443" s="123"/>
      <c r="V443" s="123"/>
      <c r="W443" s="123"/>
      <c r="X443" s="123"/>
      <c r="Y443" s="123"/>
      <c r="Z443" s="123"/>
    </row>
    <row r="444" spans="2:26" s="235" customFormat="1" ht="13.8">
      <c r="B444" s="307"/>
      <c r="C444" s="307"/>
      <c r="D444" s="307"/>
      <c r="E444" s="307"/>
      <c r="F444" s="307"/>
      <c r="M444" s="123"/>
      <c r="N444" s="123"/>
      <c r="O444" s="123"/>
      <c r="P444" s="123"/>
      <c r="Q444" s="123"/>
      <c r="R444" s="123"/>
      <c r="S444" s="123"/>
      <c r="T444" s="123"/>
      <c r="U444" s="123"/>
      <c r="V444" s="123"/>
      <c r="W444" s="123"/>
      <c r="X444" s="123"/>
      <c r="Y444" s="123"/>
      <c r="Z444" s="123"/>
    </row>
    <row r="445" spans="2:26" s="235" customFormat="1" ht="13.8">
      <c r="B445" s="307"/>
      <c r="C445" s="307"/>
      <c r="D445" s="307"/>
      <c r="E445" s="307"/>
      <c r="F445" s="307"/>
      <c r="M445" s="123"/>
      <c r="N445" s="123"/>
      <c r="O445" s="123"/>
      <c r="P445" s="123"/>
      <c r="Q445" s="123"/>
      <c r="R445" s="123"/>
      <c r="S445" s="123"/>
      <c r="T445" s="123"/>
      <c r="U445" s="123"/>
      <c r="V445" s="123"/>
      <c r="W445" s="123"/>
      <c r="X445" s="123"/>
      <c r="Y445" s="123"/>
      <c r="Z445" s="123"/>
    </row>
    <row r="446" spans="2:26" s="235" customFormat="1" ht="13.8">
      <c r="B446" s="307"/>
      <c r="C446" s="307"/>
      <c r="D446" s="307"/>
      <c r="E446" s="307"/>
      <c r="F446" s="307"/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  <c r="Y446" s="123"/>
      <c r="Z446" s="123"/>
    </row>
    <row r="447" spans="2:26" s="235" customFormat="1" ht="13.8">
      <c r="B447" s="307"/>
      <c r="C447" s="307"/>
      <c r="D447" s="307"/>
      <c r="E447" s="307"/>
      <c r="F447" s="307"/>
      <c r="M447" s="123"/>
      <c r="N447" s="123"/>
      <c r="O447" s="123"/>
      <c r="P447" s="123"/>
      <c r="Q447" s="123"/>
      <c r="R447" s="123"/>
      <c r="S447" s="123"/>
      <c r="T447" s="123"/>
      <c r="U447" s="123"/>
      <c r="V447" s="123"/>
      <c r="W447" s="123"/>
      <c r="X447" s="123"/>
      <c r="Y447" s="123"/>
      <c r="Z447" s="123"/>
    </row>
    <row r="448" spans="2:26" s="235" customFormat="1" ht="13.8">
      <c r="B448" s="307"/>
      <c r="C448" s="307"/>
      <c r="D448" s="307"/>
      <c r="E448" s="307"/>
      <c r="F448" s="307"/>
      <c r="M448" s="123"/>
      <c r="N448" s="123"/>
      <c r="O448" s="123"/>
      <c r="P448" s="123"/>
      <c r="Q448" s="123"/>
      <c r="R448" s="123"/>
      <c r="S448" s="123"/>
      <c r="T448" s="123"/>
      <c r="U448" s="123"/>
      <c r="V448" s="123"/>
      <c r="W448" s="123"/>
      <c r="X448" s="123"/>
      <c r="Y448" s="123"/>
      <c r="Z448" s="123"/>
    </row>
    <row r="449" spans="2:26" s="235" customFormat="1" ht="13.8">
      <c r="B449" s="307"/>
      <c r="C449" s="307"/>
      <c r="D449" s="307"/>
      <c r="E449" s="307"/>
      <c r="F449" s="307"/>
      <c r="M449" s="12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23"/>
      <c r="Z449" s="123"/>
    </row>
    <row r="450" spans="2:26" s="235" customFormat="1" ht="13.8">
      <c r="B450" s="307"/>
      <c r="C450" s="307"/>
      <c r="D450" s="307"/>
      <c r="E450" s="307"/>
      <c r="F450" s="307"/>
      <c r="M450" s="123"/>
      <c r="N450" s="123"/>
      <c r="O450" s="123"/>
      <c r="P450" s="123"/>
      <c r="Q450" s="123"/>
      <c r="R450" s="123"/>
      <c r="S450" s="123"/>
      <c r="T450" s="123"/>
      <c r="U450" s="123"/>
      <c r="V450" s="123"/>
      <c r="W450" s="123"/>
      <c r="X450" s="123"/>
      <c r="Y450" s="123"/>
      <c r="Z450" s="123"/>
    </row>
    <row r="451" spans="2:26" s="235" customFormat="1" ht="13.8">
      <c r="B451" s="307"/>
      <c r="C451" s="307"/>
      <c r="D451" s="307"/>
      <c r="E451" s="307"/>
      <c r="F451" s="307"/>
      <c r="M451" s="123"/>
      <c r="N451" s="123"/>
      <c r="O451" s="123"/>
      <c r="P451" s="123"/>
      <c r="Q451" s="123"/>
      <c r="R451" s="123"/>
      <c r="S451" s="123"/>
      <c r="T451" s="123"/>
      <c r="U451" s="123"/>
      <c r="V451" s="123"/>
      <c r="W451" s="123"/>
      <c r="X451" s="123"/>
      <c r="Y451" s="123"/>
      <c r="Z451" s="123"/>
    </row>
    <row r="452" spans="2:26" s="235" customFormat="1" ht="13.8">
      <c r="B452" s="307"/>
      <c r="C452" s="307"/>
      <c r="D452" s="307"/>
      <c r="E452" s="307"/>
      <c r="F452" s="307"/>
      <c r="M452" s="123"/>
      <c r="N452" s="123"/>
      <c r="O452" s="123"/>
      <c r="P452" s="123"/>
      <c r="Q452" s="123"/>
      <c r="R452" s="123"/>
      <c r="S452" s="123"/>
      <c r="T452" s="123"/>
      <c r="U452" s="123"/>
      <c r="V452" s="123"/>
      <c r="W452" s="123"/>
      <c r="X452" s="123"/>
      <c r="Y452" s="123"/>
      <c r="Z452" s="123"/>
    </row>
    <row r="453" spans="2:26" s="235" customFormat="1" ht="13.8">
      <c r="B453" s="307"/>
      <c r="C453" s="307"/>
      <c r="D453" s="307"/>
      <c r="E453" s="307"/>
      <c r="F453" s="307"/>
      <c r="M453" s="123"/>
      <c r="N453" s="123"/>
      <c r="O453" s="123"/>
      <c r="P453" s="123"/>
      <c r="Q453" s="123"/>
      <c r="R453" s="123"/>
      <c r="S453" s="123"/>
      <c r="T453" s="123"/>
      <c r="U453" s="123"/>
      <c r="V453" s="123"/>
      <c r="W453" s="123"/>
      <c r="X453" s="123"/>
      <c r="Y453" s="123"/>
      <c r="Z453" s="123"/>
    </row>
    <row r="454" spans="2:26" s="235" customFormat="1" ht="13.8">
      <c r="B454" s="307"/>
      <c r="C454" s="307"/>
      <c r="D454" s="307"/>
      <c r="E454" s="307"/>
      <c r="F454" s="307"/>
      <c r="M454" s="123"/>
      <c r="N454" s="123"/>
      <c r="O454" s="123"/>
      <c r="P454" s="123"/>
      <c r="Q454" s="123"/>
      <c r="R454" s="123"/>
      <c r="S454" s="123"/>
      <c r="T454" s="123"/>
      <c r="U454" s="123"/>
      <c r="V454" s="123"/>
      <c r="W454" s="123"/>
      <c r="X454" s="123"/>
      <c r="Y454" s="123"/>
      <c r="Z454" s="123"/>
    </row>
    <row r="455" spans="2:26" s="235" customFormat="1" ht="13.8">
      <c r="B455" s="307"/>
      <c r="C455" s="307"/>
      <c r="D455" s="307"/>
      <c r="E455" s="307"/>
      <c r="F455" s="307"/>
      <c r="M455" s="123"/>
      <c r="N455" s="123"/>
      <c r="O455" s="123"/>
      <c r="P455" s="123"/>
      <c r="Q455" s="123"/>
      <c r="R455" s="123"/>
      <c r="S455" s="123"/>
      <c r="T455" s="123"/>
      <c r="U455" s="123"/>
      <c r="V455" s="123"/>
      <c r="W455" s="123"/>
      <c r="X455" s="123"/>
      <c r="Y455" s="123"/>
      <c r="Z455" s="123"/>
    </row>
    <row r="456" spans="2:26" s="235" customFormat="1" ht="13.8">
      <c r="B456" s="307"/>
      <c r="C456" s="307"/>
      <c r="D456" s="307"/>
      <c r="E456" s="307"/>
      <c r="F456" s="307"/>
      <c r="M456" s="123"/>
      <c r="N456" s="123"/>
      <c r="O456" s="123"/>
      <c r="P456" s="123"/>
      <c r="Q456" s="123"/>
      <c r="R456" s="123"/>
      <c r="S456" s="123"/>
      <c r="T456" s="123"/>
      <c r="U456" s="123"/>
      <c r="V456" s="123"/>
      <c r="W456" s="123"/>
      <c r="X456" s="123"/>
      <c r="Y456" s="123"/>
      <c r="Z456" s="123"/>
    </row>
    <row r="457" spans="2:26" s="235" customFormat="1" ht="13.8">
      <c r="B457" s="307"/>
      <c r="C457" s="307"/>
      <c r="D457" s="307"/>
      <c r="E457" s="307"/>
      <c r="F457" s="307"/>
      <c r="M457" s="123"/>
      <c r="N457" s="123"/>
      <c r="O457" s="123"/>
      <c r="P457" s="123"/>
      <c r="Q457" s="123"/>
      <c r="R457" s="123"/>
      <c r="S457" s="123"/>
      <c r="T457" s="123"/>
      <c r="U457" s="123"/>
      <c r="V457" s="123"/>
      <c r="W457" s="123"/>
      <c r="X457" s="123"/>
      <c r="Y457" s="123"/>
      <c r="Z457" s="123"/>
    </row>
    <row r="458" spans="2:26" s="235" customFormat="1" ht="13.8">
      <c r="B458" s="307"/>
      <c r="C458" s="307"/>
      <c r="D458" s="307"/>
      <c r="E458" s="307"/>
      <c r="F458" s="307"/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23"/>
      <c r="Z458" s="123"/>
    </row>
    <row r="459" spans="2:26" s="235" customFormat="1" ht="13.8">
      <c r="B459" s="307"/>
      <c r="C459" s="307"/>
      <c r="D459" s="307"/>
      <c r="E459" s="307"/>
      <c r="F459" s="307"/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23"/>
      <c r="Z459" s="123"/>
    </row>
    <row r="460" spans="2:26" s="235" customFormat="1" ht="13.8">
      <c r="B460" s="307"/>
      <c r="C460" s="307"/>
      <c r="D460" s="307"/>
      <c r="E460" s="307"/>
      <c r="F460" s="307"/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23"/>
      <c r="Z460" s="123"/>
    </row>
    <row r="461" spans="2:26" s="235" customFormat="1" ht="13.8">
      <c r="B461" s="307"/>
      <c r="C461" s="307"/>
      <c r="D461" s="307"/>
      <c r="E461" s="307"/>
      <c r="F461" s="307"/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23"/>
      <c r="Z461" s="123"/>
    </row>
    <row r="462" spans="2:26" s="235" customFormat="1" ht="13.8">
      <c r="B462" s="307"/>
      <c r="C462" s="307"/>
      <c r="D462" s="307"/>
      <c r="E462" s="307"/>
      <c r="F462" s="307"/>
      <c r="M462" s="123"/>
      <c r="N462" s="123"/>
      <c r="O462" s="123"/>
      <c r="P462" s="123"/>
      <c r="Q462" s="123"/>
      <c r="R462" s="123"/>
      <c r="S462" s="123"/>
      <c r="T462" s="123"/>
      <c r="U462" s="123"/>
      <c r="V462" s="123"/>
      <c r="W462" s="123"/>
      <c r="X462" s="123"/>
      <c r="Y462" s="123"/>
      <c r="Z462" s="123"/>
    </row>
    <row r="463" spans="2:26" s="235" customFormat="1" ht="13.8">
      <c r="B463" s="307"/>
      <c r="C463" s="307"/>
      <c r="D463" s="307"/>
      <c r="E463" s="307"/>
      <c r="F463" s="307"/>
      <c r="M463" s="123"/>
      <c r="N463" s="123"/>
      <c r="O463" s="123"/>
      <c r="P463" s="123"/>
      <c r="Q463" s="123"/>
      <c r="R463" s="123"/>
      <c r="S463" s="123"/>
      <c r="T463" s="123"/>
      <c r="U463" s="123"/>
      <c r="V463" s="123"/>
      <c r="W463" s="123"/>
      <c r="X463" s="123"/>
      <c r="Y463" s="123"/>
      <c r="Z463" s="123"/>
    </row>
    <row r="464" spans="2:26" s="235" customFormat="1" ht="13.8">
      <c r="B464" s="307"/>
      <c r="C464" s="307"/>
      <c r="D464" s="307"/>
      <c r="E464" s="307"/>
      <c r="F464" s="307"/>
      <c r="M464" s="123"/>
      <c r="N464" s="123"/>
      <c r="O464" s="123"/>
      <c r="P464" s="123"/>
      <c r="Q464" s="123"/>
      <c r="R464" s="123"/>
      <c r="S464" s="123"/>
      <c r="T464" s="123"/>
      <c r="U464" s="123"/>
      <c r="V464" s="123"/>
      <c r="W464" s="123"/>
      <c r="X464" s="123"/>
      <c r="Y464" s="123"/>
      <c r="Z464" s="123"/>
    </row>
    <row r="465" spans="2:26" s="235" customFormat="1" ht="13.8">
      <c r="B465" s="307"/>
      <c r="C465" s="307"/>
      <c r="D465" s="307"/>
      <c r="E465" s="307"/>
      <c r="F465" s="307"/>
      <c r="M465" s="123"/>
      <c r="N465" s="123"/>
      <c r="O465" s="123"/>
      <c r="P465" s="123"/>
      <c r="Q465" s="123"/>
      <c r="R465" s="123"/>
      <c r="S465" s="123"/>
      <c r="T465" s="123"/>
      <c r="U465" s="123"/>
      <c r="V465" s="123"/>
      <c r="W465" s="123"/>
      <c r="X465" s="123"/>
      <c r="Y465" s="123"/>
      <c r="Z465" s="123"/>
    </row>
    <row r="466" spans="2:26" s="235" customFormat="1" ht="13.8">
      <c r="B466" s="307"/>
      <c r="C466" s="307"/>
      <c r="D466" s="307"/>
      <c r="E466" s="307"/>
      <c r="F466" s="307"/>
      <c r="M466" s="123"/>
      <c r="N466" s="123"/>
      <c r="O466" s="123"/>
      <c r="P466" s="123"/>
      <c r="Q466" s="123"/>
      <c r="R466" s="123"/>
      <c r="S466" s="123"/>
      <c r="T466" s="123"/>
      <c r="U466" s="123"/>
      <c r="V466" s="123"/>
      <c r="W466" s="123"/>
      <c r="X466" s="123"/>
      <c r="Y466" s="123"/>
      <c r="Z466" s="123"/>
    </row>
    <row r="467" spans="2:26" s="235" customFormat="1" ht="13.8">
      <c r="B467" s="307"/>
      <c r="C467" s="307"/>
      <c r="D467" s="307"/>
      <c r="E467" s="307"/>
      <c r="F467" s="307"/>
      <c r="M467" s="123"/>
      <c r="N467" s="123"/>
      <c r="O467" s="123"/>
      <c r="P467" s="123"/>
      <c r="Q467" s="123"/>
      <c r="R467" s="123"/>
      <c r="S467" s="123"/>
      <c r="T467" s="123"/>
      <c r="U467" s="123"/>
      <c r="V467" s="123"/>
      <c r="W467" s="123"/>
      <c r="X467" s="123"/>
      <c r="Y467" s="123"/>
      <c r="Z467" s="123"/>
    </row>
    <row r="468" spans="2:26" s="235" customFormat="1" ht="13.8">
      <c r="B468" s="307"/>
      <c r="C468" s="307"/>
      <c r="D468" s="307"/>
      <c r="E468" s="307"/>
      <c r="F468" s="307"/>
      <c r="M468" s="123"/>
      <c r="N468" s="123"/>
      <c r="O468" s="123"/>
      <c r="P468" s="123"/>
      <c r="Q468" s="123"/>
      <c r="R468" s="123"/>
      <c r="S468" s="123"/>
      <c r="T468" s="123"/>
      <c r="U468" s="123"/>
      <c r="V468" s="123"/>
      <c r="W468" s="123"/>
      <c r="X468" s="123"/>
      <c r="Y468" s="123"/>
      <c r="Z468" s="123"/>
    </row>
    <row r="469" spans="2:26" s="235" customFormat="1" ht="13.8">
      <c r="B469" s="307"/>
      <c r="C469" s="307"/>
      <c r="D469" s="307"/>
      <c r="E469" s="307"/>
      <c r="F469" s="307"/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23"/>
      <c r="Z469" s="123"/>
    </row>
    <row r="470" spans="2:26" s="235" customFormat="1" ht="13.8">
      <c r="B470" s="307"/>
      <c r="C470" s="307"/>
      <c r="D470" s="307"/>
      <c r="E470" s="307"/>
      <c r="F470" s="307"/>
      <c r="M470" s="123"/>
      <c r="N470" s="123"/>
      <c r="O470" s="123"/>
      <c r="P470" s="123"/>
      <c r="Q470" s="123"/>
      <c r="R470" s="123"/>
      <c r="S470" s="123"/>
      <c r="T470" s="123"/>
      <c r="U470" s="123"/>
      <c r="V470" s="123"/>
      <c r="W470" s="123"/>
      <c r="X470" s="123"/>
      <c r="Y470" s="123"/>
      <c r="Z470" s="123"/>
    </row>
    <row r="471" spans="2:26" s="235" customFormat="1" ht="13.8">
      <c r="B471" s="307"/>
      <c r="C471" s="307"/>
      <c r="D471" s="307"/>
      <c r="E471" s="307"/>
      <c r="F471" s="307"/>
      <c r="M471" s="123"/>
      <c r="N471" s="123"/>
      <c r="O471" s="123"/>
      <c r="P471" s="123"/>
      <c r="Q471" s="123"/>
      <c r="R471" s="123"/>
      <c r="S471" s="123"/>
      <c r="T471" s="123"/>
      <c r="U471" s="123"/>
      <c r="V471" s="123"/>
      <c r="W471" s="123"/>
      <c r="X471" s="123"/>
      <c r="Y471" s="123"/>
      <c r="Z471" s="123"/>
    </row>
    <row r="472" spans="2:26" s="235" customFormat="1" ht="13.8">
      <c r="B472" s="307"/>
      <c r="C472" s="307"/>
      <c r="D472" s="307"/>
      <c r="E472" s="307"/>
      <c r="F472" s="307"/>
      <c r="M472" s="123"/>
      <c r="N472" s="123"/>
      <c r="O472" s="123"/>
      <c r="P472" s="123"/>
      <c r="Q472" s="123"/>
      <c r="R472" s="123"/>
      <c r="S472" s="123"/>
      <c r="T472" s="123"/>
      <c r="U472" s="123"/>
      <c r="V472" s="123"/>
      <c r="W472" s="123"/>
      <c r="X472" s="123"/>
      <c r="Y472" s="123"/>
      <c r="Z472" s="123"/>
    </row>
    <row r="473" spans="2:26" s="235" customFormat="1" ht="13.8">
      <c r="B473" s="307"/>
      <c r="C473" s="307"/>
      <c r="D473" s="307"/>
      <c r="E473" s="307"/>
      <c r="F473" s="307"/>
      <c r="M473" s="123"/>
      <c r="N473" s="123"/>
      <c r="O473" s="123"/>
      <c r="P473" s="123"/>
      <c r="Q473" s="123"/>
      <c r="R473" s="123"/>
      <c r="S473" s="123"/>
      <c r="T473" s="123"/>
      <c r="U473" s="123"/>
      <c r="V473" s="123"/>
      <c r="W473" s="123"/>
      <c r="X473" s="123"/>
      <c r="Y473" s="123"/>
      <c r="Z473" s="123"/>
    </row>
    <row r="474" spans="2:26" s="235" customFormat="1" ht="13.8">
      <c r="B474" s="307"/>
      <c r="C474" s="307"/>
      <c r="D474" s="307"/>
      <c r="E474" s="307"/>
      <c r="F474" s="307"/>
      <c r="M474" s="123"/>
      <c r="N474" s="123"/>
      <c r="O474" s="123"/>
      <c r="P474" s="123"/>
      <c r="Q474" s="123"/>
      <c r="R474" s="123"/>
      <c r="S474" s="123"/>
      <c r="T474" s="123"/>
      <c r="U474" s="123"/>
      <c r="V474" s="123"/>
      <c r="W474" s="123"/>
      <c r="X474" s="123"/>
      <c r="Y474" s="123"/>
      <c r="Z474" s="123"/>
    </row>
    <row r="475" spans="2:26" s="235" customFormat="1" ht="13.8">
      <c r="B475" s="307"/>
      <c r="C475" s="307"/>
      <c r="D475" s="307"/>
      <c r="E475" s="307"/>
      <c r="F475" s="307"/>
      <c r="M475" s="123"/>
      <c r="N475" s="123"/>
      <c r="O475" s="123"/>
      <c r="P475" s="123"/>
      <c r="Q475" s="123"/>
      <c r="R475" s="123"/>
      <c r="S475" s="123"/>
      <c r="T475" s="123"/>
      <c r="U475" s="123"/>
      <c r="V475" s="123"/>
      <c r="W475" s="123"/>
      <c r="X475" s="123"/>
      <c r="Y475" s="123"/>
      <c r="Z475" s="123"/>
    </row>
    <row r="476" spans="2:26" s="235" customFormat="1" ht="13.8">
      <c r="B476" s="307"/>
      <c r="C476" s="307"/>
      <c r="D476" s="307"/>
      <c r="E476" s="307"/>
      <c r="F476" s="307"/>
      <c r="M476" s="123"/>
      <c r="N476" s="123"/>
      <c r="O476" s="123"/>
      <c r="P476" s="123"/>
      <c r="Q476" s="123"/>
      <c r="R476" s="123"/>
      <c r="S476" s="123"/>
      <c r="T476" s="123"/>
      <c r="U476" s="123"/>
      <c r="V476" s="123"/>
      <c r="W476" s="123"/>
      <c r="X476" s="123"/>
      <c r="Y476" s="123"/>
      <c r="Z476" s="123"/>
    </row>
    <row r="477" spans="2:26" s="235" customFormat="1" ht="13.8">
      <c r="B477" s="307"/>
      <c r="C477" s="307"/>
      <c r="D477" s="307"/>
      <c r="E477" s="307"/>
      <c r="F477" s="307"/>
      <c r="M477" s="123"/>
      <c r="N477" s="123"/>
      <c r="O477" s="123"/>
      <c r="P477" s="123"/>
      <c r="Q477" s="123"/>
      <c r="R477" s="123"/>
      <c r="S477" s="123"/>
      <c r="T477" s="123"/>
      <c r="U477" s="123"/>
      <c r="V477" s="123"/>
      <c r="W477" s="123"/>
      <c r="X477" s="123"/>
      <c r="Y477" s="123"/>
      <c r="Z477" s="123"/>
    </row>
    <row r="478" spans="2:26" s="235" customFormat="1" ht="13.8">
      <c r="B478" s="307"/>
      <c r="C478" s="307"/>
      <c r="D478" s="307"/>
      <c r="E478" s="307"/>
      <c r="F478" s="307"/>
      <c r="M478" s="123"/>
      <c r="N478" s="123"/>
      <c r="O478" s="123"/>
      <c r="P478" s="123"/>
      <c r="Q478" s="123"/>
      <c r="R478" s="123"/>
      <c r="S478" s="123"/>
      <c r="T478" s="123"/>
      <c r="U478" s="123"/>
      <c r="V478" s="123"/>
      <c r="W478" s="123"/>
      <c r="X478" s="123"/>
      <c r="Y478" s="123"/>
      <c r="Z478" s="123"/>
    </row>
    <row r="479" spans="2:26" s="235" customFormat="1" ht="13.8">
      <c r="B479" s="307"/>
      <c r="C479" s="307"/>
      <c r="D479" s="307"/>
      <c r="E479" s="307"/>
      <c r="F479" s="307"/>
      <c r="M479" s="123"/>
      <c r="N479" s="123"/>
      <c r="O479" s="123"/>
      <c r="P479" s="123"/>
      <c r="Q479" s="123"/>
      <c r="R479" s="123"/>
      <c r="S479" s="123"/>
      <c r="T479" s="123"/>
      <c r="U479" s="123"/>
      <c r="V479" s="123"/>
      <c r="W479" s="123"/>
      <c r="X479" s="123"/>
      <c r="Y479" s="123"/>
      <c r="Z479" s="123"/>
    </row>
    <row r="480" spans="2:26" s="235" customFormat="1" ht="13.8">
      <c r="B480" s="307"/>
      <c r="C480" s="307"/>
      <c r="D480" s="307"/>
      <c r="E480" s="307"/>
      <c r="F480" s="307"/>
      <c r="M480" s="123"/>
      <c r="N480" s="123"/>
      <c r="O480" s="123"/>
      <c r="P480" s="123"/>
      <c r="Q480" s="123"/>
      <c r="R480" s="123"/>
      <c r="S480" s="123"/>
      <c r="T480" s="123"/>
      <c r="U480" s="123"/>
      <c r="V480" s="123"/>
      <c r="W480" s="123"/>
      <c r="X480" s="123"/>
      <c r="Y480" s="123"/>
      <c r="Z480" s="123"/>
    </row>
    <row r="481" spans="2:26" s="235" customFormat="1" ht="13.8">
      <c r="B481" s="307"/>
      <c r="C481" s="307"/>
      <c r="D481" s="307"/>
      <c r="E481" s="307"/>
      <c r="F481" s="307"/>
      <c r="M481" s="123"/>
      <c r="N481" s="123"/>
      <c r="O481" s="123"/>
      <c r="P481" s="123"/>
      <c r="Q481" s="123"/>
      <c r="R481" s="123"/>
      <c r="S481" s="123"/>
      <c r="T481" s="123"/>
      <c r="U481" s="123"/>
      <c r="V481" s="123"/>
      <c r="W481" s="123"/>
      <c r="X481" s="123"/>
      <c r="Y481" s="123"/>
      <c r="Z481" s="123"/>
    </row>
    <row r="482" spans="2:26" s="235" customFormat="1" ht="13.8">
      <c r="B482" s="307"/>
      <c r="C482" s="307"/>
      <c r="D482" s="307"/>
      <c r="E482" s="307"/>
      <c r="F482" s="307"/>
      <c r="M482" s="123"/>
      <c r="N482" s="123"/>
      <c r="O482" s="123"/>
      <c r="P482" s="123"/>
      <c r="Q482" s="123"/>
      <c r="R482" s="123"/>
      <c r="S482" s="123"/>
      <c r="T482" s="123"/>
      <c r="U482" s="123"/>
      <c r="V482" s="123"/>
      <c r="W482" s="123"/>
      <c r="X482" s="123"/>
      <c r="Y482" s="123"/>
      <c r="Z482" s="123"/>
    </row>
    <row r="483" spans="2:26" s="235" customFormat="1" ht="13.8">
      <c r="B483" s="307"/>
      <c r="C483" s="307"/>
      <c r="D483" s="307"/>
      <c r="E483" s="307"/>
      <c r="F483" s="307"/>
      <c r="M483" s="123"/>
      <c r="N483" s="123"/>
      <c r="O483" s="123"/>
      <c r="P483" s="123"/>
      <c r="Q483" s="123"/>
      <c r="R483" s="123"/>
      <c r="S483" s="123"/>
      <c r="T483" s="123"/>
      <c r="U483" s="123"/>
      <c r="V483" s="123"/>
      <c r="W483" s="123"/>
      <c r="X483" s="123"/>
      <c r="Y483" s="123"/>
      <c r="Z483" s="123"/>
    </row>
    <row r="484" spans="2:26" s="235" customFormat="1" ht="13.8">
      <c r="B484" s="307"/>
      <c r="C484" s="307"/>
      <c r="D484" s="307"/>
      <c r="E484" s="307"/>
      <c r="F484" s="307"/>
      <c r="M484" s="123"/>
      <c r="N484" s="123"/>
      <c r="O484" s="123"/>
      <c r="P484" s="123"/>
      <c r="Q484" s="123"/>
      <c r="R484" s="123"/>
      <c r="S484" s="123"/>
      <c r="T484" s="123"/>
      <c r="U484" s="123"/>
      <c r="V484" s="123"/>
      <c r="W484" s="123"/>
      <c r="X484" s="123"/>
      <c r="Y484" s="123"/>
      <c r="Z484" s="123"/>
    </row>
    <row r="485" spans="2:26" s="235" customFormat="1" ht="13.8">
      <c r="B485" s="307"/>
      <c r="C485" s="307"/>
      <c r="D485" s="307"/>
      <c r="E485" s="307"/>
      <c r="F485" s="307"/>
      <c r="M485" s="123"/>
      <c r="N485" s="123"/>
      <c r="O485" s="123"/>
      <c r="P485" s="123"/>
      <c r="Q485" s="123"/>
      <c r="R485" s="123"/>
      <c r="S485" s="123"/>
      <c r="T485" s="123"/>
      <c r="U485" s="123"/>
      <c r="V485" s="123"/>
      <c r="W485" s="123"/>
      <c r="X485" s="123"/>
      <c r="Y485" s="123"/>
      <c r="Z485" s="123"/>
    </row>
    <row r="486" spans="2:26" s="235" customFormat="1" ht="13.8">
      <c r="B486" s="307"/>
      <c r="C486" s="307"/>
      <c r="D486" s="307"/>
      <c r="E486" s="307"/>
      <c r="F486" s="307"/>
      <c r="M486" s="123"/>
      <c r="N486" s="123"/>
      <c r="O486" s="123"/>
      <c r="P486" s="123"/>
      <c r="Q486" s="123"/>
      <c r="R486" s="123"/>
      <c r="S486" s="123"/>
      <c r="T486" s="123"/>
      <c r="U486" s="123"/>
      <c r="V486" s="123"/>
      <c r="W486" s="123"/>
      <c r="X486" s="123"/>
      <c r="Y486" s="123"/>
      <c r="Z486" s="123"/>
    </row>
    <row r="487" spans="2:26" s="235" customFormat="1" ht="13.8">
      <c r="B487" s="307"/>
      <c r="C487" s="307"/>
      <c r="D487" s="307"/>
      <c r="E487" s="307"/>
      <c r="F487" s="307"/>
      <c r="M487" s="123"/>
      <c r="N487" s="123"/>
      <c r="O487" s="123"/>
      <c r="P487" s="123"/>
      <c r="Q487" s="123"/>
      <c r="R487" s="123"/>
      <c r="S487" s="123"/>
      <c r="T487" s="123"/>
      <c r="U487" s="123"/>
      <c r="V487" s="123"/>
      <c r="W487" s="123"/>
      <c r="X487" s="123"/>
      <c r="Y487" s="123"/>
      <c r="Z487" s="123"/>
    </row>
    <row r="488" spans="2:26" s="235" customFormat="1" ht="13.8">
      <c r="B488" s="307"/>
      <c r="C488" s="307"/>
      <c r="D488" s="307"/>
      <c r="E488" s="307"/>
      <c r="F488" s="307"/>
      <c r="M488" s="123"/>
      <c r="N488" s="123"/>
      <c r="O488" s="123"/>
      <c r="P488" s="123"/>
      <c r="Q488" s="123"/>
      <c r="R488" s="123"/>
      <c r="S488" s="123"/>
      <c r="T488" s="123"/>
      <c r="U488" s="123"/>
      <c r="V488" s="123"/>
      <c r="W488" s="123"/>
      <c r="X488" s="123"/>
      <c r="Y488" s="123"/>
      <c r="Z488" s="123"/>
    </row>
    <row r="489" spans="2:26" s="235" customFormat="1" ht="13.8">
      <c r="B489" s="307"/>
      <c r="C489" s="307"/>
      <c r="D489" s="307"/>
      <c r="E489" s="307"/>
      <c r="F489" s="307"/>
      <c r="M489" s="123"/>
      <c r="N489" s="123"/>
      <c r="O489" s="123"/>
      <c r="P489" s="123"/>
      <c r="Q489" s="123"/>
      <c r="R489" s="123"/>
      <c r="S489" s="123"/>
      <c r="T489" s="123"/>
      <c r="U489" s="123"/>
      <c r="V489" s="123"/>
      <c r="W489" s="123"/>
      <c r="X489" s="123"/>
      <c r="Y489" s="123"/>
      <c r="Z489" s="123"/>
    </row>
    <row r="490" spans="2:26" s="235" customFormat="1" ht="13.8">
      <c r="B490" s="307"/>
      <c r="C490" s="307"/>
      <c r="D490" s="307"/>
      <c r="E490" s="307"/>
      <c r="F490" s="307"/>
      <c r="M490" s="123"/>
      <c r="N490" s="123"/>
      <c r="O490" s="123"/>
      <c r="P490" s="123"/>
      <c r="Q490" s="123"/>
      <c r="R490" s="123"/>
      <c r="S490" s="123"/>
      <c r="T490" s="123"/>
      <c r="U490" s="123"/>
      <c r="V490" s="123"/>
      <c r="W490" s="123"/>
      <c r="X490" s="123"/>
      <c r="Y490" s="123"/>
      <c r="Z490" s="123"/>
    </row>
    <row r="491" spans="2:26" s="235" customFormat="1" ht="13.8">
      <c r="B491" s="307"/>
      <c r="C491" s="307"/>
      <c r="D491" s="307"/>
      <c r="E491" s="307"/>
      <c r="F491" s="307"/>
      <c r="M491" s="123"/>
      <c r="N491" s="123"/>
      <c r="O491" s="123"/>
      <c r="P491" s="123"/>
      <c r="Q491" s="123"/>
      <c r="R491" s="123"/>
      <c r="S491" s="123"/>
      <c r="T491" s="123"/>
      <c r="U491" s="123"/>
      <c r="V491" s="123"/>
      <c r="W491" s="123"/>
      <c r="X491" s="123"/>
      <c r="Y491" s="123"/>
      <c r="Z491" s="123"/>
    </row>
    <row r="492" spans="2:26" s="235" customFormat="1" ht="13.8">
      <c r="B492" s="307"/>
      <c r="C492" s="307"/>
      <c r="D492" s="307"/>
      <c r="E492" s="307"/>
      <c r="F492" s="307"/>
      <c r="M492" s="123"/>
      <c r="N492" s="123"/>
      <c r="O492" s="123"/>
      <c r="P492" s="123"/>
      <c r="Q492" s="123"/>
      <c r="R492" s="123"/>
      <c r="S492" s="123"/>
      <c r="T492" s="123"/>
      <c r="U492" s="123"/>
      <c r="V492" s="123"/>
      <c r="W492" s="123"/>
      <c r="X492" s="123"/>
      <c r="Y492" s="123"/>
      <c r="Z492" s="123"/>
    </row>
    <row r="493" spans="2:26" s="235" customFormat="1" ht="13.8">
      <c r="B493" s="307"/>
      <c r="C493" s="307"/>
      <c r="D493" s="307"/>
      <c r="E493" s="307"/>
      <c r="F493" s="307"/>
      <c r="M493" s="123"/>
      <c r="N493" s="123"/>
      <c r="O493" s="123"/>
      <c r="P493" s="123"/>
      <c r="Q493" s="123"/>
      <c r="R493" s="123"/>
      <c r="S493" s="123"/>
      <c r="T493" s="123"/>
      <c r="U493" s="123"/>
      <c r="V493" s="123"/>
      <c r="W493" s="123"/>
      <c r="X493" s="123"/>
      <c r="Y493" s="123"/>
      <c r="Z493" s="123"/>
    </row>
    <row r="494" spans="2:26" s="235" customFormat="1" ht="13.8">
      <c r="B494" s="307"/>
      <c r="C494" s="307"/>
      <c r="D494" s="307"/>
      <c r="E494" s="307"/>
      <c r="F494" s="307"/>
      <c r="M494" s="123"/>
      <c r="N494" s="123"/>
      <c r="O494" s="123"/>
      <c r="P494" s="123"/>
      <c r="Q494" s="123"/>
      <c r="R494" s="123"/>
      <c r="S494" s="123"/>
      <c r="T494" s="123"/>
      <c r="U494" s="123"/>
      <c r="V494" s="123"/>
      <c r="W494" s="123"/>
      <c r="X494" s="123"/>
      <c r="Y494" s="123"/>
      <c r="Z494" s="123"/>
    </row>
    <row r="495" spans="2:26" s="235" customFormat="1" ht="13.8">
      <c r="B495" s="307"/>
      <c r="C495" s="307"/>
      <c r="D495" s="307"/>
      <c r="E495" s="307"/>
      <c r="F495" s="307"/>
      <c r="M495" s="123"/>
      <c r="N495" s="123"/>
      <c r="O495" s="123"/>
      <c r="P495" s="123"/>
      <c r="Q495" s="123"/>
      <c r="R495" s="123"/>
      <c r="S495" s="123"/>
      <c r="T495" s="123"/>
      <c r="U495" s="123"/>
      <c r="V495" s="123"/>
      <c r="W495" s="123"/>
      <c r="X495" s="123"/>
      <c r="Y495" s="123"/>
      <c r="Z495" s="123"/>
    </row>
    <row r="496" spans="2:26" s="235" customFormat="1" ht="13.8">
      <c r="B496" s="307"/>
      <c r="C496" s="307"/>
      <c r="D496" s="307"/>
      <c r="E496" s="307"/>
      <c r="F496" s="307"/>
      <c r="M496" s="123"/>
      <c r="N496" s="123"/>
      <c r="O496" s="123"/>
      <c r="P496" s="123"/>
      <c r="Q496" s="123"/>
      <c r="R496" s="123"/>
      <c r="S496" s="123"/>
      <c r="T496" s="123"/>
      <c r="U496" s="123"/>
      <c r="V496" s="123"/>
      <c r="W496" s="123"/>
      <c r="X496" s="123"/>
      <c r="Y496" s="123"/>
      <c r="Z496" s="123"/>
    </row>
    <row r="497" spans="2:26" s="235" customFormat="1" ht="13.8">
      <c r="B497" s="307"/>
      <c r="C497" s="307"/>
      <c r="D497" s="307"/>
      <c r="E497" s="307"/>
      <c r="F497" s="307"/>
      <c r="M497" s="123"/>
      <c r="N497" s="123"/>
      <c r="O497" s="123"/>
      <c r="P497" s="123"/>
      <c r="Q497" s="123"/>
      <c r="R497" s="123"/>
      <c r="S497" s="123"/>
      <c r="T497" s="123"/>
      <c r="U497" s="123"/>
      <c r="V497" s="123"/>
      <c r="W497" s="123"/>
      <c r="X497" s="123"/>
      <c r="Y497" s="123"/>
      <c r="Z497" s="123"/>
    </row>
    <row r="498" spans="2:26" s="235" customFormat="1" ht="13.8">
      <c r="B498" s="307"/>
      <c r="C498" s="307"/>
      <c r="D498" s="307"/>
      <c r="E498" s="307"/>
      <c r="F498" s="307"/>
      <c r="M498" s="123"/>
      <c r="N498" s="123"/>
      <c r="O498" s="123"/>
      <c r="P498" s="123"/>
      <c r="Q498" s="123"/>
      <c r="R498" s="123"/>
      <c r="S498" s="123"/>
      <c r="T498" s="123"/>
      <c r="U498" s="123"/>
      <c r="V498" s="123"/>
      <c r="W498" s="123"/>
      <c r="X498" s="123"/>
      <c r="Y498" s="123"/>
      <c r="Z498" s="123"/>
    </row>
    <row r="499" spans="2:26" s="235" customFormat="1" ht="13.8">
      <c r="B499" s="307"/>
      <c r="C499" s="307"/>
      <c r="D499" s="307"/>
      <c r="E499" s="307"/>
      <c r="F499" s="307"/>
      <c r="M499" s="123"/>
      <c r="N499" s="123"/>
      <c r="O499" s="123"/>
      <c r="P499" s="123"/>
      <c r="Q499" s="123"/>
      <c r="R499" s="123"/>
      <c r="S499" s="123"/>
      <c r="T499" s="123"/>
      <c r="U499" s="123"/>
      <c r="V499" s="123"/>
      <c r="W499" s="123"/>
      <c r="X499" s="123"/>
      <c r="Y499" s="123"/>
      <c r="Z499" s="123"/>
    </row>
    <row r="500" spans="2:26" s="235" customFormat="1" ht="13.8">
      <c r="B500" s="307"/>
      <c r="C500" s="307"/>
      <c r="D500" s="307"/>
      <c r="E500" s="307"/>
      <c r="F500" s="307"/>
      <c r="M500" s="123"/>
      <c r="N500" s="123"/>
      <c r="O500" s="123"/>
      <c r="P500" s="123"/>
      <c r="Q500" s="123"/>
      <c r="R500" s="123"/>
      <c r="S500" s="123"/>
      <c r="T500" s="123"/>
      <c r="U500" s="123"/>
      <c r="V500" s="123"/>
      <c r="W500" s="123"/>
      <c r="X500" s="123"/>
      <c r="Y500" s="123"/>
      <c r="Z500" s="123"/>
    </row>
    <row r="501" spans="2:26" s="235" customFormat="1" ht="13.8">
      <c r="B501" s="307"/>
      <c r="C501" s="307"/>
      <c r="D501" s="307"/>
      <c r="E501" s="307"/>
      <c r="F501" s="307"/>
      <c r="M501" s="123"/>
      <c r="N501" s="123"/>
      <c r="O501" s="123"/>
      <c r="P501" s="123"/>
      <c r="Q501" s="123"/>
      <c r="R501" s="123"/>
      <c r="S501" s="123"/>
      <c r="T501" s="123"/>
      <c r="U501" s="123"/>
      <c r="V501" s="123"/>
      <c r="W501" s="123"/>
      <c r="X501" s="123"/>
      <c r="Y501" s="123"/>
      <c r="Z501" s="123"/>
    </row>
    <row r="502" spans="2:26" s="235" customFormat="1" ht="13.8">
      <c r="B502" s="307"/>
      <c r="C502" s="307"/>
      <c r="D502" s="307"/>
      <c r="E502" s="307"/>
      <c r="F502" s="307"/>
      <c r="M502" s="123"/>
      <c r="N502" s="123"/>
      <c r="O502" s="123"/>
      <c r="P502" s="123"/>
      <c r="Q502" s="123"/>
      <c r="R502" s="123"/>
      <c r="S502" s="123"/>
      <c r="T502" s="123"/>
      <c r="U502" s="123"/>
      <c r="V502" s="123"/>
      <c r="W502" s="123"/>
      <c r="X502" s="123"/>
      <c r="Y502" s="123"/>
      <c r="Z502" s="123"/>
    </row>
    <row r="503" spans="2:26" s="235" customFormat="1" ht="13.8">
      <c r="B503" s="307"/>
      <c r="C503" s="307"/>
      <c r="D503" s="307"/>
      <c r="E503" s="307"/>
      <c r="F503" s="307"/>
      <c r="M503" s="123"/>
      <c r="N503" s="123"/>
      <c r="O503" s="123"/>
      <c r="P503" s="123"/>
      <c r="Q503" s="123"/>
      <c r="R503" s="123"/>
      <c r="S503" s="123"/>
      <c r="T503" s="123"/>
      <c r="U503" s="123"/>
      <c r="V503" s="123"/>
      <c r="W503" s="123"/>
      <c r="X503" s="123"/>
      <c r="Y503" s="123"/>
      <c r="Z503" s="123"/>
    </row>
    <row r="504" spans="2:26" s="235" customFormat="1" ht="13.8">
      <c r="B504" s="307"/>
      <c r="C504" s="307"/>
      <c r="D504" s="307"/>
      <c r="E504" s="307"/>
      <c r="F504" s="307"/>
      <c r="M504" s="123"/>
      <c r="N504" s="123"/>
      <c r="O504" s="123"/>
      <c r="P504" s="123"/>
      <c r="Q504" s="123"/>
      <c r="R504" s="123"/>
      <c r="S504" s="123"/>
      <c r="T504" s="123"/>
      <c r="U504" s="123"/>
      <c r="V504" s="123"/>
      <c r="W504" s="123"/>
      <c r="X504" s="123"/>
      <c r="Y504" s="123"/>
      <c r="Z504" s="123"/>
    </row>
    <row r="505" spans="2:26" s="235" customFormat="1" ht="13.8">
      <c r="B505" s="307"/>
      <c r="C505" s="307"/>
      <c r="D505" s="307"/>
      <c r="E505" s="307"/>
      <c r="F505" s="307"/>
      <c r="M505" s="123"/>
      <c r="N505" s="123"/>
      <c r="O505" s="123"/>
      <c r="P505" s="123"/>
      <c r="Q505" s="123"/>
      <c r="R505" s="123"/>
      <c r="S505" s="123"/>
      <c r="T505" s="123"/>
      <c r="U505" s="123"/>
      <c r="V505" s="123"/>
      <c r="W505" s="123"/>
      <c r="X505" s="123"/>
      <c r="Y505" s="123"/>
      <c r="Z505" s="123"/>
    </row>
    <row r="506" spans="2:26" s="235" customFormat="1" ht="13.8">
      <c r="B506" s="307"/>
      <c r="C506" s="307"/>
      <c r="D506" s="307"/>
      <c r="E506" s="307"/>
      <c r="F506" s="307"/>
      <c r="M506" s="123"/>
      <c r="N506" s="123"/>
      <c r="O506" s="123"/>
      <c r="P506" s="123"/>
      <c r="Q506" s="123"/>
      <c r="R506" s="123"/>
      <c r="S506" s="123"/>
      <c r="T506" s="123"/>
      <c r="U506" s="123"/>
      <c r="V506" s="123"/>
      <c r="W506" s="123"/>
      <c r="X506" s="123"/>
      <c r="Y506" s="123"/>
      <c r="Z506" s="123"/>
    </row>
    <row r="507" spans="2:26" s="235" customFormat="1" ht="13.8">
      <c r="B507" s="307"/>
      <c r="C507" s="307"/>
      <c r="D507" s="307"/>
      <c r="E507" s="307"/>
      <c r="F507" s="307"/>
      <c r="M507" s="123"/>
      <c r="N507" s="123"/>
      <c r="O507" s="123"/>
      <c r="P507" s="123"/>
      <c r="Q507" s="123"/>
      <c r="R507" s="123"/>
      <c r="S507" s="123"/>
      <c r="T507" s="123"/>
      <c r="U507" s="123"/>
      <c r="V507" s="123"/>
      <c r="W507" s="123"/>
      <c r="X507" s="123"/>
      <c r="Y507" s="123"/>
      <c r="Z507" s="123"/>
    </row>
    <row r="508" spans="2:26" s="235" customFormat="1" ht="13.8">
      <c r="B508" s="307"/>
      <c r="C508" s="307"/>
      <c r="D508" s="307"/>
      <c r="E508" s="307"/>
      <c r="F508" s="307"/>
      <c r="M508" s="123"/>
      <c r="N508" s="123"/>
      <c r="O508" s="123"/>
      <c r="P508" s="123"/>
      <c r="Q508" s="123"/>
      <c r="R508" s="123"/>
      <c r="S508" s="123"/>
      <c r="T508" s="123"/>
      <c r="U508" s="123"/>
      <c r="V508" s="123"/>
      <c r="W508" s="123"/>
      <c r="X508" s="123"/>
      <c r="Y508" s="123"/>
      <c r="Z508" s="123"/>
    </row>
    <row r="509" spans="2:26" s="235" customFormat="1" ht="13.8">
      <c r="B509" s="307"/>
      <c r="C509" s="307"/>
      <c r="D509" s="307"/>
      <c r="E509" s="307"/>
      <c r="F509" s="307"/>
      <c r="M509" s="123"/>
      <c r="N509" s="123"/>
      <c r="O509" s="123"/>
      <c r="P509" s="123"/>
      <c r="Q509" s="123"/>
      <c r="R509" s="123"/>
      <c r="S509" s="123"/>
      <c r="T509" s="123"/>
      <c r="U509" s="123"/>
      <c r="V509" s="123"/>
      <c r="W509" s="123"/>
      <c r="X509" s="123"/>
      <c r="Y509" s="123"/>
      <c r="Z509" s="123"/>
    </row>
    <row r="510" spans="2:26" s="235" customFormat="1" ht="13.8">
      <c r="B510" s="307"/>
      <c r="C510" s="307"/>
      <c r="D510" s="307"/>
      <c r="E510" s="307"/>
      <c r="F510" s="307"/>
      <c r="M510" s="123"/>
      <c r="N510" s="123"/>
      <c r="O510" s="123"/>
      <c r="P510" s="123"/>
      <c r="Q510" s="123"/>
      <c r="R510" s="123"/>
      <c r="S510" s="123"/>
      <c r="T510" s="123"/>
      <c r="U510" s="123"/>
      <c r="V510" s="123"/>
      <c r="W510" s="123"/>
      <c r="X510" s="123"/>
      <c r="Y510" s="123"/>
      <c r="Z510" s="123"/>
    </row>
    <row r="511" spans="2:26" s="235" customFormat="1" ht="13.8">
      <c r="B511" s="307"/>
      <c r="C511" s="307"/>
      <c r="D511" s="307"/>
      <c r="E511" s="307"/>
      <c r="F511" s="307"/>
      <c r="M511" s="123"/>
      <c r="N511" s="123"/>
      <c r="O511" s="123"/>
      <c r="P511" s="123"/>
      <c r="Q511" s="123"/>
      <c r="R511" s="123"/>
      <c r="S511" s="123"/>
      <c r="T511" s="123"/>
      <c r="U511" s="123"/>
      <c r="V511" s="123"/>
      <c r="W511" s="123"/>
      <c r="X511" s="123"/>
      <c r="Y511" s="123"/>
      <c r="Z511" s="123"/>
    </row>
    <row r="512" spans="2:26" s="235" customFormat="1" ht="13.8">
      <c r="B512" s="307"/>
      <c r="C512" s="307"/>
      <c r="D512" s="307"/>
      <c r="E512" s="307"/>
      <c r="F512" s="307"/>
      <c r="M512" s="123"/>
      <c r="N512" s="123"/>
      <c r="O512" s="123"/>
      <c r="P512" s="123"/>
      <c r="Q512" s="123"/>
      <c r="R512" s="123"/>
      <c r="S512" s="123"/>
      <c r="T512" s="123"/>
      <c r="U512" s="123"/>
      <c r="V512" s="123"/>
      <c r="W512" s="123"/>
      <c r="X512" s="123"/>
      <c r="Y512" s="123"/>
      <c r="Z512" s="123"/>
    </row>
    <row r="513" spans="2:26" s="235" customFormat="1" ht="13.8">
      <c r="B513" s="307"/>
      <c r="C513" s="307"/>
      <c r="D513" s="307"/>
      <c r="E513" s="307"/>
      <c r="F513" s="307"/>
      <c r="M513" s="123"/>
      <c r="N513" s="123"/>
      <c r="O513" s="123"/>
      <c r="P513" s="123"/>
      <c r="Q513" s="123"/>
      <c r="R513" s="123"/>
      <c r="S513" s="123"/>
      <c r="T513" s="123"/>
      <c r="U513" s="123"/>
      <c r="V513" s="123"/>
      <c r="W513" s="123"/>
      <c r="X513" s="123"/>
      <c r="Y513" s="123"/>
      <c r="Z513" s="123"/>
    </row>
    <row r="514" spans="2:26" s="235" customFormat="1" ht="13.8">
      <c r="B514" s="307"/>
      <c r="C514" s="307"/>
      <c r="D514" s="307"/>
      <c r="E514" s="307"/>
      <c r="F514" s="307"/>
      <c r="M514" s="123"/>
      <c r="N514" s="123"/>
      <c r="O514" s="123"/>
      <c r="P514" s="123"/>
      <c r="Q514" s="123"/>
      <c r="R514" s="123"/>
      <c r="S514" s="123"/>
      <c r="T514" s="123"/>
      <c r="U514" s="123"/>
      <c r="V514" s="123"/>
      <c r="W514" s="123"/>
      <c r="X514" s="123"/>
      <c r="Y514" s="123"/>
      <c r="Z514" s="123"/>
    </row>
    <row r="515" spans="2:26" s="235" customFormat="1" ht="13.8">
      <c r="B515" s="307"/>
      <c r="C515" s="307"/>
      <c r="D515" s="307"/>
      <c r="E515" s="307"/>
      <c r="F515" s="307"/>
      <c r="M515" s="123"/>
      <c r="N515" s="123"/>
      <c r="O515" s="123"/>
      <c r="P515" s="123"/>
      <c r="Q515" s="123"/>
      <c r="R515" s="123"/>
      <c r="S515" s="123"/>
      <c r="T515" s="123"/>
      <c r="U515" s="123"/>
      <c r="V515" s="123"/>
      <c r="W515" s="123"/>
      <c r="X515" s="123"/>
      <c r="Y515" s="123"/>
      <c r="Z515" s="123"/>
    </row>
    <row r="516" spans="2:26" s="235" customFormat="1" ht="13.8">
      <c r="B516" s="307"/>
      <c r="C516" s="307"/>
      <c r="D516" s="307"/>
      <c r="E516" s="307"/>
      <c r="F516" s="307"/>
      <c r="M516" s="123"/>
      <c r="N516" s="123"/>
      <c r="O516" s="123"/>
      <c r="P516" s="123"/>
      <c r="Q516" s="123"/>
      <c r="R516" s="123"/>
      <c r="S516" s="123"/>
      <c r="T516" s="123"/>
      <c r="U516" s="123"/>
      <c r="V516" s="123"/>
      <c r="W516" s="123"/>
      <c r="X516" s="123"/>
      <c r="Y516" s="123"/>
      <c r="Z516" s="123"/>
    </row>
    <row r="517" spans="2:26" s="235" customFormat="1" ht="13.8">
      <c r="B517" s="307"/>
      <c r="C517" s="307"/>
      <c r="D517" s="307"/>
      <c r="E517" s="307"/>
      <c r="F517" s="307"/>
      <c r="M517" s="123"/>
      <c r="N517" s="123"/>
      <c r="O517" s="123"/>
      <c r="P517" s="123"/>
      <c r="Q517" s="123"/>
      <c r="R517" s="123"/>
      <c r="S517" s="123"/>
      <c r="T517" s="123"/>
      <c r="U517" s="123"/>
      <c r="V517" s="123"/>
      <c r="W517" s="123"/>
      <c r="X517" s="123"/>
      <c r="Y517" s="123"/>
      <c r="Z517" s="123"/>
    </row>
    <row r="518" spans="2:26" s="235" customFormat="1" ht="13.8">
      <c r="B518" s="307"/>
      <c r="C518" s="307"/>
      <c r="D518" s="307"/>
      <c r="E518" s="307"/>
      <c r="F518" s="307"/>
      <c r="M518" s="123"/>
      <c r="N518" s="123"/>
      <c r="O518" s="123"/>
      <c r="P518" s="123"/>
      <c r="Q518" s="123"/>
      <c r="R518" s="123"/>
      <c r="S518" s="123"/>
      <c r="T518" s="123"/>
      <c r="U518" s="123"/>
      <c r="V518" s="123"/>
      <c r="W518" s="123"/>
      <c r="X518" s="123"/>
      <c r="Y518" s="123"/>
      <c r="Z518" s="123"/>
    </row>
    <row r="519" spans="2:26" s="235" customFormat="1" ht="13.8">
      <c r="B519" s="307"/>
      <c r="C519" s="307"/>
      <c r="D519" s="307"/>
      <c r="E519" s="307"/>
      <c r="F519" s="307"/>
      <c r="M519" s="123"/>
      <c r="N519" s="123"/>
      <c r="O519" s="123"/>
      <c r="P519" s="123"/>
      <c r="Q519" s="123"/>
      <c r="R519" s="123"/>
      <c r="S519" s="123"/>
      <c r="T519" s="123"/>
      <c r="U519" s="123"/>
      <c r="V519" s="123"/>
      <c r="W519" s="123"/>
      <c r="X519" s="123"/>
      <c r="Y519" s="123"/>
      <c r="Z519" s="123"/>
    </row>
    <row r="520" spans="2:26" s="235" customFormat="1" ht="13.8">
      <c r="B520" s="307"/>
      <c r="C520" s="307"/>
      <c r="D520" s="307"/>
      <c r="E520" s="307"/>
      <c r="F520" s="307"/>
      <c r="M520" s="123"/>
      <c r="N520" s="123"/>
      <c r="O520" s="123"/>
      <c r="P520" s="123"/>
      <c r="Q520" s="123"/>
      <c r="R520" s="123"/>
      <c r="S520" s="123"/>
      <c r="T520" s="123"/>
      <c r="U520" s="123"/>
      <c r="V520" s="123"/>
      <c r="W520" s="123"/>
      <c r="X520" s="123"/>
      <c r="Y520" s="123"/>
      <c r="Z520" s="123"/>
    </row>
    <row r="521" spans="2:26" s="235" customFormat="1" ht="13.8">
      <c r="B521" s="307"/>
      <c r="C521" s="307"/>
      <c r="D521" s="307"/>
      <c r="E521" s="307"/>
      <c r="F521" s="307"/>
      <c r="M521" s="123"/>
      <c r="N521" s="123"/>
      <c r="O521" s="123"/>
      <c r="P521" s="123"/>
      <c r="Q521" s="123"/>
      <c r="R521" s="123"/>
      <c r="S521" s="123"/>
      <c r="T521" s="123"/>
      <c r="U521" s="123"/>
      <c r="V521" s="123"/>
      <c r="W521" s="123"/>
      <c r="X521" s="123"/>
      <c r="Y521" s="123"/>
      <c r="Z521" s="123"/>
    </row>
    <row r="522" spans="2:26" s="235" customFormat="1" ht="13.8">
      <c r="B522" s="307"/>
      <c r="C522" s="307"/>
      <c r="D522" s="307"/>
      <c r="E522" s="307"/>
      <c r="F522" s="307"/>
      <c r="M522" s="123"/>
      <c r="N522" s="123"/>
      <c r="O522" s="123"/>
      <c r="P522" s="123"/>
      <c r="Q522" s="123"/>
      <c r="R522" s="123"/>
      <c r="S522" s="123"/>
      <c r="T522" s="123"/>
      <c r="U522" s="123"/>
      <c r="V522" s="123"/>
      <c r="W522" s="123"/>
      <c r="X522" s="123"/>
      <c r="Y522" s="123"/>
      <c r="Z522" s="123"/>
    </row>
    <row r="523" spans="2:26" s="235" customFormat="1" ht="13.8">
      <c r="B523" s="307"/>
      <c r="C523" s="307"/>
      <c r="D523" s="307"/>
      <c r="E523" s="307"/>
      <c r="F523" s="307"/>
      <c r="M523" s="123"/>
      <c r="N523" s="123"/>
      <c r="O523" s="123"/>
      <c r="P523" s="123"/>
      <c r="Q523" s="123"/>
      <c r="R523" s="123"/>
      <c r="S523" s="123"/>
      <c r="T523" s="123"/>
      <c r="U523" s="123"/>
      <c r="V523" s="123"/>
      <c r="W523" s="123"/>
      <c r="X523" s="123"/>
      <c r="Y523" s="123"/>
      <c r="Z523" s="123"/>
    </row>
    <row r="524" spans="2:26" s="235" customFormat="1" ht="13.8">
      <c r="B524" s="307"/>
      <c r="C524" s="307"/>
      <c r="D524" s="307"/>
      <c r="E524" s="307"/>
      <c r="F524" s="307"/>
      <c r="M524" s="123"/>
      <c r="N524" s="123"/>
      <c r="O524" s="123"/>
      <c r="P524" s="123"/>
      <c r="Q524" s="123"/>
      <c r="R524" s="123"/>
      <c r="S524" s="123"/>
      <c r="T524" s="123"/>
      <c r="U524" s="123"/>
      <c r="V524" s="123"/>
      <c r="W524" s="123"/>
      <c r="X524" s="123"/>
      <c r="Y524" s="123"/>
      <c r="Z524" s="123"/>
    </row>
    <row r="525" spans="2:26" s="235" customFormat="1" ht="13.8">
      <c r="B525" s="307"/>
      <c r="C525" s="307"/>
      <c r="D525" s="307"/>
      <c r="E525" s="307"/>
      <c r="F525" s="307"/>
      <c r="M525" s="123"/>
      <c r="N525" s="123"/>
      <c r="O525" s="123"/>
      <c r="P525" s="123"/>
      <c r="Q525" s="123"/>
      <c r="R525" s="123"/>
      <c r="S525" s="123"/>
      <c r="T525" s="123"/>
      <c r="U525" s="123"/>
      <c r="V525" s="123"/>
      <c r="W525" s="123"/>
      <c r="X525" s="123"/>
      <c r="Y525" s="123"/>
      <c r="Z525" s="123"/>
    </row>
    <row r="526" spans="2:26" s="235" customFormat="1" ht="13.8">
      <c r="B526" s="307"/>
      <c r="C526" s="307"/>
      <c r="D526" s="307"/>
      <c r="E526" s="307"/>
      <c r="F526" s="307"/>
      <c r="M526" s="123"/>
      <c r="N526" s="123"/>
      <c r="O526" s="123"/>
      <c r="P526" s="123"/>
      <c r="Q526" s="123"/>
      <c r="R526" s="123"/>
      <c r="S526" s="123"/>
      <c r="T526" s="123"/>
      <c r="U526" s="123"/>
      <c r="V526" s="123"/>
      <c r="W526" s="123"/>
      <c r="X526" s="123"/>
      <c r="Y526" s="123"/>
      <c r="Z526" s="123"/>
    </row>
    <row r="527" spans="2:26" s="235" customFormat="1" ht="13.8">
      <c r="B527" s="307"/>
      <c r="C527" s="307"/>
      <c r="D527" s="307"/>
      <c r="E527" s="307"/>
      <c r="F527" s="307"/>
      <c r="M527" s="123"/>
      <c r="N527" s="123"/>
      <c r="O527" s="123"/>
      <c r="P527" s="123"/>
      <c r="Q527" s="123"/>
      <c r="R527" s="123"/>
      <c r="S527" s="123"/>
      <c r="T527" s="123"/>
      <c r="U527" s="123"/>
      <c r="V527" s="123"/>
      <c r="W527" s="123"/>
      <c r="X527" s="123"/>
      <c r="Y527" s="123"/>
      <c r="Z527" s="123"/>
    </row>
    <row r="528" spans="2:26" s="235" customFormat="1" ht="13.8">
      <c r="B528" s="307"/>
      <c r="C528" s="307"/>
      <c r="D528" s="307"/>
      <c r="E528" s="307"/>
      <c r="F528" s="307"/>
      <c r="M528" s="123"/>
      <c r="N528" s="123"/>
      <c r="O528" s="123"/>
      <c r="P528" s="123"/>
      <c r="Q528" s="123"/>
      <c r="R528" s="123"/>
      <c r="S528" s="123"/>
      <c r="T528" s="123"/>
      <c r="U528" s="123"/>
      <c r="V528" s="123"/>
      <c r="W528" s="123"/>
      <c r="X528" s="123"/>
      <c r="Y528" s="123"/>
      <c r="Z528" s="123"/>
    </row>
    <row r="529" spans="2:26" s="235" customFormat="1" ht="13.8">
      <c r="B529" s="307"/>
      <c r="C529" s="307"/>
      <c r="D529" s="307"/>
      <c r="E529" s="307"/>
      <c r="F529" s="307"/>
      <c r="M529" s="123"/>
      <c r="N529" s="123"/>
      <c r="O529" s="123"/>
      <c r="P529" s="123"/>
      <c r="Q529" s="123"/>
      <c r="R529" s="123"/>
      <c r="S529" s="123"/>
      <c r="T529" s="123"/>
      <c r="U529" s="123"/>
      <c r="V529" s="123"/>
      <c r="W529" s="123"/>
      <c r="X529" s="123"/>
      <c r="Y529" s="123"/>
      <c r="Z529" s="123"/>
    </row>
    <row r="530" spans="2:26" s="235" customFormat="1" ht="13.8">
      <c r="B530" s="307"/>
      <c r="C530" s="307"/>
      <c r="D530" s="307"/>
      <c r="E530" s="307"/>
      <c r="F530" s="307"/>
      <c r="M530" s="123"/>
      <c r="N530" s="123"/>
      <c r="O530" s="123"/>
      <c r="P530" s="123"/>
      <c r="Q530" s="123"/>
      <c r="R530" s="123"/>
      <c r="S530" s="123"/>
      <c r="T530" s="123"/>
      <c r="U530" s="123"/>
      <c r="V530" s="123"/>
      <c r="W530" s="123"/>
      <c r="X530" s="123"/>
      <c r="Y530" s="123"/>
      <c r="Z530" s="123"/>
    </row>
    <row r="531" spans="2:26" s="235" customFormat="1" ht="13.8">
      <c r="B531" s="307"/>
      <c r="C531" s="307"/>
      <c r="D531" s="307"/>
      <c r="E531" s="307"/>
      <c r="F531" s="307"/>
      <c r="M531" s="123"/>
      <c r="N531" s="123"/>
      <c r="O531" s="123"/>
      <c r="P531" s="123"/>
      <c r="Q531" s="123"/>
      <c r="R531" s="123"/>
      <c r="S531" s="123"/>
      <c r="T531" s="123"/>
      <c r="U531" s="123"/>
      <c r="V531" s="123"/>
      <c r="W531" s="123"/>
      <c r="X531" s="123"/>
      <c r="Y531" s="123"/>
      <c r="Z531" s="123"/>
    </row>
    <row r="532" spans="2:26" s="235" customFormat="1" ht="13.8">
      <c r="B532" s="307"/>
      <c r="C532" s="307"/>
      <c r="D532" s="307"/>
      <c r="E532" s="307"/>
      <c r="F532" s="307"/>
      <c r="M532" s="123"/>
      <c r="N532" s="123"/>
      <c r="O532" s="123"/>
      <c r="P532" s="123"/>
      <c r="Q532" s="123"/>
      <c r="R532" s="123"/>
      <c r="S532" s="123"/>
      <c r="T532" s="123"/>
      <c r="U532" s="123"/>
      <c r="V532" s="123"/>
      <c r="W532" s="123"/>
      <c r="X532" s="123"/>
      <c r="Y532" s="123"/>
      <c r="Z532" s="123"/>
    </row>
    <row r="533" spans="2:26" s="235" customFormat="1" ht="13.8">
      <c r="B533" s="307"/>
      <c r="C533" s="307"/>
      <c r="D533" s="307"/>
      <c r="E533" s="307"/>
      <c r="F533" s="307"/>
      <c r="M533" s="123"/>
      <c r="N533" s="123"/>
      <c r="O533" s="123"/>
      <c r="P533" s="123"/>
      <c r="Q533" s="123"/>
      <c r="R533" s="123"/>
      <c r="S533" s="123"/>
      <c r="T533" s="123"/>
      <c r="U533" s="123"/>
      <c r="V533" s="123"/>
      <c r="W533" s="123"/>
      <c r="X533" s="123"/>
      <c r="Y533" s="123"/>
      <c r="Z533" s="123"/>
    </row>
    <row r="534" spans="2:26" s="235" customFormat="1" ht="13.8">
      <c r="B534" s="307"/>
      <c r="C534" s="307"/>
      <c r="D534" s="307"/>
      <c r="E534" s="307"/>
      <c r="F534" s="307"/>
      <c r="M534" s="123"/>
      <c r="N534" s="123"/>
      <c r="O534" s="123"/>
      <c r="P534" s="123"/>
      <c r="Q534" s="123"/>
      <c r="R534" s="123"/>
      <c r="S534" s="123"/>
      <c r="T534" s="123"/>
      <c r="U534" s="123"/>
      <c r="V534" s="123"/>
      <c r="W534" s="123"/>
      <c r="X534" s="123"/>
      <c r="Y534" s="123"/>
      <c r="Z534" s="123"/>
    </row>
    <row r="535" spans="2:26" s="235" customFormat="1" ht="13.8">
      <c r="B535" s="307"/>
      <c r="C535" s="307"/>
      <c r="D535" s="307"/>
      <c r="E535" s="307"/>
      <c r="F535" s="307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</row>
    <row r="536" spans="2:26" s="235" customFormat="1" ht="13.8">
      <c r="B536" s="307"/>
      <c r="C536" s="307"/>
      <c r="D536" s="307"/>
      <c r="E536" s="307"/>
      <c r="F536" s="307"/>
      <c r="M536" s="123"/>
      <c r="N536" s="123"/>
      <c r="O536" s="123"/>
      <c r="P536" s="123"/>
      <c r="Q536" s="123"/>
      <c r="R536" s="123"/>
      <c r="S536" s="123"/>
      <c r="T536" s="123"/>
      <c r="U536" s="123"/>
      <c r="V536" s="123"/>
      <c r="W536" s="123"/>
      <c r="X536" s="123"/>
      <c r="Y536" s="123"/>
      <c r="Z536" s="123"/>
    </row>
    <row r="537" spans="2:26" s="235" customFormat="1" ht="13.8">
      <c r="B537" s="307"/>
      <c r="C537" s="307"/>
      <c r="D537" s="307"/>
      <c r="E537" s="307"/>
      <c r="F537" s="307"/>
      <c r="M537" s="123"/>
      <c r="N537" s="123"/>
      <c r="O537" s="123"/>
      <c r="P537" s="123"/>
      <c r="Q537" s="123"/>
      <c r="R537" s="123"/>
      <c r="S537" s="123"/>
      <c r="T537" s="123"/>
      <c r="U537" s="123"/>
      <c r="V537" s="123"/>
      <c r="W537" s="123"/>
      <c r="X537" s="123"/>
      <c r="Y537" s="123"/>
      <c r="Z537" s="123"/>
    </row>
    <row r="538" spans="2:26" s="235" customFormat="1" ht="13.8">
      <c r="B538" s="307"/>
      <c r="C538" s="307"/>
      <c r="D538" s="307"/>
      <c r="E538" s="307"/>
      <c r="F538" s="307"/>
      <c r="M538" s="123"/>
      <c r="N538" s="123"/>
      <c r="O538" s="123"/>
      <c r="P538" s="123"/>
      <c r="Q538" s="123"/>
      <c r="R538" s="123"/>
      <c r="S538" s="123"/>
      <c r="T538" s="123"/>
      <c r="U538" s="123"/>
      <c r="V538" s="123"/>
      <c r="W538" s="123"/>
      <c r="X538" s="123"/>
      <c r="Y538" s="123"/>
      <c r="Z538" s="123"/>
    </row>
    <row r="539" spans="2:26" s="235" customFormat="1" ht="13.8">
      <c r="B539" s="307"/>
      <c r="C539" s="307"/>
      <c r="D539" s="307"/>
      <c r="E539" s="307"/>
      <c r="F539" s="307"/>
      <c r="M539" s="123"/>
      <c r="N539" s="123"/>
      <c r="O539" s="123"/>
      <c r="P539" s="123"/>
      <c r="Q539" s="123"/>
      <c r="R539" s="123"/>
      <c r="S539" s="123"/>
      <c r="T539" s="123"/>
      <c r="U539" s="123"/>
      <c r="V539" s="123"/>
      <c r="W539" s="123"/>
      <c r="X539" s="123"/>
      <c r="Y539" s="123"/>
      <c r="Z539" s="123"/>
    </row>
    <row r="540" spans="2:26" s="235" customFormat="1" ht="13.8">
      <c r="B540" s="307"/>
      <c r="C540" s="307"/>
      <c r="D540" s="307"/>
      <c r="E540" s="307"/>
      <c r="F540" s="307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  <c r="Z540" s="123"/>
    </row>
    <row r="541" spans="2:26" s="235" customFormat="1" ht="13.8">
      <c r="B541" s="307"/>
      <c r="C541" s="307"/>
      <c r="D541" s="307"/>
      <c r="E541" s="307"/>
      <c r="F541" s="307"/>
      <c r="M541" s="123"/>
      <c r="N541" s="123"/>
      <c r="O541" s="123"/>
      <c r="P541" s="123"/>
      <c r="Q541" s="123"/>
      <c r="R541" s="123"/>
      <c r="S541" s="123"/>
      <c r="T541" s="123"/>
      <c r="U541" s="123"/>
      <c r="V541" s="123"/>
      <c r="W541" s="123"/>
      <c r="X541" s="123"/>
      <c r="Y541" s="123"/>
      <c r="Z541" s="123"/>
    </row>
    <row r="542" spans="2:26" s="235" customFormat="1" ht="13.8">
      <c r="B542" s="307"/>
      <c r="C542" s="307"/>
      <c r="D542" s="307"/>
      <c r="E542" s="307"/>
      <c r="F542" s="307"/>
      <c r="M542" s="123"/>
      <c r="N542" s="123"/>
      <c r="O542" s="123"/>
      <c r="P542" s="123"/>
      <c r="Q542" s="123"/>
      <c r="R542" s="123"/>
      <c r="S542" s="123"/>
      <c r="T542" s="123"/>
      <c r="U542" s="123"/>
      <c r="V542" s="123"/>
      <c r="W542" s="123"/>
      <c r="X542" s="123"/>
      <c r="Y542" s="123"/>
      <c r="Z542" s="123"/>
    </row>
    <row r="543" spans="2:26" s="235" customFormat="1" ht="13.8">
      <c r="B543" s="307"/>
      <c r="C543" s="307"/>
      <c r="D543" s="307"/>
      <c r="E543" s="307"/>
      <c r="F543" s="307"/>
      <c r="M543" s="123"/>
      <c r="N543" s="123"/>
      <c r="O543" s="123"/>
      <c r="P543" s="123"/>
      <c r="Q543" s="123"/>
      <c r="R543" s="123"/>
      <c r="S543" s="123"/>
      <c r="T543" s="123"/>
      <c r="U543" s="123"/>
      <c r="V543" s="123"/>
      <c r="W543" s="123"/>
      <c r="X543" s="123"/>
      <c r="Y543" s="123"/>
      <c r="Z543" s="123"/>
    </row>
    <row r="544" spans="2:26" s="235" customFormat="1" ht="13.8">
      <c r="B544" s="307"/>
      <c r="C544" s="307"/>
      <c r="D544" s="307"/>
      <c r="E544" s="307"/>
      <c r="F544" s="307"/>
      <c r="M544" s="123"/>
      <c r="N544" s="123"/>
      <c r="O544" s="123"/>
      <c r="P544" s="123"/>
      <c r="Q544" s="123"/>
      <c r="R544" s="123"/>
      <c r="S544" s="123"/>
      <c r="T544" s="123"/>
      <c r="U544" s="123"/>
      <c r="V544" s="123"/>
      <c r="W544" s="123"/>
      <c r="X544" s="123"/>
      <c r="Y544" s="123"/>
      <c r="Z544" s="123"/>
    </row>
    <row r="545" spans="2:26" s="235" customFormat="1" ht="13.8">
      <c r="B545" s="307"/>
      <c r="C545" s="307"/>
      <c r="D545" s="307"/>
      <c r="E545" s="307"/>
      <c r="F545" s="307"/>
      <c r="M545" s="123"/>
      <c r="N545" s="123"/>
      <c r="O545" s="123"/>
      <c r="P545" s="123"/>
      <c r="Q545" s="123"/>
      <c r="R545" s="123"/>
      <c r="S545" s="123"/>
      <c r="T545" s="123"/>
      <c r="U545" s="123"/>
      <c r="V545" s="123"/>
      <c r="W545" s="123"/>
      <c r="X545" s="123"/>
      <c r="Y545" s="123"/>
      <c r="Z545" s="123"/>
    </row>
    <row r="546" spans="2:26" s="235" customFormat="1" ht="13.8">
      <c r="B546" s="307"/>
      <c r="C546" s="307"/>
      <c r="D546" s="307"/>
      <c r="E546" s="307"/>
      <c r="F546" s="307"/>
      <c r="M546" s="123"/>
      <c r="N546" s="123"/>
      <c r="O546" s="123"/>
      <c r="P546" s="123"/>
      <c r="Q546" s="123"/>
      <c r="R546" s="123"/>
      <c r="S546" s="123"/>
      <c r="T546" s="123"/>
      <c r="U546" s="123"/>
      <c r="V546" s="123"/>
      <c r="W546" s="123"/>
      <c r="X546" s="123"/>
      <c r="Y546" s="123"/>
      <c r="Z546" s="123"/>
    </row>
    <row r="547" spans="2:26" s="235" customFormat="1" ht="13.8">
      <c r="B547" s="307"/>
      <c r="C547" s="307"/>
      <c r="D547" s="307"/>
      <c r="E547" s="307"/>
      <c r="F547" s="307"/>
      <c r="M547" s="123"/>
      <c r="N547" s="123"/>
      <c r="O547" s="123"/>
      <c r="P547" s="123"/>
      <c r="Q547" s="123"/>
      <c r="R547" s="123"/>
      <c r="S547" s="123"/>
      <c r="T547" s="123"/>
      <c r="U547" s="123"/>
      <c r="V547" s="123"/>
      <c r="W547" s="123"/>
      <c r="X547" s="123"/>
      <c r="Y547" s="123"/>
      <c r="Z547" s="123"/>
    </row>
    <row r="548" spans="2:26" s="235" customFormat="1" ht="13.8">
      <c r="B548" s="307"/>
      <c r="C548" s="307"/>
      <c r="D548" s="307"/>
      <c r="E548" s="307"/>
      <c r="F548" s="307"/>
      <c r="M548" s="123"/>
      <c r="N548" s="123"/>
      <c r="O548" s="123"/>
      <c r="P548" s="123"/>
      <c r="Q548" s="123"/>
      <c r="R548" s="123"/>
      <c r="S548" s="123"/>
      <c r="T548" s="123"/>
      <c r="U548" s="123"/>
      <c r="V548" s="123"/>
      <c r="W548" s="123"/>
      <c r="X548" s="123"/>
      <c r="Y548" s="123"/>
      <c r="Z548" s="123"/>
    </row>
    <row r="549" spans="2:26" s="235" customFormat="1" ht="13.8">
      <c r="B549" s="307"/>
      <c r="C549" s="307"/>
      <c r="D549" s="307"/>
      <c r="E549" s="307"/>
      <c r="F549" s="307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  <c r="Z549" s="123"/>
    </row>
    <row r="550" spans="2:26" s="235" customFormat="1" ht="13.8">
      <c r="B550" s="307"/>
      <c r="C550" s="307"/>
      <c r="D550" s="307"/>
      <c r="E550" s="307"/>
      <c r="F550" s="307"/>
      <c r="M550" s="123"/>
      <c r="N550" s="123"/>
      <c r="O550" s="123"/>
      <c r="P550" s="123"/>
      <c r="Q550" s="123"/>
      <c r="R550" s="123"/>
      <c r="S550" s="123"/>
      <c r="T550" s="123"/>
      <c r="U550" s="123"/>
      <c r="V550" s="123"/>
      <c r="W550" s="123"/>
      <c r="X550" s="123"/>
      <c r="Y550" s="123"/>
      <c r="Z550" s="123"/>
    </row>
    <row r="551" spans="2:26" s="235" customFormat="1" ht="13.8">
      <c r="B551" s="307"/>
      <c r="C551" s="307"/>
      <c r="D551" s="307"/>
      <c r="E551" s="307"/>
      <c r="F551" s="307"/>
      <c r="M551" s="123"/>
      <c r="N551" s="123"/>
      <c r="O551" s="123"/>
      <c r="P551" s="123"/>
      <c r="Q551" s="123"/>
      <c r="R551" s="123"/>
      <c r="S551" s="123"/>
      <c r="T551" s="123"/>
      <c r="U551" s="123"/>
      <c r="V551" s="123"/>
      <c r="W551" s="123"/>
      <c r="X551" s="123"/>
      <c r="Y551" s="123"/>
      <c r="Z551" s="123"/>
    </row>
    <row r="552" spans="2:26" s="235" customFormat="1" ht="13.8">
      <c r="B552" s="307"/>
      <c r="C552" s="307"/>
      <c r="D552" s="307"/>
      <c r="E552" s="307"/>
      <c r="F552" s="307"/>
      <c r="M552" s="123"/>
      <c r="N552" s="123"/>
      <c r="O552" s="123"/>
      <c r="P552" s="123"/>
      <c r="Q552" s="123"/>
      <c r="R552" s="123"/>
      <c r="S552" s="123"/>
      <c r="T552" s="123"/>
      <c r="U552" s="123"/>
      <c r="V552" s="123"/>
      <c r="W552" s="123"/>
      <c r="X552" s="123"/>
      <c r="Y552" s="123"/>
      <c r="Z552" s="123"/>
    </row>
    <row r="553" spans="2:26" s="235" customFormat="1" ht="13.8">
      <c r="B553" s="307"/>
      <c r="C553" s="307"/>
      <c r="D553" s="307"/>
      <c r="E553" s="307"/>
      <c r="F553" s="307"/>
      <c r="M553" s="123"/>
      <c r="N553" s="123"/>
      <c r="O553" s="123"/>
      <c r="P553" s="123"/>
      <c r="Q553" s="123"/>
      <c r="R553" s="123"/>
      <c r="S553" s="123"/>
      <c r="T553" s="123"/>
      <c r="U553" s="123"/>
      <c r="V553" s="123"/>
      <c r="W553" s="123"/>
      <c r="X553" s="123"/>
      <c r="Y553" s="123"/>
      <c r="Z553" s="123"/>
    </row>
    <row r="554" spans="2:26" s="235" customFormat="1" ht="13.8">
      <c r="B554" s="307"/>
      <c r="C554" s="307"/>
      <c r="D554" s="307"/>
      <c r="E554" s="307"/>
      <c r="F554" s="307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</row>
    <row r="555" spans="2:26" s="235" customFormat="1" ht="13.8">
      <c r="B555" s="307"/>
      <c r="C555" s="307"/>
      <c r="D555" s="307"/>
      <c r="E555" s="307"/>
      <c r="F555" s="307"/>
      <c r="M555" s="123"/>
      <c r="N555" s="123"/>
      <c r="O555" s="123"/>
      <c r="P555" s="123"/>
      <c r="Q555" s="123"/>
      <c r="R555" s="123"/>
      <c r="S555" s="123"/>
      <c r="T555" s="123"/>
      <c r="U555" s="123"/>
      <c r="V555" s="123"/>
      <c r="W555" s="123"/>
      <c r="X555" s="123"/>
      <c r="Y555" s="123"/>
      <c r="Z555" s="123"/>
    </row>
    <row r="556" spans="2:26" s="235" customFormat="1" ht="13.8">
      <c r="B556" s="307"/>
      <c r="C556" s="307"/>
      <c r="D556" s="307"/>
      <c r="E556" s="307"/>
      <c r="F556" s="307"/>
      <c r="M556" s="123"/>
      <c r="N556" s="123"/>
      <c r="O556" s="123"/>
      <c r="P556" s="123"/>
      <c r="Q556" s="123"/>
      <c r="R556" s="123"/>
      <c r="S556" s="123"/>
      <c r="T556" s="123"/>
      <c r="U556" s="123"/>
      <c r="V556" s="123"/>
      <c r="W556" s="123"/>
      <c r="X556" s="123"/>
      <c r="Y556" s="123"/>
      <c r="Z556" s="123"/>
    </row>
    <row r="557" spans="2:26" s="235" customFormat="1" ht="13.8">
      <c r="B557" s="307"/>
      <c r="C557" s="307"/>
      <c r="D557" s="307"/>
      <c r="E557" s="307"/>
      <c r="F557" s="307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</row>
    <row r="558" spans="2:26" s="235" customFormat="1" ht="13.8">
      <c r="B558" s="307"/>
      <c r="C558" s="307"/>
      <c r="D558" s="307"/>
      <c r="E558" s="307"/>
      <c r="F558" s="307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</row>
    <row r="559" spans="2:26" s="235" customFormat="1" ht="13.8">
      <c r="B559" s="307"/>
      <c r="C559" s="307"/>
      <c r="D559" s="307"/>
      <c r="E559" s="307"/>
      <c r="F559" s="307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</row>
    <row r="560" spans="2:26" s="235" customFormat="1" ht="13.8">
      <c r="B560" s="307"/>
      <c r="C560" s="307"/>
      <c r="D560" s="307"/>
      <c r="E560" s="307"/>
      <c r="F560" s="307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</row>
    <row r="561" spans="2:26" s="235" customFormat="1" ht="13.8">
      <c r="B561" s="307"/>
      <c r="C561" s="307"/>
      <c r="D561" s="307"/>
      <c r="E561" s="307"/>
      <c r="F561" s="307"/>
      <c r="M561" s="123"/>
      <c r="N561" s="123"/>
      <c r="O561" s="123"/>
      <c r="P561" s="123"/>
      <c r="Q561" s="123"/>
      <c r="R561" s="123"/>
      <c r="S561" s="123"/>
      <c r="T561" s="123"/>
      <c r="U561" s="123"/>
      <c r="V561" s="123"/>
      <c r="W561" s="123"/>
      <c r="X561" s="123"/>
      <c r="Y561" s="123"/>
      <c r="Z561" s="123"/>
    </row>
    <row r="562" spans="2:26" s="235" customFormat="1" ht="13.8">
      <c r="B562" s="307"/>
      <c r="C562" s="307"/>
      <c r="D562" s="307"/>
      <c r="E562" s="307"/>
      <c r="F562" s="307"/>
      <c r="M562" s="123"/>
      <c r="N562" s="123"/>
      <c r="O562" s="123"/>
      <c r="P562" s="123"/>
      <c r="Q562" s="123"/>
      <c r="R562" s="123"/>
      <c r="S562" s="123"/>
      <c r="T562" s="123"/>
      <c r="U562" s="123"/>
      <c r="V562" s="123"/>
      <c r="W562" s="123"/>
      <c r="X562" s="123"/>
      <c r="Y562" s="123"/>
      <c r="Z562" s="123"/>
    </row>
    <row r="563" spans="2:26" s="235" customFormat="1" ht="13.8">
      <c r="B563" s="307"/>
      <c r="C563" s="307"/>
      <c r="D563" s="307"/>
      <c r="E563" s="307"/>
      <c r="F563" s="307"/>
      <c r="M563" s="123"/>
      <c r="N563" s="123"/>
      <c r="O563" s="123"/>
      <c r="P563" s="123"/>
      <c r="Q563" s="123"/>
      <c r="R563" s="123"/>
      <c r="S563" s="123"/>
      <c r="T563" s="123"/>
      <c r="U563" s="123"/>
      <c r="V563" s="123"/>
      <c r="W563" s="123"/>
      <c r="X563" s="123"/>
      <c r="Y563" s="123"/>
      <c r="Z563" s="123"/>
    </row>
    <row r="564" spans="2:26" s="235" customFormat="1" ht="13.8">
      <c r="B564" s="307"/>
      <c r="C564" s="307"/>
      <c r="D564" s="307"/>
      <c r="E564" s="307"/>
      <c r="F564" s="307"/>
      <c r="M564" s="123"/>
      <c r="N564" s="123"/>
      <c r="O564" s="123"/>
      <c r="P564" s="123"/>
      <c r="Q564" s="123"/>
      <c r="R564" s="123"/>
      <c r="S564" s="123"/>
      <c r="T564" s="123"/>
      <c r="U564" s="123"/>
      <c r="V564" s="123"/>
      <c r="W564" s="123"/>
      <c r="X564" s="123"/>
      <c r="Y564" s="123"/>
      <c r="Z564" s="123"/>
    </row>
    <row r="565" spans="2:26" s="235" customFormat="1" ht="13.8">
      <c r="B565" s="307"/>
      <c r="C565" s="307"/>
      <c r="D565" s="307"/>
      <c r="E565" s="307"/>
      <c r="F565" s="307"/>
      <c r="M565" s="123"/>
      <c r="N565" s="123"/>
      <c r="O565" s="123"/>
      <c r="P565" s="123"/>
      <c r="Q565" s="123"/>
      <c r="R565" s="123"/>
      <c r="S565" s="123"/>
      <c r="T565" s="123"/>
      <c r="U565" s="123"/>
      <c r="V565" s="123"/>
      <c r="W565" s="123"/>
      <c r="X565" s="123"/>
      <c r="Y565" s="123"/>
      <c r="Z565" s="123"/>
    </row>
    <row r="566" spans="2:26" s="235" customFormat="1" ht="13.8">
      <c r="B566" s="307"/>
      <c r="C566" s="307"/>
      <c r="D566" s="307"/>
      <c r="E566" s="307"/>
      <c r="F566" s="307"/>
      <c r="M566" s="123"/>
      <c r="N566" s="123"/>
      <c r="O566" s="123"/>
      <c r="P566" s="123"/>
      <c r="Q566" s="123"/>
      <c r="R566" s="123"/>
      <c r="S566" s="123"/>
      <c r="T566" s="123"/>
      <c r="U566" s="123"/>
      <c r="V566" s="123"/>
      <c r="W566" s="123"/>
      <c r="X566" s="123"/>
      <c r="Y566" s="123"/>
      <c r="Z566" s="123"/>
    </row>
    <row r="567" spans="2:26" s="235" customFormat="1" ht="13.8">
      <c r="B567" s="307"/>
      <c r="C567" s="307"/>
      <c r="D567" s="307"/>
      <c r="E567" s="307"/>
      <c r="F567" s="307"/>
      <c r="M567" s="123"/>
      <c r="N567" s="123"/>
      <c r="O567" s="123"/>
      <c r="P567" s="123"/>
      <c r="Q567" s="123"/>
      <c r="R567" s="123"/>
      <c r="S567" s="123"/>
      <c r="T567" s="123"/>
      <c r="U567" s="123"/>
      <c r="V567" s="123"/>
      <c r="W567" s="123"/>
      <c r="X567" s="123"/>
      <c r="Y567" s="123"/>
      <c r="Z567" s="123"/>
    </row>
    <row r="568" spans="2:26" s="235" customFormat="1" ht="13.8">
      <c r="B568" s="307"/>
      <c r="C568" s="307"/>
      <c r="D568" s="307"/>
      <c r="E568" s="307"/>
      <c r="F568" s="307"/>
      <c r="M568" s="123"/>
      <c r="N568" s="123"/>
      <c r="O568" s="123"/>
      <c r="P568" s="123"/>
      <c r="Q568" s="123"/>
      <c r="R568" s="123"/>
      <c r="S568" s="123"/>
      <c r="T568" s="123"/>
      <c r="U568" s="123"/>
      <c r="V568" s="123"/>
      <c r="W568" s="123"/>
      <c r="X568" s="123"/>
      <c r="Y568" s="123"/>
      <c r="Z568" s="123"/>
    </row>
    <row r="569" spans="2:26" s="235" customFormat="1" ht="13.8">
      <c r="B569" s="307"/>
      <c r="C569" s="307"/>
      <c r="D569" s="307"/>
      <c r="E569" s="307"/>
      <c r="F569" s="307"/>
      <c r="M569" s="123"/>
      <c r="N569" s="123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  <c r="Y569" s="123"/>
      <c r="Z569" s="123"/>
    </row>
    <row r="570" spans="2:26" s="235" customFormat="1" ht="13.8">
      <c r="B570" s="307"/>
      <c r="C570" s="307"/>
      <c r="D570" s="307"/>
      <c r="E570" s="307"/>
      <c r="F570" s="307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  <c r="Z570" s="123"/>
    </row>
    <row r="571" spans="2:26" s="235" customFormat="1" ht="13.8">
      <c r="B571" s="307"/>
      <c r="C571" s="307"/>
      <c r="D571" s="307"/>
      <c r="E571" s="307"/>
      <c r="F571" s="307"/>
      <c r="M571" s="123"/>
      <c r="N571" s="123"/>
      <c r="O571" s="123"/>
      <c r="P571" s="123"/>
      <c r="Q571" s="123"/>
      <c r="R571" s="123"/>
      <c r="S571" s="123"/>
      <c r="T571" s="123"/>
      <c r="U571" s="123"/>
      <c r="V571" s="123"/>
      <c r="W571" s="123"/>
      <c r="X571" s="123"/>
      <c r="Y571" s="123"/>
      <c r="Z571" s="123"/>
    </row>
    <row r="572" spans="2:26" s="235" customFormat="1" ht="13.8">
      <c r="B572" s="307"/>
      <c r="C572" s="307"/>
      <c r="D572" s="307"/>
      <c r="E572" s="307"/>
      <c r="F572" s="307"/>
      <c r="M572" s="123"/>
      <c r="N572" s="123"/>
      <c r="O572" s="123"/>
      <c r="P572" s="123"/>
      <c r="Q572" s="123"/>
      <c r="R572" s="123"/>
      <c r="S572" s="123"/>
      <c r="T572" s="123"/>
      <c r="U572" s="123"/>
      <c r="V572" s="123"/>
      <c r="W572" s="123"/>
      <c r="X572" s="123"/>
      <c r="Y572" s="123"/>
      <c r="Z572" s="123"/>
    </row>
    <row r="573" spans="2:26" s="235" customFormat="1" ht="13.8">
      <c r="B573" s="307"/>
      <c r="C573" s="307"/>
      <c r="D573" s="307"/>
      <c r="E573" s="307"/>
      <c r="F573" s="307"/>
      <c r="M573" s="123"/>
      <c r="N573" s="123"/>
      <c r="O573" s="123"/>
      <c r="P573" s="123"/>
      <c r="Q573" s="123"/>
      <c r="R573" s="123"/>
      <c r="S573" s="123"/>
      <c r="T573" s="123"/>
      <c r="U573" s="123"/>
      <c r="V573" s="123"/>
      <c r="W573" s="123"/>
      <c r="X573" s="123"/>
      <c r="Y573" s="123"/>
      <c r="Z573" s="123"/>
    </row>
    <row r="574" spans="2:26" s="235" customFormat="1" ht="13.8">
      <c r="B574" s="307"/>
      <c r="C574" s="307"/>
      <c r="D574" s="307"/>
      <c r="E574" s="307"/>
      <c r="F574" s="307"/>
      <c r="M574" s="123"/>
      <c r="N574" s="123"/>
      <c r="O574" s="123"/>
      <c r="P574" s="123"/>
      <c r="Q574" s="123"/>
      <c r="R574" s="123"/>
      <c r="S574" s="123"/>
      <c r="T574" s="123"/>
      <c r="U574" s="123"/>
      <c r="V574" s="123"/>
      <c r="W574" s="123"/>
      <c r="X574" s="123"/>
      <c r="Y574" s="123"/>
      <c r="Z574" s="123"/>
    </row>
    <row r="575" spans="2:26" s="235" customFormat="1" ht="13.8">
      <c r="B575" s="307"/>
      <c r="C575" s="307"/>
      <c r="D575" s="307"/>
      <c r="E575" s="307"/>
      <c r="F575" s="307"/>
      <c r="M575" s="123"/>
      <c r="N575" s="123"/>
      <c r="O575" s="123"/>
      <c r="P575" s="123"/>
      <c r="Q575" s="123"/>
      <c r="R575" s="123"/>
      <c r="S575" s="123"/>
      <c r="T575" s="123"/>
      <c r="U575" s="123"/>
      <c r="V575" s="123"/>
      <c r="W575" s="123"/>
      <c r="X575" s="123"/>
      <c r="Y575" s="123"/>
      <c r="Z575" s="123"/>
    </row>
    <row r="576" spans="2:26" s="235" customFormat="1" ht="13.8">
      <c r="B576" s="307"/>
      <c r="C576" s="307"/>
      <c r="D576" s="307"/>
      <c r="E576" s="307"/>
      <c r="F576" s="307"/>
      <c r="M576" s="123"/>
      <c r="N576" s="123"/>
      <c r="O576" s="123"/>
      <c r="P576" s="123"/>
      <c r="Q576" s="123"/>
      <c r="R576" s="123"/>
      <c r="S576" s="123"/>
      <c r="T576" s="123"/>
      <c r="U576" s="123"/>
      <c r="V576" s="123"/>
      <c r="W576" s="123"/>
      <c r="X576" s="123"/>
      <c r="Y576" s="123"/>
      <c r="Z576" s="123"/>
    </row>
    <row r="577" spans="2:26" s="235" customFormat="1" ht="13.8">
      <c r="B577" s="307"/>
      <c r="C577" s="307"/>
      <c r="D577" s="307"/>
      <c r="E577" s="307"/>
      <c r="F577" s="307"/>
      <c r="M577" s="123"/>
      <c r="N577" s="123"/>
      <c r="O577" s="123"/>
      <c r="P577" s="123"/>
      <c r="Q577" s="123"/>
      <c r="R577" s="123"/>
      <c r="S577" s="123"/>
      <c r="T577" s="123"/>
      <c r="U577" s="123"/>
      <c r="V577" s="123"/>
      <c r="W577" s="123"/>
      <c r="X577" s="123"/>
      <c r="Y577" s="123"/>
      <c r="Z577" s="123"/>
    </row>
    <row r="578" spans="2:26" s="235" customFormat="1" ht="13.8">
      <c r="B578" s="307"/>
      <c r="C578" s="307"/>
      <c r="D578" s="307"/>
      <c r="E578" s="307"/>
      <c r="F578" s="307"/>
      <c r="M578" s="123"/>
      <c r="N578" s="123"/>
      <c r="O578" s="123"/>
      <c r="P578" s="123"/>
      <c r="Q578" s="123"/>
      <c r="R578" s="123"/>
      <c r="S578" s="123"/>
      <c r="T578" s="123"/>
      <c r="U578" s="123"/>
      <c r="V578" s="123"/>
      <c r="W578" s="123"/>
      <c r="X578" s="123"/>
      <c r="Y578" s="123"/>
      <c r="Z578" s="123"/>
    </row>
    <row r="579" spans="2:26" s="235" customFormat="1" ht="13.8">
      <c r="B579" s="307"/>
      <c r="C579" s="307"/>
      <c r="D579" s="307"/>
      <c r="E579" s="307"/>
      <c r="F579" s="307"/>
      <c r="M579" s="123"/>
      <c r="N579" s="123"/>
      <c r="O579" s="123"/>
      <c r="P579" s="123"/>
      <c r="Q579" s="123"/>
      <c r="R579" s="123"/>
      <c r="S579" s="123"/>
      <c r="T579" s="123"/>
      <c r="U579" s="123"/>
      <c r="V579" s="123"/>
      <c r="W579" s="123"/>
      <c r="X579" s="123"/>
      <c r="Y579" s="123"/>
      <c r="Z579" s="123"/>
    </row>
    <row r="580" spans="2:26" s="235" customFormat="1" ht="13.8">
      <c r="B580" s="307"/>
      <c r="C580" s="307"/>
      <c r="D580" s="307"/>
      <c r="E580" s="307"/>
      <c r="F580" s="307"/>
      <c r="M580" s="123"/>
      <c r="N580" s="123"/>
      <c r="O580" s="123"/>
      <c r="P580" s="123"/>
      <c r="Q580" s="123"/>
      <c r="R580" s="123"/>
      <c r="S580" s="123"/>
      <c r="T580" s="123"/>
      <c r="U580" s="123"/>
      <c r="V580" s="123"/>
      <c r="W580" s="123"/>
      <c r="X580" s="123"/>
      <c r="Y580" s="123"/>
      <c r="Z580" s="123"/>
    </row>
    <row r="581" spans="2:26" s="235" customFormat="1" ht="13.8">
      <c r="B581" s="307"/>
      <c r="C581" s="307"/>
      <c r="D581" s="307"/>
      <c r="E581" s="307"/>
      <c r="F581" s="307"/>
      <c r="M581" s="123"/>
      <c r="N581" s="123"/>
      <c r="O581" s="123"/>
      <c r="P581" s="123"/>
      <c r="Q581" s="123"/>
      <c r="R581" s="123"/>
      <c r="S581" s="123"/>
      <c r="T581" s="123"/>
      <c r="U581" s="123"/>
      <c r="V581" s="123"/>
      <c r="W581" s="123"/>
      <c r="X581" s="123"/>
      <c r="Y581" s="123"/>
      <c r="Z581" s="123"/>
    </row>
    <row r="582" spans="2:26" s="235" customFormat="1" ht="13.8">
      <c r="B582" s="307"/>
      <c r="C582" s="307"/>
      <c r="D582" s="307"/>
      <c r="E582" s="307"/>
      <c r="F582" s="307"/>
      <c r="M582" s="123"/>
      <c r="N582" s="123"/>
      <c r="O582" s="123"/>
      <c r="P582" s="123"/>
      <c r="Q582" s="123"/>
      <c r="R582" s="123"/>
      <c r="S582" s="123"/>
      <c r="T582" s="123"/>
      <c r="U582" s="123"/>
      <c r="V582" s="123"/>
      <c r="W582" s="123"/>
      <c r="X582" s="123"/>
      <c r="Y582" s="123"/>
      <c r="Z582" s="123"/>
    </row>
    <row r="583" spans="2:26" s="235" customFormat="1" ht="13.8">
      <c r="B583" s="307"/>
      <c r="C583" s="307"/>
      <c r="D583" s="307"/>
      <c r="E583" s="307"/>
      <c r="F583" s="307"/>
      <c r="M583" s="123"/>
      <c r="N583" s="123"/>
      <c r="O583" s="123"/>
      <c r="P583" s="123"/>
      <c r="Q583" s="123"/>
      <c r="R583" s="123"/>
      <c r="S583" s="123"/>
      <c r="T583" s="123"/>
      <c r="U583" s="123"/>
      <c r="V583" s="123"/>
      <c r="W583" s="123"/>
      <c r="X583" s="123"/>
      <c r="Y583" s="123"/>
      <c r="Z583" s="123"/>
    </row>
    <row r="584" spans="2:26" s="235" customFormat="1" ht="13.8">
      <c r="B584" s="307"/>
      <c r="C584" s="307"/>
      <c r="D584" s="307"/>
      <c r="E584" s="307"/>
      <c r="F584" s="307"/>
      <c r="M584" s="123"/>
      <c r="N584" s="123"/>
      <c r="O584" s="123"/>
      <c r="P584" s="123"/>
      <c r="Q584" s="123"/>
      <c r="R584" s="123"/>
      <c r="S584" s="123"/>
      <c r="T584" s="123"/>
      <c r="U584" s="123"/>
      <c r="V584" s="123"/>
      <c r="W584" s="123"/>
      <c r="X584" s="123"/>
      <c r="Y584" s="123"/>
      <c r="Z584" s="123"/>
    </row>
    <row r="585" spans="2:26" s="235" customFormat="1" ht="13.8">
      <c r="B585" s="307"/>
      <c r="C585" s="307"/>
      <c r="D585" s="307"/>
      <c r="E585" s="307"/>
      <c r="F585" s="307"/>
      <c r="M585" s="123"/>
      <c r="N585" s="123"/>
      <c r="O585" s="123"/>
      <c r="P585" s="123"/>
      <c r="Q585" s="123"/>
      <c r="R585" s="123"/>
      <c r="S585" s="123"/>
      <c r="T585" s="123"/>
      <c r="U585" s="123"/>
      <c r="V585" s="123"/>
      <c r="W585" s="123"/>
      <c r="X585" s="123"/>
      <c r="Y585" s="123"/>
      <c r="Z585" s="123"/>
    </row>
    <row r="586" spans="2:26" s="235" customFormat="1" ht="13.8">
      <c r="B586" s="307"/>
      <c r="C586" s="307"/>
      <c r="D586" s="307"/>
      <c r="E586" s="307"/>
      <c r="F586" s="307"/>
      <c r="M586" s="123"/>
      <c r="N586" s="123"/>
      <c r="O586" s="123"/>
      <c r="P586" s="123"/>
      <c r="Q586" s="123"/>
      <c r="R586" s="123"/>
      <c r="S586" s="123"/>
      <c r="T586" s="123"/>
      <c r="U586" s="123"/>
      <c r="V586" s="123"/>
      <c r="W586" s="123"/>
      <c r="X586" s="123"/>
      <c r="Y586" s="123"/>
      <c r="Z586" s="123"/>
    </row>
    <row r="587" spans="2:26" s="235" customFormat="1" ht="13.8">
      <c r="B587" s="307"/>
      <c r="C587" s="307"/>
      <c r="D587" s="307"/>
      <c r="E587" s="307"/>
      <c r="F587" s="307"/>
      <c r="M587" s="123"/>
      <c r="N587" s="123"/>
      <c r="O587" s="123"/>
      <c r="P587" s="123"/>
      <c r="Q587" s="123"/>
      <c r="R587" s="123"/>
      <c r="S587" s="123"/>
      <c r="T587" s="123"/>
      <c r="U587" s="123"/>
      <c r="V587" s="123"/>
      <c r="W587" s="123"/>
      <c r="X587" s="123"/>
      <c r="Y587" s="123"/>
      <c r="Z587" s="123"/>
    </row>
    <row r="588" spans="2:26" s="235" customFormat="1" ht="13.8">
      <c r="B588" s="307"/>
      <c r="C588" s="307"/>
      <c r="D588" s="307"/>
      <c r="E588" s="307"/>
      <c r="F588" s="307"/>
      <c r="M588" s="123"/>
      <c r="N588" s="123"/>
      <c r="O588" s="123"/>
      <c r="P588" s="123"/>
      <c r="Q588" s="123"/>
      <c r="R588" s="123"/>
      <c r="S588" s="123"/>
      <c r="T588" s="123"/>
      <c r="U588" s="123"/>
      <c r="V588" s="123"/>
      <c r="W588" s="123"/>
      <c r="X588" s="123"/>
      <c r="Y588" s="123"/>
      <c r="Z588" s="123"/>
    </row>
    <row r="589" spans="2:26" s="235" customFormat="1" ht="13.8">
      <c r="B589" s="307"/>
      <c r="C589" s="307"/>
      <c r="D589" s="307"/>
      <c r="E589" s="307"/>
      <c r="F589" s="307"/>
      <c r="M589" s="123"/>
      <c r="N589" s="123"/>
      <c r="O589" s="123"/>
      <c r="P589" s="123"/>
      <c r="Q589" s="123"/>
      <c r="R589" s="123"/>
      <c r="S589" s="123"/>
      <c r="T589" s="123"/>
      <c r="U589" s="123"/>
      <c r="V589" s="123"/>
      <c r="W589" s="123"/>
      <c r="X589" s="123"/>
      <c r="Y589" s="123"/>
      <c r="Z589" s="123"/>
    </row>
    <row r="590" spans="2:26" s="235" customFormat="1" ht="13.8">
      <c r="B590" s="307"/>
      <c r="C590" s="307"/>
      <c r="D590" s="307"/>
      <c r="E590" s="307"/>
      <c r="F590" s="307"/>
      <c r="M590" s="123"/>
      <c r="N590" s="123"/>
      <c r="O590" s="123"/>
      <c r="P590" s="123"/>
      <c r="Q590" s="123"/>
      <c r="R590" s="123"/>
      <c r="S590" s="123"/>
      <c r="T590" s="123"/>
      <c r="U590" s="123"/>
      <c r="V590" s="123"/>
      <c r="W590" s="123"/>
      <c r="X590" s="123"/>
      <c r="Y590" s="123"/>
      <c r="Z590" s="123"/>
    </row>
    <row r="591" spans="2:26" s="235" customFormat="1" ht="13.8">
      <c r="B591" s="307"/>
      <c r="C591" s="307"/>
      <c r="D591" s="307"/>
      <c r="E591" s="307"/>
      <c r="F591" s="307"/>
      <c r="M591" s="123"/>
      <c r="N591" s="123"/>
      <c r="O591" s="123"/>
      <c r="P591" s="123"/>
      <c r="Q591" s="123"/>
      <c r="R591" s="123"/>
      <c r="S591" s="123"/>
      <c r="T591" s="123"/>
      <c r="U591" s="123"/>
      <c r="V591" s="123"/>
      <c r="W591" s="123"/>
      <c r="X591" s="123"/>
      <c r="Y591" s="123"/>
      <c r="Z591" s="123"/>
    </row>
    <row r="592" spans="2:26" s="235" customFormat="1" ht="13.8">
      <c r="B592" s="307"/>
      <c r="C592" s="307"/>
      <c r="D592" s="307"/>
      <c r="E592" s="307"/>
      <c r="F592" s="307"/>
      <c r="M592" s="123"/>
      <c r="N592" s="123"/>
      <c r="O592" s="123"/>
      <c r="P592" s="123"/>
      <c r="Q592" s="123"/>
      <c r="R592" s="123"/>
      <c r="S592" s="123"/>
      <c r="T592" s="123"/>
      <c r="U592" s="123"/>
      <c r="V592" s="123"/>
      <c r="W592" s="123"/>
      <c r="X592" s="123"/>
      <c r="Y592" s="123"/>
      <c r="Z592" s="123"/>
    </row>
    <row r="593" spans="2:26" s="235" customFormat="1" ht="13.8">
      <c r="B593" s="307"/>
      <c r="C593" s="307"/>
      <c r="D593" s="307"/>
      <c r="E593" s="307"/>
      <c r="F593" s="307"/>
      <c r="M593" s="123"/>
      <c r="N593" s="123"/>
      <c r="O593" s="123"/>
      <c r="P593" s="123"/>
      <c r="Q593" s="123"/>
      <c r="R593" s="123"/>
      <c r="S593" s="123"/>
      <c r="T593" s="123"/>
      <c r="U593" s="123"/>
      <c r="V593" s="123"/>
      <c r="W593" s="123"/>
      <c r="X593" s="123"/>
      <c r="Y593" s="123"/>
      <c r="Z593" s="123"/>
    </row>
    <row r="594" spans="2:26" s="235" customFormat="1" ht="13.8">
      <c r="B594" s="307"/>
      <c r="C594" s="307"/>
      <c r="D594" s="307"/>
      <c r="E594" s="307"/>
      <c r="F594" s="307"/>
      <c r="M594" s="123"/>
      <c r="N594" s="123"/>
      <c r="O594" s="123"/>
      <c r="P594" s="123"/>
      <c r="Q594" s="123"/>
      <c r="R594" s="123"/>
      <c r="S594" s="123"/>
      <c r="T594" s="123"/>
      <c r="U594" s="123"/>
      <c r="V594" s="123"/>
      <c r="W594" s="123"/>
      <c r="X594" s="123"/>
      <c r="Y594" s="123"/>
      <c r="Z594" s="123"/>
    </row>
    <row r="595" spans="2:26" s="235" customFormat="1" ht="13.8">
      <c r="B595" s="307"/>
      <c r="C595" s="307"/>
      <c r="D595" s="307"/>
      <c r="E595" s="307"/>
      <c r="F595" s="307"/>
      <c r="M595" s="123"/>
      <c r="N595" s="123"/>
      <c r="O595" s="123"/>
      <c r="P595" s="123"/>
      <c r="Q595" s="123"/>
      <c r="R595" s="123"/>
      <c r="S595" s="123"/>
      <c r="T595" s="123"/>
      <c r="U595" s="123"/>
      <c r="V595" s="123"/>
      <c r="W595" s="123"/>
      <c r="X595" s="123"/>
      <c r="Y595" s="123"/>
      <c r="Z595" s="123"/>
    </row>
    <row r="596" spans="2:26" s="235" customFormat="1" ht="13.8">
      <c r="B596" s="307"/>
      <c r="C596" s="307"/>
      <c r="D596" s="307"/>
      <c r="E596" s="307"/>
      <c r="F596" s="307"/>
      <c r="M596" s="123"/>
      <c r="N596" s="123"/>
      <c r="O596" s="123"/>
      <c r="P596" s="123"/>
      <c r="Q596" s="123"/>
      <c r="R596" s="123"/>
      <c r="S596" s="123"/>
      <c r="T596" s="123"/>
      <c r="U596" s="123"/>
      <c r="V596" s="123"/>
      <c r="W596" s="123"/>
      <c r="X596" s="123"/>
      <c r="Y596" s="123"/>
      <c r="Z596" s="123"/>
    </row>
    <row r="597" spans="2:26" s="235" customFormat="1" ht="13.8">
      <c r="B597" s="307"/>
      <c r="C597" s="307"/>
      <c r="D597" s="307"/>
      <c r="E597" s="307"/>
      <c r="F597" s="307"/>
      <c r="M597" s="123"/>
      <c r="N597" s="123"/>
      <c r="O597" s="123"/>
      <c r="P597" s="123"/>
      <c r="Q597" s="123"/>
      <c r="R597" s="123"/>
      <c r="S597" s="123"/>
      <c r="T597" s="123"/>
      <c r="U597" s="123"/>
      <c r="V597" s="123"/>
      <c r="W597" s="123"/>
      <c r="X597" s="123"/>
      <c r="Y597" s="123"/>
      <c r="Z597" s="123"/>
    </row>
    <row r="598" spans="2:26" s="235" customFormat="1" ht="13.8">
      <c r="B598" s="307"/>
      <c r="C598" s="307"/>
      <c r="D598" s="307"/>
      <c r="E598" s="307"/>
      <c r="F598" s="307"/>
      <c r="M598" s="123"/>
      <c r="N598" s="123"/>
      <c r="O598" s="123"/>
      <c r="P598" s="123"/>
      <c r="Q598" s="123"/>
      <c r="R598" s="123"/>
      <c r="S598" s="123"/>
      <c r="T598" s="123"/>
      <c r="U598" s="123"/>
      <c r="V598" s="123"/>
      <c r="W598" s="123"/>
      <c r="X598" s="123"/>
      <c r="Y598" s="123"/>
      <c r="Z598" s="123"/>
    </row>
    <row r="599" spans="2:26" s="235" customFormat="1" ht="13.8">
      <c r="B599" s="307"/>
      <c r="C599" s="307"/>
      <c r="D599" s="307"/>
      <c r="E599" s="307"/>
      <c r="F599" s="307"/>
      <c r="M599" s="123"/>
      <c r="N599" s="123"/>
      <c r="O599" s="123"/>
      <c r="P599" s="123"/>
      <c r="Q599" s="123"/>
      <c r="R599" s="123"/>
      <c r="S599" s="123"/>
      <c r="T599" s="123"/>
      <c r="U599" s="123"/>
      <c r="V599" s="123"/>
      <c r="W599" s="123"/>
      <c r="X599" s="123"/>
      <c r="Y599" s="123"/>
      <c r="Z599" s="123"/>
    </row>
    <row r="600" spans="2:26" s="235" customFormat="1" ht="13.8">
      <c r="B600" s="307"/>
      <c r="C600" s="307"/>
      <c r="D600" s="307"/>
      <c r="E600" s="307"/>
      <c r="F600" s="307"/>
      <c r="M600" s="123"/>
      <c r="N600" s="123"/>
      <c r="O600" s="123"/>
      <c r="P600" s="123"/>
      <c r="Q600" s="123"/>
      <c r="R600" s="123"/>
      <c r="S600" s="123"/>
      <c r="T600" s="123"/>
      <c r="U600" s="123"/>
      <c r="V600" s="123"/>
      <c r="W600" s="123"/>
      <c r="X600" s="123"/>
      <c r="Y600" s="123"/>
      <c r="Z600" s="123"/>
    </row>
    <row r="601" spans="2:26" s="235" customFormat="1" ht="13.8">
      <c r="B601" s="307"/>
      <c r="C601" s="307"/>
      <c r="D601" s="307"/>
      <c r="E601" s="307"/>
      <c r="F601" s="307"/>
      <c r="M601" s="123"/>
      <c r="N601" s="123"/>
      <c r="O601" s="123"/>
      <c r="P601" s="123"/>
      <c r="Q601" s="123"/>
      <c r="R601" s="123"/>
      <c r="S601" s="123"/>
      <c r="T601" s="123"/>
      <c r="U601" s="123"/>
      <c r="V601" s="123"/>
      <c r="W601" s="123"/>
      <c r="X601" s="123"/>
      <c r="Y601" s="123"/>
      <c r="Z601" s="123"/>
    </row>
    <row r="602" spans="2:26" s="235" customFormat="1" ht="13.8">
      <c r="B602" s="307"/>
      <c r="C602" s="307"/>
      <c r="D602" s="307"/>
      <c r="E602" s="307"/>
      <c r="F602" s="307"/>
      <c r="M602" s="123"/>
      <c r="N602" s="123"/>
      <c r="O602" s="123"/>
      <c r="P602" s="123"/>
      <c r="Q602" s="123"/>
      <c r="R602" s="123"/>
      <c r="S602" s="123"/>
      <c r="T602" s="123"/>
      <c r="U602" s="123"/>
      <c r="V602" s="123"/>
      <c r="W602" s="123"/>
      <c r="X602" s="123"/>
      <c r="Y602" s="123"/>
      <c r="Z602" s="123"/>
    </row>
    <row r="603" spans="2:26" s="235" customFormat="1" ht="13.8">
      <c r="B603" s="307"/>
      <c r="C603" s="307"/>
      <c r="D603" s="307"/>
      <c r="E603" s="307"/>
      <c r="F603" s="307"/>
      <c r="M603" s="123"/>
      <c r="N603" s="123"/>
      <c r="O603" s="123"/>
      <c r="P603" s="123"/>
      <c r="Q603" s="123"/>
      <c r="R603" s="123"/>
      <c r="S603" s="123"/>
      <c r="T603" s="123"/>
      <c r="U603" s="123"/>
      <c r="V603" s="123"/>
      <c r="W603" s="123"/>
      <c r="X603" s="123"/>
      <c r="Y603" s="123"/>
      <c r="Z603" s="123"/>
    </row>
    <row r="604" spans="2:26" s="235" customFormat="1" ht="13.8">
      <c r="B604" s="307"/>
      <c r="C604" s="307"/>
      <c r="D604" s="307"/>
      <c r="E604" s="307"/>
      <c r="F604" s="307"/>
      <c r="M604" s="123"/>
      <c r="N604" s="123"/>
      <c r="O604" s="123"/>
      <c r="P604" s="123"/>
      <c r="Q604" s="123"/>
      <c r="R604" s="123"/>
      <c r="S604" s="123"/>
      <c r="T604" s="123"/>
      <c r="U604" s="123"/>
      <c r="V604" s="123"/>
      <c r="W604" s="123"/>
      <c r="X604" s="123"/>
      <c r="Y604" s="123"/>
      <c r="Z604" s="123"/>
    </row>
    <row r="605" spans="2:26" s="235" customFormat="1" ht="13.8">
      <c r="B605" s="307"/>
      <c r="C605" s="307"/>
      <c r="D605" s="307"/>
      <c r="E605" s="307"/>
      <c r="F605" s="307"/>
      <c r="M605" s="123"/>
      <c r="N605" s="123"/>
      <c r="O605" s="123"/>
      <c r="P605" s="123"/>
      <c r="Q605" s="123"/>
      <c r="R605" s="123"/>
      <c r="S605" s="123"/>
      <c r="T605" s="123"/>
      <c r="U605" s="123"/>
      <c r="V605" s="123"/>
      <c r="W605" s="123"/>
      <c r="X605" s="123"/>
      <c r="Y605" s="123"/>
      <c r="Z605" s="123"/>
    </row>
    <row r="606" spans="2:26" s="235" customFormat="1" ht="13.8">
      <c r="B606" s="307"/>
      <c r="C606" s="307"/>
      <c r="D606" s="307"/>
      <c r="E606" s="307"/>
      <c r="F606" s="307"/>
      <c r="M606" s="123"/>
      <c r="N606" s="123"/>
      <c r="O606" s="123"/>
      <c r="P606" s="123"/>
      <c r="Q606" s="123"/>
      <c r="R606" s="123"/>
      <c r="S606" s="123"/>
      <c r="T606" s="123"/>
      <c r="U606" s="123"/>
      <c r="V606" s="123"/>
      <c r="W606" s="123"/>
      <c r="X606" s="123"/>
      <c r="Y606" s="123"/>
      <c r="Z606" s="123"/>
    </row>
    <row r="607" spans="2:26" s="235" customFormat="1" ht="13.8">
      <c r="B607" s="307"/>
      <c r="C607" s="307"/>
      <c r="D607" s="307"/>
      <c r="E607" s="307"/>
      <c r="F607" s="307"/>
      <c r="M607" s="123"/>
      <c r="N607" s="123"/>
      <c r="O607" s="123"/>
      <c r="P607" s="123"/>
      <c r="Q607" s="123"/>
      <c r="R607" s="123"/>
      <c r="S607" s="123"/>
      <c r="T607" s="123"/>
      <c r="U607" s="123"/>
      <c r="V607" s="123"/>
      <c r="W607" s="123"/>
      <c r="X607" s="123"/>
      <c r="Y607" s="123"/>
      <c r="Z607" s="123"/>
    </row>
    <row r="608" spans="2:26" s="235" customFormat="1" ht="13.8">
      <c r="B608" s="307"/>
      <c r="C608" s="307"/>
      <c r="D608" s="307"/>
      <c r="E608" s="307"/>
      <c r="F608" s="307"/>
      <c r="M608" s="123"/>
      <c r="N608" s="123"/>
      <c r="O608" s="123"/>
      <c r="P608" s="123"/>
      <c r="Q608" s="123"/>
      <c r="R608" s="123"/>
      <c r="S608" s="123"/>
      <c r="T608" s="123"/>
      <c r="U608" s="123"/>
      <c r="V608" s="123"/>
      <c r="W608" s="123"/>
      <c r="X608" s="123"/>
      <c r="Y608" s="123"/>
      <c r="Z608" s="123"/>
    </row>
    <row r="609" spans="2:26" s="235" customFormat="1" ht="13.8">
      <c r="B609" s="307"/>
      <c r="C609" s="307"/>
      <c r="D609" s="307"/>
      <c r="E609" s="307"/>
      <c r="F609" s="307"/>
      <c r="M609" s="123"/>
      <c r="N609" s="123"/>
      <c r="O609" s="123"/>
      <c r="P609" s="123"/>
      <c r="Q609" s="123"/>
      <c r="R609" s="123"/>
      <c r="S609" s="123"/>
      <c r="T609" s="123"/>
      <c r="U609" s="123"/>
      <c r="V609" s="123"/>
      <c r="W609" s="123"/>
      <c r="X609" s="123"/>
      <c r="Y609" s="123"/>
      <c r="Z609" s="123"/>
    </row>
    <row r="610" spans="2:26" s="235" customFormat="1" ht="13.8">
      <c r="B610" s="307"/>
      <c r="C610" s="307"/>
      <c r="D610" s="307"/>
      <c r="E610" s="307"/>
      <c r="F610" s="307"/>
      <c r="M610" s="123"/>
      <c r="N610" s="123"/>
      <c r="O610" s="123"/>
      <c r="P610" s="123"/>
      <c r="Q610" s="123"/>
      <c r="R610" s="123"/>
      <c r="S610" s="123"/>
      <c r="T610" s="123"/>
      <c r="U610" s="123"/>
      <c r="V610" s="123"/>
      <c r="W610" s="123"/>
      <c r="X610" s="123"/>
      <c r="Y610" s="123"/>
      <c r="Z610" s="123"/>
    </row>
    <row r="611" spans="2:26" s="235" customFormat="1" ht="13.8">
      <c r="B611" s="307"/>
      <c r="C611" s="307"/>
      <c r="D611" s="307"/>
      <c r="E611" s="307"/>
      <c r="F611" s="307"/>
      <c r="M611" s="123"/>
      <c r="N611" s="123"/>
      <c r="O611" s="123"/>
      <c r="P611" s="123"/>
      <c r="Q611" s="123"/>
      <c r="R611" s="123"/>
      <c r="S611" s="123"/>
      <c r="T611" s="123"/>
      <c r="U611" s="123"/>
      <c r="V611" s="123"/>
      <c r="W611" s="123"/>
      <c r="X611" s="123"/>
      <c r="Y611" s="123"/>
      <c r="Z611" s="123"/>
    </row>
    <row r="612" spans="2:26" s="235" customFormat="1" ht="13.8">
      <c r="B612" s="307"/>
      <c r="C612" s="307"/>
      <c r="D612" s="307"/>
      <c r="E612" s="307"/>
      <c r="F612" s="307"/>
      <c r="M612" s="123"/>
      <c r="N612" s="123"/>
      <c r="O612" s="123"/>
      <c r="P612" s="123"/>
      <c r="Q612" s="123"/>
      <c r="R612" s="123"/>
      <c r="S612" s="123"/>
      <c r="T612" s="123"/>
      <c r="U612" s="123"/>
      <c r="V612" s="123"/>
      <c r="W612" s="123"/>
      <c r="X612" s="123"/>
      <c r="Y612" s="123"/>
      <c r="Z612" s="123"/>
    </row>
    <row r="613" spans="2:26" s="235" customFormat="1" ht="13.8">
      <c r="B613" s="307"/>
      <c r="C613" s="307"/>
      <c r="D613" s="307"/>
      <c r="E613" s="307"/>
      <c r="F613" s="307"/>
      <c r="M613" s="123"/>
      <c r="N613" s="123"/>
      <c r="O613" s="123"/>
      <c r="P613" s="123"/>
      <c r="Q613" s="123"/>
      <c r="R613" s="123"/>
      <c r="S613" s="123"/>
      <c r="T613" s="123"/>
      <c r="U613" s="123"/>
      <c r="V613" s="123"/>
      <c r="W613" s="123"/>
      <c r="X613" s="123"/>
      <c r="Y613" s="123"/>
      <c r="Z613" s="123"/>
    </row>
    <row r="614" spans="2:26" s="235" customFormat="1" ht="13.8">
      <c r="B614" s="307"/>
      <c r="C614" s="307"/>
      <c r="D614" s="307"/>
      <c r="E614" s="307"/>
      <c r="F614" s="307"/>
      <c r="M614" s="123"/>
      <c r="N614" s="123"/>
      <c r="O614" s="123"/>
      <c r="P614" s="123"/>
      <c r="Q614" s="123"/>
      <c r="R614" s="123"/>
      <c r="S614" s="123"/>
      <c r="T614" s="123"/>
      <c r="U614" s="123"/>
      <c r="V614" s="123"/>
      <c r="W614" s="123"/>
      <c r="X614" s="123"/>
      <c r="Y614" s="123"/>
      <c r="Z614" s="123"/>
    </row>
    <row r="615" spans="2:26" s="235" customFormat="1" ht="13.8">
      <c r="B615" s="307"/>
      <c r="C615" s="307"/>
      <c r="D615" s="307"/>
      <c r="E615" s="307"/>
      <c r="F615" s="307"/>
      <c r="M615" s="123"/>
      <c r="N615" s="123"/>
      <c r="O615" s="123"/>
      <c r="P615" s="123"/>
      <c r="Q615" s="123"/>
      <c r="R615" s="123"/>
      <c r="S615" s="123"/>
      <c r="T615" s="123"/>
      <c r="U615" s="123"/>
      <c r="V615" s="123"/>
      <c r="W615" s="123"/>
      <c r="X615" s="123"/>
      <c r="Y615" s="123"/>
      <c r="Z615" s="123"/>
    </row>
    <row r="616" spans="2:26" s="235" customFormat="1" ht="13.8">
      <c r="B616" s="307"/>
      <c r="C616" s="307"/>
      <c r="D616" s="307"/>
      <c r="E616" s="307"/>
      <c r="F616" s="307"/>
      <c r="M616" s="123"/>
      <c r="N616" s="123"/>
      <c r="O616" s="123"/>
      <c r="P616" s="123"/>
      <c r="Q616" s="123"/>
      <c r="R616" s="123"/>
      <c r="S616" s="123"/>
      <c r="T616" s="123"/>
      <c r="U616" s="123"/>
      <c r="V616" s="123"/>
      <c r="W616" s="123"/>
      <c r="X616" s="123"/>
      <c r="Y616" s="123"/>
      <c r="Z616" s="123"/>
    </row>
    <row r="617" spans="2:26" s="235" customFormat="1" ht="13.8">
      <c r="B617" s="307"/>
      <c r="C617" s="307"/>
      <c r="D617" s="307"/>
      <c r="E617" s="307"/>
      <c r="F617" s="307"/>
      <c r="M617" s="123"/>
      <c r="N617" s="123"/>
      <c r="O617" s="123"/>
      <c r="P617" s="123"/>
      <c r="Q617" s="123"/>
      <c r="R617" s="123"/>
      <c r="S617" s="123"/>
      <c r="T617" s="123"/>
      <c r="U617" s="123"/>
      <c r="V617" s="123"/>
      <c r="W617" s="123"/>
      <c r="X617" s="123"/>
      <c r="Y617" s="123"/>
      <c r="Z617" s="123"/>
    </row>
    <row r="618" spans="2:26" s="235" customFormat="1" ht="13.8">
      <c r="B618" s="307"/>
      <c r="C618" s="307"/>
      <c r="D618" s="307"/>
      <c r="E618" s="307"/>
      <c r="F618" s="307"/>
      <c r="M618" s="123"/>
      <c r="N618" s="123"/>
      <c r="O618" s="123"/>
      <c r="P618" s="123"/>
      <c r="Q618" s="123"/>
      <c r="R618" s="123"/>
      <c r="S618" s="123"/>
      <c r="T618" s="123"/>
      <c r="U618" s="123"/>
      <c r="V618" s="123"/>
      <c r="W618" s="123"/>
      <c r="X618" s="123"/>
      <c r="Y618" s="123"/>
      <c r="Z618" s="123"/>
    </row>
    <row r="619" spans="2:26" s="235" customFormat="1" ht="13.8">
      <c r="B619" s="307"/>
      <c r="C619" s="307"/>
      <c r="D619" s="307"/>
      <c r="E619" s="307"/>
      <c r="F619" s="307"/>
      <c r="M619" s="123"/>
      <c r="N619" s="123"/>
      <c r="O619" s="123"/>
      <c r="P619" s="123"/>
      <c r="Q619" s="123"/>
      <c r="R619" s="123"/>
      <c r="S619" s="123"/>
      <c r="T619" s="123"/>
      <c r="U619" s="123"/>
      <c r="V619" s="123"/>
      <c r="W619" s="123"/>
      <c r="X619" s="123"/>
      <c r="Y619" s="123"/>
      <c r="Z619" s="123"/>
    </row>
    <row r="620" spans="2:26" s="235" customFormat="1" ht="13.8">
      <c r="B620" s="307"/>
      <c r="C620" s="307"/>
      <c r="D620" s="307"/>
      <c r="E620" s="307"/>
      <c r="F620" s="307"/>
      <c r="M620" s="123"/>
      <c r="N620" s="123"/>
      <c r="O620" s="123"/>
      <c r="P620" s="123"/>
      <c r="Q620" s="123"/>
      <c r="R620" s="123"/>
      <c r="S620" s="123"/>
      <c r="T620" s="123"/>
      <c r="U620" s="123"/>
      <c r="V620" s="123"/>
      <c r="W620" s="123"/>
      <c r="X620" s="123"/>
      <c r="Y620" s="123"/>
      <c r="Z620" s="123"/>
    </row>
    <row r="621" spans="2:26" s="235" customFormat="1" ht="13.8">
      <c r="B621" s="307"/>
      <c r="C621" s="307"/>
      <c r="D621" s="307"/>
      <c r="E621" s="307"/>
      <c r="F621" s="307"/>
      <c r="M621" s="123"/>
      <c r="N621" s="123"/>
      <c r="O621" s="123"/>
      <c r="P621" s="123"/>
      <c r="Q621" s="123"/>
      <c r="R621" s="123"/>
      <c r="S621" s="123"/>
      <c r="T621" s="123"/>
      <c r="U621" s="123"/>
      <c r="V621" s="123"/>
      <c r="W621" s="123"/>
      <c r="X621" s="123"/>
      <c r="Y621" s="123"/>
      <c r="Z621" s="123"/>
    </row>
    <row r="622" spans="2:26" s="235" customFormat="1" ht="13.8">
      <c r="B622" s="307"/>
      <c r="C622" s="307"/>
      <c r="D622" s="307"/>
      <c r="E622" s="307"/>
      <c r="F622" s="307"/>
      <c r="M622" s="123"/>
      <c r="N622" s="123"/>
      <c r="O622" s="123"/>
      <c r="P622" s="123"/>
      <c r="Q622" s="123"/>
      <c r="R622" s="123"/>
      <c r="S622" s="123"/>
      <c r="T622" s="123"/>
      <c r="U622" s="123"/>
      <c r="V622" s="123"/>
      <c r="W622" s="123"/>
      <c r="X622" s="123"/>
      <c r="Y622" s="123"/>
      <c r="Z622" s="123"/>
    </row>
    <row r="623" spans="2:26" s="235" customFormat="1" ht="13.8">
      <c r="B623" s="307"/>
      <c r="C623" s="307"/>
      <c r="D623" s="307"/>
      <c r="E623" s="307"/>
      <c r="F623" s="307"/>
      <c r="M623" s="123"/>
      <c r="N623" s="123"/>
      <c r="O623" s="123"/>
      <c r="P623" s="123"/>
      <c r="Q623" s="123"/>
      <c r="R623" s="123"/>
      <c r="S623" s="123"/>
      <c r="T623" s="123"/>
      <c r="U623" s="123"/>
      <c r="V623" s="123"/>
      <c r="W623" s="123"/>
      <c r="X623" s="123"/>
      <c r="Y623" s="123"/>
      <c r="Z623" s="123"/>
    </row>
    <row r="624" spans="2:26" s="235" customFormat="1" ht="13.8">
      <c r="B624" s="307"/>
      <c r="C624" s="307"/>
      <c r="D624" s="307"/>
      <c r="E624" s="307"/>
      <c r="F624" s="307"/>
      <c r="M624" s="123"/>
      <c r="N624" s="123"/>
      <c r="O624" s="123"/>
      <c r="P624" s="123"/>
      <c r="Q624" s="123"/>
      <c r="R624" s="123"/>
      <c r="S624" s="123"/>
      <c r="T624" s="123"/>
      <c r="U624" s="123"/>
      <c r="V624" s="123"/>
      <c r="W624" s="123"/>
      <c r="X624" s="123"/>
      <c r="Y624" s="123"/>
      <c r="Z624" s="123"/>
    </row>
    <row r="625" spans="2:26" s="235" customFormat="1" ht="13.8">
      <c r="B625" s="307"/>
      <c r="C625" s="307"/>
      <c r="D625" s="307"/>
      <c r="E625" s="307"/>
      <c r="F625" s="307"/>
      <c r="M625" s="123"/>
      <c r="N625" s="123"/>
      <c r="O625" s="123"/>
      <c r="P625" s="123"/>
      <c r="Q625" s="123"/>
      <c r="R625" s="123"/>
      <c r="S625" s="123"/>
      <c r="T625" s="123"/>
      <c r="U625" s="123"/>
      <c r="V625" s="123"/>
      <c r="W625" s="123"/>
      <c r="X625" s="123"/>
      <c r="Y625" s="123"/>
      <c r="Z625" s="123"/>
    </row>
    <row r="626" spans="2:26" s="235" customFormat="1" ht="13.8">
      <c r="B626" s="307"/>
      <c r="C626" s="307"/>
      <c r="D626" s="307"/>
      <c r="E626" s="307"/>
      <c r="F626" s="307"/>
      <c r="M626" s="123"/>
      <c r="N626" s="123"/>
      <c r="O626" s="123"/>
      <c r="P626" s="123"/>
      <c r="Q626" s="123"/>
      <c r="R626" s="123"/>
      <c r="S626" s="123"/>
      <c r="T626" s="123"/>
      <c r="U626" s="123"/>
      <c r="V626" s="123"/>
      <c r="W626" s="123"/>
      <c r="X626" s="123"/>
      <c r="Y626" s="123"/>
      <c r="Z626" s="123"/>
    </row>
    <row r="627" spans="2:26" s="235" customFormat="1" ht="13.8">
      <c r="B627" s="307"/>
      <c r="C627" s="307"/>
      <c r="D627" s="307"/>
      <c r="E627" s="307"/>
      <c r="F627" s="307"/>
      <c r="M627" s="123"/>
      <c r="N627" s="123"/>
      <c r="O627" s="123"/>
      <c r="P627" s="123"/>
      <c r="Q627" s="123"/>
      <c r="R627" s="123"/>
      <c r="S627" s="123"/>
      <c r="T627" s="123"/>
      <c r="U627" s="123"/>
      <c r="V627" s="123"/>
      <c r="W627" s="123"/>
      <c r="X627" s="123"/>
      <c r="Y627" s="123"/>
      <c r="Z627" s="123"/>
    </row>
    <row r="628" spans="2:26" s="235" customFormat="1" ht="13.8">
      <c r="B628" s="307"/>
      <c r="C628" s="307"/>
      <c r="D628" s="307"/>
      <c r="E628" s="307"/>
      <c r="F628" s="307"/>
      <c r="M628" s="123"/>
      <c r="N628" s="123"/>
      <c r="O628" s="123"/>
      <c r="P628" s="123"/>
      <c r="Q628" s="123"/>
      <c r="R628" s="123"/>
      <c r="S628" s="123"/>
      <c r="T628" s="123"/>
      <c r="U628" s="123"/>
      <c r="V628" s="123"/>
      <c r="W628" s="123"/>
      <c r="X628" s="123"/>
      <c r="Y628" s="123"/>
      <c r="Z628" s="123"/>
    </row>
    <row r="629" spans="2:26" s="235" customFormat="1" ht="13.8">
      <c r="B629" s="307"/>
      <c r="C629" s="307"/>
      <c r="D629" s="307"/>
      <c r="E629" s="307"/>
      <c r="F629" s="307"/>
      <c r="M629" s="123"/>
      <c r="N629" s="123"/>
      <c r="O629" s="123"/>
      <c r="P629" s="123"/>
      <c r="Q629" s="123"/>
      <c r="R629" s="123"/>
      <c r="S629" s="123"/>
      <c r="T629" s="123"/>
      <c r="U629" s="123"/>
      <c r="V629" s="123"/>
      <c r="W629" s="123"/>
      <c r="X629" s="123"/>
      <c r="Y629" s="123"/>
      <c r="Z629" s="123"/>
    </row>
    <row r="630" spans="2:26" s="235" customFormat="1" ht="13.8">
      <c r="B630" s="307"/>
      <c r="C630" s="307"/>
      <c r="D630" s="307"/>
      <c r="E630" s="307"/>
      <c r="F630" s="307"/>
      <c r="M630" s="123"/>
      <c r="N630" s="123"/>
      <c r="O630" s="123"/>
      <c r="P630" s="123"/>
      <c r="Q630" s="123"/>
      <c r="R630" s="123"/>
      <c r="S630" s="123"/>
      <c r="T630" s="123"/>
      <c r="U630" s="123"/>
      <c r="V630" s="123"/>
      <c r="W630" s="123"/>
      <c r="X630" s="123"/>
      <c r="Y630" s="123"/>
      <c r="Z630" s="123"/>
    </row>
    <row r="631" spans="2:26" s="235" customFormat="1" ht="13.8">
      <c r="B631" s="307"/>
      <c r="C631" s="307"/>
      <c r="D631" s="307"/>
      <c r="E631" s="307"/>
      <c r="F631" s="307"/>
      <c r="M631" s="123"/>
      <c r="N631" s="123"/>
      <c r="O631" s="123"/>
      <c r="P631" s="123"/>
      <c r="Q631" s="123"/>
      <c r="R631" s="123"/>
      <c r="S631" s="123"/>
      <c r="T631" s="123"/>
      <c r="U631" s="123"/>
      <c r="V631" s="123"/>
      <c r="W631" s="123"/>
      <c r="X631" s="123"/>
      <c r="Y631" s="123"/>
      <c r="Z631" s="123"/>
    </row>
    <row r="632" spans="2:26" s="235" customFormat="1" ht="13.8">
      <c r="B632" s="307"/>
      <c r="C632" s="307"/>
      <c r="D632" s="307"/>
      <c r="E632" s="307"/>
      <c r="F632" s="307"/>
      <c r="M632" s="123"/>
      <c r="N632" s="123"/>
      <c r="O632" s="123"/>
      <c r="P632" s="123"/>
      <c r="Q632" s="123"/>
      <c r="R632" s="123"/>
      <c r="S632" s="123"/>
      <c r="T632" s="123"/>
      <c r="U632" s="123"/>
      <c r="V632" s="123"/>
      <c r="W632" s="123"/>
      <c r="X632" s="123"/>
      <c r="Y632" s="123"/>
      <c r="Z632" s="123"/>
    </row>
    <row r="633" spans="2:26" s="235" customFormat="1" ht="13.8">
      <c r="B633" s="307"/>
      <c r="C633" s="307"/>
      <c r="D633" s="307"/>
      <c r="E633" s="307"/>
      <c r="F633" s="307"/>
      <c r="M633" s="123"/>
      <c r="N633" s="123"/>
      <c r="O633" s="123"/>
      <c r="P633" s="123"/>
      <c r="Q633" s="123"/>
      <c r="R633" s="123"/>
      <c r="S633" s="123"/>
      <c r="T633" s="123"/>
      <c r="U633" s="123"/>
      <c r="V633" s="123"/>
      <c r="W633" s="123"/>
      <c r="X633" s="123"/>
      <c r="Y633" s="123"/>
      <c r="Z633" s="123"/>
    </row>
    <row r="634" spans="2:26" s="235" customFormat="1" ht="13.8">
      <c r="B634" s="307"/>
      <c r="C634" s="307"/>
      <c r="D634" s="307"/>
      <c r="E634" s="307"/>
      <c r="F634" s="307"/>
      <c r="M634" s="123"/>
      <c r="N634" s="123"/>
      <c r="O634" s="123"/>
      <c r="P634" s="123"/>
      <c r="Q634" s="123"/>
      <c r="R634" s="123"/>
      <c r="S634" s="123"/>
      <c r="T634" s="123"/>
      <c r="U634" s="123"/>
      <c r="V634" s="123"/>
      <c r="W634" s="123"/>
      <c r="X634" s="123"/>
      <c r="Y634" s="123"/>
      <c r="Z634" s="123"/>
    </row>
    <row r="635" spans="2:26" s="235" customFormat="1" ht="13.8">
      <c r="B635" s="307"/>
      <c r="C635" s="307"/>
      <c r="D635" s="307"/>
      <c r="E635" s="307"/>
      <c r="F635" s="307"/>
      <c r="M635" s="123"/>
      <c r="N635" s="123"/>
      <c r="O635" s="123"/>
      <c r="P635" s="123"/>
      <c r="Q635" s="123"/>
      <c r="R635" s="123"/>
      <c r="S635" s="123"/>
      <c r="T635" s="123"/>
      <c r="U635" s="123"/>
      <c r="V635" s="123"/>
      <c r="W635" s="123"/>
      <c r="X635" s="123"/>
      <c r="Y635" s="123"/>
      <c r="Z635" s="123"/>
    </row>
    <row r="636" spans="2:26" s="235" customFormat="1" ht="13.8">
      <c r="B636" s="307"/>
      <c r="C636" s="307"/>
      <c r="D636" s="307"/>
      <c r="E636" s="307"/>
      <c r="F636" s="307"/>
      <c r="M636" s="123"/>
      <c r="N636" s="123"/>
      <c r="O636" s="123"/>
      <c r="P636" s="123"/>
      <c r="Q636" s="123"/>
      <c r="R636" s="123"/>
      <c r="S636" s="123"/>
      <c r="T636" s="123"/>
      <c r="U636" s="123"/>
      <c r="V636" s="123"/>
      <c r="W636" s="123"/>
      <c r="X636" s="123"/>
      <c r="Y636" s="123"/>
      <c r="Z636" s="123"/>
    </row>
    <row r="637" spans="2:26" s="235" customFormat="1" ht="13.8">
      <c r="B637" s="307"/>
      <c r="C637" s="307"/>
      <c r="D637" s="307"/>
      <c r="E637" s="307"/>
      <c r="F637" s="307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123"/>
    </row>
    <row r="638" spans="2:26" s="235" customFormat="1" ht="13.8">
      <c r="B638" s="307"/>
      <c r="C638" s="307"/>
      <c r="D638" s="307"/>
      <c r="E638" s="307"/>
      <c r="F638" s="307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123"/>
    </row>
    <row r="639" spans="2:26" s="235" customFormat="1" ht="13.8">
      <c r="B639" s="307"/>
      <c r="C639" s="307"/>
      <c r="D639" s="307"/>
      <c r="E639" s="307"/>
      <c r="F639" s="307"/>
      <c r="M639" s="123"/>
      <c r="N639" s="123"/>
      <c r="O639" s="123"/>
      <c r="P639" s="123"/>
      <c r="Q639" s="123"/>
      <c r="R639" s="123"/>
      <c r="S639" s="123"/>
      <c r="T639" s="123"/>
      <c r="U639" s="123"/>
      <c r="V639" s="123"/>
      <c r="W639" s="123"/>
      <c r="X639" s="123"/>
      <c r="Y639" s="123"/>
      <c r="Z639" s="123"/>
    </row>
    <row r="640" spans="2:26" s="235" customFormat="1" ht="13.8">
      <c r="B640" s="307"/>
      <c r="C640" s="307"/>
      <c r="D640" s="307"/>
      <c r="E640" s="307"/>
      <c r="F640" s="307"/>
      <c r="M640" s="123"/>
      <c r="N640" s="123"/>
      <c r="O640" s="123"/>
      <c r="P640" s="123"/>
      <c r="Q640" s="123"/>
      <c r="R640" s="123"/>
      <c r="S640" s="123"/>
      <c r="T640" s="123"/>
      <c r="U640" s="123"/>
      <c r="V640" s="123"/>
      <c r="W640" s="123"/>
      <c r="X640" s="123"/>
      <c r="Y640" s="123"/>
      <c r="Z640" s="123"/>
    </row>
    <row r="641" spans="2:26" s="235" customFormat="1" ht="13.8">
      <c r="B641" s="307"/>
      <c r="C641" s="307"/>
      <c r="D641" s="307"/>
      <c r="E641" s="307"/>
      <c r="F641" s="307"/>
      <c r="M641" s="123"/>
      <c r="N641" s="123"/>
      <c r="O641" s="123"/>
      <c r="P641" s="123"/>
      <c r="Q641" s="123"/>
      <c r="R641" s="123"/>
      <c r="S641" s="123"/>
      <c r="T641" s="123"/>
      <c r="U641" s="123"/>
      <c r="V641" s="123"/>
      <c r="W641" s="123"/>
      <c r="X641" s="123"/>
      <c r="Y641" s="123"/>
      <c r="Z641" s="123"/>
    </row>
    <row r="642" spans="2:26" s="235" customFormat="1" ht="13.8">
      <c r="B642" s="307"/>
      <c r="C642" s="307"/>
      <c r="D642" s="307"/>
      <c r="E642" s="307"/>
      <c r="F642" s="307"/>
      <c r="M642" s="123"/>
      <c r="N642" s="123"/>
      <c r="O642" s="123"/>
      <c r="P642" s="123"/>
      <c r="Q642" s="123"/>
      <c r="R642" s="123"/>
      <c r="S642" s="123"/>
      <c r="T642" s="123"/>
      <c r="U642" s="123"/>
      <c r="V642" s="123"/>
      <c r="W642" s="123"/>
      <c r="X642" s="123"/>
      <c r="Y642" s="123"/>
      <c r="Z642" s="123"/>
    </row>
    <row r="643" spans="2:26" s="235" customFormat="1" ht="13.8">
      <c r="B643" s="307"/>
      <c r="C643" s="307"/>
      <c r="D643" s="307"/>
      <c r="E643" s="307"/>
      <c r="F643" s="307"/>
      <c r="M643" s="123"/>
      <c r="N643" s="123"/>
      <c r="O643" s="123"/>
      <c r="P643" s="123"/>
      <c r="Q643" s="123"/>
      <c r="R643" s="123"/>
      <c r="S643" s="123"/>
      <c r="T643" s="123"/>
      <c r="U643" s="123"/>
      <c r="V643" s="123"/>
      <c r="W643" s="123"/>
      <c r="X643" s="123"/>
      <c r="Y643" s="123"/>
      <c r="Z643" s="123"/>
    </row>
    <row r="644" spans="2:26" s="235" customFormat="1" ht="13.8">
      <c r="B644" s="307"/>
      <c r="C644" s="307"/>
      <c r="D644" s="307"/>
      <c r="E644" s="307"/>
      <c r="F644" s="307"/>
      <c r="M644" s="123"/>
      <c r="N644" s="123"/>
      <c r="O644" s="123"/>
      <c r="P644" s="123"/>
      <c r="Q644" s="123"/>
      <c r="R644" s="123"/>
      <c r="S644" s="123"/>
      <c r="T644" s="123"/>
      <c r="U644" s="123"/>
      <c r="V644" s="123"/>
      <c r="W644" s="123"/>
      <c r="X644" s="123"/>
      <c r="Y644" s="123"/>
      <c r="Z644" s="123"/>
    </row>
    <row r="645" spans="2:26" s="235" customFormat="1" ht="13.8">
      <c r="B645" s="307"/>
      <c r="C645" s="307"/>
      <c r="D645" s="307"/>
      <c r="E645" s="307"/>
      <c r="F645" s="307"/>
      <c r="M645" s="123"/>
      <c r="N645" s="123"/>
      <c r="O645" s="123"/>
      <c r="P645" s="123"/>
      <c r="Q645" s="123"/>
      <c r="R645" s="123"/>
      <c r="S645" s="123"/>
      <c r="T645" s="123"/>
      <c r="U645" s="123"/>
      <c r="V645" s="123"/>
      <c r="W645" s="123"/>
      <c r="X645" s="123"/>
      <c r="Y645" s="123"/>
      <c r="Z645" s="123"/>
    </row>
    <row r="646" spans="2:26" s="235" customFormat="1" ht="13.8">
      <c r="B646" s="307"/>
      <c r="C646" s="307"/>
      <c r="D646" s="307"/>
      <c r="E646" s="307"/>
      <c r="F646" s="307"/>
      <c r="M646" s="123"/>
      <c r="N646" s="123"/>
      <c r="O646" s="123"/>
      <c r="P646" s="123"/>
      <c r="Q646" s="123"/>
      <c r="R646" s="123"/>
      <c r="S646" s="123"/>
      <c r="T646" s="123"/>
      <c r="U646" s="123"/>
      <c r="V646" s="123"/>
      <c r="W646" s="123"/>
      <c r="X646" s="123"/>
      <c r="Y646" s="123"/>
      <c r="Z646" s="123"/>
    </row>
    <row r="647" spans="2:26" s="235" customFormat="1" ht="13.8">
      <c r="B647" s="307"/>
      <c r="C647" s="307"/>
      <c r="D647" s="307"/>
      <c r="E647" s="307"/>
      <c r="F647" s="307"/>
      <c r="M647" s="123"/>
      <c r="N647" s="123"/>
      <c r="O647" s="123"/>
      <c r="P647" s="123"/>
      <c r="Q647" s="123"/>
      <c r="R647" s="123"/>
      <c r="S647" s="123"/>
      <c r="T647" s="123"/>
      <c r="U647" s="123"/>
      <c r="V647" s="123"/>
      <c r="W647" s="123"/>
      <c r="X647" s="123"/>
      <c r="Y647" s="123"/>
      <c r="Z647" s="123"/>
    </row>
    <row r="648" spans="2:26" s="235" customFormat="1" ht="13.8">
      <c r="B648" s="307"/>
      <c r="C648" s="307"/>
      <c r="D648" s="307"/>
      <c r="E648" s="307"/>
      <c r="F648" s="307"/>
      <c r="M648" s="123"/>
      <c r="N648" s="123"/>
      <c r="O648" s="123"/>
      <c r="P648" s="123"/>
      <c r="Q648" s="123"/>
      <c r="R648" s="123"/>
      <c r="S648" s="123"/>
      <c r="T648" s="123"/>
      <c r="U648" s="123"/>
      <c r="V648" s="123"/>
      <c r="W648" s="123"/>
      <c r="X648" s="123"/>
      <c r="Y648" s="123"/>
      <c r="Z648" s="123"/>
    </row>
    <row r="649" spans="2:26" s="235" customFormat="1" ht="13.8">
      <c r="B649" s="307"/>
      <c r="C649" s="307"/>
      <c r="D649" s="307"/>
      <c r="E649" s="307"/>
      <c r="F649" s="307"/>
      <c r="M649" s="123"/>
      <c r="N649" s="123"/>
      <c r="O649" s="123"/>
      <c r="P649" s="123"/>
      <c r="Q649" s="123"/>
      <c r="R649" s="123"/>
      <c r="S649" s="123"/>
      <c r="T649" s="123"/>
      <c r="U649" s="123"/>
      <c r="V649" s="123"/>
      <c r="W649" s="123"/>
      <c r="X649" s="123"/>
      <c r="Y649" s="123"/>
      <c r="Z649" s="123"/>
    </row>
    <row r="650" spans="2:26" s="235" customFormat="1" ht="13.8">
      <c r="B650" s="307"/>
      <c r="C650" s="307"/>
      <c r="D650" s="307"/>
      <c r="E650" s="307"/>
      <c r="F650" s="307"/>
      <c r="M650" s="123"/>
      <c r="N650" s="123"/>
      <c r="O650" s="123"/>
      <c r="P650" s="123"/>
      <c r="Q650" s="123"/>
      <c r="R650" s="123"/>
      <c r="S650" s="123"/>
      <c r="T650" s="123"/>
      <c r="U650" s="123"/>
      <c r="V650" s="123"/>
      <c r="W650" s="123"/>
      <c r="X650" s="123"/>
      <c r="Y650" s="123"/>
      <c r="Z650" s="123"/>
    </row>
    <row r="651" spans="2:26" s="235" customFormat="1" ht="13.8">
      <c r="B651" s="307"/>
      <c r="C651" s="307"/>
      <c r="D651" s="307"/>
      <c r="E651" s="307"/>
      <c r="F651" s="307"/>
      <c r="M651" s="123"/>
      <c r="N651" s="123"/>
      <c r="O651" s="123"/>
      <c r="P651" s="123"/>
      <c r="Q651" s="123"/>
      <c r="R651" s="123"/>
      <c r="S651" s="123"/>
      <c r="T651" s="123"/>
      <c r="U651" s="123"/>
      <c r="V651" s="123"/>
      <c r="W651" s="123"/>
      <c r="X651" s="123"/>
      <c r="Y651" s="123"/>
      <c r="Z651" s="123"/>
    </row>
    <row r="652" spans="2:26" s="235" customFormat="1" ht="13.8">
      <c r="B652" s="307"/>
      <c r="C652" s="307"/>
      <c r="D652" s="307"/>
      <c r="E652" s="307"/>
      <c r="F652" s="307"/>
      <c r="M652" s="123"/>
      <c r="N652" s="123"/>
      <c r="O652" s="123"/>
      <c r="P652" s="123"/>
      <c r="Q652" s="123"/>
      <c r="R652" s="123"/>
      <c r="S652" s="123"/>
      <c r="T652" s="123"/>
      <c r="U652" s="123"/>
      <c r="V652" s="123"/>
      <c r="W652" s="123"/>
      <c r="X652" s="123"/>
      <c r="Y652" s="123"/>
      <c r="Z652" s="123"/>
    </row>
    <row r="653" spans="2:26" s="235" customFormat="1" ht="13.8">
      <c r="B653" s="307"/>
      <c r="C653" s="307"/>
      <c r="D653" s="307"/>
      <c r="E653" s="307"/>
      <c r="F653" s="307"/>
      <c r="M653" s="123"/>
      <c r="N653" s="123"/>
      <c r="O653" s="123"/>
      <c r="P653" s="123"/>
      <c r="Q653" s="123"/>
      <c r="R653" s="123"/>
      <c r="S653" s="123"/>
      <c r="T653" s="123"/>
      <c r="U653" s="123"/>
      <c r="V653" s="123"/>
      <c r="W653" s="123"/>
      <c r="X653" s="123"/>
      <c r="Y653" s="123"/>
      <c r="Z653" s="123"/>
    </row>
    <row r="654" spans="2:26" s="235" customFormat="1" ht="13.8">
      <c r="B654" s="307"/>
      <c r="C654" s="307"/>
      <c r="D654" s="307"/>
      <c r="E654" s="307"/>
      <c r="F654" s="307"/>
      <c r="M654" s="123"/>
      <c r="N654" s="123"/>
      <c r="O654" s="123"/>
      <c r="P654" s="123"/>
      <c r="Q654" s="123"/>
      <c r="R654" s="123"/>
      <c r="S654" s="123"/>
      <c r="T654" s="123"/>
      <c r="U654" s="123"/>
      <c r="V654" s="123"/>
      <c r="W654" s="123"/>
      <c r="X654" s="123"/>
      <c r="Y654" s="123"/>
      <c r="Z654" s="123"/>
    </row>
    <row r="655" spans="2:26" s="235" customFormat="1" ht="13.8">
      <c r="B655" s="307"/>
      <c r="C655" s="307"/>
      <c r="D655" s="307"/>
      <c r="E655" s="307"/>
      <c r="F655" s="307"/>
      <c r="M655" s="123"/>
      <c r="N655" s="123"/>
      <c r="O655" s="123"/>
      <c r="P655" s="123"/>
      <c r="Q655" s="123"/>
      <c r="R655" s="123"/>
      <c r="S655" s="123"/>
      <c r="T655" s="123"/>
      <c r="U655" s="123"/>
      <c r="V655" s="123"/>
      <c r="W655" s="123"/>
      <c r="X655" s="123"/>
      <c r="Y655" s="123"/>
      <c r="Z655" s="123"/>
    </row>
    <row r="656" spans="2:26" s="235" customFormat="1" ht="13.8">
      <c r="B656" s="307"/>
      <c r="C656" s="307"/>
      <c r="D656" s="307"/>
      <c r="E656" s="307"/>
      <c r="F656" s="307"/>
      <c r="M656" s="123"/>
      <c r="N656" s="123"/>
      <c r="O656" s="123"/>
      <c r="P656" s="123"/>
      <c r="Q656" s="123"/>
      <c r="R656" s="123"/>
      <c r="S656" s="123"/>
      <c r="T656" s="123"/>
      <c r="U656" s="123"/>
      <c r="V656" s="123"/>
      <c r="W656" s="123"/>
      <c r="X656" s="123"/>
      <c r="Y656" s="123"/>
      <c r="Z656" s="123"/>
    </row>
    <row r="657" spans="2:26" s="235" customFormat="1" ht="13.8">
      <c r="B657" s="307"/>
      <c r="C657" s="307"/>
      <c r="D657" s="307"/>
      <c r="E657" s="307"/>
      <c r="F657" s="307"/>
      <c r="M657" s="123"/>
      <c r="N657" s="123"/>
      <c r="O657" s="123"/>
      <c r="P657" s="123"/>
      <c r="Q657" s="123"/>
      <c r="R657" s="123"/>
      <c r="S657" s="123"/>
      <c r="T657" s="123"/>
      <c r="U657" s="123"/>
      <c r="V657" s="123"/>
      <c r="W657" s="123"/>
      <c r="X657" s="123"/>
      <c r="Y657" s="123"/>
      <c r="Z657" s="123"/>
    </row>
    <row r="658" spans="2:26" s="235" customFormat="1" ht="13.8">
      <c r="B658" s="307"/>
      <c r="C658" s="307"/>
      <c r="D658" s="307"/>
      <c r="E658" s="307"/>
      <c r="F658" s="307"/>
      <c r="M658" s="123"/>
      <c r="N658" s="123"/>
      <c r="O658" s="123"/>
      <c r="P658" s="123"/>
      <c r="Q658" s="123"/>
      <c r="R658" s="123"/>
      <c r="S658" s="123"/>
      <c r="T658" s="123"/>
      <c r="U658" s="123"/>
      <c r="V658" s="123"/>
      <c r="W658" s="123"/>
      <c r="X658" s="123"/>
      <c r="Y658" s="123"/>
      <c r="Z658" s="123"/>
    </row>
    <row r="659" spans="2:26" s="235" customFormat="1" ht="13.8">
      <c r="B659" s="307"/>
      <c r="C659" s="307"/>
      <c r="D659" s="307"/>
      <c r="E659" s="307"/>
      <c r="F659" s="307"/>
      <c r="M659" s="123"/>
      <c r="N659" s="123"/>
      <c r="O659" s="123"/>
      <c r="P659" s="123"/>
      <c r="Q659" s="123"/>
      <c r="R659" s="123"/>
      <c r="S659" s="123"/>
      <c r="T659" s="123"/>
      <c r="U659" s="123"/>
      <c r="V659" s="123"/>
      <c r="W659" s="123"/>
      <c r="X659" s="123"/>
      <c r="Y659" s="123"/>
      <c r="Z659" s="123"/>
    </row>
    <row r="660" spans="2:26" s="235" customFormat="1" ht="13.8">
      <c r="B660" s="307"/>
      <c r="C660" s="307"/>
      <c r="D660" s="307"/>
      <c r="E660" s="307"/>
      <c r="F660" s="307"/>
      <c r="M660" s="123"/>
      <c r="N660" s="123"/>
      <c r="O660" s="123"/>
      <c r="P660" s="123"/>
      <c r="Q660" s="123"/>
      <c r="R660" s="123"/>
      <c r="S660" s="123"/>
      <c r="T660" s="123"/>
      <c r="U660" s="123"/>
      <c r="V660" s="123"/>
      <c r="W660" s="123"/>
      <c r="X660" s="123"/>
      <c r="Y660" s="123"/>
      <c r="Z660" s="123"/>
    </row>
    <row r="661" spans="2:26" s="235" customFormat="1" ht="13.8">
      <c r="B661" s="307"/>
      <c r="C661" s="307"/>
      <c r="D661" s="307"/>
      <c r="E661" s="307"/>
      <c r="F661" s="307"/>
      <c r="M661" s="123"/>
      <c r="N661" s="123"/>
      <c r="O661" s="123"/>
      <c r="P661" s="123"/>
      <c r="Q661" s="123"/>
      <c r="R661" s="123"/>
      <c r="S661" s="123"/>
      <c r="T661" s="123"/>
      <c r="U661" s="123"/>
      <c r="V661" s="123"/>
      <c r="W661" s="123"/>
      <c r="X661" s="123"/>
      <c r="Y661" s="123"/>
      <c r="Z661" s="123"/>
    </row>
    <row r="662" spans="2:26" s="235" customFormat="1" ht="13.8">
      <c r="B662" s="307"/>
      <c r="C662" s="307"/>
      <c r="D662" s="307"/>
      <c r="E662" s="307"/>
      <c r="F662" s="307"/>
      <c r="M662" s="123"/>
      <c r="N662" s="123"/>
      <c r="O662" s="123"/>
      <c r="P662" s="123"/>
      <c r="Q662" s="123"/>
      <c r="R662" s="123"/>
      <c r="S662" s="123"/>
      <c r="T662" s="123"/>
      <c r="U662" s="123"/>
      <c r="V662" s="123"/>
      <c r="W662" s="123"/>
      <c r="X662" s="123"/>
      <c r="Y662" s="123"/>
      <c r="Z662" s="123"/>
    </row>
    <row r="663" spans="2:26" s="235" customFormat="1" ht="13.8">
      <c r="B663" s="307"/>
      <c r="C663" s="307"/>
      <c r="D663" s="307"/>
      <c r="E663" s="307"/>
      <c r="F663" s="307"/>
      <c r="M663" s="123"/>
      <c r="N663" s="123"/>
      <c r="O663" s="123"/>
      <c r="P663" s="123"/>
      <c r="Q663" s="123"/>
      <c r="R663" s="123"/>
      <c r="S663" s="123"/>
      <c r="T663" s="123"/>
      <c r="U663" s="123"/>
      <c r="V663" s="123"/>
      <c r="W663" s="123"/>
      <c r="X663" s="123"/>
      <c r="Y663" s="123"/>
      <c r="Z663" s="123"/>
    </row>
    <row r="664" spans="2:26" s="235" customFormat="1" ht="13.8">
      <c r="B664" s="307"/>
      <c r="C664" s="307"/>
      <c r="D664" s="307"/>
      <c r="E664" s="307"/>
      <c r="F664" s="307"/>
      <c r="M664" s="123"/>
      <c r="N664" s="123"/>
      <c r="O664" s="123"/>
      <c r="P664" s="123"/>
      <c r="Q664" s="123"/>
      <c r="R664" s="123"/>
      <c r="S664" s="123"/>
      <c r="T664" s="123"/>
      <c r="U664" s="123"/>
      <c r="V664" s="123"/>
      <c r="W664" s="123"/>
      <c r="X664" s="123"/>
      <c r="Y664" s="123"/>
      <c r="Z664" s="123"/>
    </row>
    <row r="665" spans="2:26" s="235" customFormat="1" ht="13.8">
      <c r="B665" s="307"/>
      <c r="C665" s="307"/>
      <c r="D665" s="307"/>
      <c r="E665" s="307"/>
      <c r="F665" s="307"/>
      <c r="M665" s="123"/>
      <c r="N665" s="123"/>
      <c r="O665" s="123"/>
      <c r="P665" s="123"/>
      <c r="Q665" s="123"/>
      <c r="R665" s="123"/>
      <c r="S665" s="123"/>
      <c r="T665" s="123"/>
      <c r="U665" s="123"/>
      <c r="V665" s="123"/>
      <c r="W665" s="123"/>
      <c r="X665" s="123"/>
      <c r="Y665" s="123"/>
      <c r="Z665" s="123"/>
    </row>
    <row r="666" spans="2:26" s="235" customFormat="1" ht="13.8">
      <c r="B666" s="307"/>
      <c r="C666" s="307"/>
      <c r="D666" s="307"/>
      <c r="E666" s="307"/>
      <c r="F666" s="307"/>
      <c r="M666" s="123"/>
      <c r="N666" s="123"/>
      <c r="O666" s="123"/>
      <c r="P666" s="123"/>
      <c r="Q666" s="123"/>
      <c r="R666" s="123"/>
      <c r="S666" s="123"/>
      <c r="T666" s="123"/>
      <c r="U666" s="123"/>
      <c r="V666" s="123"/>
      <c r="W666" s="123"/>
      <c r="X666" s="123"/>
      <c r="Y666" s="123"/>
      <c r="Z666" s="123"/>
    </row>
    <row r="667" spans="2:26" s="235" customFormat="1" ht="13.8">
      <c r="B667" s="307"/>
      <c r="C667" s="307"/>
      <c r="D667" s="307"/>
      <c r="E667" s="307"/>
      <c r="F667" s="307"/>
      <c r="M667" s="123"/>
      <c r="N667" s="123"/>
      <c r="O667" s="123"/>
      <c r="P667" s="123"/>
      <c r="Q667" s="123"/>
      <c r="R667" s="123"/>
      <c r="S667" s="123"/>
      <c r="T667" s="123"/>
      <c r="U667" s="123"/>
      <c r="V667" s="123"/>
      <c r="W667" s="123"/>
      <c r="X667" s="123"/>
      <c r="Y667" s="123"/>
      <c r="Z667" s="123"/>
    </row>
    <row r="668" spans="2:26" s="235" customFormat="1" ht="13.8">
      <c r="B668" s="307"/>
      <c r="C668" s="307"/>
      <c r="D668" s="307"/>
      <c r="E668" s="307"/>
      <c r="F668" s="307"/>
      <c r="M668" s="123"/>
      <c r="N668" s="123"/>
      <c r="O668" s="123"/>
      <c r="P668" s="123"/>
      <c r="Q668" s="123"/>
      <c r="R668" s="123"/>
      <c r="S668" s="123"/>
      <c r="T668" s="123"/>
      <c r="U668" s="123"/>
      <c r="V668" s="123"/>
      <c r="W668" s="123"/>
      <c r="X668" s="123"/>
      <c r="Y668" s="123"/>
      <c r="Z668" s="123"/>
    </row>
    <row r="669" spans="2:26" s="235" customFormat="1" ht="13.8">
      <c r="B669" s="307"/>
      <c r="C669" s="307"/>
      <c r="D669" s="307"/>
      <c r="E669" s="307"/>
      <c r="F669" s="307"/>
      <c r="M669" s="123"/>
      <c r="N669" s="123"/>
      <c r="O669" s="123"/>
      <c r="P669" s="123"/>
      <c r="Q669" s="123"/>
      <c r="R669" s="123"/>
      <c r="S669" s="123"/>
      <c r="T669" s="123"/>
      <c r="U669" s="123"/>
      <c r="V669" s="123"/>
      <c r="W669" s="123"/>
      <c r="X669" s="123"/>
      <c r="Y669" s="123"/>
      <c r="Z669" s="123"/>
    </row>
    <row r="670" spans="2:26" s="235" customFormat="1" ht="13.8">
      <c r="B670" s="307"/>
      <c r="C670" s="307"/>
      <c r="D670" s="307"/>
      <c r="E670" s="307"/>
      <c r="F670" s="307"/>
      <c r="M670" s="123"/>
      <c r="N670" s="123"/>
      <c r="O670" s="123"/>
      <c r="P670" s="123"/>
      <c r="Q670" s="123"/>
      <c r="R670" s="123"/>
      <c r="S670" s="123"/>
      <c r="T670" s="123"/>
      <c r="U670" s="123"/>
      <c r="V670" s="123"/>
      <c r="W670" s="123"/>
      <c r="X670" s="123"/>
      <c r="Y670" s="123"/>
      <c r="Z670" s="123"/>
    </row>
    <row r="671" spans="2:26" s="235" customFormat="1" ht="13.8">
      <c r="B671" s="307"/>
      <c r="C671" s="307"/>
      <c r="D671" s="307"/>
      <c r="E671" s="307"/>
      <c r="F671" s="307"/>
      <c r="M671" s="123"/>
      <c r="N671" s="123"/>
      <c r="O671" s="123"/>
      <c r="P671" s="123"/>
      <c r="Q671" s="123"/>
      <c r="R671" s="123"/>
      <c r="S671" s="123"/>
      <c r="T671" s="123"/>
      <c r="U671" s="123"/>
      <c r="V671" s="123"/>
      <c r="W671" s="123"/>
      <c r="X671" s="123"/>
      <c r="Y671" s="123"/>
      <c r="Z671" s="123"/>
    </row>
    <row r="672" spans="2:26" s="235" customFormat="1" ht="13.8">
      <c r="B672" s="307"/>
      <c r="C672" s="307"/>
      <c r="D672" s="307"/>
      <c r="E672" s="307"/>
      <c r="F672" s="307"/>
      <c r="M672" s="123"/>
      <c r="N672" s="123"/>
      <c r="O672" s="123"/>
      <c r="P672" s="123"/>
      <c r="Q672" s="123"/>
      <c r="R672" s="123"/>
      <c r="S672" s="123"/>
      <c r="T672" s="123"/>
      <c r="U672" s="123"/>
      <c r="V672" s="123"/>
      <c r="W672" s="123"/>
      <c r="X672" s="123"/>
      <c r="Y672" s="123"/>
      <c r="Z672" s="123"/>
    </row>
    <row r="673" spans="2:26" s="235" customFormat="1" ht="13.8">
      <c r="B673" s="307"/>
      <c r="C673" s="307"/>
      <c r="D673" s="307"/>
      <c r="E673" s="307"/>
      <c r="F673" s="307"/>
      <c r="M673" s="123"/>
      <c r="N673" s="123"/>
      <c r="O673" s="123"/>
      <c r="P673" s="123"/>
      <c r="Q673" s="123"/>
      <c r="R673" s="123"/>
      <c r="S673" s="123"/>
      <c r="T673" s="123"/>
      <c r="U673" s="123"/>
      <c r="V673" s="123"/>
      <c r="W673" s="123"/>
      <c r="X673" s="123"/>
      <c r="Y673" s="123"/>
      <c r="Z673" s="123"/>
    </row>
    <row r="674" spans="2:26" s="235" customFormat="1" ht="13.8">
      <c r="B674" s="307"/>
      <c r="C674" s="307"/>
      <c r="D674" s="307"/>
      <c r="E674" s="307"/>
      <c r="F674" s="307"/>
      <c r="M674" s="123"/>
      <c r="N674" s="123"/>
      <c r="O674" s="123"/>
      <c r="P674" s="123"/>
      <c r="Q674" s="123"/>
      <c r="R674" s="123"/>
      <c r="S674" s="123"/>
      <c r="T674" s="123"/>
      <c r="U674" s="123"/>
      <c r="V674" s="123"/>
      <c r="W674" s="123"/>
      <c r="X674" s="123"/>
      <c r="Y674" s="123"/>
      <c r="Z674" s="123"/>
    </row>
    <row r="675" spans="2:26" s="235" customFormat="1" ht="13.8">
      <c r="B675" s="307"/>
      <c r="C675" s="307"/>
      <c r="D675" s="307"/>
      <c r="E675" s="307"/>
      <c r="F675" s="307"/>
      <c r="M675" s="123"/>
      <c r="N675" s="123"/>
      <c r="O675" s="123"/>
      <c r="P675" s="123"/>
      <c r="Q675" s="123"/>
      <c r="R675" s="123"/>
      <c r="S675" s="123"/>
      <c r="T675" s="123"/>
      <c r="U675" s="123"/>
      <c r="V675" s="123"/>
      <c r="W675" s="123"/>
      <c r="X675" s="123"/>
      <c r="Y675" s="123"/>
      <c r="Z675" s="123"/>
    </row>
    <row r="676" spans="2:26" s="235" customFormat="1" ht="13.8">
      <c r="B676" s="307"/>
      <c r="C676" s="307"/>
      <c r="D676" s="307"/>
      <c r="E676" s="307"/>
      <c r="F676" s="307"/>
      <c r="M676" s="123"/>
      <c r="N676" s="123"/>
      <c r="O676" s="123"/>
      <c r="P676" s="123"/>
      <c r="Q676" s="123"/>
      <c r="R676" s="123"/>
      <c r="S676" s="123"/>
      <c r="T676" s="123"/>
      <c r="U676" s="123"/>
      <c r="V676" s="123"/>
      <c r="W676" s="123"/>
      <c r="X676" s="123"/>
      <c r="Y676" s="123"/>
      <c r="Z676" s="123"/>
    </row>
    <row r="677" spans="2:26" s="235" customFormat="1" ht="13.8">
      <c r="B677" s="307"/>
      <c r="C677" s="307"/>
      <c r="D677" s="307"/>
      <c r="E677" s="307"/>
      <c r="F677" s="307"/>
      <c r="M677" s="123"/>
      <c r="N677" s="123"/>
      <c r="O677" s="123"/>
      <c r="P677" s="123"/>
      <c r="Q677" s="123"/>
      <c r="R677" s="123"/>
      <c r="S677" s="123"/>
      <c r="T677" s="123"/>
      <c r="U677" s="123"/>
      <c r="V677" s="123"/>
      <c r="W677" s="123"/>
      <c r="X677" s="123"/>
      <c r="Y677" s="123"/>
      <c r="Z677" s="123"/>
    </row>
    <row r="678" spans="2:26" s="235" customFormat="1" ht="13.8">
      <c r="B678" s="307"/>
      <c r="C678" s="307"/>
      <c r="D678" s="307"/>
      <c r="E678" s="307"/>
      <c r="F678" s="307"/>
      <c r="M678" s="123"/>
      <c r="N678" s="123"/>
      <c r="O678" s="123"/>
      <c r="P678" s="123"/>
      <c r="Q678" s="123"/>
      <c r="R678" s="123"/>
      <c r="S678" s="123"/>
      <c r="T678" s="123"/>
      <c r="U678" s="123"/>
      <c r="V678" s="123"/>
      <c r="W678" s="123"/>
      <c r="X678" s="123"/>
      <c r="Y678" s="123"/>
      <c r="Z678" s="123"/>
    </row>
    <row r="679" spans="2:26" s="235" customFormat="1" ht="13.8">
      <c r="B679" s="307"/>
      <c r="C679" s="307"/>
      <c r="D679" s="307"/>
      <c r="E679" s="307"/>
      <c r="F679" s="307"/>
      <c r="M679" s="123"/>
      <c r="N679" s="123"/>
      <c r="O679" s="123"/>
      <c r="P679" s="123"/>
      <c r="Q679" s="123"/>
      <c r="R679" s="123"/>
      <c r="S679" s="123"/>
      <c r="T679" s="123"/>
      <c r="U679" s="123"/>
      <c r="V679" s="123"/>
      <c r="W679" s="123"/>
      <c r="X679" s="123"/>
      <c r="Y679" s="123"/>
      <c r="Z679" s="123"/>
    </row>
    <row r="680" spans="2:26" s="235" customFormat="1" ht="13.8">
      <c r="B680" s="307"/>
      <c r="C680" s="307"/>
      <c r="D680" s="307"/>
      <c r="E680" s="307"/>
      <c r="F680" s="307"/>
      <c r="M680" s="123"/>
      <c r="N680" s="123"/>
      <c r="O680" s="123"/>
      <c r="P680" s="123"/>
      <c r="Q680" s="123"/>
      <c r="R680" s="123"/>
      <c r="S680" s="123"/>
      <c r="T680" s="123"/>
      <c r="U680" s="123"/>
      <c r="V680" s="123"/>
      <c r="W680" s="123"/>
      <c r="X680" s="123"/>
      <c r="Y680" s="123"/>
      <c r="Z680" s="123"/>
    </row>
    <row r="681" spans="2:26" s="235" customFormat="1" ht="13.8">
      <c r="B681" s="307"/>
      <c r="C681" s="307"/>
      <c r="D681" s="307"/>
      <c r="E681" s="307"/>
      <c r="F681" s="307"/>
      <c r="M681" s="123"/>
      <c r="N681" s="123"/>
      <c r="O681" s="123"/>
      <c r="P681" s="123"/>
      <c r="Q681" s="123"/>
      <c r="R681" s="123"/>
      <c r="S681" s="123"/>
      <c r="T681" s="123"/>
      <c r="U681" s="123"/>
      <c r="V681" s="123"/>
      <c r="W681" s="123"/>
      <c r="X681" s="123"/>
      <c r="Y681" s="123"/>
      <c r="Z681" s="123"/>
    </row>
    <row r="682" spans="2:26" s="235" customFormat="1" ht="13.8">
      <c r="B682" s="307"/>
      <c r="C682" s="307"/>
      <c r="D682" s="307"/>
      <c r="E682" s="307"/>
      <c r="F682" s="307"/>
      <c r="M682" s="123"/>
      <c r="N682" s="123"/>
      <c r="O682" s="123"/>
      <c r="P682" s="123"/>
      <c r="Q682" s="123"/>
      <c r="R682" s="123"/>
      <c r="S682" s="123"/>
      <c r="T682" s="123"/>
      <c r="U682" s="123"/>
      <c r="V682" s="123"/>
      <c r="W682" s="123"/>
      <c r="X682" s="123"/>
      <c r="Y682" s="123"/>
      <c r="Z682" s="123"/>
    </row>
    <row r="683" spans="2:26" s="235" customFormat="1" ht="13.8">
      <c r="B683" s="307"/>
      <c r="C683" s="307"/>
      <c r="D683" s="307"/>
      <c r="E683" s="307"/>
      <c r="F683" s="307"/>
      <c r="M683" s="123"/>
      <c r="N683" s="123"/>
      <c r="O683" s="123"/>
      <c r="P683" s="123"/>
      <c r="Q683" s="123"/>
      <c r="R683" s="123"/>
      <c r="S683" s="123"/>
      <c r="T683" s="123"/>
      <c r="U683" s="123"/>
      <c r="V683" s="123"/>
      <c r="W683" s="123"/>
      <c r="X683" s="123"/>
      <c r="Y683" s="123"/>
      <c r="Z683" s="123"/>
    </row>
    <row r="684" spans="2:26" s="235" customFormat="1" ht="13.8">
      <c r="B684" s="307"/>
      <c r="C684" s="307"/>
      <c r="D684" s="307"/>
      <c r="E684" s="307"/>
      <c r="F684" s="307"/>
      <c r="M684" s="123"/>
      <c r="N684" s="123"/>
      <c r="O684" s="123"/>
      <c r="P684" s="123"/>
      <c r="Q684" s="123"/>
      <c r="R684" s="123"/>
      <c r="S684" s="123"/>
      <c r="T684" s="123"/>
      <c r="U684" s="123"/>
      <c r="V684" s="123"/>
      <c r="W684" s="123"/>
      <c r="X684" s="123"/>
      <c r="Y684" s="123"/>
      <c r="Z684" s="123"/>
    </row>
    <row r="685" spans="2:26" s="235" customFormat="1" ht="13.8">
      <c r="B685" s="307"/>
      <c r="C685" s="307"/>
      <c r="D685" s="307"/>
      <c r="E685" s="307"/>
      <c r="F685" s="307"/>
      <c r="M685" s="123"/>
      <c r="N685" s="123"/>
      <c r="O685" s="123"/>
      <c r="P685" s="123"/>
      <c r="Q685" s="123"/>
      <c r="R685" s="123"/>
      <c r="S685" s="123"/>
      <c r="T685" s="123"/>
      <c r="U685" s="123"/>
      <c r="V685" s="123"/>
      <c r="W685" s="123"/>
      <c r="X685" s="123"/>
      <c r="Y685" s="123"/>
      <c r="Z685" s="123"/>
    </row>
    <row r="686" spans="2:26" s="235" customFormat="1" ht="13.8">
      <c r="B686" s="307"/>
      <c r="C686" s="307"/>
      <c r="D686" s="307"/>
      <c r="E686" s="307"/>
      <c r="F686" s="307"/>
      <c r="M686" s="123"/>
      <c r="N686" s="123"/>
      <c r="O686" s="123"/>
      <c r="P686" s="123"/>
      <c r="Q686" s="123"/>
      <c r="R686" s="123"/>
      <c r="S686" s="123"/>
      <c r="T686" s="123"/>
      <c r="U686" s="123"/>
      <c r="V686" s="123"/>
      <c r="W686" s="123"/>
      <c r="X686" s="123"/>
      <c r="Y686" s="123"/>
      <c r="Z686" s="123"/>
    </row>
    <row r="687" spans="2:26" s="235" customFormat="1" ht="13.8">
      <c r="B687" s="307"/>
      <c r="C687" s="307"/>
      <c r="D687" s="307"/>
      <c r="E687" s="307"/>
      <c r="F687" s="307"/>
      <c r="M687" s="123"/>
      <c r="N687" s="123"/>
      <c r="O687" s="123"/>
      <c r="P687" s="123"/>
      <c r="Q687" s="123"/>
      <c r="R687" s="123"/>
      <c r="S687" s="123"/>
      <c r="T687" s="123"/>
      <c r="U687" s="123"/>
      <c r="V687" s="123"/>
      <c r="W687" s="123"/>
      <c r="X687" s="123"/>
      <c r="Y687" s="123"/>
      <c r="Z687" s="123"/>
    </row>
    <row r="688" spans="2:26" s="235" customFormat="1" ht="13.8">
      <c r="B688" s="307"/>
      <c r="C688" s="307"/>
      <c r="D688" s="307"/>
      <c r="E688" s="307"/>
      <c r="F688" s="307"/>
      <c r="M688" s="123"/>
      <c r="N688" s="123"/>
      <c r="O688" s="123"/>
      <c r="P688" s="123"/>
      <c r="Q688" s="123"/>
      <c r="R688" s="123"/>
      <c r="S688" s="123"/>
      <c r="T688" s="123"/>
      <c r="U688" s="123"/>
      <c r="V688" s="123"/>
      <c r="W688" s="123"/>
      <c r="X688" s="123"/>
      <c r="Y688" s="123"/>
      <c r="Z688" s="123"/>
    </row>
    <row r="689" spans="2:26" s="235" customFormat="1" ht="13.8">
      <c r="B689" s="307"/>
      <c r="C689" s="307"/>
      <c r="D689" s="307"/>
      <c r="E689" s="307"/>
      <c r="F689" s="307"/>
      <c r="M689" s="123"/>
      <c r="N689" s="123"/>
      <c r="O689" s="123"/>
      <c r="P689" s="123"/>
      <c r="Q689" s="123"/>
      <c r="R689" s="123"/>
      <c r="S689" s="123"/>
      <c r="T689" s="123"/>
      <c r="U689" s="123"/>
      <c r="V689" s="123"/>
      <c r="W689" s="123"/>
      <c r="X689" s="123"/>
      <c r="Y689" s="123"/>
      <c r="Z689" s="123"/>
    </row>
    <row r="690" spans="2:26" s="235" customFormat="1" ht="13.8">
      <c r="B690" s="307"/>
      <c r="C690" s="307"/>
      <c r="D690" s="307"/>
      <c r="E690" s="307"/>
      <c r="F690" s="307"/>
      <c r="M690" s="123"/>
      <c r="N690" s="123"/>
      <c r="O690" s="123"/>
      <c r="P690" s="123"/>
      <c r="Q690" s="123"/>
      <c r="R690" s="123"/>
      <c r="S690" s="123"/>
      <c r="T690" s="123"/>
      <c r="U690" s="123"/>
      <c r="V690" s="123"/>
      <c r="W690" s="123"/>
      <c r="X690" s="123"/>
      <c r="Y690" s="123"/>
      <c r="Z690" s="123"/>
    </row>
    <row r="691" spans="2:26" s="235" customFormat="1" ht="13.8">
      <c r="B691" s="307"/>
      <c r="C691" s="307"/>
      <c r="D691" s="307"/>
      <c r="E691" s="307"/>
      <c r="F691" s="307"/>
      <c r="M691" s="123"/>
      <c r="N691" s="123"/>
      <c r="O691" s="123"/>
      <c r="P691" s="123"/>
      <c r="Q691" s="123"/>
      <c r="R691" s="123"/>
      <c r="S691" s="123"/>
      <c r="T691" s="123"/>
      <c r="U691" s="123"/>
      <c r="V691" s="123"/>
      <c r="W691" s="123"/>
      <c r="X691" s="123"/>
      <c r="Y691" s="123"/>
      <c r="Z691" s="123"/>
    </row>
    <row r="692" spans="2:26" s="235" customFormat="1" ht="13.8">
      <c r="B692" s="307"/>
      <c r="C692" s="307"/>
      <c r="D692" s="307"/>
      <c r="E692" s="307"/>
      <c r="F692" s="307"/>
      <c r="M692" s="123"/>
      <c r="N692" s="123"/>
      <c r="O692" s="123"/>
      <c r="P692" s="123"/>
      <c r="Q692" s="123"/>
      <c r="R692" s="123"/>
      <c r="S692" s="123"/>
      <c r="T692" s="123"/>
      <c r="U692" s="123"/>
      <c r="V692" s="123"/>
      <c r="W692" s="123"/>
      <c r="X692" s="123"/>
      <c r="Y692" s="123"/>
      <c r="Z692" s="123"/>
    </row>
    <row r="693" spans="2:26" s="235" customFormat="1" ht="13.8">
      <c r="B693" s="307"/>
      <c r="C693" s="307"/>
      <c r="D693" s="307"/>
      <c r="E693" s="307"/>
      <c r="F693" s="307"/>
      <c r="M693" s="123"/>
      <c r="N693" s="123"/>
      <c r="O693" s="123"/>
      <c r="P693" s="123"/>
      <c r="Q693" s="123"/>
      <c r="R693" s="123"/>
      <c r="S693" s="123"/>
      <c r="T693" s="123"/>
      <c r="U693" s="123"/>
      <c r="V693" s="123"/>
      <c r="W693" s="123"/>
      <c r="X693" s="123"/>
      <c r="Y693" s="123"/>
      <c r="Z693" s="123"/>
    </row>
    <row r="694" spans="2:26" s="235" customFormat="1" ht="13.8">
      <c r="B694" s="307"/>
      <c r="C694" s="307"/>
      <c r="D694" s="307"/>
      <c r="E694" s="307"/>
      <c r="F694" s="307"/>
      <c r="M694" s="123"/>
      <c r="N694" s="123"/>
      <c r="O694" s="123"/>
      <c r="P694" s="123"/>
      <c r="Q694" s="123"/>
      <c r="R694" s="123"/>
      <c r="S694" s="123"/>
      <c r="T694" s="123"/>
      <c r="U694" s="123"/>
      <c r="V694" s="123"/>
      <c r="W694" s="123"/>
      <c r="X694" s="123"/>
      <c r="Y694" s="123"/>
      <c r="Z694" s="123"/>
    </row>
    <row r="695" spans="2:26" s="235" customFormat="1" ht="13.8">
      <c r="B695" s="307"/>
      <c r="C695" s="307"/>
      <c r="D695" s="307"/>
      <c r="E695" s="307"/>
      <c r="F695" s="307"/>
      <c r="M695" s="123"/>
      <c r="N695" s="123"/>
      <c r="O695" s="123"/>
      <c r="P695" s="123"/>
      <c r="Q695" s="123"/>
      <c r="R695" s="123"/>
      <c r="S695" s="123"/>
      <c r="T695" s="123"/>
      <c r="U695" s="123"/>
      <c r="V695" s="123"/>
      <c r="W695" s="123"/>
      <c r="X695" s="123"/>
      <c r="Y695" s="123"/>
      <c r="Z695" s="123"/>
    </row>
    <row r="696" spans="2:26" s="235" customFormat="1" ht="13.8">
      <c r="B696" s="307"/>
      <c r="C696" s="307"/>
      <c r="D696" s="307"/>
      <c r="E696" s="307"/>
      <c r="F696" s="307"/>
      <c r="M696" s="123"/>
      <c r="N696" s="123"/>
      <c r="O696" s="123"/>
      <c r="P696" s="123"/>
      <c r="Q696" s="123"/>
      <c r="R696" s="123"/>
      <c r="S696" s="123"/>
      <c r="T696" s="123"/>
      <c r="U696" s="123"/>
      <c r="V696" s="123"/>
      <c r="W696" s="123"/>
      <c r="X696" s="123"/>
      <c r="Y696" s="123"/>
      <c r="Z696" s="123"/>
    </row>
    <row r="697" spans="2:26" s="235" customFormat="1" ht="13.8">
      <c r="B697" s="307"/>
      <c r="C697" s="307"/>
      <c r="D697" s="307"/>
      <c r="E697" s="307"/>
      <c r="F697" s="307"/>
      <c r="M697" s="123"/>
      <c r="N697" s="123"/>
      <c r="O697" s="123"/>
      <c r="P697" s="123"/>
      <c r="Q697" s="123"/>
      <c r="R697" s="123"/>
      <c r="S697" s="123"/>
      <c r="T697" s="123"/>
      <c r="U697" s="123"/>
      <c r="V697" s="123"/>
      <c r="W697" s="123"/>
      <c r="X697" s="123"/>
      <c r="Y697" s="123"/>
      <c r="Z697" s="123"/>
    </row>
    <row r="698" spans="2:26" s="235" customFormat="1" ht="13.8">
      <c r="B698" s="307"/>
      <c r="C698" s="307"/>
      <c r="D698" s="307"/>
      <c r="E698" s="307"/>
      <c r="F698" s="307"/>
      <c r="M698" s="123"/>
      <c r="N698" s="123"/>
      <c r="O698" s="123"/>
      <c r="P698" s="123"/>
      <c r="Q698" s="123"/>
      <c r="R698" s="123"/>
      <c r="S698" s="123"/>
      <c r="T698" s="123"/>
      <c r="U698" s="123"/>
      <c r="V698" s="123"/>
      <c r="W698" s="123"/>
      <c r="X698" s="123"/>
      <c r="Y698" s="123"/>
      <c r="Z698" s="123"/>
    </row>
    <row r="699" spans="2:26" s="235" customFormat="1" ht="13.8">
      <c r="B699" s="307"/>
      <c r="C699" s="307"/>
      <c r="D699" s="307"/>
      <c r="E699" s="307"/>
      <c r="F699" s="307"/>
      <c r="M699" s="123"/>
      <c r="N699" s="123"/>
      <c r="O699" s="123"/>
      <c r="P699" s="123"/>
      <c r="Q699" s="123"/>
      <c r="R699" s="123"/>
      <c r="S699" s="123"/>
      <c r="T699" s="123"/>
      <c r="U699" s="123"/>
      <c r="V699" s="123"/>
      <c r="W699" s="123"/>
      <c r="X699" s="123"/>
      <c r="Y699" s="123"/>
      <c r="Z699" s="123"/>
    </row>
    <row r="700" spans="2:26" s="235" customFormat="1" ht="13.8">
      <c r="B700" s="307"/>
      <c r="C700" s="307"/>
      <c r="D700" s="307"/>
      <c r="E700" s="307"/>
      <c r="F700" s="307"/>
      <c r="M700" s="123"/>
      <c r="N700" s="123"/>
      <c r="O700" s="123"/>
      <c r="P700" s="123"/>
      <c r="Q700" s="123"/>
      <c r="R700" s="123"/>
      <c r="S700" s="123"/>
      <c r="T700" s="123"/>
      <c r="U700" s="123"/>
      <c r="V700" s="123"/>
      <c r="W700" s="123"/>
      <c r="X700" s="123"/>
      <c r="Y700" s="123"/>
      <c r="Z700" s="123"/>
    </row>
    <row r="701" spans="2:26" s="235" customFormat="1" ht="13.8">
      <c r="B701" s="307"/>
      <c r="C701" s="307"/>
      <c r="D701" s="307"/>
      <c r="E701" s="307"/>
      <c r="F701" s="307"/>
      <c r="M701" s="123"/>
      <c r="N701" s="123"/>
      <c r="O701" s="123"/>
      <c r="P701" s="123"/>
      <c r="Q701" s="123"/>
      <c r="R701" s="123"/>
      <c r="S701" s="123"/>
      <c r="T701" s="123"/>
      <c r="U701" s="123"/>
      <c r="V701" s="123"/>
      <c r="W701" s="123"/>
      <c r="X701" s="123"/>
      <c r="Y701" s="123"/>
      <c r="Z701" s="123"/>
    </row>
    <row r="702" spans="2:26" s="235" customFormat="1" ht="13.8">
      <c r="B702" s="307"/>
      <c r="C702" s="307"/>
      <c r="D702" s="307"/>
      <c r="E702" s="307"/>
      <c r="F702" s="307"/>
      <c r="M702" s="123"/>
      <c r="N702" s="123"/>
      <c r="O702" s="123"/>
      <c r="P702" s="123"/>
      <c r="Q702" s="123"/>
      <c r="R702" s="123"/>
      <c r="S702" s="123"/>
      <c r="T702" s="123"/>
      <c r="U702" s="123"/>
      <c r="V702" s="123"/>
      <c r="W702" s="123"/>
      <c r="X702" s="123"/>
      <c r="Y702" s="123"/>
      <c r="Z702" s="123"/>
    </row>
    <row r="703" spans="2:26" s="235" customFormat="1" ht="13.8">
      <c r="B703" s="307"/>
      <c r="C703" s="307"/>
      <c r="D703" s="307"/>
      <c r="E703" s="307"/>
      <c r="F703" s="307"/>
      <c r="M703" s="123"/>
      <c r="N703" s="123"/>
      <c r="O703" s="123"/>
      <c r="P703" s="123"/>
      <c r="Q703" s="123"/>
      <c r="R703" s="123"/>
      <c r="S703" s="123"/>
      <c r="T703" s="123"/>
      <c r="U703" s="123"/>
      <c r="V703" s="123"/>
      <c r="W703" s="123"/>
      <c r="X703" s="123"/>
      <c r="Y703" s="123"/>
      <c r="Z703" s="123"/>
    </row>
    <row r="704" spans="2:26" s="235" customFormat="1" ht="13.8">
      <c r="B704" s="307"/>
      <c r="C704" s="307"/>
      <c r="D704" s="307"/>
      <c r="E704" s="307"/>
      <c r="F704" s="307"/>
      <c r="M704" s="123"/>
      <c r="N704" s="123"/>
      <c r="O704" s="123"/>
      <c r="P704" s="123"/>
      <c r="Q704" s="123"/>
      <c r="R704" s="123"/>
      <c r="S704" s="123"/>
      <c r="T704" s="123"/>
      <c r="U704" s="123"/>
      <c r="V704" s="123"/>
      <c r="W704" s="123"/>
      <c r="X704" s="123"/>
      <c r="Y704" s="123"/>
      <c r="Z704" s="123"/>
    </row>
    <row r="705" spans="2:26" s="235" customFormat="1" ht="13.8">
      <c r="B705" s="307"/>
      <c r="C705" s="307"/>
      <c r="D705" s="307"/>
      <c r="E705" s="307"/>
      <c r="F705" s="307"/>
      <c r="M705" s="123"/>
      <c r="N705" s="123"/>
      <c r="O705" s="123"/>
      <c r="P705" s="123"/>
      <c r="Q705" s="123"/>
      <c r="R705" s="123"/>
      <c r="S705" s="123"/>
      <c r="T705" s="123"/>
      <c r="U705" s="123"/>
      <c r="V705" s="123"/>
      <c r="W705" s="123"/>
      <c r="X705" s="123"/>
      <c r="Y705" s="123"/>
      <c r="Z705" s="123"/>
    </row>
    <row r="706" spans="2:26" s="235" customFormat="1" ht="13.8">
      <c r="B706" s="307"/>
      <c r="C706" s="307"/>
      <c r="D706" s="307"/>
      <c r="E706" s="307"/>
      <c r="F706" s="307"/>
      <c r="M706" s="123"/>
      <c r="N706" s="123"/>
      <c r="O706" s="123"/>
      <c r="P706" s="123"/>
      <c r="Q706" s="123"/>
      <c r="R706" s="123"/>
      <c r="S706" s="123"/>
      <c r="T706" s="123"/>
      <c r="U706" s="123"/>
      <c r="V706" s="123"/>
      <c r="W706" s="123"/>
      <c r="X706" s="123"/>
      <c r="Y706" s="123"/>
      <c r="Z706" s="123"/>
    </row>
    <row r="707" spans="2:26" s="235" customFormat="1" ht="13.8">
      <c r="B707" s="307"/>
      <c r="C707" s="307"/>
      <c r="D707" s="307"/>
      <c r="E707" s="307"/>
      <c r="F707" s="307"/>
      <c r="M707" s="123"/>
      <c r="N707" s="123"/>
      <c r="O707" s="123"/>
      <c r="P707" s="123"/>
      <c r="Q707" s="123"/>
      <c r="R707" s="123"/>
      <c r="S707" s="123"/>
      <c r="T707" s="123"/>
      <c r="U707" s="123"/>
      <c r="V707" s="123"/>
      <c r="W707" s="123"/>
      <c r="X707" s="123"/>
      <c r="Y707" s="123"/>
      <c r="Z707" s="123"/>
    </row>
    <row r="708" spans="2:26" s="235" customFormat="1" ht="13.8">
      <c r="B708" s="307"/>
      <c r="C708" s="307"/>
      <c r="D708" s="307"/>
      <c r="E708" s="307"/>
      <c r="F708" s="307"/>
      <c r="M708" s="123"/>
      <c r="N708" s="123"/>
      <c r="O708" s="123"/>
      <c r="P708" s="123"/>
      <c r="Q708" s="123"/>
      <c r="R708" s="123"/>
      <c r="S708" s="123"/>
      <c r="T708" s="123"/>
      <c r="U708" s="123"/>
      <c r="V708" s="123"/>
      <c r="W708" s="123"/>
      <c r="X708" s="123"/>
      <c r="Y708" s="123"/>
      <c r="Z708" s="123"/>
    </row>
    <row r="709" spans="2:26" s="235" customFormat="1" ht="13.8">
      <c r="B709" s="307"/>
      <c r="C709" s="307"/>
      <c r="D709" s="307"/>
      <c r="E709" s="307"/>
      <c r="F709" s="307"/>
      <c r="M709" s="123"/>
      <c r="N709" s="123"/>
      <c r="O709" s="123"/>
      <c r="P709" s="123"/>
      <c r="Q709" s="123"/>
      <c r="R709" s="123"/>
      <c r="S709" s="123"/>
      <c r="T709" s="123"/>
      <c r="U709" s="123"/>
      <c r="V709" s="123"/>
      <c r="W709" s="123"/>
      <c r="X709" s="123"/>
      <c r="Y709" s="123"/>
      <c r="Z709" s="123"/>
    </row>
    <row r="710" spans="2:26" s="235" customFormat="1" ht="13.8">
      <c r="B710" s="307"/>
      <c r="C710" s="307"/>
      <c r="D710" s="307"/>
      <c r="E710" s="307"/>
      <c r="F710" s="307"/>
      <c r="M710" s="123"/>
      <c r="N710" s="123"/>
      <c r="O710" s="123"/>
      <c r="P710" s="123"/>
      <c r="Q710" s="123"/>
      <c r="R710" s="123"/>
      <c r="S710" s="123"/>
      <c r="T710" s="123"/>
      <c r="U710" s="123"/>
      <c r="V710" s="123"/>
      <c r="W710" s="123"/>
      <c r="X710" s="123"/>
      <c r="Y710" s="123"/>
      <c r="Z710" s="123"/>
    </row>
    <row r="711" spans="2:26" s="235" customFormat="1" ht="13.8">
      <c r="B711" s="307"/>
      <c r="C711" s="307"/>
      <c r="D711" s="307"/>
      <c r="E711" s="307"/>
      <c r="F711" s="307"/>
      <c r="M711" s="123"/>
      <c r="N711" s="123"/>
      <c r="O711" s="123"/>
      <c r="P711" s="123"/>
      <c r="Q711" s="123"/>
      <c r="R711" s="123"/>
      <c r="S711" s="123"/>
      <c r="T711" s="123"/>
      <c r="U711" s="123"/>
      <c r="V711" s="123"/>
      <c r="W711" s="123"/>
      <c r="X711" s="123"/>
      <c r="Y711" s="123"/>
      <c r="Z711" s="123"/>
    </row>
    <row r="712" spans="2:26" s="235" customFormat="1" ht="13.8">
      <c r="B712" s="307"/>
      <c r="C712" s="307"/>
      <c r="D712" s="307"/>
      <c r="E712" s="307"/>
      <c r="F712" s="307"/>
      <c r="M712" s="123"/>
      <c r="N712" s="123"/>
      <c r="O712" s="123"/>
      <c r="P712" s="123"/>
      <c r="Q712" s="123"/>
      <c r="R712" s="123"/>
      <c r="S712" s="123"/>
      <c r="T712" s="123"/>
      <c r="U712" s="123"/>
      <c r="V712" s="123"/>
      <c r="W712" s="123"/>
      <c r="X712" s="123"/>
      <c r="Y712" s="123"/>
      <c r="Z712" s="123"/>
    </row>
    <row r="713" spans="2:26" s="235" customFormat="1" ht="13.8">
      <c r="B713" s="307"/>
      <c r="C713" s="307"/>
      <c r="D713" s="307"/>
      <c r="E713" s="307"/>
      <c r="F713" s="307"/>
      <c r="M713" s="123"/>
      <c r="N713" s="123"/>
      <c r="O713" s="123"/>
      <c r="P713" s="123"/>
      <c r="Q713" s="123"/>
      <c r="R713" s="123"/>
      <c r="S713" s="123"/>
      <c r="T713" s="123"/>
      <c r="U713" s="123"/>
      <c r="V713" s="123"/>
      <c r="W713" s="123"/>
      <c r="X713" s="123"/>
      <c r="Y713" s="123"/>
      <c r="Z713" s="123"/>
    </row>
    <row r="714" spans="2:26" s="235" customFormat="1" ht="13.8">
      <c r="B714" s="307"/>
      <c r="C714" s="307"/>
      <c r="D714" s="307"/>
      <c r="E714" s="307"/>
      <c r="F714" s="307"/>
      <c r="M714" s="123"/>
      <c r="N714" s="123"/>
      <c r="O714" s="123"/>
      <c r="P714" s="123"/>
      <c r="Q714" s="123"/>
      <c r="R714" s="123"/>
      <c r="S714" s="123"/>
      <c r="T714" s="123"/>
      <c r="U714" s="123"/>
      <c r="V714" s="123"/>
      <c r="W714" s="123"/>
      <c r="X714" s="123"/>
      <c r="Y714" s="123"/>
      <c r="Z714" s="123"/>
    </row>
    <row r="715" spans="2:26" s="235" customFormat="1" ht="13.8">
      <c r="B715" s="307"/>
      <c r="C715" s="307"/>
      <c r="D715" s="307"/>
      <c r="E715" s="307"/>
      <c r="F715" s="307"/>
      <c r="M715" s="123"/>
      <c r="N715" s="123"/>
      <c r="O715" s="123"/>
      <c r="P715" s="123"/>
      <c r="Q715" s="123"/>
      <c r="R715" s="123"/>
      <c r="S715" s="123"/>
      <c r="T715" s="123"/>
      <c r="U715" s="123"/>
      <c r="V715" s="123"/>
      <c r="W715" s="123"/>
      <c r="X715" s="123"/>
      <c r="Y715" s="123"/>
      <c r="Z715" s="123"/>
    </row>
    <row r="716" spans="2:26" s="235" customFormat="1" ht="13.8">
      <c r="B716" s="307"/>
      <c r="C716" s="307"/>
      <c r="D716" s="307"/>
      <c r="E716" s="307"/>
      <c r="F716" s="307"/>
      <c r="M716" s="123"/>
      <c r="N716" s="123"/>
      <c r="O716" s="123"/>
      <c r="P716" s="123"/>
      <c r="Q716" s="123"/>
      <c r="R716" s="123"/>
      <c r="S716" s="123"/>
      <c r="T716" s="123"/>
      <c r="U716" s="123"/>
      <c r="V716" s="123"/>
      <c r="W716" s="123"/>
      <c r="X716" s="123"/>
      <c r="Y716" s="123"/>
      <c r="Z716" s="123"/>
    </row>
    <row r="717" spans="2:26" s="235" customFormat="1" ht="13.8">
      <c r="B717" s="307"/>
      <c r="C717" s="307"/>
      <c r="D717" s="307"/>
      <c r="E717" s="307"/>
      <c r="F717" s="307"/>
      <c r="M717" s="123"/>
      <c r="N717" s="123"/>
      <c r="O717" s="123"/>
      <c r="P717" s="123"/>
      <c r="Q717" s="123"/>
      <c r="R717" s="123"/>
      <c r="S717" s="123"/>
      <c r="T717" s="123"/>
      <c r="U717" s="123"/>
      <c r="V717" s="123"/>
      <c r="W717" s="123"/>
      <c r="X717" s="123"/>
      <c r="Y717" s="123"/>
      <c r="Z717" s="123"/>
    </row>
    <row r="718" spans="2:26" s="235" customFormat="1" ht="13.8">
      <c r="B718" s="307"/>
      <c r="C718" s="307"/>
      <c r="D718" s="307"/>
      <c r="E718" s="307"/>
      <c r="F718" s="307"/>
      <c r="M718" s="123"/>
      <c r="N718" s="123"/>
      <c r="O718" s="123"/>
      <c r="P718" s="123"/>
      <c r="Q718" s="123"/>
      <c r="R718" s="123"/>
      <c r="S718" s="123"/>
      <c r="T718" s="123"/>
      <c r="U718" s="123"/>
      <c r="V718" s="123"/>
      <c r="W718" s="123"/>
      <c r="X718" s="123"/>
      <c r="Y718" s="123"/>
      <c r="Z718" s="123"/>
    </row>
    <row r="719" spans="2:26" s="235" customFormat="1" ht="13.8">
      <c r="B719" s="307"/>
      <c r="C719" s="307"/>
      <c r="D719" s="307"/>
      <c r="E719" s="307"/>
      <c r="F719" s="307"/>
      <c r="M719" s="123"/>
      <c r="N719" s="123"/>
      <c r="O719" s="123"/>
      <c r="P719" s="123"/>
      <c r="Q719" s="123"/>
      <c r="R719" s="123"/>
      <c r="S719" s="123"/>
      <c r="T719" s="123"/>
      <c r="U719" s="123"/>
      <c r="V719" s="123"/>
      <c r="W719" s="123"/>
      <c r="X719" s="123"/>
      <c r="Y719" s="123"/>
      <c r="Z719" s="123"/>
    </row>
    <row r="720" spans="2:26" s="235" customFormat="1" ht="13.8">
      <c r="B720" s="307"/>
      <c r="C720" s="307"/>
      <c r="D720" s="307"/>
      <c r="E720" s="307"/>
      <c r="F720" s="307"/>
      <c r="M720" s="123"/>
      <c r="N720" s="123"/>
      <c r="O720" s="123"/>
      <c r="P720" s="123"/>
      <c r="Q720" s="123"/>
      <c r="R720" s="123"/>
      <c r="S720" s="123"/>
      <c r="T720" s="123"/>
      <c r="U720" s="123"/>
      <c r="V720" s="123"/>
      <c r="W720" s="123"/>
      <c r="X720" s="123"/>
      <c r="Y720" s="123"/>
      <c r="Z720" s="123"/>
    </row>
    <row r="721" spans="2:26" s="235" customFormat="1" ht="13.8">
      <c r="B721" s="307"/>
      <c r="C721" s="307"/>
      <c r="D721" s="307"/>
      <c r="E721" s="307"/>
      <c r="F721" s="307"/>
      <c r="M721" s="123"/>
      <c r="N721" s="123"/>
      <c r="O721" s="123"/>
      <c r="P721" s="123"/>
      <c r="Q721" s="123"/>
      <c r="R721" s="123"/>
      <c r="S721" s="123"/>
      <c r="T721" s="123"/>
      <c r="U721" s="123"/>
      <c r="V721" s="123"/>
      <c r="W721" s="123"/>
      <c r="X721" s="123"/>
      <c r="Y721" s="123"/>
      <c r="Z721" s="123"/>
    </row>
    <row r="722" spans="2:26" s="235" customFormat="1" ht="13.8">
      <c r="B722" s="307"/>
      <c r="C722" s="307"/>
      <c r="D722" s="307"/>
      <c r="E722" s="307"/>
      <c r="F722" s="307"/>
      <c r="M722" s="123"/>
      <c r="N722" s="123"/>
      <c r="O722" s="123"/>
      <c r="P722" s="123"/>
      <c r="Q722" s="123"/>
      <c r="R722" s="123"/>
      <c r="S722" s="123"/>
      <c r="T722" s="123"/>
      <c r="U722" s="123"/>
      <c r="V722" s="123"/>
      <c r="W722" s="123"/>
      <c r="X722" s="123"/>
      <c r="Y722" s="123"/>
      <c r="Z722" s="123"/>
    </row>
    <row r="723" spans="2:26" s="235" customFormat="1" ht="13.8">
      <c r="B723" s="307"/>
      <c r="C723" s="307"/>
      <c r="D723" s="307"/>
      <c r="E723" s="307"/>
      <c r="F723" s="307"/>
      <c r="M723" s="123"/>
      <c r="N723" s="123"/>
      <c r="O723" s="123"/>
      <c r="P723" s="123"/>
      <c r="Q723" s="123"/>
      <c r="R723" s="123"/>
      <c r="S723" s="123"/>
      <c r="T723" s="123"/>
      <c r="U723" s="123"/>
      <c r="V723" s="123"/>
      <c r="W723" s="123"/>
      <c r="X723" s="123"/>
      <c r="Y723" s="123"/>
      <c r="Z723" s="123"/>
    </row>
    <row r="724" spans="2:26" s="235" customFormat="1" ht="13.8">
      <c r="B724" s="307"/>
      <c r="C724" s="307"/>
      <c r="D724" s="307"/>
      <c r="E724" s="307"/>
      <c r="F724" s="307"/>
      <c r="M724" s="123"/>
      <c r="N724" s="123"/>
      <c r="O724" s="123"/>
      <c r="P724" s="123"/>
      <c r="Q724" s="123"/>
      <c r="R724" s="123"/>
      <c r="S724" s="123"/>
      <c r="T724" s="123"/>
      <c r="U724" s="123"/>
      <c r="V724" s="123"/>
      <c r="W724" s="123"/>
      <c r="X724" s="123"/>
      <c r="Y724" s="123"/>
      <c r="Z724" s="123"/>
    </row>
    <row r="725" spans="2:26" s="235" customFormat="1" ht="13.8">
      <c r="B725" s="307"/>
      <c r="C725" s="307"/>
      <c r="D725" s="307"/>
      <c r="E725" s="307"/>
      <c r="F725" s="307"/>
      <c r="M725" s="123"/>
      <c r="N725" s="123"/>
      <c r="O725" s="123"/>
      <c r="P725" s="123"/>
      <c r="Q725" s="123"/>
      <c r="R725" s="123"/>
      <c r="S725" s="123"/>
      <c r="T725" s="123"/>
      <c r="U725" s="123"/>
      <c r="V725" s="123"/>
      <c r="W725" s="123"/>
      <c r="X725" s="123"/>
      <c r="Y725" s="123"/>
      <c r="Z725" s="123"/>
    </row>
    <row r="726" spans="2:26" s="235" customFormat="1" ht="13.8">
      <c r="B726" s="307"/>
      <c r="C726" s="307"/>
      <c r="D726" s="307"/>
      <c r="E726" s="307"/>
      <c r="F726" s="307"/>
      <c r="M726" s="123"/>
      <c r="N726" s="123"/>
      <c r="O726" s="123"/>
      <c r="P726" s="123"/>
      <c r="Q726" s="123"/>
      <c r="R726" s="123"/>
      <c r="S726" s="123"/>
      <c r="T726" s="123"/>
      <c r="U726" s="123"/>
      <c r="V726" s="123"/>
      <c r="W726" s="123"/>
      <c r="X726" s="123"/>
      <c r="Y726" s="123"/>
      <c r="Z726" s="123"/>
    </row>
    <row r="727" spans="2:26" s="235" customFormat="1" ht="13.8">
      <c r="B727" s="307"/>
      <c r="C727" s="307"/>
      <c r="D727" s="307"/>
      <c r="E727" s="307"/>
      <c r="F727" s="307"/>
      <c r="M727" s="123"/>
      <c r="N727" s="123"/>
      <c r="O727" s="123"/>
      <c r="P727" s="123"/>
      <c r="Q727" s="123"/>
      <c r="R727" s="123"/>
      <c r="S727" s="123"/>
      <c r="T727" s="123"/>
      <c r="U727" s="123"/>
      <c r="V727" s="123"/>
      <c r="W727" s="123"/>
      <c r="X727" s="123"/>
      <c r="Y727" s="123"/>
      <c r="Z727" s="123"/>
    </row>
    <row r="728" spans="2:26" s="235" customFormat="1" ht="13.8">
      <c r="B728" s="307"/>
      <c r="C728" s="307"/>
      <c r="D728" s="307"/>
      <c r="E728" s="307"/>
      <c r="F728" s="307"/>
      <c r="M728" s="123"/>
      <c r="N728" s="123"/>
      <c r="O728" s="123"/>
      <c r="P728" s="123"/>
      <c r="Q728" s="123"/>
      <c r="R728" s="123"/>
      <c r="S728" s="123"/>
      <c r="T728" s="123"/>
      <c r="U728" s="123"/>
      <c r="V728" s="123"/>
      <c r="W728" s="123"/>
      <c r="X728" s="123"/>
      <c r="Y728" s="123"/>
      <c r="Z728" s="123"/>
    </row>
    <row r="729" spans="2:26" s="235" customFormat="1" ht="13.8">
      <c r="B729" s="307"/>
      <c r="C729" s="307"/>
      <c r="D729" s="307"/>
      <c r="E729" s="307"/>
      <c r="F729" s="307"/>
      <c r="M729" s="123"/>
      <c r="N729" s="123"/>
      <c r="O729" s="123"/>
      <c r="P729" s="123"/>
      <c r="Q729" s="123"/>
      <c r="R729" s="123"/>
      <c r="S729" s="123"/>
      <c r="T729" s="123"/>
      <c r="U729" s="123"/>
      <c r="V729" s="123"/>
      <c r="W729" s="123"/>
      <c r="X729" s="123"/>
      <c r="Y729" s="123"/>
      <c r="Z729" s="123"/>
    </row>
    <row r="730" spans="2:26" s="235" customFormat="1" ht="13.8">
      <c r="B730" s="307"/>
      <c r="C730" s="307"/>
      <c r="D730" s="307"/>
      <c r="E730" s="307"/>
      <c r="F730" s="307"/>
      <c r="M730" s="123"/>
      <c r="N730" s="123"/>
      <c r="O730" s="123"/>
      <c r="P730" s="123"/>
      <c r="Q730" s="123"/>
      <c r="R730" s="123"/>
      <c r="S730" s="123"/>
      <c r="T730" s="123"/>
      <c r="U730" s="123"/>
      <c r="V730" s="123"/>
      <c r="W730" s="123"/>
      <c r="X730" s="123"/>
      <c r="Y730" s="123"/>
      <c r="Z730" s="123"/>
    </row>
    <row r="731" spans="2:26" s="235" customFormat="1" ht="13.8">
      <c r="B731" s="307"/>
      <c r="C731" s="307"/>
      <c r="D731" s="307"/>
      <c r="E731" s="307"/>
      <c r="F731" s="307"/>
      <c r="M731" s="123"/>
      <c r="N731" s="123"/>
      <c r="O731" s="123"/>
      <c r="P731" s="123"/>
      <c r="Q731" s="123"/>
      <c r="R731" s="123"/>
      <c r="S731" s="123"/>
      <c r="T731" s="123"/>
      <c r="U731" s="123"/>
      <c r="V731" s="123"/>
      <c r="W731" s="123"/>
      <c r="X731" s="123"/>
      <c r="Y731" s="123"/>
      <c r="Z731" s="123"/>
    </row>
    <row r="732" spans="2:26" s="235" customFormat="1" ht="13.8">
      <c r="B732" s="307"/>
      <c r="C732" s="307"/>
      <c r="D732" s="307"/>
      <c r="E732" s="307"/>
      <c r="F732" s="307"/>
      <c r="M732" s="123"/>
      <c r="N732" s="123"/>
      <c r="O732" s="123"/>
      <c r="P732" s="123"/>
      <c r="Q732" s="123"/>
      <c r="R732" s="123"/>
      <c r="S732" s="123"/>
      <c r="T732" s="123"/>
      <c r="U732" s="123"/>
      <c r="V732" s="123"/>
      <c r="W732" s="123"/>
      <c r="X732" s="123"/>
      <c r="Y732" s="123"/>
      <c r="Z732" s="123"/>
    </row>
    <row r="733" spans="2:26" s="235" customFormat="1" ht="13.8">
      <c r="B733" s="307"/>
      <c r="C733" s="307"/>
      <c r="D733" s="307"/>
      <c r="E733" s="307"/>
      <c r="F733" s="307"/>
      <c r="M733" s="123"/>
      <c r="N733" s="123"/>
      <c r="O733" s="123"/>
      <c r="P733" s="123"/>
      <c r="Q733" s="123"/>
      <c r="R733" s="123"/>
      <c r="S733" s="123"/>
      <c r="T733" s="123"/>
      <c r="U733" s="123"/>
      <c r="V733" s="123"/>
      <c r="W733" s="123"/>
      <c r="X733" s="123"/>
      <c r="Y733" s="123"/>
      <c r="Z733" s="123"/>
    </row>
    <row r="734" spans="2:26" s="235" customFormat="1" ht="13.8">
      <c r="B734" s="307"/>
      <c r="C734" s="307"/>
      <c r="D734" s="307"/>
      <c r="E734" s="307"/>
      <c r="F734" s="307"/>
      <c r="M734" s="123"/>
      <c r="N734" s="123"/>
      <c r="O734" s="123"/>
      <c r="P734" s="123"/>
      <c r="Q734" s="123"/>
      <c r="R734" s="123"/>
      <c r="S734" s="123"/>
      <c r="T734" s="123"/>
      <c r="U734" s="123"/>
      <c r="V734" s="123"/>
      <c r="W734" s="123"/>
      <c r="X734" s="123"/>
      <c r="Y734" s="123"/>
      <c r="Z734" s="123"/>
    </row>
    <row r="735" spans="2:26" s="235" customFormat="1" ht="13.8">
      <c r="B735" s="307"/>
      <c r="C735" s="307"/>
      <c r="D735" s="307"/>
      <c r="E735" s="307"/>
      <c r="F735" s="307"/>
      <c r="M735" s="123"/>
      <c r="N735" s="123"/>
      <c r="O735" s="123"/>
      <c r="P735" s="123"/>
      <c r="Q735" s="123"/>
      <c r="R735" s="123"/>
      <c r="S735" s="123"/>
      <c r="T735" s="123"/>
      <c r="U735" s="123"/>
      <c r="V735" s="123"/>
      <c r="W735" s="123"/>
      <c r="X735" s="123"/>
      <c r="Y735" s="123"/>
      <c r="Z735" s="123"/>
    </row>
    <row r="736" spans="2:26" s="235" customFormat="1" ht="13.8">
      <c r="B736" s="307"/>
      <c r="C736" s="307"/>
      <c r="D736" s="307"/>
      <c r="E736" s="307"/>
      <c r="F736" s="307"/>
      <c r="M736" s="123"/>
      <c r="N736" s="123"/>
      <c r="O736" s="123"/>
      <c r="P736" s="123"/>
      <c r="Q736" s="123"/>
      <c r="R736" s="123"/>
      <c r="S736" s="123"/>
      <c r="T736" s="123"/>
      <c r="U736" s="123"/>
      <c r="V736" s="123"/>
      <c r="W736" s="123"/>
      <c r="X736" s="123"/>
      <c r="Y736" s="123"/>
      <c r="Z736" s="123"/>
    </row>
    <row r="737" spans="2:26" s="235" customFormat="1" ht="13.8">
      <c r="B737" s="307"/>
      <c r="C737" s="307"/>
      <c r="D737" s="307"/>
      <c r="E737" s="307"/>
      <c r="F737" s="307"/>
      <c r="M737" s="123"/>
      <c r="N737" s="123"/>
      <c r="O737" s="123"/>
      <c r="P737" s="123"/>
      <c r="Q737" s="123"/>
      <c r="R737" s="123"/>
      <c r="S737" s="123"/>
      <c r="T737" s="123"/>
      <c r="U737" s="123"/>
      <c r="V737" s="123"/>
      <c r="W737" s="123"/>
      <c r="X737" s="123"/>
      <c r="Y737" s="123"/>
      <c r="Z737" s="123"/>
    </row>
    <row r="738" spans="2:26" s="235" customFormat="1" ht="13.8">
      <c r="B738" s="307"/>
      <c r="C738" s="307"/>
      <c r="D738" s="307"/>
      <c r="E738" s="307"/>
      <c r="F738" s="307"/>
      <c r="M738" s="123"/>
      <c r="N738" s="123"/>
      <c r="O738" s="123"/>
      <c r="P738" s="123"/>
      <c r="Q738" s="123"/>
      <c r="R738" s="123"/>
      <c r="S738" s="123"/>
      <c r="T738" s="123"/>
      <c r="U738" s="123"/>
      <c r="V738" s="123"/>
      <c r="W738" s="123"/>
      <c r="X738" s="123"/>
      <c r="Y738" s="123"/>
      <c r="Z738" s="123"/>
    </row>
    <row r="739" spans="2:26" s="235" customFormat="1" ht="13.8">
      <c r="B739" s="307"/>
      <c r="C739" s="307"/>
      <c r="D739" s="307"/>
      <c r="E739" s="307"/>
      <c r="F739" s="307"/>
      <c r="M739" s="123"/>
      <c r="N739" s="123"/>
      <c r="O739" s="123"/>
      <c r="P739" s="123"/>
      <c r="Q739" s="123"/>
      <c r="R739" s="123"/>
      <c r="S739" s="123"/>
      <c r="T739" s="123"/>
      <c r="U739" s="123"/>
      <c r="V739" s="123"/>
      <c r="W739" s="123"/>
      <c r="X739" s="123"/>
      <c r="Y739" s="123"/>
      <c r="Z739" s="123"/>
    </row>
    <row r="740" spans="2:26" s="235" customFormat="1" ht="13.8">
      <c r="B740" s="307"/>
      <c r="C740" s="307"/>
      <c r="D740" s="307"/>
      <c r="E740" s="307"/>
      <c r="F740" s="307"/>
      <c r="M740" s="123"/>
      <c r="N740" s="123"/>
      <c r="O740" s="123"/>
      <c r="P740" s="123"/>
      <c r="Q740" s="123"/>
      <c r="R740" s="123"/>
      <c r="S740" s="123"/>
      <c r="T740" s="123"/>
      <c r="U740" s="123"/>
      <c r="V740" s="123"/>
      <c r="W740" s="123"/>
      <c r="X740" s="123"/>
      <c r="Y740" s="123"/>
      <c r="Z740" s="123"/>
    </row>
    <row r="741" spans="2:26" s="235" customFormat="1" ht="13.8">
      <c r="B741" s="307"/>
      <c r="C741" s="307"/>
      <c r="D741" s="307"/>
      <c r="E741" s="307"/>
      <c r="F741" s="307"/>
      <c r="M741" s="123"/>
      <c r="N741" s="123"/>
      <c r="O741" s="123"/>
      <c r="P741" s="123"/>
      <c r="Q741" s="123"/>
      <c r="R741" s="123"/>
      <c r="S741" s="123"/>
      <c r="T741" s="123"/>
      <c r="U741" s="123"/>
      <c r="V741" s="123"/>
      <c r="W741" s="123"/>
      <c r="X741" s="123"/>
      <c r="Y741" s="123"/>
      <c r="Z741" s="123"/>
    </row>
    <row r="742" spans="2:26" s="235" customFormat="1" ht="13.8">
      <c r="B742" s="307"/>
      <c r="C742" s="307"/>
      <c r="D742" s="307"/>
      <c r="E742" s="307"/>
      <c r="F742" s="307"/>
      <c r="M742" s="123"/>
      <c r="N742" s="123"/>
      <c r="O742" s="123"/>
      <c r="P742" s="123"/>
      <c r="Q742" s="123"/>
      <c r="R742" s="123"/>
      <c r="S742" s="123"/>
      <c r="T742" s="123"/>
      <c r="U742" s="123"/>
      <c r="V742" s="123"/>
      <c r="W742" s="123"/>
      <c r="X742" s="123"/>
      <c r="Y742" s="123"/>
      <c r="Z742" s="123"/>
    </row>
    <row r="743" spans="2:26" s="235" customFormat="1" ht="13.8">
      <c r="B743" s="307"/>
      <c r="C743" s="307"/>
      <c r="D743" s="307"/>
      <c r="E743" s="307"/>
      <c r="F743" s="307"/>
      <c r="M743" s="123"/>
      <c r="N743" s="123"/>
      <c r="O743" s="123"/>
      <c r="P743" s="123"/>
      <c r="Q743" s="123"/>
      <c r="R743" s="123"/>
      <c r="S743" s="123"/>
      <c r="T743" s="123"/>
      <c r="U743" s="123"/>
      <c r="V743" s="123"/>
      <c r="W743" s="123"/>
      <c r="X743" s="123"/>
      <c r="Y743" s="123"/>
      <c r="Z743" s="123"/>
    </row>
    <row r="744" spans="2:26" s="235" customFormat="1" ht="13.8">
      <c r="B744" s="307"/>
      <c r="C744" s="307"/>
      <c r="D744" s="307"/>
      <c r="E744" s="307"/>
      <c r="F744" s="307"/>
      <c r="M744" s="123"/>
      <c r="N744" s="123"/>
      <c r="O744" s="123"/>
      <c r="P744" s="123"/>
      <c r="Q744" s="123"/>
      <c r="R744" s="123"/>
      <c r="S744" s="123"/>
      <c r="T744" s="123"/>
      <c r="U744" s="123"/>
      <c r="V744" s="123"/>
      <c r="W744" s="123"/>
      <c r="X744" s="123"/>
      <c r="Y744" s="123"/>
      <c r="Z744" s="123"/>
    </row>
    <row r="745" spans="2:26" s="235" customFormat="1" ht="13.8">
      <c r="B745" s="307"/>
      <c r="C745" s="307"/>
      <c r="D745" s="307"/>
      <c r="E745" s="307"/>
      <c r="F745" s="307"/>
      <c r="M745" s="123"/>
      <c r="N745" s="123"/>
      <c r="O745" s="123"/>
      <c r="P745" s="123"/>
      <c r="Q745" s="123"/>
      <c r="R745" s="123"/>
      <c r="S745" s="123"/>
      <c r="T745" s="123"/>
      <c r="U745" s="123"/>
      <c r="V745" s="123"/>
      <c r="W745" s="123"/>
      <c r="X745" s="123"/>
      <c r="Y745" s="123"/>
      <c r="Z745" s="123"/>
    </row>
    <row r="746" spans="2:26" s="235" customFormat="1" ht="13.8">
      <c r="B746" s="307"/>
      <c r="C746" s="307"/>
      <c r="D746" s="307"/>
      <c r="E746" s="307"/>
      <c r="F746" s="307"/>
      <c r="M746" s="123"/>
      <c r="N746" s="123"/>
      <c r="O746" s="123"/>
      <c r="P746" s="123"/>
      <c r="Q746" s="123"/>
      <c r="R746" s="123"/>
      <c r="S746" s="123"/>
      <c r="T746" s="123"/>
      <c r="U746" s="123"/>
      <c r="V746" s="123"/>
      <c r="W746" s="123"/>
      <c r="X746" s="123"/>
      <c r="Y746" s="123"/>
      <c r="Z746" s="123"/>
    </row>
    <row r="747" spans="2:26" s="235" customFormat="1" ht="13.8">
      <c r="B747" s="307"/>
      <c r="C747" s="307"/>
      <c r="D747" s="307"/>
      <c r="E747" s="307"/>
      <c r="F747" s="307"/>
      <c r="M747" s="123"/>
      <c r="N747" s="123"/>
      <c r="O747" s="123"/>
      <c r="P747" s="123"/>
      <c r="Q747" s="123"/>
      <c r="R747" s="123"/>
      <c r="S747" s="123"/>
      <c r="T747" s="123"/>
      <c r="U747" s="123"/>
      <c r="V747" s="123"/>
      <c r="W747" s="123"/>
      <c r="X747" s="123"/>
      <c r="Y747" s="123"/>
      <c r="Z747" s="123"/>
    </row>
    <row r="748" spans="2:26" s="235" customFormat="1" ht="13.8">
      <c r="B748" s="307"/>
      <c r="C748" s="307"/>
      <c r="D748" s="307"/>
      <c r="E748" s="307"/>
      <c r="F748" s="307"/>
      <c r="M748" s="123"/>
      <c r="N748" s="123"/>
      <c r="O748" s="123"/>
      <c r="P748" s="123"/>
      <c r="Q748" s="123"/>
      <c r="R748" s="123"/>
      <c r="S748" s="123"/>
      <c r="T748" s="123"/>
      <c r="U748" s="123"/>
      <c r="V748" s="123"/>
      <c r="W748" s="123"/>
      <c r="X748" s="123"/>
      <c r="Y748" s="123"/>
      <c r="Z748" s="123"/>
    </row>
    <row r="749" spans="2:26" s="235" customFormat="1" ht="13.8">
      <c r="B749" s="307"/>
      <c r="C749" s="307"/>
      <c r="D749" s="307"/>
      <c r="E749" s="307"/>
      <c r="F749" s="307"/>
      <c r="M749" s="123"/>
      <c r="N749" s="123"/>
      <c r="O749" s="123"/>
      <c r="P749" s="123"/>
      <c r="Q749" s="123"/>
      <c r="R749" s="123"/>
      <c r="S749" s="123"/>
      <c r="T749" s="123"/>
      <c r="U749" s="123"/>
      <c r="V749" s="123"/>
      <c r="W749" s="123"/>
      <c r="X749" s="123"/>
      <c r="Y749" s="123"/>
      <c r="Z749" s="123"/>
    </row>
    <row r="750" spans="2:26" s="235" customFormat="1" ht="13.8">
      <c r="B750" s="307"/>
      <c r="C750" s="307"/>
      <c r="D750" s="307"/>
      <c r="E750" s="307"/>
      <c r="F750" s="307"/>
      <c r="M750" s="123"/>
      <c r="N750" s="123"/>
      <c r="O750" s="123"/>
      <c r="P750" s="123"/>
      <c r="Q750" s="123"/>
      <c r="R750" s="123"/>
      <c r="S750" s="123"/>
      <c r="T750" s="123"/>
      <c r="U750" s="123"/>
      <c r="V750" s="123"/>
      <c r="W750" s="123"/>
      <c r="X750" s="123"/>
      <c r="Y750" s="123"/>
      <c r="Z750" s="123"/>
    </row>
    <row r="751" spans="2:26" s="235" customFormat="1" ht="13.8">
      <c r="B751" s="307"/>
      <c r="C751" s="307"/>
      <c r="D751" s="307"/>
      <c r="E751" s="307"/>
      <c r="F751" s="307"/>
      <c r="M751" s="123"/>
      <c r="N751" s="123"/>
      <c r="O751" s="123"/>
      <c r="P751" s="123"/>
      <c r="Q751" s="123"/>
      <c r="R751" s="123"/>
      <c r="S751" s="123"/>
      <c r="T751" s="123"/>
      <c r="U751" s="123"/>
      <c r="V751" s="123"/>
      <c r="W751" s="123"/>
      <c r="X751" s="123"/>
      <c r="Y751" s="123"/>
      <c r="Z751" s="123"/>
    </row>
    <row r="752" spans="2:26" s="235" customFormat="1" ht="13.8">
      <c r="B752" s="307"/>
      <c r="C752" s="307"/>
      <c r="D752" s="307"/>
      <c r="E752" s="307"/>
      <c r="F752" s="307"/>
      <c r="M752" s="123"/>
      <c r="N752" s="123"/>
      <c r="O752" s="123"/>
      <c r="P752" s="123"/>
      <c r="Q752" s="123"/>
      <c r="R752" s="123"/>
      <c r="S752" s="123"/>
      <c r="T752" s="123"/>
      <c r="U752" s="123"/>
      <c r="V752" s="123"/>
      <c r="W752" s="123"/>
      <c r="X752" s="123"/>
      <c r="Y752" s="123"/>
      <c r="Z752" s="123"/>
    </row>
    <row r="753" spans="2:26" s="235" customFormat="1" ht="13.8">
      <c r="B753" s="307"/>
      <c r="C753" s="307"/>
      <c r="D753" s="307"/>
      <c r="E753" s="307"/>
      <c r="F753" s="307"/>
      <c r="M753" s="123"/>
      <c r="N753" s="123"/>
      <c r="O753" s="123"/>
      <c r="P753" s="123"/>
      <c r="Q753" s="123"/>
      <c r="R753" s="123"/>
      <c r="S753" s="123"/>
      <c r="T753" s="123"/>
      <c r="U753" s="123"/>
      <c r="V753" s="123"/>
      <c r="W753" s="123"/>
      <c r="X753" s="123"/>
      <c r="Y753" s="123"/>
      <c r="Z753" s="123"/>
    </row>
    <row r="754" spans="2:26" s="235" customFormat="1" ht="13.8">
      <c r="B754" s="307"/>
      <c r="C754" s="307"/>
      <c r="D754" s="307"/>
      <c r="E754" s="307"/>
      <c r="F754" s="307"/>
      <c r="M754" s="123"/>
      <c r="N754" s="123"/>
      <c r="O754" s="123"/>
      <c r="P754" s="123"/>
      <c r="Q754" s="123"/>
      <c r="R754" s="123"/>
      <c r="S754" s="123"/>
      <c r="T754" s="123"/>
      <c r="U754" s="123"/>
      <c r="V754" s="123"/>
      <c r="W754" s="123"/>
      <c r="X754" s="123"/>
      <c r="Y754" s="123"/>
      <c r="Z754" s="123"/>
    </row>
    <row r="755" spans="2:26" s="235" customFormat="1" ht="13.8">
      <c r="B755" s="307"/>
      <c r="C755" s="307"/>
      <c r="D755" s="307"/>
      <c r="E755" s="307"/>
      <c r="F755" s="307"/>
      <c r="M755" s="123"/>
      <c r="N755" s="123"/>
      <c r="O755" s="123"/>
      <c r="P755" s="123"/>
      <c r="Q755" s="123"/>
      <c r="R755" s="123"/>
      <c r="S755" s="123"/>
      <c r="T755" s="123"/>
      <c r="U755" s="123"/>
      <c r="V755" s="123"/>
      <c r="W755" s="123"/>
      <c r="X755" s="123"/>
      <c r="Y755" s="123"/>
      <c r="Z755" s="123"/>
    </row>
    <row r="756" spans="2:26" s="235" customFormat="1" ht="13.8">
      <c r="B756" s="307"/>
      <c r="C756" s="307"/>
      <c r="D756" s="307"/>
      <c r="E756" s="307"/>
      <c r="F756" s="307"/>
      <c r="M756" s="123"/>
      <c r="N756" s="123"/>
      <c r="O756" s="123"/>
      <c r="P756" s="123"/>
      <c r="Q756" s="123"/>
      <c r="R756" s="123"/>
      <c r="S756" s="123"/>
      <c r="T756" s="123"/>
      <c r="U756" s="123"/>
      <c r="V756" s="123"/>
      <c r="W756" s="123"/>
      <c r="X756" s="123"/>
      <c r="Y756" s="123"/>
      <c r="Z756" s="123"/>
    </row>
    <row r="757" spans="2:26" s="235" customFormat="1" ht="13.8">
      <c r="B757" s="307"/>
      <c r="C757" s="307"/>
      <c r="D757" s="307"/>
      <c r="E757" s="307"/>
      <c r="F757" s="307"/>
      <c r="M757" s="123"/>
      <c r="N757" s="123"/>
      <c r="O757" s="123"/>
      <c r="P757" s="123"/>
      <c r="Q757" s="123"/>
      <c r="R757" s="123"/>
      <c r="S757" s="123"/>
      <c r="T757" s="123"/>
      <c r="U757" s="123"/>
      <c r="V757" s="123"/>
      <c r="W757" s="123"/>
      <c r="X757" s="123"/>
      <c r="Y757" s="123"/>
      <c r="Z757" s="123"/>
    </row>
    <row r="758" spans="2:26" s="235" customFormat="1" ht="13.8">
      <c r="B758" s="307"/>
      <c r="C758" s="307"/>
      <c r="D758" s="307"/>
      <c r="E758" s="307"/>
      <c r="F758" s="307"/>
      <c r="M758" s="123"/>
      <c r="N758" s="123"/>
      <c r="O758" s="123"/>
      <c r="P758" s="123"/>
      <c r="Q758" s="123"/>
      <c r="R758" s="123"/>
      <c r="S758" s="123"/>
      <c r="T758" s="123"/>
      <c r="U758" s="123"/>
      <c r="V758" s="123"/>
      <c r="W758" s="123"/>
      <c r="X758" s="123"/>
      <c r="Y758" s="123"/>
      <c r="Z758" s="123"/>
    </row>
    <row r="759" spans="2:26" s="235" customFormat="1" ht="13.8">
      <c r="B759" s="307"/>
      <c r="C759" s="307"/>
      <c r="D759" s="307"/>
      <c r="E759" s="307"/>
      <c r="F759" s="307"/>
      <c r="M759" s="123"/>
      <c r="N759" s="123"/>
      <c r="O759" s="123"/>
      <c r="P759" s="123"/>
      <c r="Q759" s="123"/>
      <c r="R759" s="123"/>
      <c r="S759" s="123"/>
      <c r="T759" s="123"/>
      <c r="U759" s="123"/>
      <c r="V759" s="123"/>
      <c r="W759" s="123"/>
      <c r="X759" s="123"/>
      <c r="Y759" s="123"/>
      <c r="Z759" s="123"/>
    </row>
    <row r="760" spans="2:26" s="235" customFormat="1" ht="13.8">
      <c r="B760" s="307"/>
      <c r="C760" s="307"/>
      <c r="D760" s="307"/>
      <c r="E760" s="307"/>
      <c r="F760" s="307"/>
      <c r="M760" s="123"/>
      <c r="N760" s="123"/>
      <c r="O760" s="123"/>
      <c r="P760" s="123"/>
      <c r="Q760" s="123"/>
      <c r="R760" s="123"/>
      <c r="S760" s="123"/>
      <c r="T760" s="123"/>
      <c r="U760" s="123"/>
      <c r="V760" s="123"/>
      <c r="W760" s="123"/>
      <c r="X760" s="123"/>
      <c r="Y760" s="123"/>
      <c r="Z760" s="123"/>
    </row>
    <row r="761" spans="2:26" s="235" customFormat="1" ht="13.8">
      <c r="B761" s="307"/>
      <c r="C761" s="307"/>
      <c r="D761" s="307"/>
      <c r="E761" s="307"/>
      <c r="F761" s="307"/>
      <c r="M761" s="123"/>
      <c r="N761" s="123"/>
      <c r="O761" s="123"/>
      <c r="P761" s="123"/>
      <c r="Q761" s="123"/>
      <c r="R761" s="123"/>
      <c r="S761" s="123"/>
      <c r="T761" s="123"/>
      <c r="U761" s="123"/>
      <c r="V761" s="123"/>
      <c r="W761" s="123"/>
      <c r="X761" s="123"/>
      <c r="Y761" s="123"/>
      <c r="Z761" s="123"/>
    </row>
    <row r="762" spans="2:26" s="235" customFormat="1" ht="13.8">
      <c r="B762" s="307"/>
      <c r="C762" s="307"/>
      <c r="D762" s="307"/>
      <c r="E762" s="307"/>
      <c r="F762" s="307"/>
      <c r="M762" s="123"/>
      <c r="N762" s="123"/>
      <c r="O762" s="123"/>
      <c r="P762" s="123"/>
      <c r="Q762" s="123"/>
      <c r="R762" s="123"/>
      <c r="S762" s="123"/>
      <c r="T762" s="123"/>
      <c r="U762" s="123"/>
      <c r="V762" s="123"/>
      <c r="W762" s="123"/>
      <c r="X762" s="123"/>
      <c r="Y762" s="123"/>
      <c r="Z762" s="123"/>
    </row>
    <row r="763" spans="2:26" s="235" customFormat="1" ht="13.8">
      <c r="B763" s="307"/>
      <c r="C763" s="307"/>
      <c r="D763" s="307"/>
      <c r="E763" s="307"/>
      <c r="F763" s="307"/>
      <c r="M763" s="123"/>
      <c r="N763" s="123"/>
      <c r="O763" s="123"/>
      <c r="P763" s="123"/>
      <c r="Q763" s="123"/>
      <c r="R763" s="123"/>
      <c r="S763" s="123"/>
      <c r="T763" s="123"/>
      <c r="U763" s="123"/>
      <c r="V763" s="123"/>
      <c r="W763" s="123"/>
      <c r="X763" s="123"/>
      <c r="Y763" s="123"/>
      <c r="Z763" s="123"/>
    </row>
    <row r="764" spans="2:26" s="235" customFormat="1" ht="13.8">
      <c r="B764" s="307"/>
      <c r="C764" s="307"/>
      <c r="D764" s="307"/>
      <c r="E764" s="307"/>
      <c r="F764" s="307"/>
      <c r="M764" s="123"/>
      <c r="N764" s="123"/>
      <c r="O764" s="123"/>
      <c r="P764" s="123"/>
      <c r="Q764" s="123"/>
      <c r="R764" s="123"/>
      <c r="S764" s="123"/>
      <c r="T764" s="123"/>
      <c r="U764" s="123"/>
      <c r="V764" s="123"/>
      <c r="W764" s="123"/>
      <c r="X764" s="123"/>
      <c r="Y764" s="123"/>
      <c r="Z764" s="123"/>
    </row>
    <row r="765" spans="2:26" s="235" customFormat="1" ht="13.8">
      <c r="B765" s="307"/>
      <c r="C765" s="307"/>
      <c r="D765" s="307"/>
      <c r="E765" s="307"/>
      <c r="F765" s="307"/>
      <c r="M765" s="123"/>
      <c r="N765" s="123"/>
      <c r="O765" s="123"/>
      <c r="P765" s="123"/>
      <c r="Q765" s="123"/>
      <c r="R765" s="123"/>
      <c r="S765" s="123"/>
      <c r="T765" s="123"/>
      <c r="U765" s="123"/>
      <c r="V765" s="123"/>
      <c r="W765" s="123"/>
      <c r="X765" s="123"/>
      <c r="Y765" s="123"/>
      <c r="Z765" s="123"/>
    </row>
    <row r="766" spans="2:26" s="235" customFormat="1" ht="13.8">
      <c r="B766" s="307"/>
      <c r="C766" s="307"/>
      <c r="D766" s="307"/>
      <c r="E766" s="307"/>
      <c r="F766" s="307"/>
      <c r="M766" s="123"/>
      <c r="N766" s="123"/>
      <c r="O766" s="123"/>
      <c r="P766" s="123"/>
      <c r="Q766" s="123"/>
      <c r="R766" s="123"/>
      <c r="S766" s="123"/>
      <c r="T766" s="123"/>
      <c r="U766" s="123"/>
      <c r="V766" s="123"/>
      <c r="W766" s="123"/>
      <c r="X766" s="123"/>
      <c r="Y766" s="123"/>
      <c r="Z766" s="123"/>
    </row>
    <row r="767" spans="2:26" s="235" customFormat="1" ht="13.8">
      <c r="B767" s="307"/>
      <c r="C767" s="307"/>
      <c r="D767" s="307"/>
      <c r="E767" s="307"/>
      <c r="F767" s="307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123"/>
    </row>
    <row r="768" spans="2:26" s="235" customFormat="1" ht="13.8">
      <c r="B768" s="307"/>
      <c r="C768" s="307"/>
      <c r="D768" s="307"/>
      <c r="E768" s="307"/>
      <c r="F768" s="307"/>
      <c r="M768" s="123"/>
      <c r="N768" s="123"/>
      <c r="O768" s="123"/>
      <c r="P768" s="123"/>
      <c r="Q768" s="123"/>
      <c r="R768" s="123"/>
      <c r="S768" s="123"/>
      <c r="T768" s="123"/>
      <c r="U768" s="123"/>
      <c r="V768" s="123"/>
      <c r="W768" s="123"/>
      <c r="X768" s="123"/>
      <c r="Y768" s="123"/>
      <c r="Z768" s="123"/>
    </row>
    <row r="769" spans="2:26" s="235" customFormat="1" ht="13.8">
      <c r="B769" s="307"/>
      <c r="C769" s="307"/>
      <c r="D769" s="307"/>
      <c r="E769" s="307"/>
      <c r="F769" s="307"/>
      <c r="M769" s="123"/>
      <c r="N769" s="123"/>
      <c r="O769" s="123"/>
      <c r="P769" s="123"/>
      <c r="Q769" s="123"/>
      <c r="R769" s="123"/>
      <c r="S769" s="123"/>
      <c r="T769" s="123"/>
      <c r="U769" s="123"/>
      <c r="V769" s="123"/>
      <c r="W769" s="123"/>
      <c r="X769" s="123"/>
      <c r="Y769" s="123"/>
      <c r="Z769" s="123"/>
    </row>
    <row r="770" spans="2:26" s="235" customFormat="1" ht="13.8">
      <c r="B770" s="307"/>
      <c r="C770" s="307"/>
      <c r="D770" s="307"/>
      <c r="E770" s="307"/>
      <c r="F770" s="307"/>
      <c r="M770" s="123"/>
      <c r="N770" s="123"/>
      <c r="O770" s="123"/>
      <c r="P770" s="123"/>
      <c r="Q770" s="123"/>
      <c r="R770" s="123"/>
      <c r="S770" s="123"/>
      <c r="T770" s="123"/>
      <c r="U770" s="123"/>
      <c r="V770" s="123"/>
      <c r="W770" s="123"/>
      <c r="X770" s="123"/>
      <c r="Y770" s="123"/>
      <c r="Z770" s="123"/>
    </row>
    <row r="771" spans="2:26" s="235" customFormat="1" ht="13.8">
      <c r="B771" s="307"/>
      <c r="C771" s="307"/>
      <c r="D771" s="307"/>
      <c r="E771" s="307"/>
      <c r="F771" s="307"/>
      <c r="M771" s="123"/>
      <c r="N771" s="123"/>
      <c r="O771" s="123"/>
      <c r="P771" s="123"/>
      <c r="Q771" s="123"/>
      <c r="R771" s="123"/>
      <c r="S771" s="123"/>
      <c r="T771" s="123"/>
      <c r="U771" s="123"/>
      <c r="V771" s="123"/>
      <c r="W771" s="123"/>
      <c r="X771" s="123"/>
      <c r="Y771" s="123"/>
      <c r="Z771" s="123"/>
    </row>
    <row r="772" spans="2:26" s="235" customFormat="1" ht="13.8">
      <c r="B772" s="307"/>
      <c r="C772" s="307"/>
      <c r="D772" s="307"/>
      <c r="E772" s="307"/>
      <c r="F772" s="307"/>
      <c r="M772" s="123"/>
      <c r="N772" s="123"/>
      <c r="O772" s="123"/>
      <c r="P772" s="123"/>
      <c r="Q772" s="123"/>
      <c r="R772" s="123"/>
      <c r="S772" s="123"/>
      <c r="T772" s="123"/>
      <c r="U772" s="123"/>
      <c r="V772" s="123"/>
      <c r="W772" s="123"/>
      <c r="X772" s="123"/>
      <c r="Y772" s="123"/>
      <c r="Z772" s="123"/>
    </row>
    <row r="773" spans="2:26" s="235" customFormat="1" ht="13.8">
      <c r="B773" s="307"/>
      <c r="C773" s="307"/>
      <c r="D773" s="307"/>
      <c r="E773" s="307"/>
      <c r="F773" s="307"/>
      <c r="M773" s="123"/>
      <c r="N773" s="123"/>
      <c r="O773" s="123"/>
      <c r="P773" s="123"/>
      <c r="Q773" s="123"/>
      <c r="R773" s="123"/>
      <c r="S773" s="123"/>
      <c r="T773" s="123"/>
      <c r="U773" s="123"/>
      <c r="V773" s="123"/>
      <c r="W773" s="123"/>
      <c r="X773" s="123"/>
      <c r="Y773" s="123"/>
      <c r="Z773" s="123"/>
    </row>
    <row r="774" spans="2:26" s="235" customFormat="1" ht="13.8">
      <c r="B774" s="307"/>
      <c r="C774" s="307"/>
      <c r="D774" s="307"/>
      <c r="E774" s="307"/>
      <c r="F774" s="307"/>
      <c r="M774" s="123"/>
      <c r="N774" s="123"/>
      <c r="O774" s="123"/>
      <c r="P774" s="123"/>
      <c r="Q774" s="123"/>
      <c r="R774" s="123"/>
      <c r="S774" s="123"/>
      <c r="T774" s="123"/>
      <c r="U774" s="123"/>
      <c r="V774" s="123"/>
      <c r="W774" s="123"/>
      <c r="X774" s="123"/>
      <c r="Y774" s="123"/>
      <c r="Z774" s="123"/>
    </row>
    <row r="775" spans="2:26" s="235" customFormat="1" ht="13.8">
      <c r="B775" s="307"/>
      <c r="C775" s="307"/>
      <c r="D775" s="307"/>
      <c r="E775" s="307"/>
      <c r="F775" s="307"/>
      <c r="M775" s="123"/>
      <c r="N775" s="123"/>
      <c r="O775" s="123"/>
      <c r="P775" s="123"/>
      <c r="Q775" s="123"/>
      <c r="R775" s="123"/>
      <c r="S775" s="123"/>
      <c r="T775" s="123"/>
      <c r="U775" s="123"/>
      <c r="V775" s="123"/>
      <c r="W775" s="123"/>
      <c r="X775" s="123"/>
      <c r="Y775" s="123"/>
      <c r="Z775" s="123"/>
    </row>
    <row r="776" spans="2:26" s="235" customFormat="1" ht="13.8">
      <c r="B776" s="307"/>
      <c r="C776" s="307"/>
      <c r="D776" s="307"/>
      <c r="E776" s="307"/>
      <c r="F776" s="307"/>
      <c r="M776" s="123"/>
      <c r="N776" s="123"/>
      <c r="O776" s="123"/>
      <c r="P776" s="123"/>
      <c r="Q776" s="123"/>
      <c r="R776" s="123"/>
      <c r="S776" s="123"/>
      <c r="T776" s="123"/>
      <c r="U776" s="123"/>
      <c r="V776" s="123"/>
      <c r="W776" s="123"/>
      <c r="X776" s="123"/>
      <c r="Y776" s="123"/>
      <c r="Z776" s="123"/>
    </row>
    <row r="777" spans="2:26" s="235" customFormat="1" ht="13.8">
      <c r="B777" s="307"/>
      <c r="C777" s="307"/>
      <c r="D777" s="307"/>
      <c r="E777" s="307"/>
      <c r="F777" s="307"/>
      <c r="M777" s="123"/>
      <c r="N777" s="123"/>
      <c r="O777" s="123"/>
      <c r="P777" s="123"/>
      <c r="Q777" s="123"/>
      <c r="R777" s="123"/>
      <c r="S777" s="123"/>
      <c r="T777" s="123"/>
      <c r="U777" s="123"/>
      <c r="V777" s="123"/>
      <c r="W777" s="123"/>
      <c r="X777" s="123"/>
      <c r="Y777" s="123"/>
      <c r="Z777" s="123"/>
    </row>
    <row r="778" spans="2:26" s="235" customFormat="1" ht="13.8">
      <c r="B778" s="307"/>
      <c r="C778" s="307"/>
      <c r="D778" s="307"/>
      <c r="E778" s="307"/>
      <c r="F778" s="307"/>
      <c r="M778" s="123"/>
      <c r="N778" s="123"/>
      <c r="O778" s="123"/>
      <c r="P778" s="123"/>
      <c r="Q778" s="123"/>
      <c r="R778" s="123"/>
      <c r="S778" s="123"/>
      <c r="T778" s="123"/>
      <c r="U778" s="123"/>
      <c r="V778" s="123"/>
      <c r="W778" s="123"/>
      <c r="X778" s="123"/>
      <c r="Y778" s="123"/>
      <c r="Z778" s="123"/>
    </row>
    <row r="779" spans="2:26" s="235" customFormat="1" ht="13.8">
      <c r="B779" s="307"/>
      <c r="C779" s="307"/>
      <c r="D779" s="307"/>
      <c r="E779" s="307"/>
      <c r="F779" s="307"/>
      <c r="M779" s="123"/>
      <c r="N779" s="123"/>
      <c r="O779" s="123"/>
      <c r="P779" s="123"/>
      <c r="Q779" s="123"/>
      <c r="R779" s="123"/>
      <c r="S779" s="123"/>
      <c r="T779" s="123"/>
      <c r="U779" s="123"/>
      <c r="V779" s="123"/>
      <c r="W779" s="123"/>
      <c r="X779" s="123"/>
      <c r="Y779" s="123"/>
      <c r="Z779" s="123"/>
    </row>
    <row r="780" spans="2:26" s="235" customFormat="1" ht="13.8">
      <c r="B780" s="307"/>
      <c r="C780" s="307"/>
      <c r="D780" s="307"/>
      <c r="E780" s="307"/>
      <c r="F780" s="307"/>
      <c r="M780" s="123"/>
      <c r="N780" s="123"/>
      <c r="O780" s="123"/>
      <c r="P780" s="123"/>
      <c r="Q780" s="123"/>
      <c r="R780" s="123"/>
      <c r="S780" s="123"/>
      <c r="T780" s="123"/>
      <c r="U780" s="123"/>
      <c r="V780" s="123"/>
      <c r="W780" s="123"/>
      <c r="X780" s="123"/>
      <c r="Y780" s="123"/>
      <c r="Z780" s="123"/>
    </row>
    <row r="781" spans="2:26" s="235" customFormat="1" ht="13.8">
      <c r="B781" s="307"/>
      <c r="C781" s="307"/>
      <c r="D781" s="307"/>
      <c r="E781" s="307"/>
      <c r="F781" s="307"/>
      <c r="M781" s="123"/>
      <c r="N781" s="123"/>
      <c r="O781" s="123"/>
      <c r="P781" s="123"/>
      <c r="Q781" s="123"/>
      <c r="R781" s="123"/>
      <c r="S781" s="123"/>
      <c r="T781" s="123"/>
      <c r="U781" s="123"/>
      <c r="V781" s="123"/>
      <c r="W781" s="123"/>
      <c r="X781" s="123"/>
      <c r="Y781" s="123"/>
      <c r="Z781" s="123"/>
    </row>
    <row r="782" spans="2:26" s="235" customFormat="1" ht="13.8">
      <c r="B782" s="307"/>
      <c r="C782" s="307"/>
      <c r="D782" s="307"/>
      <c r="E782" s="307"/>
      <c r="F782" s="307"/>
      <c r="M782" s="123"/>
      <c r="N782" s="123"/>
      <c r="O782" s="123"/>
      <c r="P782" s="123"/>
      <c r="Q782" s="123"/>
      <c r="R782" s="123"/>
      <c r="S782" s="123"/>
      <c r="T782" s="123"/>
      <c r="U782" s="123"/>
      <c r="V782" s="123"/>
      <c r="W782" s="123"/>
      <c r="X782" s="123"/>
      <c r="Y782" s="123"/>
      <c r="Z782" s="123"/>
    </row>
    <row r="783" spans="2:26" s="235" customFormat="1" ht="13.8">
      <c r="B783" s="307"/>
      <c r="C783" s="307"/>
      <c r="D783" s="307"/>
      <c r="E783" s="307"/>
      <c r="F783" s="307"/>
      <c r="M783" s="123"/>
      <c r="N783" s="123"/>
      <c r="O783" s="123"/>
      <c r="P783" s="123"/>
      <c r="Q783" s="123"/>
      <c r="R783" s="123"/>
      <c r="S783" s="123"/>
      <c r="T783" s="123"/>
      <c r="U783" s="123"/>
      <c r="V783" s="123"/>
      <c r="W783" s="123"/>
      <c r="X783" s="123"/>
      <c r="Y783" s="123"/>
      <c r="Z783" s="123"/>
    </row>
    <row r="784" spans="2:26" s="235" customFormat="1" ht="13.8">
      <c r="B784" s="307"/>
      <c r="C784" s="307"/>
      <c r="D784" s="307"/>
      <c r="E784" s="307"/>
      <c r="F784" s="307"/>
      <c r="M784" s="123"/>
      <c r="N784" s="123"/>
      <c r="O784" s="123"/>
      <c r="P784" s="123"/>
      <c r="Q784" s="123"/>
      <c r="R784" s="123"/>
      <c r="S784" s="123"/>
      <c r="T784" s="123"/>
      <c r="U784" s="123"/>
      <c r="V784" s="123"/>
      <c r="W784" s="123"/>
      <c r="X784" s="123"/>
      <c r="Y784" s="123"/>
      <c r="Z784" s="123"/>
    </row>
    <row r="785" spans="2:26" s="235" customFormat="1" ht="13.8">
      <c r="B785" s="307"/>
      <c r="C785" s="307"/>
      <c r="D785" s="307"/>
      <c r="E785" s="307"/>
      <c r="F785" s="307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  <c r="Z785" s="123"/>
    </row>
    <row r="786" spans="2:26" s="235" customFormat="1" ht="13.8">
      <c r="B786" s="307"/>
      <c r="C786" s="307"/>
      <c r="D786" s="307"/>
      <c r="E786" s="307"/>
      <c r="F786" s="307"/>
      <c r="M786" s="123"/>
      <c r="N786" s="123"/>
      <c r="O786" s="123"/>
      <c r="P786" s="123"/>
      <c r="Q786" s="123"/>
      <c r="R786" s="123"/>
      <c r="S786" s="123"/>
      <c r="T786" s="123"/>
      <c r="U786" s="123"/>
      <c r="V786" s="123"/>
      <c r="W786" s="123"/>
      <c r="X786" s="123"/>
      <c r="Y786" s="123"/>
      <c r="Z786" s="123"/>
    </row>
    <row r="787" spans="2:26" s="235" customFormat="1" ht="13.8">
      <c r="B787" s="307"/>
      <c r="C787" s="307"/>
      <c r="D787" s="307"/>
      <c r="E787" s="307"/>
      <c r="F787" s="307"/>
      <c r="M787" s="123"/>
      <c r="N787" s="123"/>
      <c r="O787" s="123"/>
      <c r="P787" s="123"/>
      <c r="Q787" s="123"/>
      <c r="R787" s="123"/>
      <c r="S787" s="123"/>
      <c r="T787" s="123"/>
      <c r="U787" s="123"/>
      <c r="V787" s="123"/>
      <c r="W787" s="123"/>
      <c r="X787" s="123"/>
      <c r="Y787" s="123"/>
      <c r="Z787" s="123"/>
    </row>
    <row r="788" spans="2:26" s="235" customFormat="1" ht="13.8">
      <c r="B788" s="307"/>
      <c r="C788" s="307"/>
      <c r="D788" s="307"/>
      <c r="E788" s="307"/>
      <c r="F788" s="307"/>
      <c r="M788" s="123"/>
      <c r="N788" s="123"/>
      <c r="O788" s="123"/>
      <c r="P788" s="123"/>
      <c r="Q788" s="123"/>
      <c r="R788" s="123"/>
      <c r="S788" s="123"/>
      <c r="T788" s="123"/>
      <c r="U788" s="123"/>
      <c r="V788" s="123"/>
      <c r="W788" s="123"/>
      <c r="X788" s="123"/>
      <c r="Y788" s="123"/>
      <c r="Z788" s="123"/>
    </row>
    <row r="789" spans="2:26" s="235" customFormat="1" ht="13.8">
      <c r="B789" s="307"/>
      <c r="C789" s="307"/>
      <c r="D789" s="307"/>
      <c r="E789" s="307"/>
      <c r="F789" s="307"/>
      <c r="M789" s="123"/>
      <c r="N789" s="123"/>
      <c r="O789" s="123"/>
      <c r="P789" s="123"/>
      <c r="Q789" s="123"/>
      <c r="R789" s="123"/>
      <c r="S789" s="123"/>
      <c r="T789" s="123"/>
      <c r="U789" s="123"/>
      <c r="V789" s="123"/>
      <c r="W789" s="123"/>
      <c r="X789" s="123"/>
      <c r="Y789" s="123"/>
      <c r="Z789" s="123"/>
    </row>
    <row r="790" spans="2:26" s="235" customFormat="1" ht="13.8">
      <c r="B790" s="307"/>
      <c r="C790" s="307"/>
      <c r="D790" s="307"/>
      <c r="E790" s="307"/>
      <c r="F790" s="307"/>
      <c r="M790" s="123"/>
      <c r="N790" s="123"/>
      <c r="O790" s="123"/>
      <c r="P790" s="123"/>
      <c r="Q790" s="123"/>
      <c r="R790" s="123"/>
      <c r="S790" s="123"/>
      <c r="T790" s="123"/>
      <c r="U790" s="123"/>
      <c r="V790" s="123"/>
      <c r="W790" s="123"/>
      <c r="X790" s="123"/>
      <c r="Y790" s="123"/>
      <c r="Z790" s="123"/>
    </row>
    <row r="791" spans="2:26" s="235" customFormat="1" ht="13.8">
      <c r="B791" s="307"/>
      <c r="C791" s="307"/>
      <c r="D791" s="307"/>
      <c r="E791" s="307"/>
      <c r="F791" s="307"/>
      <c r="M791" s="123"/>
      <c r="N791" s="123"/>
      <c r="O791" s="123"/>
      <c r="P791" s="123"/>
      <c r="Q791" s="123"/>
      <c r="R791" s="123"/>
      <c r="S791" s="123"/>
      <c r="T791" s="123"/>
      <c r="U791" s="123"/>
      <c r="V791" s="123"/>
      <c r="W791" s="123"/>
      <c r="X791" s="123"/>
      <c r="Y791" s="123"/>
      <c r="Z791" s="123"/>
    </row>
    <row r="792" spans="2:26" s="235" customFormat="1" ht="13.8">
      <c r="B792" s="307"/>
      <c r="C792" s="307"/>
      <c r="D792" s="307"/>
      <c r="E792" s="307"/>
      <c r="F792" s="307"/>
      <c r="M792" s="123"/>
      <c r="N792" s="123"/>
      <c r="O792" s="123"/>
      <c r="P792" s="123"/>
      <c r="Q792" s="123"/>
      <c r="R792" s="123"/>
      <c r="S792" s="123"/>
      <c r="T792" s="123"/>
      <c r="U792" s="123"/>
      <c r="V792" s="123"/>
      <c r="W792" s="123"/>
      <c r="X792" s="123"/>
      <c r="Y792" s="123"/>
      <c r="Z792" s="123"/>
    </row>
    <row r="793" spans="2:26" s="235" customFormat="1" ht="13.8">
      <c r="B793" s="307"/>
      <c r="C793" s="307"/>
      <c r="D793" s="307"/>
      <c r="E793" s="307"/>
      <c r="F793" s="307"/>
      <c r="M793" s="123"/>
      <c r="N793" s="123"/>
      <c r="O793" s="123"/>
      <c r="P793" s="123"/>
      <c r="Q793" s="123"/>
      <c r="R793" s="123"/>
      <c r="S793" s="123"/>
      <c r="T793" s="123"/>
      <c r="U793" s="123"/>
      <c r="V793" s="123"/>
      <c r="W793" s="123"/>
      <c r="X793" s="123"/>
      <c r="Y793" s="123"/>
      <c r="Z793" s="123"/>
    </row>
    <row r="794" spans="2:26" s="235" customFormat="1" ht="13.8">
      <c r="B794" s="307"/>
      <c r="C794" s="307"/>
      <c r="D794" s="307"/>
      <c r="E794" s="307"/>
      <c r="F794" s="307"/>
      <c r="M794" s="123"/>
      <c r="N794" s="123"/>
      <c r="O794" s="123"/>
      <c r="P794" s="123"/>
      <c r="Q794" s="123"/>
      <c r="R794" s="123"/>
      <c r="S794" s="123"/>
      <c r="T794" s="123"/>
      <c r="U794" s="123"/>
      <c r="V794" s="123"/>
      <c r="W794" s="123"/>
      <c r="X794" s="123"/>
      <c r="Y794" s="123"/>
      <c r="Z794" s="123"/>
    </row>
    <row r="795" spans="2:26" s="235" customFormat="1" ht="13.8">
      <c r="B795" s="307"/>
      <c r="C795" s="307"/>
      <c r="D795" s="307"/>
      <c r="E795" s="307"/>
      <c r="F795" s="307"/>
      <c r="M795" s="123"/>
      <c r="N795" s="123"/>
      <c r="O795" s="123"/>
      <c r="P795" s="123"/>
      <c r="Q795" s="123"/>
      <c r="R795" s="123"/>
      <c r="S795" s="123"/>
      <c r="T795" s="123"/>
      <c r="U795" s="123"/>
      <c r="V795" s="123"/>
      <c r="W795" s="123"/>
      <c r="X795" s="123"/>
      <c r="Y795" s="123"/>
      <c r="Z795" s="123"/>
    </row>
    <row r="796" spans="2:26" s="235" customFormat="1" ht="13.8">
      <c r="B796" s="307"/>
      <c r="C796" s="307"/>
      <c r="D796" s="307"/>
      <c r="E796" s="307"/>
      <c r="F796" s="307"/>
      <c r="M796" s="123"/>
      <c r="N796" s="123"/>
      <c r="O796" s="123"/>
      <c r="P796" s="123"/>
      <c r="Q796" s="123"/>
      <c r="R796" s="123"/>
      <c r="S796" s="123"/>
      <c r="T796" s="123"/>
      <c r="U796" s="123"/>
      <c r="V796" s="123"/>
      <c r="W796" s="123"/>
      <c r="X796" s="123"/>
      <c r="Y796" s="123"/>
      <c r="Z796" s="123"/>
    </row>
    <row r="797" spans="2:26" s="235" customFormat="1" ht="13.8">
      <c r="B797" s="307"/>
      <c r="C797" s="307"/>
      <c r="D797" s="307"/>
      <c r="E797" s="307"/>
      <c r="F797" s="307"/>
      <c r="M797" s="123"/>
      <c r="N797" s="123"/>
      <c r="O797" s="123"/>
      <c r="P797" s="123"/>
      <c r="Q797" s="123"/>
      <c r="R797" s="123"/>
      <c r="S797" s="123"/>
      <c r="T797" s="123"/>
      <c r="U797" s="123"/>
      <c r="V797" s="123"/>
      <c r="W797" s="123"/>
      <c r="X797" s="123"/>
      <c r="Y797" s="123"/>
      <c r="Z797" s="123"/>
    </row>
    <row r="798" spans="2:26" s="235" customFormat="1" ht="13.8">
      <c r="B798" s="307"/>
      <c r="C798" s="307"/>
      <c r="D798" s="307"/>
      <c r="E798" s="307"/>
      <c r="F798" s="307"/>
      <c r="M798" s="123"/>
      <c r="N798" s="123"/>
      <c r="O798" s="123"/>
      <c r="P798" s="123"/>
      <c r="Q798" s="123"/>
      <c r="R798" s="123"/>
      <c r="S798" s="123"/>
      <c r="T798" s="123"/>
      <c r="U798" s="123"/>
      <c r="V798" s="123"/>
      <c r="W798" s="123"/>
      <c r="X798" s="123"/>
      <c r="Y798" s="123"/>
      <c r="Z798" s="123"/>
    </row>
    <row r="799" spans="2:26" s="235" customFormat="1" ht="13.8">
      <c r="B799" s="307"/>
      <c r="C799" s="307"/>
      <c r="D799" s="307"/>
      <c r="E799" s="307"/>
      <c r="F799" s="307"/>
      <c r="M799" s="123"/>
      <c r="N799" s="123"/>
      <c r="O799" s="123"/>
      <c r="P799" s="123"/>
      <c r="Q799" s="123"/>
      <c r="R799" s="123"/>
      <c r="S799" s="123"/>
      <c r="T799" s="123"/>
      <c r="U799" s="123"/>
      <c r="V799" s="123"/>
      <c r="W799" s="123"/>
      <c r="X799" s="123"/>
      <c r="Y799" s="123"/>
      <c r="Z799" s="123"/>
    </row>
    <row r="800" spans="2:26" s="235" customFormat="1" ht="13.8">
      <c r="B800" s="307"/>
      <c r="C800" s="307"/>
      <c r="D800" s="307"/>
      <c r="E800" s="307"/>
      <c r="F800" s="307"/>
      <c r="M800" s="123"/>
      <c r="N800" s="123"/>
      <c r="O800" s="123"/>
      <c r="P800" s="123"/>
      <c r="Q800" s="123"/>
      <c r="R800" s="123"/>
      <c r="S800" s="123"/>
      <c r="T800" s="123"/>
      <c r="U800" s="123"/>
      <c r="V800" s="123"/>
      <c r="W800" s="123"/>
      <c r="X800" s="123"/>
      <c r="Y800" s="123"/>
      <c r="Z800" s="123"/>
    </row>
    <row r="801" spans="2:26" s="235" customFormat="1" ht="13.8">
      <c r="B801" s="307"/>
      <c r="C801" s="307"/>
      <c r="D801" s="307"/>
      <c r="E801" s="307"/>
      <c r="F801" s="307"/>
      <c r="M801" s="123"/>
      <c r="N801" s="123"/>
      <c r="O801" s="123"/>
      <c r="P801" s="123"/>
      <c r="Q801" s="123"/>
      <c r="R801" s="123"/>
      <c r="S801" s="123"/>
      <c r="T801" s="123"/>
      <c r="U801" s="123"/>
      <c r="V801" s="123"/>
      <c r="W801" s="123"/>
      <c r="X801" s="123"/>
      <c r="Y801" s="123"/>
      <c r="Z801" s="123"/>
    </row>
    <row r="802" spans="2:26" s="235" customFormat="1" ht="13.8">
      <c r="B802" s="307"/>
      <c r="C802" s="307"/>
      <c r="D802" s="307"/>
      <c r="E802" s="307"/>
      <c r="F802" s="307"/>
      <c r="M802" s="123"/>
      <c r="N802" s="123"/>
      <c r="O802" s="123"/>
      <c r="P802" s="123"/>
      <c r="Q802" s="123"/>
      <c r="R802" s="123"/>
      <c r="S802" s="123"/>
      <c r="T802" s="123"/>
      <c r="U802" s="123"/>
      <c r="V802" s="123"/>
      <c r="W802" s="123"/>
      <c r="X802" s="123"/>
      <c r="Y802" s="123"/>
      <c r="Z802" s="123"/>
    </row>
    <row r="803" spans="2:26" s="235" customFormat="1" ht="13.8">
      <c r="B803" s="307"/>
      <c r="C803" s="307"/>
      <c r="D803" s="307"/>
      <c r="E803" s="307"/>
      <c r="F803" s="307"/>
      <c r="M803" s="123"/>
      <c r="N803" s="123"/>
      <c r="O803" s="123"/>
      <c r="P803" s="123"/>
      <c r="Q803" s="123"/>
      <c r="R803" s="123"/>
      <c r="S803" s="123"/>
      <c r="T803" s="123"/>
      <c r="U803" s="123"/>
      <c r="V803" s="123"/>
      <c r="W803" s="123"/>
      <c r="X803" s="123"/>
      <c r="Y803" s="123"/>
      <c r="Z803" s="123"/>
    </row>
    <row r="804" spans="2:26" s="235" customFormat="1" ht="13.8">
      <c r="B804" s="307"/>
      <c r="C804" s="307"/>
      <c r="D804" s="307"/>
      <c r="E804" s="307"/>
      <c r="F804" s="307"/>
      <c r="M804" s="123"/>
      <c r="N804" s="123"/>
      <c r="O804" s="123"/>
      <c r="P804" s="123"/>
      <c r="Q804" s="123"/>
      <c r="R804" s="123"/>
      <c r="S804" s="123"/>
      <c r="T804" s="123"/>
      <c r="U804" s="123"/>
      <c r="V804" s="123"/>
      <c r="W804" s="123"/>
      <c r="X804" s="123"/>
      <c r="Y804" s="123"/>
      <c r="Z804" s="123"/>
    </row>
    <row r="805" spans="2:26" s="235" customFormat="1" ht="13.8">
      <c r="B805" s="307"/>
      <c r="C805" s="307"/>
      <c r="D805" s="307"/>
      <c r="E805" s="307"/>
      <c r="F805" s="307"/>
      <c r="M805" s="123"/>
      <c r="N805" s="123"/>
      <c r="O805" s="123"/>
      <c r="P805" s="123"/>
      <c r="Q805" s="123"/>
      <c r="R805" s="123"/>
      <c r="S805" s="123"/>
      <c r="T805" s="123"/>
      <c r="U805" s="123"/>
      <c r="V805" s="123"/>
      <c r="W805" s="123"/>
      <c r="X805" s="123"/>
      <c r="Y805" s="123"/>
      <c r="Z805" s="123"/>
    </row>
    <row r="806" spans="2:26" s="235" customFormat="1" ht="13.8">
      <c r="B806" s="307"/>
      <c r="C806" s="307"/>
      <c r="D806" s="307"/>
      <c r="E806" s="307"/>
      <c r="F806" s="307"/>
      <c r="M806" s="123"/>
      <c r="N806" s="123"/>
      <c r="O806" s="123"/>
      <c r="P806" s="123"/>
      <c r="Q806" s="123"/>
      <c r="R806" s="123"/>
      <c r="S806" s="123"/>
      <c r="T806" s="123"/>
      <c r="U806" s="123"/>
      <c r="V806" s="123"/>
      <c r="W806" s="123"/>
      <c r="X806" s="123"/>
      <c r="Y806" s="123"/>
      <c r="Z806" s="123"/>
    </row>
    <row r="807" spans="2:26" s="235" customFormat="1" ht="13.8">
      <c r="B807" s="307"/>
      <c r="C807" s="307"/>
      <c r="D807" s="307"/>
      <c r="E807" s="307"/>
      <c r="F807" s="307"/>
      <c r="M807" s="123"/>
      <c r="N807" s="123"/>
      <c r="O807" s="123"/>
      <c r="P807" s="123"/>
      <c r="Q807" s="123"/>
      <c r="R807" s="123"/>
      <c r="S807" s="123"/>
      <c r="T807" s="123"/>
      <c r="U807" s="123"/>
      <c r="V807" s="123"/>
      <c r="W807" s="123"/>
      <c r="X807" s="123"/>
      <c r="Y807" s="123"/>
      <c r="Z807" s="123"/>
    </row>
    <row r="808" spans="2:26" s="235" customFormat="1" ht="13.8">
      <c r="B808" s="307"/>
      <c r="C808" s="307"/>
      <c r="D808" s="307"/>
      <c r="E808" s="307"/>
      <c r="F808" s="307"/>
      <c r="M808" s="123"/>
      <c r="N808" s="123"/>
      <c r="O808" s="123"/>
      <c r="P808" s="123"/>
      <c r="Q808" s="123"/>
      <c r="R808" s="123"/>
      <c r="S808" s="123"/>
      <c r="T808" s="123"/>
      <c r="U808" s="123"/>
      <c r="V808" s="123"/>
      <c r="W808" s="123"/>
      <c r="X808" s="123"/>
      <c r="Y808" s="123"/>
      <c r="Z808" s="123"/>
    </row>
    <row r="809" spans="2:26" s="235" customFormat="1" ht="13.8">
      <c r="B809" s="307"/>
      <c r="C809" s="307"/>
      <c r="D809" s="307"/>
      <c r="E809" s="307"/>
      <c r="F809" s="307"/>
      <c r="M809" s="123"/>
      <c r="N809" s="123"/>
      <c r="O809" s="123"/>
      <c r="P809" s="123"/>
      <c r="Q809" s="123"/>
      <c r="R809" s="123"/>
      <c r="S809" s="123"/>
      <c r="T809" s="123"/>
      <c r="U809" s="123"/>
      <c r="V809" s="123"/>
      <c r="W809" s="123"/>
      <c r="X809" s="123"/>
      <c r="Y809" s="123"/>
      <c r="Z809" s="123"/>
    </row>
    <row r="810" spans="2:26" s="235" customFormat="1" ht="13.8">
      <c r="B810" s="307"/>
      <c r="C810" s="307"/>
      <c r="D810" s="307"/>
      <c r="E810" s="307"/>
      <c r="F810" s="307"/>
      <c r="M810" s="123"/>
      <c r="N810" s="123"/>
      <c r="O810" s="123"/>
      <c r="P810" s="123"/>
      <c r="Q810" s="123"/>
      <c r="R810" s="123"/>
      <c r="S810" s="123"/>
      <c r="T810" s="123"/>
      <c r="U810" s="123"/>
      <c r="V810" s="123"/>
      <c r="W810" s="123"/>
      <c r="X810" s="123"/>
      <c r="Y810" s="123"/>
      <c r="Z810" s="123"/>
    </row>
    <row r="811" spans="2:26" s="235" customFormat="1" ht="13.8">
      <c r="B811" s="307"/>
      <c r="C811" s="307"/>
      <c r="D811" s="307"/>
      <c r="E811" s="307"/>
      <c r="F811" s="307"/>
      <c r="M811" s="123"/>
      <c r="N811" s="123"/>
      <c r="O811" s="123"/>
      <c r="P811" s="123"/>
      <c r="Q811" s="123"/>
      <c r="R811" s="123"/>
      <c r="S811" s="123"/>
      <c r="T811" s="123"/>
      <c r="U811" s="123"/>
      <c r="V811" s="123"/>
      <c r="W811" s="123"/>
      <c r="X811" s="123"/>
      <c r="Y811" s="123"/>
      <c r="Z811" s="123"/>
    </row>
    <row r="812" spans="2:26" s="235" customFormat="1" ht="13.8">
      <c r="B812" s="307"/>
      <c r="C812" s="307"/>
      <c r="D812" s="307"/>
      <c r="E812" s="307"/>
      <c r="F812" s="307"/>
      <c r="M812" s="123"/>
      <c r="N812" s="123"/>
      <c r="O812" s="123"/>
      <c r="P812" s="123"/>
      <c r="Q812" s="123"/>
      <c r="R812" s="123"/>
      <c r="S812" s="123"/>
      <c r="T812" s="123"/>
      <c r="U812" s="123"/>
      <c r="V812" s="123"/>
      <c r="W812" s="123"/>
      <c r="X812" s="123"/>
      <c r="Y812" s="123"/>
      <c r="Z812" s="123"/>
    </row>
    <row r="813" spans="2:26" s="235" customFormat="1" ht="13.8">
      <c r="B813" s="307"/>
      <c r="C813" s="307"/>
      <c r="D813" s="307"/>
      <c r="E813" s="307"/>
      <c r="F813" s="307"/>
      <c r="M813" s="123"/>
      <c r="N813" s="123"/>
      <c r="O813" s="123"/>
      <c r="P813" s="123"/>
      <c r="Q813" s="123"/>
      <c r="R813" s="123"/>
      <c r="S813" s="123"/>
      <c r="T813" s="123"/>
      <c r="U813" s="123"/>
      <c r="V813" s="123"/>
      <c r="W813" s="123"/>
      <c r="X813" s="123"/>
      <c r="Y813" s="123"/>
      <c r="Z813" s="123"/>
    </row>
    <row r="814" spans="2:26" s="235" customFormat="1" ht="13.8">
      <c r="B814" s="307"/>
      <c r="C814" s="307"/>
      <c r="D814" s="307"/>
      <c r="E814" s="307"/>
      <c r="F814" s="307"/>
      <c r="M814" s="123"/>
      <c r="N814" s="123"/>
      <c r="O814" s="123"/>
      <c r="P814" s="123"/>
      <c r="Q814" s="123"/>
      <c r="R814" s="123"/>
      <c r="S814" s="123"/>
      <c r="T814" s="123"/>
      <c r="U814" s="123"/>
      <c r="V814" s="123"/>
      <c r="W814" s="123"/>
      <c r="X814" s="123"/>
      <c r="Y814" s="123"/>
      <c r="Z814" s="123"/>
    </row>
    <row r="815" spans="2:26" s="235" customFormat="1" ht="13.8">
      <c r="B815" s="307"/>
      <c r="C815" s="307"/>
      <c r="D815" s="307"/>
      <c r="E815" s="307"/>
      <c r="F815" s="307"/>
      <c r="M815" s="123"/>
      <c r="N815" s="123"/>
      <c r="O815" s="123"/>
      <c r="P815" s="123"/>
      <c r="Q815" s="123"/>
      <c r="R815" s="123"/>
      <c r="S815" s="123"/>
      <c r="T815" s="123"/>
      <c r="U815" s="123"/>
      <c r="V815" s="123"/>
      <c r="W815" s="123"/>
      <c r="X815" s="123"/>
      <c r="Y815" s="123"/>
      <c r="Z815" s="123"/>
    </row>
    <row r="816" spans="2:26" s="235" customFormat="1" ht="13.8">
      <c r="B816" s="307"/>
      <c r="C816" s="307"/>
      <c r="D816" s="307"/>
      <c r="E816" s="307"/>
      <c r="F816" s="307"/>
      <c r="M816" s="123"/>
      <c r="N816" s="123"/>
      <c r="O816" s="123"/>
      <c r="P816" s="123"/>
      <c r="Q816" s="123"/>
      <c r="R816" s="123"/>
      <c r="S816" s="123"/>
      <c r="T816" s="123"/>
      <c r="U816" s="123"/>
      <c r="V816" s="123"/>
      <c r="W816" s="123"/>
      <c r="X816" s="123"/>
      <c r="Y816" s="123"/>
      <c r="Z816" s="123"/>
    </row>
    <row r="817" spans="2:26" s="235" customFormat="1" ht="13.8">
      <c r="B817" s="307"/>
      <c r="C817" s="307"/>
      <c r="D817" s="307"/>
      <c r="E817" s="307"/>
      <c r="F817" s="307"/>
      <c r="M817" s="123"/>
      <c r="N817" s="123"/>
      <c r="O817" s="123"/>
      <c r="P817" s="123"/>
      <c r="Q817" s="123"/>
      <c r="R817" s="123"/>
      <c r="S817" s="123"/>
      <c r="T817" s="123"/>
      <c r="U817" s="123"/>
      <c r="V817" s="123"/>
      <c r="W817" s="123"/>
      <c r="X817" s="123"/>
      <c r="Y817" s="123"/>
      <c r="Z817" s="123"/>
    </row>
    <row r="818" spans="2:26" s="235" customFormat="1" ht="13.8">
      <c r="B818" s="307"/>
      <c r="C818" s="307"/>
      <c r="D818" s="307"/>
      <c r="E818" s="307"/>
      <c r="F818" s="307"/>
      <c r="M818" s="123"/>
      <c r="N818" s="123"/>
      <c r="O818" s="123"/>
      <c r="P818" s="123"/>
      <c r="Q818" s="123"/>
      <c r="R818" s="123"/>
      <c r="S818" s="123"/>
      <c r="T818" s="123"/>
      <c r="U818" s="123"/>
      <c r="V818" s="123"/>
      <c r="W818" s="123"/>
      <c r="X818" s="123"/>
      <c r="Y818" s="123"/>
      <c r="Z818" s="123"/>
    </row>
    <row r="819" spans="2:26" s="235" customFormat="1" ht="13.8">
      <c r="B819" s="307"/>
      <c r="C819" s="307"/>
      <c r="D819" s="307"/>
      <c r="E819" s="307"/>
      <c r="F819" s="307"/>
      <c r="M819" s="123"/>
      <c r="N819" s="123"/>
      <c r="O819" s="123"/>
      <c r="P819" s="123"/>
      <c r="Q819" s="123"/>
      <c r="R819" s="123"/>
      <c r="S819" s="123"/>
      <c r="T819" s="123"/>
      <c r="U819" s="123"/>
      <c r="V819" s="123"/>
      <c r="W819" s="123"/>
      <c r="X819" s="123"/>
      <c r="Y819" s="123"/>
      <c r="Z819" s="123"/>
    </row>
    <row r="820" spans="2:26" s="235" customFormat="1" ht="13.8">
      <c r="B820" s="307"/>
      <c r="C820" s="307"/>
      <c r="D820" s="307"/>
      <c r="E820" s="307"/>
      <c r="F820" s="307"/>
      <c r="M820" s="123"/>
      <c r="N820" s="123"/>
      <c r="O820" s="123"/>
      <c r="P820" s="123"/>
      <c r="Q820" s="123"/>
      <c r="R820" s="123"/>
      <c r="S820" s="123"/>
      <c r="T820" s="123"/>
      <c r="U820" s="123"/>
      <c r="V820" s="123"/>
      <c r="W820" s="123"/>
      <c r="X820" s="123"/>
      <c r="Y820" s="123"/>
      <c r="Z820" s="123"/>
    </row>
    <row r="821" spans="2:26" s="235" customFormat="1" ht="13.8">
      <c r="B821" s="307"/>
      <c r="C821" s="307"/>
      <c r="D821" s="307"/>
      <c r="E821" s="307"/>
      <c r="F821" s="307"/>
      <c r="M821" s="123"/>
      <c r="N821" s="123"/>
      <c r="O821" s="123"/>
      <c r="P821" s="123"/>
      <c r="Q821" s="123"/>
      <c r="R821" s="123"/>
      <c r="S821" s="123"/>
      <c r="T821" s="123"/>
      <c r="U821" s="123"/>
      <c r="V821" s="123"/>
      <c r="W821" s="123"/>
      <c r="X821" s="123"/>
      <c r="Y821" s="123"/>
      <c r="Z821" s="123"/>
    </row>
    <row r="822" spans="2:26" s="235" customFormat="1" ht="13.8">
      <c r="B822" s="307"/>
      <c r="C822" s="307"/>
      <c r="D822" s="307"/>
      <c r="E822" s="307"/>
      <c r="F822" s="307"/>
      <c r="M822" s="123"/>
      <c r="N822" s="123"/>
      <c r="O822" s="123"/>
      <c r="P822" s="123"/>
      <c r="Q822" s="123"/>
      <c r="R822" s="123"/>
      <c r="S822" s="123"/>
      <c r="T822" s="123"/>
      <c r="U822" s="123"/>
      <c r="V822" s="123"/>
      <c r="W822" s="123"/>
      <c r="X822" s="123"/>
      <c r="Y822" s="123"/>
      <c r="Z822" s="123"/>
    </row>
    <row r="823" spans="2:26" s="235" customFormat="1" ht="13.8">
      <c r="B823" s="307"/>
      <c r="C823" s="307"/>
      <c r="D823" s="307"/>
      <c r="E823" s="307"/>
      <c r="F823" s="307"/>
      <c r="M823" s="123"/>
      <c r="N823" s="123"/>
      <c r="O823" s="123"/>
      <c r="P823" s="123"/>
      <c r="Q823" s="123"/>
      <c r="R823" s="123"/>
      <c r="S823" s="123"/>
      <c r="T823" s="123"/>
      <c r="U823" s="123"/>
      <c r="V823" s="123"/>
      <c r="W823" s="123"/>
      <c r="X823" s="123"/>
      <c r="Y823" s="123"/>
      <c r="Z823" s="123"/>
    </row>
    <row r="824" spans="2:26" s="235" customFormat="1" ht="13.8">
      <c r="B824" s="307"/>
      <c r="C824" s="307"/>
      <c r="D824" s="307"/>
      <c r="E824" s="307"/>
      <c r="F824" s="307"/>
      <c r="M824" s="123"/>
      <c r="N824" s="123"/>
      <c r="O824" s="123"/>
      <c r="P824" s="123"/>
      <c r="Q824" s="123"/>
      <c r="R824" s="123"/>
      <c r="S824" s="123"/>
      <c r="T824" s="123"/>
      <c r="U824" s="123"/>
      <c r="V824" s="123"/>
      <c r="W824" s="123"/>
      <c r="X824" s="123"/>
      <c r="Y824" s="123"/>
      <c r="Z824" s="123"/>
    </row>
    <row r="825" spans="2:26" s="235" customFormat="1" ht="13.8">
      <c r="B825" s="307"/>
      <c r="C825" s="307"/>
      <c r="D825" s="307"/>
      <c r="E825" s="307"/>
      <c r="F825" s="307"/>
      <c r="M825" s="123"/>
      <c r="N825" s="123"/>
      <c r="O825" s="123"/>
      <c r="P825" s="123"/>
      <c r="Q825" s="123"/>
      <c r="R825" s="123"/>
      <c r="S825" s="123"/>
      <c r="T825" s="123"/>
      <c r="U825" s="123"/>
      <c r="V825" s="123"/>
      <c r="W825" s="123"/>
      <c r="X825" s="123"/>
      <c r="Y825" s="123"/>
      <c r="Z825" s="123"/>
    </row>
    <row r="826" spans="2:26" s="235" customFormat="1" ht="13.8">
      <c r="B826" s="307"/>
      <c r="C826" s="307"/>
      <c r="D826" s="307"/>
      <c r="E826" s="307"/>
      <c r="F826" s="307"/>
      <c r="M826" s="123"/>
      <c r="N826" s="123"/>
      <c r="O826" s="123"/>
      <c r="P826" s="123"/>
      <c r="Q826" s="123"/>
      <c r="R826" s="123"/>
      <c r="S826" s="123"/>
      <c r="T826" s="123"/>
      <c r="U826" s="123"/>
      <c r="V826" s="123"/>
      <c r="W826" s="123"/>
      <c r="X826" s="123"/>
      <c r="Y826" s="123"/>
      <c r="Z826" s="123"/>
    </row>
    <row r="827" spans="2:26" s="235" customFormat="1" ht="13.8">
      <c r="B827" s="307"/>
      <c r="C827" s="307"/>
      <c r="D827" s="307"/>
      <c r="E827" s="307"/>
      <c r="F827" s="307"/>
      <c r="M827" s="123"/>
      <c r="N827" s="123"/>
      <c r="O827" s="123"/>
      <c r="P827" s="123"/>
      <c r="Q827" s="123"/>
      <c r="R827" s="123"/>
      <c r="S827" s="123"/>
      <c r="T827" s="123"/>
      <c r="U827" s="123"/>
      <c r="V827" s="123"/>
      <c r="W827" s="123"/>
      <c r="X827" s="123"/>
      <c r="Y827" s="123"/>
      <c r="Z827" s="123"/>
    </row>
    <row r="828" spans="2:26" s="235" customFormat="1" ht="13.8">
      <c r="B828" s="307"/>
      <c r="C828" s="307"/>
      <c r="D828" s="307"/>
      <c r="E828" s="307"/>
      <c r="F828" s="307"/>
      <c r="M828" s="123"/>
      <c r="N828" s="123"/>
      <c r="O828" s="123"/>
      <c r="P828" s="123"/>
      <c r="Q828" s="123"/>
      <c r="R828" s="123"/>
      <c r="S828" s="123"/>
      <c r="T828" s="123"/>
      <c r="U828" s="123"/>
      <c r="V828" s="123"/>
      <c r="W828" s="123"/>
      <c r="X828" s="123"/>
      <c r="Y828" s="123"/>
      <c r="Z828" s="123"/>
    </row>
    <row r="829" spans="2:26" s="235" customFormat="1" ht="13.8">
      <c r="B829" s="307"/>
      <c r="C829" s="307"/>
      <c r="D829" s="307"/>
      <c r="E829" s="307"/>
      <c r="F829" s="307"/>
      <c r="M829" s="123"/>
      <c r="N829" s="123"/>
      <c r="O829" s="123"/>
      <c r="P829" s="123"/>
      <c r="Q829" s="123"/>
      <c r="R829" s="123"/>
      <c r="S829" s="123"/>
      <c r="T829" s="123"/>
      <c r="U829" s="123"/>
      <c r="V829" s="123"/>
      <c r="W829" s="123"/>
      <c r="X829" s="123"/>
      <c r="Y829" s="123"/>
      <c r="Z829" s="123"/>
    </row>
    <row r="830" spans="2:26" s="235" customFormat="1" ht="13.8">
      <c r="B830" s="307"/>
      <c r="C830" s="307"/>
      <c r="D830" s="307"/>
      <c r="E830" s="307"/>
      <c r="F830" s="307"/>
      <c r="M830" s="123"/>
      <c r="N830" s="123"/>
      <c r="O830" s="123"/>
      <c r="P830" s="123"/>
      <c r="Q830" s="123"/>
      <c r="R830" s="123"/>
      <c r="S830" s="123"/>
      <c r="T830" s="123"/>
      <c r="U830" s="123"/>
      <c r="V830" s="123"/>
      <c r="W830" s="123"/>
      <c r="X830" s="123"/>
      <c r="Y830" s="123"/>
      <c r="Z830" s="123"/>
    </row>
    <row r="831" spans="2:26" s="235" customFormat="1" ht="13.8">
      <c r="B831" s="307"/>
      <c r="C831" s="307"/>
      <c r="D831" s="307"/>
      <c r="E831" s="307"/>
      <c r="F831" s="307"/>
      <c r="M831" s="123"/>
      <c r="N831" s="123"/>
      <c r="O831" s="123"/>
      <c r="P831" s="123"/>
      <c r="Q831" s="123"/>
      <c r="R831" s="123"/>
      <c r="S831" s="123"/>
      <c r="T831" s="123"/>
      <c r="U831" s="123"/>
      <c r="V831" s="123"/>
      <c r="W831" s="123"/>
      <c r="X831" s="123"/>
      <c r="Y831" s="123"/>
      <c r="Z831" s="123"/>
    </row>
    <row r="832" spans="2:26" s="235" customFormat="1" ht="13.8">
      <c r="B832" s="307"/>
      <c r="C832" s="307"/>
      <c r="D832" s="307"/>
      <c r="E832" s="307"/>
      <c r="F832" s="307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123"/>
    </row>
    <row r="833" spans="2:26" s="235" customFormat="1" ht="13.8">
      <c r="B833" s="307"/>
      <c r="C833" s="307"/>
      <c r="D833" s="307"/>
      <c r="E833" s="307"/>
      <c r="F833" s="307"/>
      <c r="M833" s="123"/>
      <c r="N833" s="123"/>
      <c r="O833" s="123"/>
      <c r="P833" s="123"/>
      <c r="Q833" s="123"/>
      <c r="R833" s="123"/>
      <c r="S833" s="123"/>
      <c r="T833" s="123"/>
      <c r="U833" s="123"/>
      <c r="V833" s="123"/>
      <c r="W833" s="123"/>
      <c r="X833" s="123"/>
      <c r="Y833" s="123"/>
      <c r="Z833" s="123"/>
    </row>
    <row r="834" spans="2:26" s="235" customFormat="1" ht="13.8">
      <c r="B834" s="307"/>
      <c r="C834" s="307"/>
      <c r="D834" s="307"/>
      <c r="E834" s="307"/>
      <c r="F834" s="307"/>
      <c r="M834" s="123"/>
      <c r="N834" s="123"/>
      <c r="O834" s="123"/>
      <c r="P834" s="123"/>
      <c r="Q834" s="123"/>
      <c r="R834" s="123"/>
      <c r="S834" s="123"/>
      <c r="T834" s="123"/>
      <c r="U834" s="123"/>
      <c r="V834" s="123"/>
      <c r="W834" s="123"/>
      <c r="X834" s="123"/>
      <c r="Y834" s="123"/>
      <c r="Z834" s="123"/>
    </row>
    <row r="835" spans="2:26" s="235" customFormat="1" ht="13.8">
      <c r="B835" s="307"/>
      <c r="C835" s="307"/>
      <c r="D835" s="307"/>
      <c r="E835" s="307"/>
      <c r="F835" s="307"/>
      <c r="M835" s="123"/>
      <c r="N835" s="123"/>
      <c r="O835" s="123"/>
      <c r="P835" s="123"/>
      <c r="Q835" s="123"/>
      <c r="R835" s="123"/>
      <c r="S835" s="123"/>
      <c r="T835" s="123"/>
      <c r="U835" s="123"/>
      <c r="V835" s="123"/>
      <c r="W835" s="123"/>
      <c r="X835" s="123"/>
      <c r="Y835" s="123"/>
      <c r="Z835" s="123"/>
    </row>
    <row r="836" spans="2:26" s="235" customFormat="1" ht="13.8">
      <c r="B836" s="307"/>
      <c r="C836" s="307"/>
      <c r="D836" s="307"/>
      <c r="E836" s="307"/>
      <c r="F836" s="307"/>
      <c r="M836" s="123"/>
      <c r="N836" s="123"/>
      <c r="O836" s="123"/>
      <c r="P836" s="123"/>
      <c r="Q836" s="123"/>
      <c r="R836" s="123"/>
      <c r="S836" s="123"/>
      <c r="T836" s="123"/>
      <c r="U836" s="123"/>
      <c r="V836" s="123"/>
      <c r="W836" s="123"/>
      <c r="X836" s="123"/>
      <c r="Y836" s="123"/>
      <c r="Z836" s="123"/>
    </row>
    <row r="837" spans="2:26" s="235" customFormat="1" ht="13.8">
      <c r="B837" s="307"/>
      <c r="C837" s="307"/>
      <c r="D837" s="307"/>
      <c r="E837" s="307"/>
      <c r="F837" s="307"/>
      <c r="M837" s="123"/>
      <c r="N837" s="123"/>
      <c r="O837" s="123"/>
      <c r="P837" s="123"/>
      <c r="Q837" s="123"/>
      <c r="R837" s="123"/>
      <c r="S837" s="123"/>
      <c r="T837" s="123"/>
      <c r="U837" s="123"/>
      <c r="V837" s="123"/>
      <c r="W837" s="123"/>
      <c r="X837" s="123"/>
      <c r="Y837" s="123"/>
      <c r="Z837" s="123"/>
    </row>
    <row r="838" spans="2:26" s="235" customFormat="1" ht="13.8">
      <c r="B838" s="307"/>
      <c r="C838" s="307"/>
      <c r="D838" s="307"/>
      <c r="E838" s="307"/>
      <c r="F838" s="307"/>
      <c r="M838" s="123"/>
      <c r="N838" s="123"/>
      <c r="O838" s="123"/>
      <c r="P838" s="123"/>
      <c r="Q838" s="123"/>
      <c r="R838" s="123"/>
      <c r="S838" s="123"/>
      <c r="T838" s="123"/>
      <c r="U838" s="123"/>
      <c r="V838" s="123"/>
      <c r="W838" s="123"/>
      <c r="X838" s="123"/>
      <c r="Y838" s="123"/>
      <c r="Z838" s="123"/>
    </row>
    <row r="839" spans="2:26" s="235" customFormat="1" ht="13.8">
      <c r="B839" s="307"/>
      <c r="C839" s="307"/>
      <c r="D839" s="307"/>
      <c r="E839" s="307"/>
      <c r="F839" s="307"/>
      <c r="M839" s="123"/>
      <c r="N839" s="123"/>
      <c r="O839" s="123"/>
      <c r="P839" s="123"/>
      <c r="Q839" s="123"/>
      <c r="R839" s="123"/>
      <c r="S839" s="123"/>
      <c r="T839" s="123"/>
      <c r="U839" s="123"/>
      <c r="V839" s="123"/>
      <c r="W839" s="123"/>
      <c r="X839" s="123"/>
      <c r="Y839" s="123"/>
      <c r="Z839" s="123"/>
    </row>
    <row r="840" spans="2:26" s="235" customFormat="1" ht="13.8">
      <c r="B840" s="307"/>
      <c r="C840" s="307"/>
      <c r="D840" s="307"/>
      <c r="E840" s="307"/>
      <c r="F840" s="307"/>
      <c r="M840" s="123"/>
      <c r="N840" s="123"/>
      <c r="O840" s="123"/>
      <c r="P840" s="123"/>
      <c r="Q840" s="123"/>
      <c r="R840" s="123"/>
      <c r="S840" s="123"/>
      <c r="T840" s="123"/>
      <c r="U840" s="123"/>
      <c r="V840" s="123"/>
      <c r="W840" s="123"/>
      <c r="X840" s="123"/>
      <c r="Y840" s="123"/>
      <c r="Z840" s="123"/>
    </row>
    <row r="841" spans="2:26" s="235" customFormat="1" ht="13.8">
      <c r="B841" s="307"/>
      <c r="C841" s="307"/>
      <c r="D841" s="307"/>
      <c r="E841" s="307"/>
      <c r="F841" s="307"/>
      <c r="M841" s="123"/>
      <c r="N841" s="123"/>
      <c r="O841" s="123"/>
      <c r="P841" s="123"/>
      <c r="Q841" s="123"/>
      <c r="R841" s="123"/>
      <c r="S841" s="123"/>
      <c r="T841" s="123"/>
      <c r="U841" s="123"/>
      <c r="V841" s="123"/>
      <c r="W841" s="123"/>
      <c r="X841" s="123"/>
      <c r="Y841" s="123"/>
      <c r="Z841" s="123"/>
    </row>
    <row r="842" spans="2:26" s="235" customFormat="1" ht="13.8">
      <c r="B842" s="307"/>
      <c r="C842" s="307"/>
      <c r="D842" s="307"/>
      <c r="E842" s="307"/>
      <c r="F842" s="307"/>
      <c r="M842" s="123"/>
      <c r="N842" s="123"/>
      <c r="O842" s="123"/>
      <c r="P842" s="123"/>
      <c r="Q842" s="123"/>
      <c r="R842" s="123"/>
      <c r="S842" s="123"/>
      <c r="T842" s="123"/>
      <c r="U842" s="123"/>
      <c r="V842" s="123"/>
      <c r="W842" s="123"/>
      <c r="X842" s="123"/>
      <c r="Y842" s="123"/>
      <c r="Z842" s="123"/>
    </row>
    <row r="843" spans="2:26" s="235" customFormat="1" ht="13.8">
      <c r="B843" s="307"/>
      <c r="C843" s="307"/>
      <c r="D843" s="307"/>
      <c r="E843" s="307"/>
      <c r="F843" s="307"/>
      <c r="M843" s="123"/>
      <c r="N843" s="123"/>
      <c r="O843" s="123"/>
      <c r="P843" s="123"/>
      <c r="Q843" s="123"/>
      <c r="R843" s="123"/>
      <c r="S843" s="123"/>
      <c r="T843" s="123"/>
      <c r="U843" s="123"/>
      <c r="V843" s="123"/>
      <c r="W843" s="123"/>
      <c r="X843" s="123"/>
      <c r="Y843" s="123"/>
      <c r="Z843" s="123"/>
    </row>
    <row r="844" spans="2:26" s="235" customFormat="1" ht="13.8">
      <c r="B844" s="307"/>
      <c r="C844" s="307"/>
      <c r="D844" s="307"/>
      <c r="E844" s="307"/>
      <c r="F844" s="307"/>
      <c r="M844" s="123"/>
      <c r="N844" s="123"/>
      <c r="O844" s="123"/>
      <c r="P844" s="123"/>
      <c r="Q844" s="123"/>
      <c r="R844" s="123"/>
      <c r="S844" s="123"/>
      <c r="T844" s="123"/>
      <c r="U844" s="123"/>
      <c r="V844" s="123"/>
      <c r="W844" s="123"/>
      <c r="X844" s="123"/>
      <c r="Y844" s="123"/>
      <c r="Z844" s="123"/>
    </row>
    <row r="845" spans="2:26" s="235" customFormat="1" ht="13.8">
      <c r="B845" s="307"/>
      <c r="C845" s="307"/>
      <c r="D845" s="307"/>
      <c r="E845" s="307"/>
      <c r="F845" s="307"/>
      <c r="M845" s="123"/>
      <c r="N845" s="123"/>
      <c r="O845" s="123"/>
      <c r="P845" s="123"/>
      <c r="Q845" s="123"/>
      <c r="R845" s="123"/>
      <c r="S845" s="123"/>
      <c r="T845" s="123"/>
      <c r="U845" s="123"/>
      <c r="V845" s="123"/>
      <c r="W845" s="123"/>
      <c r="X845" s="123"/>
      <c r="Y845" s="123"/>
      <c r="Z845" s="123"/>
    </row>
    <row r="846" spans="2:26" s="235" customFormat="1" ht="13.8">
      <c r="B846" s="307"/>
      <c r="C846" s="307"/>
      <c r="D846" s="307"/>
      <c r="E846" s="307"/>
      <c r="F846" s="307"/>
      <c r="M846" s="123"/>
      <c r="N846" s="123"/>
      <c r="O846" s="123"/>
      <c r="P846" s="123"/>
      <c r="Q846" s="123"/>
      <c r="R846" s="123"/>
      <c r="S846" s="123"/>
      <c r="T846" s="123"/>
      <c r="U846" s="123"/>
      <c r="V846" s="123"/>
      <c r="W846" s="123"/>
      <c r="X846" s="123"/>
      <c r="Y846" s="123"/>
      <c r="Z846" s="123"/>
    </row>
    <row r="847" spans="2:26" s="235" customFormat="1" ht="13.8">
      <c r="B847" s="307"/>
      <c r="C847" s="307"/>
      <c r="D847" s="307"/>
      <c r="E847" s="307"/>
      <c r="F847" s="307"/>
      <c r="M847" s="123"/>
      <c r="N847" s="123"/>
      <c r="O847" s="123"/>
      <c r="P847" s="123"/>
      <c r="Q847" s="123"/>
      <c r="R847" s="123"/>
      <c r="S847" s="123"/>
      <c r="T847" s="123"/>
      <c r="U847" s="123"/>
      <c r="V847" s="123"/>
      <c r="W847" s="123"/>
      <c r="X847" s="123"/>
      <c r="Y847" s="123"/>
      <c r="Z847" s="123"/>
    </row>
    <row r="848" spans="2:26" s="235" customFormat="1" ht="13.8">
      <c r="B848" s="307"/>
      <c r="C848" s="307"/>
      <c r="D848" s="307"/>
      <c r="E848" s="307"/>
      <c r="F848" s="307"/>
      <c r="M848" s="123"/>
      <c r="N848" s="123"/>
      <c r="O848" s="123"/>
      <c r="P848" s="123"/>
      <c r="Q848" s="123"/>
      <c r="R848" s="123"/>
      <c r="S848" s="123"/>
      <c r="T848" s="123"/>
      <c r="U848" s="123"/>
      <c r="V848" s="123"/>
      <c r="W848" s="123"/>
      <c r="X848" s="123"/>
      <c r="Y848" s="123"/>
      <c r="Z848" s="123"/>
    </row>
    <row r="849" spans="2:26" s="235" customFormat="1" ht="13.8">
      <c r="B849" s="307"/>
      <c r="C849" s="307"/>
      <c r="D849" s="307"/>
      <c r="E849" s="307"/>
      <c r="F849" s="307"/>
      <c r="M849" s="123"/>
      <c r="N849" s="123"/>
      <c r="O849" s="123"/>
      <c r="P849" s="123"/>
      <c r="Q849" s="123"/>
      <c r="R849" s="123"/>
      <c r="S849" s="123"/>
      <c r="T849" s="123"/>
      <c r="U849" s="123"/>
      <c r="V849" s="123"/>
      <c r="W849" s="123"/>
      <c r="X849" s="123"/>
      <c r="Y849" s="123"/>
      <c r="Z849" s="123"/>
    </row>
    <row r="850" spans="2:26" s="235" customFormat="1" ht="13.8">
      <c r="B850" s="307"/>
      <c r="C850" s="307"/>
      <c r="D850" s="307"/>
      <c r="E850" s="307"/>
      <c r="F850" s="307"/>
      <c r="M850" s="123"/>
      <c r="N850" s="123"/>
      <c r="O850" s="123"/>
      <c r="P850" s="123"/>
      <c r="Q850" s="123"/>
      <c r="R850" s="123"/>
      <c r="S850" s="123"/>
      <c r="T850" s="123"/>
      <c r="U850" s="123"/>
      <c r="V850" s="123"/>
      <c r="W850" s="123"/>
      <c r="X850" s="123"/>
      <c r="Y850" s="123"/>
      <c r="Z850" s="123"/>
    </row>
    <row r="851" spans="2:26" s="235" customFormat="1" ht="13.8">
      <c r="B851" s="307"/>
      <c r="C851" s="307"/>
      <c r="D851" s="307"/>
      <c r="E851" s="307"/>
      <c r="F851" s="307"/>
      <c r="M851" s="123"/>
      <c r="N851" s="123"/>
      <c r="O851" s="123"/>
      <c r="P851" s="123"/>
      <c r="Q851" s="123"/>
      <c r="R851" s="123"/>
      <c r="S851" s="123"/>
      <c r="T851" s="123"/>
      <c r="U851" s="123"/>
      <c r="V851" s="123"/>
      <c r="W851" s="123"/>
      <c r="X851" s="123"/>
      <c r="Y851" s="123"/>
      <c r="Z851" s="123"/>
    </row>
    <row r="852" spans="2:26" s="235" customFormat="1" ht="13.8">
      <c r="B852" s="307"/>
      <c r="C852" s="307"/>
      <c r="D852" s="307"/>
      <c r="E852" s="307"/>
      <c r="F852" s="307"/>
      <c r="M852" s="123"/>
      <c r="N852" s="123"/>
      <c r="O852" s="123"/>
      <c r="P852" s="123"/>
      <c r="Q852" s="123"/>
      <c r="R852" s="123"/>
      <c r="S852" s="123"/>
      <c r="T852" s="123"/>
      <c r="U852" s="123"/>
      <c r="V852" s="123"/>
      <c r="W852" s="123"/>
      <c r="X852" s="123"/>
      <c r="Y852" s="123"/>
      <c r="Z852" s="123"/>
    </row>
    <row r="853" spans="2:26" s="235" customFormat="1" ht="13.8">
      <c r="B853" s="307"/>
      <c r="C853" s="307"/>
      <c r="D853" s="307"/>
      <c r="E853" s="307"/>
      <c r="F853" s="307"/>
      <c r="M853" s="123"/>
      <c r="N853" s="123"/>
      <c r="O853" s="123"/>
      <c r="P853" s="123"/>
      <c r="Q853" s="123"/>
      <c r="R853" s="123"/>
      <c r="S853" s="123"/>
      <c r="T853" s="123"/>
      <c r="U853" s="123"/>
      <c r="V853" s="123"/>
      <c r="W853" s="123"/>
      <c r="X853" s="123"/>
      <c r="Y853" s="123"/>
      <c r="Z853" s="123"/>
    </row>
    <row r="854" spans="2:26" s="235" customFormat="1" ht="13.8">
      <c r="B854" s="307"/>
      <c r="C854" s="307"/>
      <c r="D854" s="307"/>
      <c r="E854" s="307"/>
      <c r="F854" s="307"/>
      <c r="M854" s="123"/>
      <c r="N854" s="123"/>
      <c r="O854" s="123"/>
      <c r="P854" s="123"/>
      <c r="Q854" s="123"/>
      <c r="R854" s="123"/>
      <c r="S854" s="123"/>
      <c r="T854" s="123"/>
      <c r="U854" s="123"/>
      <c r="V854" s="123"/>
      <c r="W854" s="123"/>
      <c r="X854" s="123"/>
      <c r="Y854" s="123"/>
      <c r="Z854" s="123"/>
    </row>
    <row r="855" spans="2:26" s="235" customFormat="1" ht="13.8">
      <c r="B855" s="307"/>
      <c r="C855" s="307"/>
      <c r="D855" s="307"/>
      <c r="E855" s="307"/>
      <c r="F855" s="307"/>
      <c r="M855" s="123"/>
      <c r="N855" s="123"/>
      <c r="O855" s="123"/>
      <c r="P855" s="123"/>
      <c r="Q855" s="123"/>
      <c r="R855" s="123"/>
      <c r="S855" s="123"/>
      <c r="T855" s="123"/>
      <c r="U855" s="123"/>
      <c r="V855" s="123"/>
      <c r="W855" s="123"/>
      <c r="X855" s="123"/>
      <c r="Y855" s="123"/>
      <c r="Z855" s="123"/>
    </row>
    <row r="856" spans="2:26" s="235" customFormat="1" ht="13.8">
      <c r="B856" s="307"/>
      <c r="C856" s="307"/>
      <c r="D856" s="307"/>
      <c r="E856" s="307"/>
      <c r="F856" s="307"/>
      <c r="M856" s="123"/>
      <c r="N856" s="123"/>
      <c r="O856" s="123"/>
      <c r="P856" s="123"/>
      <c r="Q856" s="123"/>
      <c r="R856" s="123"/>
      <c r="S856" s="123"/>
      <c r="T856" s="123"/>
      <c r="U856" s="123"/>
      <c r="V856" s="123"/>
      <c r="W856" s="123"/>
      <c r="X856" s="123"/>
      <c r="Y856" s="123"/>
      <c r="Z856" s="123"/>
    </row>
    <row r="857" spans="2:26" s="235" customFormat="1" ht="13.8">
      <c r="B857" s="307"/>
      <c r="C857" s="307"/>
      <c r="D857" s="307"/>
      <c r="E857" s="307"/>
      <c r="F857" s="307"/>
      <c r="M857" s="123"/>
      <c r="N857" s="123"/>
      <c r="O857" s="123"/>
      <c r="P857" s="123"/>
      <c r="Q857" s="123"/>
      <c r="R857" s="123"/>
      <c r="S857" s="123"/>
      <c r="T857" s="123"/>
      <c r="U857" s="123"/>
      <c r="V857" s="123"/>
      <c r="W857" s="123"/>
      <c r="X857" s="123"/>
      <c r="Y857" s="123"/>
      <c r="Z857" s="123"/>
    </row>
    <row r="858" spans="2:26" s="235" customFormat="1" ht="13.8">
      <c r="B858" s="307"/>
      <c r="C858" s="307"/>
      <c r="D858" s="307"/>
      <c r="E858" s="307"/>
      <c r="F858" s="307"/>
      <c r="M858" s="123"/>
      <c r="N858" s="123"/>
      <c r="O858" s="123"/>
      <c r="P858" s="123"/>
      <c r="Q858" s="123"/>
      <c r="R858" s="123"/>
      <c r="S858" s="123"/>
      <c r="T858" s="123"/>
      <c r="U858" s="123"/>
      <c r="V858" s="123"/>
      <c r="W858" s="123"/>
      <c r="X858" s="123"/>
      <c r="Y858" s="123"/>
      <c r="Z858" s="123"/>
    </row>
    <row r="859" spans="2:26" s="235" customFormat="1" ht="13.8">
      <c r="B859" s="307"/>
      <c r="C859" s="307"/>
      <c r="D859" s="307"/>
      <c r="E859" s="307"/>
      <c r="F859" s="307"/>
      <c r="M859" s="123"/>
      <c r="N859" s="123"/>
      <c r="O859" s="123"/>
      <c r="P859" s="123"/>
      <c r="Q859" s="123"/>
      <c r="R859" s="123"/>
      <c r="S859" s="123"/>
      <c r="T859" s="123"/>
      <c r="U859" s="123"/>
      <c r="V859" s="123"/>
      <c r="W859" s="123"/>
      <c r="X859" s="123"/>
      <c r="Y859" s="123"/>
      <c r="Z859" s="123"/>
    </row>
    <row r="860" spans="2:26" s="235" customFormat="1" ht="13.8">
      <c r="B860" s="307"/>
      <c r="C860" s="307"/>
      <c r="D860" s="307"/>
      <c r="E860" s="307"/>
      <c r="F860" s="307"/>
      <c r="M860" s="123"/>
      <c r="N860" s="123"/>
      <c r="O860" s="123"/>
      <c r="P860" s="123"/>
      <c r="Q860" s="123"/>
      <c r="R860" s="123"/>
      <c r="S860" s="123"/>
      <c r="T860" s="123"/>
      <c r="U860" s="123"/>
      <c r="V860" s="123"/>
      <c r="W860" s="123"/>
      <c r="X860" s="123"/>
      <c r="Y860" s="123"/>
      <c r="Z860" s="123"/>
    </row>
    <row r="861" spans="2:26" s="235" customFormat="1" ht="13.8">
      <c r="B861" s="307"/>
      <c r="C861" s="307"/>
      <c r="D861" s="307"/>
      <c r="E861" s="307"/>
      <c r="F861" s="307"/>
      <c r="M861" s="123"/>
      <c r="N861" s="123"/>
      <c r="O861" s="123"/>
      <c r="P861" s="123"/>
      <c r="Q861" s="123"/>
      <c r="R861" s="123"/>
      <c r="S861" s="123"/>
      <c r="T861" s="123"/>
      <c r="U861" s="123"/>
      <c r="V861" s="123"/>
      <c r="W861" s="123"/>
      <c r="X861" s="123"/>
      <c r="Y861" s="123"/>
      <c r="Z861" s="123"/>
    </row>
    <row r="862" spans="2:26" s="235" customFormat="1" ht="13.8">
      <c r="B862" s="307"/>
      <c r="C862" s="307"/>
      <c r="D862" s="307"/>
      <c r="E862" s="307"/>
      <c r="F862" s="307"/>
      <c r="M862" s="123"/>
      <c r="N862" s="123"/>
      <c r="O862" s="123"/>
      <c r="P862" s="123"/>
      <c r="Q862" s="123"/>
      <c r="R862" s="123"/>
      <c r="S862" s="123"/>
      <c r="T862" s="123"/>
      <c r="U862" s="123"/>
      <c r="V862" s="123"/>
      <c r="W862" s="123"/>
      <c r="X862" s="123"/>
      <c r="Y862" s="123"/>
      <c r="Z862" s="123"/>
    </row>
    <row r="863" spans="2:26" s="235" customFormat="1" ht="13.8">
      <c r="B863" s="307"/>
      <c r="C863" s="307"/>
      <c r="D863" s="307"/>
      <c r="E863" s="307"/>
      <c r="F863" s="307"/>
      <c r="M863" s="123"/>
      <c r="N863" s="123"/>
      <c r="O863" s="123"/>
      <c r="P863" s="123"/>
      <c r="Q863" s="123"/>
      <c r="R863" s="123"/>
      <c r="S863" s="123"/>
      <c r="T863" s="123"/>
      <c r="U863" s="123"/>
      <c r="V863" s="123"/>
      <c r="W863" s="123"/>
      <c r="X863" s="123"/>
      <c r="Y863" s="123"/>
      <c r="Z863" s="123"/>
    </row>
    <row r="864" spans="2:26" s="235" customFormat="1" ht="13.8">
      <c r="B864" s="307"/>
      <c r="C864" s="307"/>
      <c r="D864" s="307"/>
      <c r="E864" s="307"/>
      <c r="F864" s="307"/>
      <c r="M864" s="123"/>
      <c r="N864" s="123"/>
      <c r="O864" s="123"/>
      <c r="P864" s="123"/>
      <c r="Q864" s="123"/>
      <c r="R864" s="123"/>
      <c r="S864" s="123"/>
      <c r="T864" s="123"/>
      <c r="U864" s="123"/>
      <c r="V864" s="123"/>
      <c r="W864" s="123"/>
      <c r="X864" s="123"/>
      <c r="Y864" s="123"/>
      <c r="Z864" s="123"/>
    </row>
    <row r="865" spans="2:26" s="235" customFormat="1" ht="13.8">
      <c r="B865" s="307"/>
      <c r="C865" s="307"/>
      <c r="D865" s="307"/>
      <c r="E865" s="307"/>
      <c r="F865" s="307"/>
      <c r="M865" s="123"/>
      <c r="N865" s="123"/>
      <c r="O865" s="123"/>
      <c r="P865" s="123"/>
      <c r="Q865" s="123"/>
      <c r="R865" s="123"/>
      <c r="S865" s="123"/>
      <c r="T865" s="123"/>
      <c r="U865" s="123"/>
      <c r="V865" s="123"/>
      <c r="W865" s="123"/>
      <c r="X865" s="123"/>
      <c r="Y865" s="123"/>
      <c r="Z865" s="123"/>
    </row>
    <row r="866" spans="2:26" s="235" customFormat="1" ht="13.8">
      <c r="B866" s="307"/>
      <c r="C866" s="307"/>
      <c r="D866" s="307"/>
      <c r="E866" s="307"/>
      <c r="F866" s="307"/>
      <c r="M866" s="123"/>
      <c r="N866" s="123"/>
      <c r="O866" s="123"/>
      <c r="P866" s="123"/>
      <c r="Q866" s="123"/>
      <c r="R866" s="123"/>
      <c r="S866" s="123"/>
      <c r="T866" s="123"/>
      <c r="U866" s="123"/>
      <c r="V866" s="123"/>
      <c r="W866" s="123"/>
      <c r="X866" s="123"/>
      <c r="Y866" s="123"/>
      <c r="Z866" s="123"/>
    </row>
    <row r="867" spans="2:26" s="235" customFormat="1" ht="13.8">
      <c r="B867" s="307"/>
      <c r="C867" s="307"/>
      <c r="D867" s="307"/>
      <c r="E867" s="307"/>
      <c r="F867" s="307"/>
      <c r="M867" s="123"/>
      <c r="N867" s="123"/>
      <c r="O867" s="123"/>
      <c r="P867" s="123"/>
      <c r="Q867" s="123"/>
      <c r="R867" s="123"/>
      <c r="S867" s="123"/>
      <c r="T867" s="123"/>
      <c r="U867" s="123"/>
      <c r="V867" s="123"/>
      <c r="W867" s="123"/>
      <c r="X867" s="123"/>
      <c r="Y867" s="123"/>
      <c r="Z867" s="123"/>
    </row>
    <row r="868" spans="2:26" s="235" customFormat="1" ht="13.8">
      <c r="B868" s="307"/>
      <c r="C868" s="307"/>
      <c r="D868" s="307"/>
      <c r="E868" s="307"/>
      <c r="F868" s="307"/>
      <c r="M868" s="123"/>
      <c r="N868" s="123"/>
      <c r="O868" s="123"/>
      <c r="P868" s="123"/>
      <c r="Q868" s="123"/>
      <c r="R868" s="123"/>
      <c r="S868" s="123"/>
      <c r="T868" s="123"/>
      <c r="U868" s="123"/>
      <c r="V868" s="123"/>
      <c r="W868" s="123"/>
      <c r="X868" s="123"/>
      <c r="Y868" s="123"/>
      <c r="Z868" s="123"/>
    </row>
    <row r="869" spans="2:26" s="235" customFormat="1" ht="13.8">
      <c r="B869" s="307"/>
      <c r="C869" s="307"/>
      <c r="D869" s="307"/>
      <c r="E869" s="307"/>
      <c r="F869" s="307"/>
      <c r="M869" s="123"/>
      <c r="N869" s="123"/>
      <c r="O869" s="123"/>
      <c r="P869" s="123"/>
      <c r="Q869" s="123"/>
      <c r="R869" s="123"/>
      <c r="S869" s="123"/>
      <c r="T869" s="123"/>
      <c r="U869" s="123"/>
      <c r="V869" s="123"/>
      <c r="W869" s="123"/>
      <c r="X869" s="123"/>
      <c r="Y869" s="123"/>
      <c r="Z869" s="123"/>
    </row>
    <row r="870" spans="2:26" s="235" customFormat="1" ht="13.8">
      <c r="B870" s="307"/>
      <c r="C870" s="307"/>
      <c r="D870" s="307"/>
      <c r="E870" s="307"/>
      <c r="F870" s="307"/>
      <c r="M870" s="123"/>
      <c r="N870" s="123"/>
      <c r="O870" s="123"/>
      <c r="P870" s="123"/>
      <c r="Q870" s="123"/>
      <c r="R870" s="123"/>
      <c r="S870" s="123"/>
      <c r="T870" s="123"/>
      <c r="U870" s="123"/>
      <c r="V870" s="123"/>
      <c r="W870" s="123"/>
      <c r="X870" s="123"/>
      <c r="Y870" s="123"/>
      <c r="Z870" s="123"/>
    </row>
    <row r="871" spans="2:26" s="235" customFormat="1" ht="13.8">
      <c r="B871" s="307"/>
      <c r="C871" s="307"/>
      <c r="D871" s="307"/>
      <c r="E871" s="307"/>
      <c r="F871" s="307"/>
      <c r="M871" s="123"/>
      <c r="N871" s="123"/>
      <c r="O871" s="123"/>
      <c r="P871" s="123"/>
      <c r="Q871" s="123"/>
      <c r="R871" s="123"/>
      <c r="S871" s="123"/>
      <c r="T871" s="123"/>
      <c r="U871" s="123"/>
      <c r="V871" s="123"/>
      <c r="W871" s="123"/>
      <c r="X871" s="123"/>
      <c r="Y871" s="123"/>
      <c r="Z871" s="123"/>
    </row>
    <row r="872" spans="2:26" s="235" customFormat="1" ht="13.8">
      <c r="B872" s="307"/>
      <c r="C872" s="307"/>
      <c r="D872" s="307"/>
      <c r="E872" s="307"/>
      <c r="F872" s="307"/>
      <c r="M872" s="123"/>
      <c r="N872" s="123"/>
      <c r="O872" s="123"/>
      <c r="P872" s="123"/>
      <c r="Q872" s="123"/>
      <c r="R872" s="123"/>
      <c r="S872" s="123"/>
      <c r="T872" s="123"/>
      <c r="U872" s="123"/>
      <c r="V872" s="123"/>
      <c r="W872" s="123"/>
      <c r="X872" s="123"/>
      <c r="Y872" s="123"/>
      <c r="Z872" s="123"/>
    </row>
    <row r="873" spans="2:26" s="235" customFormat="1" ht="13.8">
      <c r="B873" s="307"/>
      <c r="C873" s="307"/>
      <c r="D873" s="307"/>
      <c r="E873" s="307"/>
      <c r="F873" s="307"/>
      <c r="M873" s="123"/>
      <c r="N873" s="123"/>
      <c r="O873" s="123"/>
      <c r="P873" s="123"/>
      <c r="Q873" s="123"/>
      <c r="R873" s="123"/>
      <c r="S873" s="123"/>
      <c r="T873" s="123"/>
      <c r="U873" s="123"/>
      <c r="V873" s="123"/>
      <c r="W873" s="123"/>
      <c r="X873" s="123"/>
      <c r="Y873" s="123"/>
      <c r="Z873" s="123"/>
    </row>
    <row r="874" spans="2:26" s="235" customFormat="1" ht="13.8">
      <c r="B874" s="307"/>
      <c r="C874" s="307"/>
      <c r="D874" s="307"/>
      <c r="E874" s="307"/>
      <c r="F874" s="307"/>
      <c r="M874" s="123"/>
      <c r="N874" s="123"/>
      <c r="O874" s="123"/>
      <c r="P874" s="123"/>
      <c r="Q874" s="123"/>
      <c r="R874" s="123"/>
      <c r="S874" s="123"/>
      <c r="T874" s="123"/>
      <c r="U874" s="123"/>
      <c r="V874" s="123"/>
      <c r="W874" s="123"/>
      <c r="X874" s="123"/>
      <c r="Y874" s="123"/>
      <c r="Z874" s="123"/>
    </row>
    <row r="875" spans="2:26" s="235" customFormat="1" ht="13.8">
      <c r="B875" s="307"/>
      <c r="C875" s="307"/>
      <c r="D875" s="307"/>
      <c r="E875" s="307"/>
      <c r="F875" s="307"/>
      <c r="M875" s="123"/>
      <c r="N875" s="123"/>
      <c r="O875" s="123"/>
      <c r="P875" s="123"/>
      <c r="Q875" s="123"/>
      <c r="R875" s="123"/>
      <c r="S875" s="123"/>
      <c r="T875" s="123"/>
      <c r="U875" s="123"/>
      <c r="V875" s="123"/>
      <c r="W875" s="123"/>
      <c r="X875" s="123"/>
      <c r="Y875" s="123"/>
      <c r="Z875" s="123"/>
    </row>
    <row r="876" spans="2:26" s="235" customFormat="1" ht="13.8">
      <c r="B876" s="307"/>
      <c r="C876" s="307"/>
      <c r="D876" s="307"/>
      <c r="E876" s="307"/>
      <c r="F876" s="307"/>
      <c r="M876" s="123"/>
      <c r="N876" s="123"/>
      <c r="O876" s="123"/>
      <c r="P876" s="123"/>
      <c r="Q876" s="123"/>
      <c r="R876" s="123"/>
      <c r="S876" s="123"/>
      <c r="T876" s="123"/>
      <c r="U876" s="123"/>
      <c r="V876" s="123"/>
      <c r="W876" s="123"/>
      <c r="X876" s="123"/>
      <c r="Y876" s="123"/>
      <c r="Z876" s="123"/>
    </row>
    <row r="877" spans="2:26" s="235" customFormat="1" ht="13.8">
      <c r="B877" s="307"/>
      <c r="C877" s="307"/>
      <c r="D877" s="307"/>
      <c r="E877" s="307"/>
      <c r="F877" s="307"/>
      <c r="M877" s="123"/>
      <c r="N877" s="123"/>
      <c r="O877" s="123"/>
      <c r="P877" s="123"/>
      <c r="Q877" s="123"/>
      <c r="R877" s="123"/>
      <c r="S877" s="123"/>
      <c r="T877" s="123"/>
      <c r="U877" s="123"/>
      <c r="V877" s="123"/>
      <c r="W877" s="123"/>
      <c r="X877" s="123"/>
      <c r="Y877" s="123"/>
      <c r="Z877" s="123"/>
    </row>
    <row r="878" spans="2:26" s="235" customFormat="1" ht="13.8">
      <c r="B878" s="307"/>
      <c r="C878" s="307"/>
      <c r="D878" s="307"/>
      <c r="E878" s="307"/>
      <c r="F878" s="307"/>
      <c r="M878" s="123"/>
      <c r="N878" s="123"/>
      <c r="O878" s="123"/>
      <c r="P878" s="123"/>
      <c r="Q878" s="123"/>
      <c r="R878" s="123"/>
      <c r="S878" s="123"/>
      <c r="T878" s="123"/>
      <c r="U878" s="123"/>
      <c r="V878" s="123"/>
      <c r="W878" s="123"/>
      <c r="X878" s="123"/>
      <c r="Y878" s="123"/>
      <c r="Z878" s="123"/>
    </row>
    <row r="879" spans="2:26" s="235" customFormat="1" ht="13.8">
      <c r="B879" s="307"/>
      <c r="C879" s="307"/>
      <c r="D879" s="307"/>
      <c r="E879" s="307"/>
      <c r="F879" s="307"/>
      <c r="M879" s="123"/>
      <c r="N879" s="123"/>
      <c r="O879" s="123"/>
      <c r="P879" s="123"/>
      <c r="Q879" s="123"/>
      <c r="R879" s="123"/>
      <c r="S879" s="123"/>
      <c r="T879" s="123"/>
      <c r="U879" s="123"/>
      <c r="V879" s="123"/>
      <c r="W879" s="123"/>
      <c r="X879" s="123"/>
      <c r="Y879" s="123"/>
      <c r="Z879" s="123"/>
    </row>
    <row r="880" spans="2:26" s="235" customFormat="1" ht="13.8">
      <c r="B880" s="307"/>
      <c r="C880" s="307"/>
      <c r="D880" s="307"/>
      <c r="E880" s="307"/>
      <c r="F880" s="307"/>
      <c r="M880" s="123"/>
      <c r="N880" s="123"/>
      <c r="O880" s="123"/>
      <c r="P880" s="123"/>
      <c r="Q880" s="123"/>
      <c r="R880" s="123"/>
      <c r="S880" s="123"/>
      <c r="T880" s="123"/>
      <c r="U880" s="123"/>
      <c r="V880" s="123"/>
      <c r="W880" s="123"/>
      <c r="X880" s="123"/>
      <c r="Y880" s="123"/>
      <c r="Z880" s="123"/>
    </row>
    <row r="881" spans="2:26" s="235" customFormat="1" ht="13.8">
      <c r="B881" s="307"/>
      <c r="C881" s="307"/>
      <c r="D881" s="307"/>
      <c r="E881" s="307"/>
      <c r="F881" s="307"/>
      <c r="M881" s="123"/>
      <c r="N881" s="123"/>
      <c r="O881" s="123"/>
      <c r="P881" s="123"/>
      <c r="Q881" s="123"/>
      <c r="R881" s="123"/>
      <c r="S881" s="123"/>
      <c r="T881" s="123"/>
      <c r="U881" s="123"/>
      <c r="V881" s="123"/>
      <c r="W881" s="123"/>
      <c r="X881" s="123"/>
      <c r="Y881" s="123"/>
      <c r="Z881" s="123"/>
    </row>
    <row r="882" spans="2:26" s="235" customFormat="1" ht="13.8">
      <c r="B882" s="307"/>
      <c r="C882" s="307"/>
      <c r="D882" s="307"/>
      <c r="E882" s="307"/>
      <c r="F882" s="307"/>
      <c r="M882" s="123"/>
      <c r="N882" s="123"/>
      <c r="O882" s="123"/>
      <c r="P882" s="123"/>
      <c r="Q882" s="123"/>
      <c r="R882" s="123"/>
      <c r="S882" s="123"/>
      <c r="T882" s="123"/>
      <c r="U882" s="123"/>
      <c r="V882" s="123"/>
      <c r="W882" s="123"/>
      <c r="X882" s="123"/>
      <c r="Y882" s="123"/>
      <c r="Z882" s="123"/>
    </row>
    <row r="883" spans="2:26" s="235" customFormat="1" ht="13.8">
      <c r="B883" s="307"/>
      <c r="C883" s="307"/>
      <c r="D883" s="307"/>
      <c r="E883" s="307"/>
      <c r="F883" s="307"/>
      <c r="M883" s="123"/>
      <c r="N883" s="123"/>
      <c r="O883" s="123"/>
      <c r="P883" s="123"/>
      <c r="Q883" s="123"/>
      <c r="R883" s="123"/>
      <c r="S883" s="123"/>
      <c r="T883" s="123"/>
      <c r="U883" s="123"/>
      <c r="V883" s="123"/>
      <c r="W883" s="123"/>
      <c r="X883" s="123"/>
      <c r="Y883" s="123"/>
      <c r="Z883" s="123"/>
    </row>
    <row r="884" spans="2:26" s="235" customFormat="1" ht="13.8">
      <c r="B884" s="307"/>
      <c r="C884" s="307"/>
      <c r="D884" s="307"/>
      <c r="E884" s="307"/>
      <c r="F884" s="307"/>
      <c r="M884" s="123"/>
      <c r="N884" s="123"/>
      <c r="O884" s="123"/>
      <c r="P884" s="123"/>
      <c r="Q884" s="123"/>
      <c r="R884" s="123"/>
      <c r="S884" s="123"/>
      <c r="T884" s="123"/>
      <c r="U884" s="123"/>
      <c r="V884" s="123"/>
      <c r="W884" s="123"/>
      <c r="X884" s="123"/>
      <c r="Y884" s="123"/>
      <c r="Z884" s="123"/>
    </row>
    <row r="885" spans="2:26" s="235" customFormat="1" ht="13.8">
      <c r="B885" s="307"/>
      <c r="C885" s="307"/>
      <c r="D885" s="307"/>
      <c r="E885" s="307"/>
      <c r="F885" s="307"/>
      <c r="M885" s="123"/>
      <c r="N885" s="123"/>
      <c r="O885" s="123"/>
      <c r="P885" s="123"/>
      <c r="Q885" s="123"/>
      <c r="R885" s="123"/>
      <c r="S885" s="123"/>
      <c r="T885" s="123"/>
      <c r="U885" s="123"/>
      <c r="V885" s="123"/>
      <c r="W885" s="123"/>
      <c r="X885" s="123"/>
      <c r="Y885" s="123"/>
      <c r="Z885" s="123"/>
    </row>
    <row r="886" spans="2:26" s="235" customFormat="1" ht="13.8">
      <c r="B886" s="307"/>
      <c r="C886" s="307"/>
      <c r="D886" s="307"/>
      <c r="E886" s="307"/>
      <c r="F886" s="307"/>
      <c r="M886" s="123"/>
      <c r="N886" s="123"/>
      <c r="O886" s="123"/>
      <c r="P886" s="123"/>
      <c r="Q886" s="123"/>
      <c r="R886" s="123"/>
      <c r="S886" s="123"/>
      <c r="T886" s="123"/>
      <c r="U886" s="123"/>
      <c r="V886" s="123"/>
      <c r="W886" s="123"/>
      <c r="X886" s="123"/>
      <c r="Y886" s="123"/>
      <c r="Z886" s="123"/>
    </row>
    <row r="887" spans="2:26" s="235" customFormat="1" ht="13.8">
      <c r="B887" s="307"/>
      <c r="C887" s="307"/>
      <c r="D887" s="307"/>
      <c r="E887" s="307"/>
      <c r="F887" s="307"/>
      <c r="M887" s="123"/>
      <c r="N887" s="123"/>
      <c r="O887" s="123"/>
      <c r="P887" s="123"/>
      <c r="Q887" s="123"/>
      <c r="R887" s="123"/>
      <c r="S887" s="123"/>
      <c r="T887" s="123"/>
      <c r="U887" s="123"/>
      <c r="V887" s="123"/>
      <c r="W887" s="123"/>
      <c r="X887" s="123"/>
      <c r="Y887" s="123"/>
      <c r="Z887" s="123"/>
    </row>
    <row r="888" spans="2:26" s="235" customFormat="1" ht="13.8">
      <c r="B888" s="307"/>
      <c r="C888" s="307"/>
      <c r="D888" s="307"/>
      <c r="E888" s="307"/>
      <c r="F888" s="307"/>
      <c r="M888" s="123"/>
      <c r="N888" s="123"/>
      <c r="O888" s="123"/>
      <c r="P888" s="123"/>
      <c r="Q888" s="123"/>
      <c r="R888" s="123"/>
      <c r="S888" s="123"/>
      <c r="T888" s="123"/>
      <c r="U888" s="123"/>
      <c r="V888" s="123"/>
      <c r="W888" s="123"/>
      <c r="X888" s="123"/>
      <c r="Y888" s="123"/>
      <c r="Z888" s="123"/>
    </row>
    <row r="889" spans="2:26" s="235" customFormat="1" ht="13.8">
      <c r="B889" s="307"/>
      <c r="C889" s="307"/>
      <c r="D889" s="307"/>
      <c r="E889" s="307"/>
      <c r="F889" s="307"/>
      <c r="M889" s="123"/>
      <c r="N889" s="123"/>
      <c r="O889" s="123"/>
      <c r="P889" s="123"/>
      <c r="Q889" s="123"/>
      <c r="R889" s="123"/>
      <c r="S889" s="123"/>
      <c r="T889" s="123"/>
      <c r="U889" s="123"/>
      <c r="V889" s="123"/>
      <c r="W889" s="123"/>
      <c r="X889" s="123"/>
      <c r="Y889" s="123"/>
      <c r="Z889" s="123"/>
    </row>
    <row r="890" spans="2:26" s="235" customFormat="1" ht="13.8">
      <c r="B890" s="307"/>
      <c r="C890" s="307"/>
      <c r="D890" s="307"/>
      <c r="E890" s="307"/>
      <c r="F890" s="307"/>
      <c r="M890" s="123"/>
      <c r="N890" s="123"/>
      <c r="O890" s="123"/>
      <c r="P890" s="123"/>
      <c r="Q890" s="123"/>
      <c r="R890" s="123"/>
      <c r="S890" s="123"/>
      <c r="T890" s="123"/>
      <c r="U890" s="123"/>
      <c r="V890" s="123"/>
      <c r="W890" s="123"/>
      <c r="X890" s="123"/>
      <c r="Y890" s="123"/>
      <c r="Z890" s="123"/>
    </row>
    <row r="891" spans="2:26" s="235" customFormat="1" ht="13.8">
      <c r="B891" s="307"/>
      <c r="C891" s="307"/>
      <c r="D891" s="307"/>
      <c r="E891" s="307"/>
      <c r="F891" s="307"/>
      <c r="M891" s="123"/>
      <c r="N891" s="123"/>
      <c r="O891" s="123"/>
      <c r="P891" s="123"/>
      <c r="Q891" s="123"/>
      <c r="R891" s="123"/>
      <c r="S891" s="123"/>
      <c r="T891" s="123"/>
      <c r="U891" s="123"/>
      <c r="V891" s="123"/>
      <c r="W891" s="123"/>
      <c r="X891" s="123"/>
      <c r="Y891" s="123"/>
      <c r="Z891" s="123"/>
    </row>
    <row r="892" spans="2:26" s="235" customFormat="1" ht="13.8">
      <c r="B892" s="307"/>
      <c r="C892" s="307"/>
      <c r="D892" s="307"/>
      <c r="E892" s="307"/>
      <c r="F892" s="307"/>
      <c r="M892" s="123"/>
      <c r="N892" s="123"/>
      <c r="O892" s="123"/>
      <c r="P892" s="123"/>
      <c r="Q892" s="123"/>
      <c r="R892" s="123"/>
      <c r="S892" s="123"/>
      <c r="T892" s="123"/>
      <c r="U892" s="123"/>
      <c r="V892" s="123"/>
      <c r="W892" s="123"/>
      <c r="X892" s="123"/>
      <c r="Y892" s="123"/>
      <c r="Z892" s="123"/>
    </row>
    <row r="893" spans="2:26" s="235" customFormat="1" ht="13.8">
      <c r="B893" s="307"/>
      <c r="C893" s="307"/>
      <c r="D893" s="307"/>
      <c r="E893" s="307"/>
      <c r="F893" s="307"/>
      <c r="M893" s="123"/>
      <c r="N893" s="123"/>
      <c r="O893" s="123"/>
      <c r="P893" s="123"/>
      <c r="Q893" s="123"/>
      <c r="R893" s="123"/>
      <c r="S893" s="123"/>
      <c r="T893" s="123"/>
      <c r="U893" s="123"/>
      <c r="V893" s="123"/>
      <c r="W893" s="123"/>
      <c r="X893" s="123"/>
      <c r="Y893" s="123"/>
      <c r="Z893" s="123"/>
    </row>
    <row r="894" spans="2:26" s="235" customFormat="1" ht="13.8">
      <c r="B894" s="307"/>
      <c r="C894" s="307"/>
      <c r="D894" s="307"/>
      <c r="E894" s="307"/>
      <c r="F894" s="307"/>
      <c r="M894" s="123"/>
      <c r="N894" s="123"/>
      <c r="O894" s="123"/>
      <c r="P894" s="123"/>
      <c r="Q894" s="123"/>
      <c r="R894" s="123"/>
      <c r="S894" s="123"/>
      <c r="T894" s="123"/>
      <c r="U894" s="123"/>
      <c r="V894" s="123"/>
      <c r="W894" s="123"/>
      <c r="X894" s="123"/>
      <c r="Y894" s="123"/>
      <c r="Z894" s="123"/>
    </row>
    <row r="895" spans="2:26" s="235" customFormat="1" ht="13.8">
      <c r="B895" s="307"/>
      <c r="C895" s="307"/>
      <c r="D895" s="307"/>
      <c r="E895" s="307"/>
      <c r="F895" s="307"/>
      <c r="M895" s="123"/>
      <c r="N895" s="123"/>
      <c r="O895" s="123"/>
      <c r="P895" s="123"/>
      <c r="Q895" s="123"/>
      <c r="R895" s="123"/>
      <c r="S895" s="123"/>
      <c r="T895" s="123"/>
      <c r="U895" s="123"/>
      <c r="V895" s="123"/>
      <c r="W895" s="123"/>
      <c r="X895" s="123"/>
      <c r="Y895" s="123"/>
      <c r="Z895" s="123"/>
    </row>
    <row r="896" spans="2:26" s="235" customFormat="1" ht="13.8">
      <c r="B896" s="307"/>
      <c r="C896" s="307"/>
      <c r="D896" s="307"/>
      <c r="E896" s="307"/>
      <c r="F896" s="307"/>
      <c r="M896" s="123"/>
      <c r="N896" s="123"/>
      <c r="O896" s="123"/>
      <c r="P896" s="123"/>
      <c r="Q896" s="123"/>
      <c r="R896" s="123"/>
      <c r="S896" s="123"/>
      <c r="T896" s="123"/>
      <c r="U896" s="123"/>
      <c r="V896" s="123"/>
      <c r="W896" s="123"/>
      <c r="X896" s="123"/>
      <c r="Y896" s="123"/>
      <c r="Z896" s="123"/>
    </row>
    <row r="897" spans="2:26" s="235" customFormat="1" ht="13.8">
      <c r="B897" s="307"/>
      <c r="C897" s="307"/>
      <c r="D897" s="307"/>
      <c r="E897" s="307"/>
      <c r="F897" s="307"/>
      <c r="M897" s="123"/>
      <c r="N897" s="123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  <c r="Y897" s="123"/>
      <c r="Z897" s="123"/>
    </row>
    <row r="898" spans="2:26" s="235" customFormat="1" ht="13.8">
      <c r="B898" s="307"/>
      <c r="C898" s="307"/>
      <c r="D898" s="307"/>
      <c r="E898" s="307"/>
      <c r="F898" s="307"/>
      <c r="M898" s="123"/>
      <c r="N898" s="123"/>
      <c r="O898" s="123"/>
      <c r="P898" s="123"/>
      <c r="Q898" s="123"/>
      <c r="R898" s="123"/>
      <c r="S898" s="123"/>
      <c r="T898" s="123"/>
      <c r="U898" s="123"/>
      <c r="V898" s="123"/>
      <c r="W898" s="123"/>
      <c r="X898" s="123"/>
      <c r="Y898" s="123"/>
      <c r="Z898" s="123"/>
    </row>
    <row r="899" spans="2:26" s="235" customFormat="1" ht="13.8">
      <c r="B899" s="307"/>
      <c r="C899" s="307"/>
      <c r="D899" s="307"/>
      <c r="E899" s="307"/>
      <c r="F899" s="307"/>
      <c r="M899" s="123"/>
      <c r="N899" s="123"/>
      <c r="O899" s="123"/>
      <c r="P899" s="123"/>
      <c r="Q899" s="123"/>
      <c r="R899" s="123"/>
      <c r="S899" s="123"/>
      <c r="T899" s="123"/>
      <c r="U899" s="123"/>
      <c r="V899" s="123"/>
      <c r="W899" s="123"/>
      <c r="X899" s="123"/>
      <c r="Y899" s="123"/>
      <c r="Z899" s="123"/>
    </row>
    <row r="900" spans="2:26" s="235" customFormat="1" ht="13.8">
      <c r="B900" s="307"/>
      <c r="C900" s="307"/>
      <c r="D900" s="307"/>
      <c r="E900" s="307"/>
      <c r="F900" s="307"/>
      <c r="M900" s="123"/>
      <c r="N900" s="123"/>
      <c r="O900" s="123"/>
      <c r="P900" s="123"/>
      <c r="Q900" s="123"/>
      <c r="R900" s="123"/>
      <c r="S900" s="123"/>
      <c r="T900" s="123"/>
      <c r="U900" s="123"/>
      <c r="V900" s="123"/>
      <c r="W900" s="123"/>
      <c r="X900" s="123"/>
      <c r="Y900" s="123"/>
      <c r="Z900" s="123"/>
    </row>
    <row r="901" spans="2:26" s="235" customFormat="1" ht="13.8">
      <c r="B901" s="307"/>
      <c r="C901" s="307"/>
      <c r="D901" s="307"/>
      <c r="E901" s="307"/>
      <c r="F901" s="307"/>
      <c r="M901" s="123"/>
      <c r="N901" s="123"/>
      <c r="O901" s="123"/>
      <c r="P901" s="123"/>
      <c r="Q901" s="123"/>
      <c r="R901" s="123"/>
      <c r="S901" s="123"/>
      <c r="T901" s="123"/>
      <c r="U901" s="123"/>
      <c r="V901" s="123"/>
      <c r="W901" s="123"/>
      <c r="X901" s="123"/>
      <c r="Y901" s="123"/>
      <c r="Z901" s="123"/>
    </row>
    <row r="902" spans="2:26" s="235" customFormat="1" ht="13.8">
      <c r="B902" s="307"/>
      <c r="C902" s="307"/>
      <c r="D902" s="307"/>
      <c r="E902" s="307"/>
      <c r="F902" s="307"/>
      <c r="M902" s="123"/>
      <c r="N902" s="123"/>
      <c r="O902" s="123"/>
      <c r="P902" s="123"/>
      <c r="Q902" s="123"/>
      <c r="R902" s="123"/>
      <c r="S902" s="123"/>
      <c r="T902" s="123"/>
      <c r="U902" s="123"/>
      <c r="V902" s="123"/>
      <c r="W902" s="123"/>
      <c r="X902" s="123"/>
      <c r="Y902" s="123"/>
      <c r="Z902" s="123"/>
    </row>
    <row r="903" spans="2:26" s="235" customFormat="1" ht="13.8">
      <c r="B903" s="307"/>
      <c r="C903" s="307"/>
      <c r="D903" s="307"/>
      <c r="E903" s="307"/>
      <c r="F903" s="307"/>
      <c r="M903" s="123"/>
      <c r="N903" s="123"/>
      <c r="O903" s="123"/>
      <c r="P903" s="123"/>
      <c r="Q903" s="123"/>
      <c r="R903" s="123"/>
      <c r="S903" s="123"/>
      <c r="T903" s="123"/>
      <c r="U903" s="123"/>
      <c r="V903" s="123"/>
      <c r="W903" s="123"/>
      <c r="X903" s="123"/>
      <c r="Y903" s="123"/>
      <c r="Z903" s="123"/>
    </row>
    <row r="904" spans="2:26" s="235" customFormat="1" ht="13.8">
      <c r="B904" s="307"/>
      <c r="C904" s="307"/>
      <c r="D904" s="307"/>
      <c r="E904" s="307"/>
      <c r="F904" s="307"/>
      <c r="M904" s="123"/>
      <c r="N904" s="123"/>
      <c r="O904" s="123"/>
      <c r="P904" s="123"/>
      <c r="Q904" s="123"/>
      <c r="R904" s="123"/>
      <c r="S904" s="123"/>
      <c r="T904" s="123"/>
      <c r="U904" s="123"/>
      <c r="V904" s="123"/>
      <c r="W904" s="123"/>
      <c r="X904" s="123"/>
      <c r="Y904" s="123"/>
      <c r="Z904" s="123"/>
    </row>
    <row r="905" spans="2:26" s="235" customFormat="1" ht="13.8">
      <c r="B905" s="307"/>
      <c r="C905" s="307"/>
      <c r="D905" s="307"/>
      <c r="E905" s="307"/>
      <c r="F905" s="307"/>
      <c r="M905" s="123"/>
      <c r="N905" s="123"/>
      <c r="O905" s="123"/>
      <c r="P905" s="123"/>
      <c r="Q905" s="123"/>
      <c r="R905" s="123"/>
      <c r="S905" s="123"/>
      <c r="T905" s="123"/>
      <c r="U905" s="123"/>
      <c r="V905" s="123"/>
      <c r="W905" s="123"/>
      <c r="X905" s="123"/>
      <c r="Y905" s="123"/>
      <c r="Z905" s="123"/>
    </row>
    <row r="906" spans="2:26" s="235" customFormat="1" ht="13.8">
      <c r="B906" s="307"/>
      <c r="C906" s="307"/>
      <c r="D906" s="307"/>
      <c r="E906" s="307"/>
      <c r="F906" s="307"/>
      <c r="M906" s="123"/>
      <c r="N906" s="123"/>
      <c r="O906" s="123"/>
      <c r="P906" s="123"/>
      <c r="Q906" s="123"/>
      <c r="R906" s="123"/>
      <c r="S906" s="123"/>
      <c r="T906" s="123"/>
      <c r="U906" s="123"/>
      <c r="V906" s="123"/>
      <c r="W906" s="123"/>
      <c r="X906" s="123"/>
      <c r="Y906" s="123"/>
      <c r="Z906" s="123"/>
    </row>
    <row r="907" spans="2:26" s="235" customFormat="1" ht="13.8">
      <c r="B907" s="307"/>
      <c r="C907" s="307"/>
      <c r="D907" s="307"/>
      <c r="E907" s="307"/>
      <c r="F907" s="307"/>
      <c r="M907" s="123"/>
      <c r="N907" s="123"/>
      <c r="O907" s="123"/>
      <c r="P907" s="123"/>
      <c r="Q907" s="123"/>
      <c r="R907" s="123"/>
      <c r="S907" s="123"/>
      <c r="T907" s="123"/>
      <c r="U907" s="123"/>
      <c r="V907" s="123"/>
      <c r="W907" s="123"/>
      <c r="X907" s="123"/>
      <c r="Y907" s="123"/>
      <c r="Z907" s="123"/>
    </row>
    <row r="908" spans="2:26" s="235" customFormat="1" ht="13.8">
      <c r="B908" s="307"/>
      <c r="C908" s="307"/>
      <c r="D908" s="307"/>
      <c r="E908" s="307"/>
      <c r="F908" s="307"/>
      <c r="M908" s="123"/>
      <c r="N908" s="123"/>
      <c r="O908" s="123"/>
      <c r="P908" s="123"/>
      <c r="Q908" s="123"/>
      <c r="R908" s="123"/>
      <c r="S908" s="123"/>
      <c r="T908" s="123"/>
      <c r="U908" s="123"/>
      <c r="V908" s="123"/>
      <c r="W908" s="123"/>
      <c r="X908" s="123"/>
      <c r="Y908" s="123"/>
      <c r="Z908" s="123"/>
    </row>
    <row r="909" spans="2:26" s="235" customFormat="1" ht="13.8">
      <c r="B909" s="307"/>
      <c r="C909" s="307"/>
      <c r="D909" s="307"/>
      <c r="E909" s="307"/>
      <c r="F909" s="307"/>
      <c r="M909" s="123"/>
      <c r="N909" s="123"/>
      <c r="O909" s="123"/>
      <c r="P909" s="123"/>
      <c r="Q909" s="123"/>
      <c r="R909" s="123"/>
      <c r="S909" s="123"/>
      <c r="T909" s="123"/>
      <c r="U909" s="123"/>
      <c r="V909" s="123"/>
      <c r="W909" s="123"/>
      <c r="X909" s="123"/>
      <c r="Y909" s="123"/>
      <c r="Z909" s="123"/>
    </row>
    <row r="910" spans="2:26" s="235" customFormat="1" ht="13.8">
      <c r="B910" s="307"/>
      <c r="C910" s="307"/>
      <c r="D910" s="307"/>
      <c r="E910" s="307"/>
      <c r="F910" s="307"/>
      <c r="M910" s="123"/>
      <c r="N910" s="123"/>
      <c r="O910" s="123"/>
      <c r="P910" s="123"/>
      <c r="Q910" s="123"/>
      <c r="R910" s="123"/>
      <c r="S910" s="123"/>
      <c r="T910" s="123"/>
      <c r="U910" s="123"/>
      <c r="V910" s="123"/>
      <c r="W910" s="123"/>
      <c r="X910" s="123"/>
      <c r="Y910" s="123"/>
      <c r="Z910" s="123"/>
    </row>
    <row r="911" spans="2:26" s="235" customFormat="1" ht="13.8">
      <c r="B911" s="307"/>
      <c r="C911" s="307"/>
      <c r="D911" s="307"/>
      <c r="E911" s="307"/>
      <c r="F911" s="307"/>
      <c r="M911" s="123"/>
      <c r="N911" s="123"/>
      <c r="O911" s="123"/>
      <c r="P911" s="123"/>
      <c r="Q911" s="123"/>
      <c r="R911" s="123"/>
      <c r="S911" s="123"/>
      <c r="T911" s="123"/>
      <c r="U911" s="123"/>
      <c r="V911" s="123"/>
      <c r="W911" s="123"/>
      <c r="X911" s="123"/>
      <c r="Y911" s="123"/>
      <c r="Z911" s="123"/>
    </row>
    <row r="912" spans="2:26" s="235" customFormat="1" ht="13.8">
      <c r="B912" s="307"/>
      <c r="C912" s="307"/>
      <c r="D912" s="307"/>
      <c r="E912" s="307"/>
      <c r="F912" s="307"/>
      <c r="M912" s="123"/>
      <c r="N912" s="123"/>
      <c r="O912" s="123"/>
      <c r="P912" s="123"/>
      <c r="Q912" s="123"/>
      <c r="R912" s="123"/>
      <c r="S912" s="123"/>
      <c r="T912" s="123"/>
      <c r="U912" s="123"/>
      <c r="V912" s="123"/>
      <c r="W912" s="123"/>
      <c r="X912" s="123"/>
      <c r="Y912" s="123"/>
      <c r="Z912" s="123"/>
    </row>
    <row r="913" spans="2:26" s="235" customFormat="1" ht="13.8">
      <c r="B913" s="307"/>
      <c r="C913" s="307"/>
      <c r="D913" s="307"/>
      <c r="E913" s="307"/>
      <c r="F913" s="307"/>
      <c r="M913" s="123"/>
      <c r="N913" s="123"/>
      <c r="O913" s="123"/>
      <c r="P913" s="123"/>
      <c r="Q913" s="123"/>
      <c r="R913" s="123"/>
      <c r="S913" s="123"/>
      <c r="T913" s="123"/>
      <c r="U913" s="123"/>
      <c r="V913" s="123"/>
      <c r="W913" s="123"/>
      <c r="X913" s="123"/>
      <c r="Y913" s="123"/>
      <c r="Z913" s="123"/>
    </row>
    <row r="914" spans="2:26" s="235" customFormat="1" ht="13.8">
      <c r="B914" s="307"/>
      <c r="C914" s="307"/>
      <c r="D914" s="307"/>
      <c r="E914" s="307"/>
      <c r="F914" s="307"/>
      <c r="M914" s="123"/>
      <c r="N914" s="123"/>
      <c r="O914" s="123"/>
      <c r="P914" s="123"/>
      <c r="Q914" s="123"/>
      <c r="R914" s="123"/>
      <c r="S914" s="123"/>
      <c r="T914" s="123"/>
      <c r="U914" s="123"/>
      <c r="V914" s="123"/>
      <c r="W914" s="123"/>
      <c r="X914" s="123"/>
      <c r="Y914" s="123"/>
      <c r="Z914" s="123"/>
    </row>
    <row r="915" spans="2:26" s="235" customFormat="1" ht="13.8">
      <c r="B915" s="307"/>
      <c r="C915" s="307"/>
      <c r="D915" s="307"/>
      <c r="E915" s="307"/>
      <c r="F915" s="307"/>
      <c r="M915" s="123"/>
      <c r="N915" s="123"/>
      <c r="O915" s="123"/>
      <c r="P915" s="123"/>
      <c r="Q915" s="123"/>
      <c r="R915" s="123"/>
      <c r="S915" s="123"/>
      <c r="T915" s="123"/>
      <c r="U915" s="123"/>
      <c r="V915" s="123"/>
      <c r="W915" s="123"/>
      <c r="X915" s="123"/>
      <c r="Y915" s="123"/>
      <c r="Z915" s="123"/>
    </row>
    <row r="916" spans="2:26" s="235" customFormat="1" ht="13.8">
      <c r="B916" s="307"/>
      <c r="C916" s="307"/>
      <c r="D916" s="307"/>
      <c r="E916" s="307"/>
      <c r="F916" s="307"/>
      <c r="M916" s="123"/>
      <c r="N916" s="123"/>
      <c r="O916" s="123"/>
      <c r="P916" s="123"/>
      <c r="Q916" s="123"/>
      <c r="R916" s="123"/>
      <c r="S916" s="123"/>
      <c r="T916" s="123"/>
      <c r="U916" s="123"/>
      <c r="V916" s="123"/>
      <c r="W916" s="123"/>
      <c r="X916" s="123"/>
      <c r="Y916" s="123"/>
      <c r="Z916" s="123"/>
    </row>
    <row r="917" spans="2:26" s="235" customFormat="1" ht="13.8">
      <c r="B917" s="307"/>
      <c r="C917" s="307"/>
      <c r="D917" s="307"/>
      <c r="E917" s="307"/>
      <c r="F917" s="307"/>
      <c r="M917" s="123"/>
      <c r="N917" s="123"/>
      <c r="O917" s="123"/>
      <c r="P917" s="123"/>
      <c r="Q917" s="123"/>
      <c r="R917" s="123"/>
      <c r="S917" s="123"/>
      <c r="T917" s="123"/>
      <c r="U917" s="123"/>
      <c r="V917" s="123"/>
      <c r="W917" s="123"/>
      <c r="X917" s="123"/>
      <c r="Y917" s="123"/>
      <c r="Z917" s="123"/>
    </row>
    <row r="918" spans="2:26" s="235" customFormat="1" ht="13.8">
      <c r="B918" s="307"/>
      <c r="C918" s="307"/>
      <c r="D918" s="307"/>
      <c r="E918" s="307"/>
      <c r="F918" s="307"/>
      <c r="M918" s="123"/>
      <c r="N918" s="123"/>
      <c r="O918" s="123"/>
      <c r="P918" s="123"/>
      <c r="Q918" s="123"/>
      <c r="R918" s="123"/>
      <c r="S918" s="123"/>
      <c r="T918" s="123"/>
      <c r="U918" s="123"/>
      <c r="V918" s="123"/>
      <c r="W918" s="123"/>
      <c r="X918" s="123"/>
      <c r="Y918" s="123"/>
      <c r="Z918" s="123"/>
    </row>
    <row r="919" spans="2:26" s="235" customFormat="1" ht="13.8">
      <c r="B919" s="307"/>
      <c r="C919" s="307"/>
      <c r="D919" s="307"/>
      <c r="E919" s="307"/>
      <c r="F919" s="307"/>
      <c r="M919" s="123"/>
      <c r="N919" s="123"/>
      <c r="O919" s="123"/>
      <c r="P919" s="123"/>
      <c r="Q919" s="123"/>
      <c r="R919" s="123"/>
      <c r="S919" s="123"/>
      <c r="T919" s="123"/>
      <c r="U919" s="123"/>
      <c r="V919" s="123"/>
      <c r="W919" s="123"/>
      <c r="X919" s="123"/>
      <c r="Y919" s="123"/>
      <c r="Z919" s="123"/>
    </row>
    <row r="920" spans="2:26" s="235" customFormat="1" ht="13.8">
      <c r="B920" s="307"/>
      <c r="C920" s="307"/>
      <c r="D920" s="307"/>
      <c r="E920" s="307"/>
      <c r="F920" s="307"/>
      <c r="M920" s="123"/>
      <c r="N920" s="123"/>
      <c r="O920" s="123"/>
      <c r="P920" s="123"/>
      <c r="Q920" s="123"/>
      <c r="R920" s="123"/>
      <c r="S920" s="123"/>
      <c r="T920" s="123"/>
      <c r="U920" s="123"/>
      <c r="V920" s="123"/>
      <c r="W920" s="123"/>
      <c r="X920" s="123"/>
      <c r="Y920" s="123"/>
      <c r="Z920" s="123"/>
    </row>
    <row r="921" spans="2:26" s="235" customFormat="1" ht="13.8">
      <c r="B921" s="307"/>
      <c r="C921" s="307"/>
      <c r="D921" s="307"/>
      <c r="E921" s="307"/>
      <c r="F921" s="307"/>
      <c r="M921" s="123"/>
      <c r="N921" s="123"/>
      <c r="O921" s="123"/>
      <c r="P921" s="123"/>
      <c r="Q921" s="123"/>
      <c r="R921" s="123"/>
      <c r="S921" s="123"/>
      <c r="T921" s="123"/>
      <c r="U921" s="123"/>
      <c r="V921" s="123"/>
      <c r="W921" s="123"/>
      <c r="X921" s="123"/>
      <c r="Y921" s="123"/>
      <c r="Z921" s="123"/>
    </row>
    <row r="922" spans="2:26" s="235" customFormat="1" ht="13.8">
      <c r="B922" s="307"/>
      <c r="C922" s="307"/>
      <c r="D922" s="307"/>
      <c r="E922" s="307"/>
      <c r="F922" s="307"/>
      <c r="M922" s="123"/>
      <c r="N922" s="123"/>
      <c r="O922" s="123"/>
      <c r="P922" s="123"/>
      <c r="Q922" s="123"/>
      <c r="R922" s="123"/>
      <c r="S922" s="123"/>
      <c r="T922" s="123"/>
      <c r="U922" s="123"/>
      <c r="V922" s="123"/>
      <c r="W922" s="123"/>
      <c r="X922" s="123"/>
      <c r="Y922" s="123"/>
      <c r="Z922" s="123"/>
    </row>
    <row r="923" spans="2:26" s="235" customFormat="1" ht="13.8">
      <c r="B923" s="307"/>
      <c r="C923" s="307"/>
      <c r="D923" s="307"/>
      <c r="E923" s="307"/>
      <c r="F923" s="307"/>
      <c r="M923" s="123"/>
      <c r="N923" s="123"/>
      <c r="O923" s="123"/>
      <c r="P923" s="123"/>
      <c r="Q923" s="123"/>
      <c r="R923" s="123"/>
      <c r="S923" s="123"/>
      <c r="T923" s="123"/>
      <c r="U923" s="123"/>
      <c r="V923" s="123"/>
      <c r="W923" s="123"/>
      <c r="X923" s="123"/>
      <c r="Y923" s="123"/>
      <c r="Z923" s="123"/>
    </row>
    <row r="924" spans="2:26" s="235" customFormat="1" ht="13.8">
      <c r="B924" s="307"/>
      <c r="C924" s="307"/>
      <c r="D924" s="307"/>
      <c r="E924" s="307"/>
      <c r="F924" s="307"/>
      <c r="M924" s="123"/>
      <c r="N924" s="123"/>
      <c r="O924" s="123"/>
      <c r="P924" s="123"/>
      <c r="Q924" s="123"/>
      <c r="R924" s="123"/>
      <c r="S924" s="123"/>
      <c r="T924" s="123"/>
      <c r="U924" s="123"/>
      <c r="V924" s="123"/>
      <c r="W924" s="123"/>
      <c r="X924" s="123"/>
      <c r="Y924" s="123"/>
      <c r="Z924" s="123"/>
    </row>
    <row r="925" spans="2:26" s="235" customFormat="1" ht="13.8">
      <c r="B925" s="307"/>
      <c r="C925" s="307"/>
      <c r="D925" s="307"/>
      <c r="E925" s="307"/>
      <c r="F925" s="307"/>
      <c r="M925" s="123"/>
      <c r="N925" s="123"/>
      <c r="O925" s="123"/>
      <c r="P925" s="123"/>
      <c r="Q925" s="123"/>
      <c r="R925" s="123"/>
      <c r="S925" s="123"/>
      <c r="T925" s="123"/>
      <c r="U925" s="123"/>
      <c r="V925" s="123"/>
      <c r="W925" s="123"/>
      <c r="X925" s="123"/>
      <c r="Y925" s="123"/>
      <c r="Z925" s="123"/>
    </row>
    <row r="926" spans="2:26" s="235" customFormat="1" ht="13.8">
      <c r="B926" s="307"/>
      <c r="C926" s="307"/>
      <c r="D926" s="307"/>
      <c r="E926" s="307"/>
      <c r="F926" s="307"/>
      <c r="M926" s="123"/>
      <c r="N926" s="123"/>
      <c r="O926" s="123"/>
      <c r="P926" s="123"/>
      <c r="Q926" s="123"/>
      <c r="R926" s="123"/>
      <c r="S926" s="123"/>
      <c r="T926" s="123"/>
      <c r="U926" s="123"/>
      <c r="V926" s="123"/>
      <c r="W926" s="123"/>
      <c r="X926" s="123"/>
      <c r="Y926" s="123"/>
      <c r="Z926" s="123"/>
    </row>
    <row r="927" spans="2:26" s="235" customFormat="1" ht="13.8">
      <c r="B927" s="307"/>
      <c r="C927" s="307"/>
      <c r="D927" s="307"/>
      <c r="E927" s="307"/>
      <c r="F927" s="307"/>
      <c r="M927" s="123"/>
      <c r="N927" s="123"/>
      <c r="O927" s="123"/>
      <c r="P927" s="123"/>
      <c r="Q927" s="123"/>
      <c r="R927" s="123"/>
      <c r="S927" s="123"/>
      <c r="T927" s="123"/>
      <c r="U927" s="123"/>
      <c r="V927" s="123"/>
      <c r="W927" s="123"/>
      <c r="X927" s="123"/>
      <c r="Y927" s="123"/>
      <c r="Z927" s="123"/>
    </row>
    <row r="928" spans="2:26" s="235" customFormat="1" ht="13.8">
      <c r="B928" s="307"/>
      <c r="C928" s="307"/>
      <c r="D928" s="307"/>
      <c r="E928" s="307"/>
      <c r="F928" s="307"/>
      <c r="M928" s="123"/>
      <c r="N928" s="123"/>
      <c r="O928" s="123"/>
      <c r="P928" s="123"/>
      <c r="Q928" s="123"/>
      <c r="R928" s="123"/>
      <c r="S928" s="123"/>
      <c r="T928" s="123"/>
      <c r="U928" s="123"/>
      <c r="V928" s="123"/>
      <c r="W928" s="123"/>
      <c r="X928" s="123"/>
      <c r="Y928" s="123"/>
      <c r="Z928" s="123"/>
    </row>
    <row r="929" spans="2:26" s="235" customFormat="1" ht="13.8">
      <c r="B929" s="307"/>
      <c r="C929" s="307"/>
      <c r="D929" s="307"/>
      <c r="E929" s="307"/>
      <c r="F929" s="307"/>
      <c r="M929" s="123"/>
      <c r="N929" s="123"/>
      <c r="O929" s="123"/>
      <c r="P929" s="123"/>
      <c r="Q929" s="123"/>
      <c r="R929" s="123"/>
      <c r="S929" s="123"/>
      <c r="T929" s="123"/>
      <c r="U929" s="123"/>
      <c r="V929" s="123"/>
      <c r="W929" s="123"/>
      <c r="X929" s="123"/>
      <c r="Y929" s="123"/>
      <c r="Z929" s="123"/>
    </row>
    <row r="930" spans="2:26" s="235" customFormat="1" ht="13.8">
      <c r="B930" s="307"/>
      <c r="C930" s="307"/>
      <c r="D930" s="307"/>
      <c r="E930" s="307"/>
      <c r="F930" s="307"/>
      <c r="M930" s="123"/>
      <c r="N930" s="123"/>
      <c r="O930" s="123"/>
      <c r="P930" s="123"/>
      <c r="Q930" s="123"/>
      <c r="R930" s="123"/>
      <c r="S930" s="123"/>
      <c r="T930" s="123"/>
      <c r="U930" s="123"/>
      <c r="V930" s="123"/>
      <c r="W930" s="123"/>
      <c r="X930" s="123"/>
      <c r="Y930" s="123"/>
      <c r="Z930" s="123"/>
    </row>
    <row r="931" spans="2:26" s="235" customFormat="1" ht="13.8">
      <c r="B931" s="307"/>
      <c r="C931" s="307"/>
      <c r="D931" s="307"/>
      <c r="E931" s="307"/>
      <c r="F931" s="307"/>
      <c r="M931" s="123"/>
      <c r="N931" s="123"/>
      <c r="O931" s="123"/>
      <c r="P931" s="123"/>
      <c r="Q931" s="123"/>
      <c r="R931" s="123"/>
      <c r="S931" s="123"/>
      <c r="T931" s="123"/>
      <c r="U931" s="123"/>
      <c r="V931" s="123"/>
      <c r="W931" s="123"/>
      <c r="X931" s="123"/>
      <c r="Y931" s="123"/>
      <c r="Z931" s="123"/>
    </row>
    <row r="932" spans="2:26" s="235" customFormat="1" ht="13.8">
      <c r="B932" s="307"/>
      <c r="C932" s="307"/>
      <c r="D932" s="307"/>
      <c r="E932" s="307"/>
      <c r="F932" s="307"/>
      <c r="M932" s="123"/>
      <c r="N932" s="123"/>
      <c r="O932" s="123"/>
      <c r="P932" s="123"/>
      <c r="Q932" s="123"/>
      <c r="R932" s="123"/>
      <c r="S932" s="123"/>
      <c r="T932" s="123"/>
      <c r="U932" s="123"/>
      <c r="V932" s="123"/>
      <c r="W932" s="123"/>
      <c r="X932" s="123"/>
      <c r="Y932" s="123"/>
      <c r="Z932" s="123"/>
    </row>
    <row r="933" spans="2:26" s="235" customFormat="1" ht="13.8">
      <c r="B933" s="307"/>
      <c r="C933" s="307"/>
      <c r="D933" s="307"/>
      <c r="E933" s="307"/>
      <c r="F933" s="307"/>
      <c r="M933" s="123"/>
      <c r="N933" s="123"/>
      <c r="O933" s="123"/>
      <c r="P933" s="123"/>
      <c r="Q933" s="123"/>
      <c r="R933" s="123"/>
      <c r="S933" s="123"/>
      <c r="T933" s="123"/>
      <c r="U933" s="123"/>
      <c r="V933" s="123"/>
      <c r="W933" s="123"/>
      <c r="X933" s="123"/>
      <c r="Y933" s="123"/>
      <c r="Z933" s="123"/>
    </row>
    <row r="934" spans="2:26" s="235" customFormat="1" ht="13.8">
      <c r="B934" s="307"/>
      <c r="C934" s="307"/>
      <c r="D934" s="307"/>
      <c r="E934" s="307"/>
      <c r="F934" s="307"/>
      <c r="M934" s="123"/>
      <c r="N934" s="123"/>
      <c r="O934" s="123"/>
      <c r="P934" s="123"/>
      <c r="Q934" s="123"/>
      <c r="R934" s="123"/>
      <c r="S934" s="123"/>
      <c r="T934" s="123"/>
      <c r="U934" s="123"/>
      <c r="V934" s="123"/>
      <c r="W934" s="123"/>
      <c r="X934" s="123"/>
      <c r="Y934" s="123"/>
      <c r="Z934" s="123"/>
    </row>
    <row r="935" spans="2:26" s="235" customFormat="1" ht="13.8">
      <c r="B935" s="307"/>
      <c r="C935" s="307"/>
      <c r="D935" s="307"/>
      <c r="E935" s="307"/>
      <c r="F935" s="307"/>
      <c r="M935" s="123"/>
      <c r="N935" s="123"/>
      <c r="O935" s="123"/>
      <c r="P935" s="123"/>
      <c r="Q935" s="123"/>
      <c r="R935" s="123"/>
      <c r="S935" s="123"/>
      <c r="T935" s="123"/>
      <c r="U935" s="123"/>
      <c r="V935" s="123"/>
      <c r="W935" s="123"/>
      <c r="X935" s="123"/>
      <c r="Y935" s="123"/>
      <c r="Z935" s="123"/>
    </row>
    <row r="936" spans="2:26" s="235" customFormat="1" ht="13.8">
      <c r="B936" s="307"/>
      <c r="C936" s="307"/>
      <c r="D936" s="307"/>
      <c r="E936" s="307"/>
      <c r="F936" s="307"/>
      <c r="M936" s="123"/>
      <c r="N936" s="123"/>
      <c r="O936" s="123"/>
      <c r="P936" s="123"/>
      <c r="Q936" s="123"/>
      <c r="R936" s="123"/>
      <c r="S936" s="123"/>
      <c r="T936" s="123"/>
      <c r="U936" s="123"/>
      <c r="V936" s="123"/>
      <c r="W936" s="123"/>
      <c r="X936" s="123"/>
      <c r="Y936" s="123"/>
      <c r="Z936" s="123"/>
    </row>
    <row r="937" spans="2:26" s="235" customFormat="1" ht="13.8">
      <c r="B937" s="307"/>
      <c r="C937" s="307"/>
      <c r="D937" s="307"/>
      <c r="E937" s="307"/>
      <c r="F937" s="307"/>
      <c r="M937" s="123"/>
      <c r="N937" s="123"/>
      <c r="O937" s="123"/>
      <c r="P937" s="123"/>
      <c r="Q937" s="123"/>
      <c r="R937" s="123"/>
      <c r="S937" s="123"/>
      <c r="T937" s="123"/>
      <c r="U937" s="123"/>
      <c r="V937" s="123"/>
      <c r="W937" s="123"/>
      <c r="X937" s="123"/>
      <c r="Y937" s="123"/>
      <c r="Z937" s="123"/>
    </row>
    <row r="938" spans="2:26" s="235" customFormat="1" ht="13.8">
      <c r="B938" s="307"/>
      <c r="C938" s="307"/>
      <c r="D938" s="307"/>
      <c r="E938" s="307"/>
      <c r="F938" s="307"/>
      <c r="M938" s="123"/>
      <c r="N938" s="123"/>
      <c r="O938" s="123"/>
      <c r="P938" s="123"/>
      <c r="Q938" s="123"/>
      <c r="R938" s="123"/>
      <c r="S938" s="123"/>
      <c r="T938" s="123"/>
      <c r="U938" s="123"/>
      <c r="V938" s="123"/>
      <c r="W938" s="123"/>
      <c r="X938" s="123"/>
      <c r="Y938" s="123"/>
      <c r="Z938" s="123"/>
    </row>
    <row r="939" spans="2:26" s="235" customFormat="1" ht="13.8">
      <c r="B939" s="307"/>
      <c r="C939" s="307"/>
      <c r="D939" s="307"/>
      <c r="E939" s="307"/>
      <c r="F939" s="307"/>
      <c r="M939" s="123"/>
      <c r="N939" s="123"/>
      <c r="O939" s="123"/>
      <c r="P939" s="123"/>
      <c r="Q939" s="123"/>
      <c r="R939" s="123"/>
      <c r="S939" s="123"/>
      <c r="T939" s="123"/>
      <c r="U939" s="123"/>
      <c r="V939" s="123"/>
      <c r="W939" s="123"/>
      <c r="X939" s="123"/>
      <c r="Y939" s="123"/>
      <c r="Z939" s="123"/>
    </row>
    <row r="940" spans="2:26" s="235" customFormat="1" ht="13.8">
      <c r="B940" s="307"/>
      <c r="C940" s="307"/>
      <c r="D940" s="307"/>
      <c r="E940" s="307"/>
      <c r="F940" s="307"/>
      <c r="M940" s="123"/>
      <c r="N940" s="123"/>
      <c r="O940" s="123"/>
      <c r="P940" s="123"/>
      <c r="Q940" s="123"/>
      <c r="R940" s="123"/>
      <c r="S940" s="123"/>
      <c r="T940" s="123"/>
      <c r="U940" s="123"/>
      <c r="V940" s="123"/>
      <c r="W940" s="123"/>
      <c r="X940" s="123"/>
      <c r="Y940" s="123"/>
      <c r="Z940" s="123"/>
    </row>
    <row r="941" spans="2:26" s="235" customFormat="1" ht="13.8">
      <c r="B941" s="307"/>
      <c r="C941" s="307"/>
      <c r="D941" s="307"/>
      <c r="E941" s="307"/>
      <c r="F941" s="307"/>
      <c r="M941" s="123"/>
      <c r="N941" s="123"/>
      <c r="O941" s="123"/>
      <c r="P941" s="123"/>
      <c r="Q941" s="123"/>
      <c r="R941" s="123"/>
      <c r="S941" s="123"/>
      <c r="T941" s="123"/>
      <c r="U941" s="123"/>
      <c r="V941" s="123"/>
      <c r="W941" s="123"/>
      <c r="X941" s="123"/>
      <c r="Y941" s="123"/>
      <c r="Z941" s="123"/>
    </row>
    <row r="942" spans="2:26" s="235" customFormat="1" ht="13.8">
      <c r="B942" s="307"/>
      <c r="C942" s="307"/>
      <c r="D942" s="307"/>
      <c r="E942" s="307"/>
      <c r="F942" s="307"/>
      <c r="M942" s="123"/>
      <c r="N942" s="123"/>
      <c r="O942" s="123"/>
      <c r="P942" s="123"/>
      <c r="Q942" s="123"/>
      <c r="R942" s="123"/>
      <c r="S942" s="123"/>
      <c r="T942" s="123"/>
      <c r="U942" s="123"/>
      <c r="V942" s="123"/>
      <c r="W942" s="123"/>
      <c r="X942" s="123"/>
      <c r="Y942" s="123"/>
      <c r="Z942" s="123"/>
    </row>
    <row r="943" spans="2:26" s="235" customFormat="1" ht="13.8">
      <c r="B943" s="307"/>
      <c r="C943" s="307"/>
      <c r="D943" s="307"/>
      <c r="E943" s="307"/>
      <c r="F943" s="307"/>
      <c r="M943" s="123"/>
      <c r="N943" s="123"/>
      <c r="O943" s="123"/>
      <c r="P943" s="123"/>
      <c r="Q943" s="123"/>
      <c r="R943" s="123"/>
      <c r="S943" s="123"/>
      <c r="T943" s="123"/>
      <c r="U943" s="123"/>
      <c r="V943" s="123"/>
      <c r="W943" s="123"/>
      <c r="X943" s="123"/>
      <c r="Y943" s="123"/>
      <c r="Z943" s="123"/>
    </row>
    <row r="944" spans="2:26" s="235" customFormat="1" ht="13.8">
      <c r="B944" s="307"/>
      <c r="C944" s="307"/>
      <c r="D944" s="307"/>
      <c r="E944" s="307"/>
      <c r="F944" s="307"/>
      <c r="M944" s="123"/>
      <c r="N944" s="123"/>
      <c r="O944" s="123"/>
      <c r="P944" s="123"/>
      <c r="Q944" s="123"/>
      <c r="R944" s="123"/>
      <c r="S944" s="123"/>
      <c r="T944" s="123"/>
      <c r="U944" s="123"/>
      <c r="V944" s="123"/>
      <c r="W944" s="123"/>
      <c r="X944" s="123"/>
      <c r="Y944" s="123"/>
      <c r="Z944" s="123"/>
    </row>
    <row r="945" spans="2:26" s="235" customFormat="1" ht="13.8">
      <c r="B945" s="307"/>
      <c r="C945" s="307"/>
      <c r="D945" s="307"/>
      <c r="E945" s="307"/>
      <c r="F945" s="307"/>
      <c r="M945" s="123"/>
      <c r="N945" s="123"/>
      <c r="O945" s="123"/>
      <c r="P945" s="123"/>
      <c r="Q945" s="123"/>
      <c r="R945" s="123"/>
      <c r="S945" s="123"/>
      <c r="T945" s="123"/>
      <c r="U945" s="123"/>
      <c r="V945" s="123"/>
      <c r="W945" s="123"/>
      <c r="X945" s="123"/>
      <c r="Y945" s="123"/>
      <c r="Z945" s="123"/>
    </row>
    <row r="946" spans="2:26" s="235" customFormat="1" ht="13.8">
      <c r="B946" s="307"/>
      <c r="C946" s="307"/>
      <c r="D946" s="307"/>
      <c r="E946" s="307"/>
      <c r="F946" s="307"/>
      <c r="M946" s="123"/>
      <c r="N946" s="123"/>
      <c r="O946" s="123"/>
      <c r="P946" s="123"/>
      <c r="Q946" s="123"/>
      <c r="R946" s="123"/>
      <c r="S946" s="123"/>
      <c r="T946" s="123"/>
      <c r="U946" s="123"/>
      <c r="V946" s="123"/>
      <c r="W946" s="123"/>
      <c r="X946" s="123"/>
      <c r="Y946" s="123"/>
      <c r="Z946" s="123"/>
    </row>
    <row r="947" spans="2:26" s="235" customFormat="1" ht="13.8">
      <c r="B947" s="307"/>
      <c r="C947" s="307"/>
      <c r="D947" s="307"/>
      <c r="E947" s="307"/>
      <c r="F947" s="307"/>
      <c r="M947" s="123"/>
      <c r="N947" s="123"/>
      <c r="O947" s="123"/>
      <c r="P947" s="123"/>
      <c r="Q947" s="123"/>
      <c r="R947" s="123"/>
      <c r="S947" s="123"/>
      <c r="T947" s="123"/>
      <c r="U947" s="123"/>
      <c r="V947" s="123"/>
      <c r="W947" s="123"/>
      <c r="X947" s="123"/>
      <c r="Y947" s="123"/>
      <c r="Z947" s="123"/>
    </row>
    <row r="948" spans="2:26" s="235" customFormat="1" ht="13.8">
      <c r="B948" s="307"/>
      <c r="C948" s="307"/>
      <c r="D948" s="307"/>
      <c r="E948" s="307"/>
      <c r="F948" s="307"/>
      <c r="M948" s="123"/>
      <c r="N948" s="123"/>
      <c r="O948" s="123"/>
      <c r="P948" s="123"/>
      <c r="Q948" s="123"/>
      <c r="R948" s="123"/>
      <c r="S948" s="123"/>
      <c r="T948" s="123"/>
      <c r="U948" s="123"/>
      <c r="V948" s="123"/>
      <c r="W948" s="123"/>
      <c r="X948" s="123"/>
      <c r="Y948" s="123"/>
      <c r="Z948" s="123"/>
    </row>
    <row r="949" spans="2:26" s="235" customFormat="1" ht="13.8">
      <c r="B949" s="307"/>
      <c r="C949" s="307"/>
      <c r="D949" s="307"/>
      <c r="E949" s="307"/>
      <c r="F949" s="307"/>
      <c r="M949" s="123"/>
      <c r="N949" s="123"/>
      <c r="O949" s="123"/>
      <c r="P949" s="123"/>
      <c r="Q949" s="123"/>
      <c r="R949" s="123"/>
      <c r="S949" s="123"/>
      <c r="T949" s="123"/>
      <c r="U949" s="123"/>
      <c r="V949" s="123"/>
      <c r="W949" s="123"/>
      <c r="X949" s="123"/>
      <c r="Y949" s="123"/>
      <c r="Z949" s="123"/>
    </row>
    <row r="950" spans="2:26" s="235" customFormat="1" ht="13.8">
      <c r="B950" s="307"/>
      <c r="C950" s="307"/>
      <c r="D950" s="307"/>
      <c r="E950" s="307"/>
      <c r="F950" s="307"/>
      <c r="M950" s="123"/>
      <c r="N950" s="123"/>
      <c r="O950" s="123"/>
      <c r="P950" s="123"/>
      <c r="Q950" s="123"/>
      <c r="R950" s="123"/>
      <c r="S950" s="123"/>
      <c r="T950" s="123"/>
      <c r="U950" s="123"/>
      <c r="V950" s="123"/>
      <c r="W950" s="123"/>
      <c r="X950" s="123"/>
      <c r="Y950" s="123"/>
      <c r="Z950" s="123"/>
    </row>
    <row r="951" spans="2:26" s="235" customFormat="1" ht="13.8">
      <c r="B951" s="307"/>
      <c r="C951" s="307"/>
      <c r="D951" s="307"/>
      <c r="E951" s="307"/>
      <c r="F951" s="307"/>
      <c r="M951" s="123"/>
      <c r="N951" s="123"/>
      <c r="O951" s="123"/>
      <c r="P951" s="123"/>
      <c r="Q951" s="123"/>
      <c r="R951" s="123"/>
      <c r="S951" s="123"/>
      <c r="T951" s="123"/>
      <c r="U951" s="123"/>
      <c r="V951" s="123"/>
      <c r="W951" s="123"/>
      <c r="X951" s="123"/>
      <c r="Y951" s="123"/>
      <c r="Z951" s="123"/>
    </row>
    <row r="952" spans="2:26" s="235" customFormat="1" ht="13.8">
      <c r="B952" s="307"/>
      <c r="C952" s="307"/>
      <c r="D952" s="307"/>
      <c r="E952" s="307"/>
      <c r="F952" s="307"/>
      <c r="M952" s="123"/>
      <c r="N952" s="123"/>
      <c r="O952" s="123"/>
      <c r="P952" s="123"/>
      <c r="Q952" s="123"/>
      <c r="R952" s="123"/>
      <c r="S952" s="123"/>
      <c r="T952" s="123"/>
      <c r="U952" s="123"/>
      <c r="V952" s="123"/>
      <c r="W952" s="123"/>
      <c r="X952" s="123"/>
      <c r="Y952" s="123"/>
      <c r="Z952" s="123"/>
    </row>
    <row r="953" spans="2:26" s="235" customFormat="1" ht="13.8">
      <c r="B953" s="307"/>
      <c r="C953" s="307"/>
      <c r="D953" s="307"/>
      <c r="E953" s="307"/>
      <c r="F953" s="307"/>
      <c r="M953" s="123"/>
      <c r="N953" s="123"/>
      <c r="O953" s="123"/>
      <c r="P953" s="123"/>
      <c r="Q953" s="123"/>
      <c r="R953" s="123"/>
      <c r="S953" s="123"/>
      <c r="T953" s="123"/>
      <c r="U953" s="123"/>
      <c r="V953" s="123"/>
      <c r="W953" s="123"/>
      <c r="X953" s="123"/>
      <c r="Y953" s="123"/>
      <c r="Z953" s="123"/>
    </row>
    <row r="954" spans="2:26" s="235" customFormat="1" ht="13.8">
      <c r="B954" s="307"/>
      <c r="C954" s="307"/>
      <c r="D954" s="307"/>
      <c r="E954" s="307"/>
      <c r="F954" s="307"/>
      <c r="M954" s="123"/>
      <c r="N954" s="123"/>
      <c r="O954" s="123"/>
      <c r="P954" s="123"/>
      <c r="Q954" s="123"/>
      <c r="R954" s="123"/>
      <c r="S954" s="123"/>
      <c r="T954" s="123"/>
      <c r="U954" s="123"/>
      <c r="V954" s="123"/>
      <c r="W954" s="123"/>
      <c r="X954" s="123"/>
      <c r="Y954" s="123"/>
      <c r="Z954" s="123"/>
    </row>
    <row r="955" spans="2:26" s="235" customFormat="1" ht="13.8">
      <c r="B955" s="307"/>
      <c r="C955" s="307"/>
      <c r="D955" s="307"/>
      <c r="E955" s="307"/>
      <c r="F955" s="307"/>
      <c r="M955" s="123"/>
      <c r="N955" s="123"/>
      <c r="O955" s="123"/>
      <c r="P955" s="123"/>
      <c r="Q955" s="123"/>
      <c r="R955" s="123"/>
      <c r="S955" s="123"/>
      <c r="T955" s="123"/>
      <c r="U955" s="123"/>
      <c r="V955" s="123"/>
      <c r="W955" s="123"/>
      <c r="X955" s="123"/>
      <c r="Y955" s="123"/>
      <c r="Z955" s="123"/>
    </row>
    <row r="956" spans="2:26" s="235" customFormat="1" ht="13.8">
      <c r="B956" s="307"/>
      <c r="C956" s="307"/>
      <c r="D956" s="307"/>
      <c r="E956" s="307"/>
      <c r="F956" s="307"/>
      <c r="M956" s="123"/>
      <c r="N956" s="123"/>
      <c r="O956" s="123"/>
      <c r="P956" s="123"/>
      <c r="Q956" s="123"/>
      <c r="R956" s="123"/>
      <c r="S956" s="123"/>
      <c r="T956" s="123"/>
      <c r="U956" s="123"/>
      <c r="V956" s="123"/>
      <c r="W956" s="123"/>
      <c r="X956" s="123"/>
      <c r="Y956" s="123"/>
      <c r="Z956" s="123"/>
    </row>
    <row r="957" spans="2:26" s="235" customFormat="1" ht="13.8">
      <c r="B957" s="307"/>
      <c r="C957" s="307"/>
      <c r="D957" s="307"/>
      <c r="E957" s="307"/>
      <c r="F957" s="307"/>
      <c r="M957" s="123"/>
      <c r="N957" s="123"/>
      <c r="O957" s="123"/>
      <c r="P957" s="123"/>
      <c r="Q957" s="123"/>
      <c r="R957" s="123"/>
      <c r="S957" s="123"/>
      <c r="T957" s="123"/>
      <c r="U957" s="123"/>
      <c r="V957" s="123"/>
      <c r="W957" s="123"/>
      <c r="X957" s="123"/>
      <c r="Y957" s="123"/>
      <c r="Z957" s="123"/>
    </row>
    <row r="958" spans="2:26" s="235" customFormat="1" ht="13.8">
      <c r="B958" s="307"/>
      <c r="C958" s="307"/>
      <c r="D958" s="307"/>
      <c r="E958" s="307"/>
      <c r="F958" s="307"/>
      <c r="M958" s="123"/>
      <c r="N958" s="123"/>
      <c r="O958" s="123"/>
      <c r="P958" s="123"/>
      <c r="Q958" s="123"/>
      <c r="R958" s="123"/>
      <c r="S958" s="123"/>
      <c r="T958" s="123"/>
      <c r="U958" s="123"/>
      <c r="V958" s="123"/>
      <c r="W958" s="123"/>
      <c r="X958" s="123"/>
      <c r="Y958" s="123"/>
      <c r="Z958" s="123"/>
    </row>
    <row r="959" spans="2:26" s="235" customFormat="1" ht="13.8">
      <c r="B959" s="307"/>
      <c r="C959" s="307"/>
      <c r="D959" s="307"/>
      <c r="E959" s="307"/>
      <c r="F959" s="307"/>
      <c r="M959" s="123"/>
      <c r="N959" s="123"/>
      <c r="O959" s="123"/>
      <c r="P959" s="123"/>
      <c r="Q959" s="123"/>
      <c r="R959" s="123"/>
      <c r="S959" s="123"/>
      <c r="T959" s="123"/>
      <c r="U959" s="123"/>
      <c r="V959" s="123"/>
      <c r="W959" s="123"/>
      <c r="X959" s="123"/>
      <c r="Y959" s="123"/>
      <c r="Z959" s="123"/>
    </row>
    <row r="960" spans="2:26" s="235" customFormat="1" ht="13.8">
      <c r="B960" s="307"/>
      <c r="C960" s="307"/>
      <c r="D960" s="307"/>
      <c r="E960" s="307"/>
      <c r="F960" s="307"/>
      <c r="M960" s="123"/>
      <c r="N960" s="123"/>
      <c r="O960" s="123"/>
      <c r="P960" s="123"/>
      <c r="Q960" s="123"/>
      <c r="R960" s="123"/>
      <c r="S960" s="123"/>
      <c r="T960" s="123"/>
      <c r="U960" s="123"/>
      <c r="V960" s="123"/>
      <c r="W960" s="123"/>
      <c r="X960" s="123"/>
      <c r="Y960" s="123"/>
      <c r="Z960" s="123"/>
    </row>
    <row r="961" spans="2:26" s="235" customFormat="1" ht="13.8">
      <c r="B961" s="307"/>
      <c r="C961" s="307"/>
      <c r="D961" s="307"/>
      <c r="E961" s="307"/>
      <c r="F961" s="307"/>
      <c r="M961" s="123"/>
      <c r="N961" s="123"/>
      <c r="O961" s="123"/>
      <c r="P961" s="123"/>
      <c r="Q961" s="123"/>
      <c r="R961" s="123"/>
      <c r="S961" s="123"/>
      <c r="T961" s="123"/>
      <c r="U961" s="123"/>
      <c r="V961" s="123"/>
      <c r="W961" s="123"/>
      <c r="X961" s="123"/>
      <c r="Y961" s="123"/>
      <c r="Z961" s="123"/>
    </row>
    <row r="962" spans="2:26" s="235" customFormat="1" ht="13.8">
      <c r="B962" s="307"/>
      <c r="C962" s="307"/>
      <c r="D962" s="307"/>
      <c r="E962" s="307"/>
      <c r="F962" s="307"/>
      <c r="M962" s="123"/>
      <c r="N962" s="123"/>
      <c r="O962" s="123"/>
      <c r="P962" s="123"/>
      <c r="Q962" s="123"/>
      <c r="R962" s="123"/>
      <c r="S962" s="123"/>
      <c r="T962" s="123"/>
      <c r="U962" s="123"/>
      <c r="V962" s="123"/>
      <c r="W962" s="123"/>
      <c r="X962" s="123"/>
      <c r="Y962" s="123"/>
      <c r="Z962" s="123"/>
    </row>
    <row r="963" spans="2:26" s="235" customFormat="1" ht="13.8">
      <c r="B963" s="307"/>
      <c r="C963" s="307"/>
      <c r="D963" s="307"/>
      <c r="E963" s="307"/>
      <c r="F963" s="307"/>
      <c r="M963" s="123"/>
      <c r="N963" s="123"/>
      <c r="O963" s="123"/>
      <c r="P963" s="123"/>
      <c r="Q963" s="123"/>
      <c r="R963" s="123"/>
      <c r="S963" s="123"/>
      <c r="T963" s="123"/>
      <c r="U963" s="123"/>
      <c r="V963" s="123"/>
      <c r="W963" s="123"/>
      <c r="X963" s="123"/>
      <c r="Y963" s="123"/>
      <c r="Z963" s="123"/>
    </row>
    <row r="964" spans="2:26" s="235" customFormat="1" ht="13.8">
      <c r="B964" s="307"/>
      <c r="C964" s="307"/>
      <c r="D964" s="307"/>
      <c r="E964" s="307"/>
      <c r="F964" s="307"/>
      <c r="M964" s="123"/>
      <c r="N964" s="123"/>
      <c r="O964" s="123"/>
      <c r="P964" s="123"/>
      <c r="Q964" s="123"/>
      <c r="R964" s="123"/>
      <c r="S964" s="123"/>
      <c r="T964" s="123"/>
      <c r="U964" s="123"/>
      <c r="V964" s="123"/>
      <c r="W964" s="123"/>
      <c r="X964" s="123"/>
      <c r="Y964" s="123"/>
      <c r="Z964" s="123"/>
    </row>
    <row r="965" spans="2:26" s="235" customFormat="1" ht="13.8">
      <c r="B965" s="307"/>
      <c r="C965" s="307"/>
      <c r="D965" s="307"/>
      <c r="E965" s="307"/>
      <c r="F965" s="307"/>
      <c r="M965" s="123"/>
      <c r="N965" s="123"/>
      <c r="O965" s="123"/>
      <c r="P965" s="123"/>
      <c r="Q965" s="123"/>
      <c r="R965" s="123"/>
      <c r="S965" s="123"/>
      <c r="T965" s="123"/>
      <c r="U965" s="123"/>
      <c r="V965" s="123"/>
      <c r="W965" s="123"/>
      <c r="X965" s="123"/>
      <c r="Y965" s="123"/>
      <c r="Z965" s="123"/>
    </row>
    <row r="966" spans="2:26" s="235" customFormat="1" ht="13.8">
      <c r="B966" s="307"/>
      <c r="C966" s="307"/>
      <c r="D966" s="307"/>
      <c r="E966" s="307"/>
      <c r="F966" s="307"/>
      <c r="M966" s="123"/>
      <c r="N966" s="123"/>
      <c r="O966" s="123"/>
      <c r="P966" s="123"/>
      <c r="Q966" s="123"/>
      <c r="R966" s="123"/>
      <c r="S966" s="123"/>
      <c r="T966" s="123"/>
      <c r="U966" s="123"/>
      <c r="V966" s="123"/>
      <c r="W966" s="123"/>
      <c r="X966" s="123"/>
      <c r="Y966" s="123"/>
      <c r="Z966" s="123"/>
    </row>
    <row r="967" spans="2:26" s="235" customFormat="1" ht="13.8">
      <c r="B967" s="307"/>
      <c r="C967" s="307"/>
      <c r="D967" s="307"/>
      <c r="E967" s="307"/>
      <c r="F967" s="307"/>
      <c r="M967" s="123"/>
      <c r="N967" s="123"/>
      <c r="O967" s="123"/>
      <c r="P967" s="123"/>
      <c r="Q967" s="123"/>
      <c r="R967" s="123"/>
      <c r="S967" s="123"/>
      <c r="T967" s="123"/>
      <c r="U967" s="123"/>
      <c r="V967" s="123"/>
      <c r="W967" s="123"/>
      <c r="X967" s="123"/>
      <c r="Y967" s="123"/>
      <c r="Z967" s="123"/>
    </row>
    <row r="968" spans="2:26" s="235" customFormat="1" ht="13.8">
      <c r="B968" s="307"/>
      <c r="C968" s="307"/>
      <c r="D968" s="307"/>
      <c r="E968" s="307"/>
      <c r="F968" s="307"/>
      <c r="M968" s="123"/>
      <c r="N968" s="123"/>
      <c r="O968" s="123"/>
      <c r="P968" s="123"/>
      <c r="Q968" s="123"/>
      <c r="R968" s="123"/>
      <c r="S968" s="123"/>
      <c r="T968" s="123"/>
      <c r="U968" s="123"/>
      <c r="V968" s="123"/>
      <c r="W968" s="123"/>
      <c r="X968" s="123"/>
      <c r="Y968" s="123"/>
      <c r="Z968" s="123"/>
    </row>
    <row r="969" spans="2:26" s="235" customFormat="1" ht="13.8">
      <c r="B969" s="307"/>
      <c r="C969" s="307"/>
      <c r="D969" s="307"/>
      <c r="E969" s="307"/>
      <c r="F969" s="307"/>
      <c r="M969" s="123"/>
      <c r="N969" s="123"/>
      <c r="O969" s="123"/>
      <c r="P969" s="123"/>
      <c r="Q969" s="123"/>
      <c r="R969" s="123"/>
      <c r="S969" s="123"/>
      <c r="T969" s="123"/>
      <c r="U969" s="123"/>
      <c r="V969" s="123"/>
      <c r="W969" s="123"/>
      <c r="X969" s="123"/>
      <c r="Y969" s="123"/>
      <c r="Z969" s="123"/>
    </row>
    <row r="970" spans="2:26" s="235" customFormat="1" ht="13.8">
      <c r="B970" s="307"/>
      <c r="C970" s="307"/>
      <c r="D970" s="307"/>
      <c r="E970" s="307"/>
      <c r="F970" s="307"/>
      <c r="M970" s="123"/>
      <c r="N970" s="123"/>
      <c r="O970" s="123"/>
      <c r="P970" s="123"/>
      <c r="Q970" s="123"/>
      <c r="R970" s="123"/>
      <c r="S970" s="123"/>
      <c r="T970" s="123"/>
      <c r="U970" s="123"/>
      <c r="V970" s="123"/>
      <c r="W970" s="123"/>
      <c r="X970" s="123"/>
      <c r="Y970" s="123"/>
      <c r="Z970" s="123"/>
    </row>
    <row r="971" spans="2:26" s="235" customFormat="1" ht="13.8">
      <c r="B971" s="307"/>
      <c r="C971" s="307"/>
      <c r="D971" s="307"/>
      <c r="E971" s="307"/>
      <c r="F971" s="307"/>
      <c r="M971" s="123"/>
      <c r="N971" s="123"/>
      <c r="O971" s="123"/>
      <c r="P971" s="123"/>
      <c r="Q971" s="123"/>
      <c r="R971" s="123"/>
      <c r="S971" s="123"/>
      <c r="T971" s="123"/>
      <c r="U971" s="123"/>
      <c r="V971" s="123"/>
      <c r="W971" s="123"/>
      <c r="X971" s="123"/>
      <c r="Y971" s="123"/>
      <c r="Z971" s="123"/>
    </row>
    <row r="972" spans="2:26" s="235" customFormat="1" ht="13.8">
      <c r="B972" s="307"/>
      <c r="C972" s="307"/>
      <c r="D972" s="307"/>
      <c r="E972" s="307"/>
      <c r="F972" s="307"/>
      <c r="M972" s="123"/>
      <c r="N972" s="123"/>
      <c r="O972" s="123"/>
      <c r="P972" s="123"/>
      <c r="Q972" s="123"/>
      <c r="R972" s="123"/>
      <c r="S972" s="123"/>
      <c r="T972" s="123"/>
      <c r="U972" s="123"/>
      <c r="V972" s="123"/>
      <c r="W972" s="123"/>
      <c r="X972" s="123"/>
      <c r="Y972" s="123"/>
      <c r="Z972" s="123"/>
    </row>
    <row r="973" spans="2:26" s="235" customFormat="1" ht="13.8">
      <c r="B973" s="307"/>
      <c r="C973" s="307"/>
      <c r="D973" s="307"/>
      <c r="E973" s="307"/>
      <c r="F973" s="307"/>
      <c r="M973" s="123"/>
      <c r="N973" s="123"/>
      <c r="O973" s="123"/>
      <c r="P973" s="123"/>
      <c r="Q973" s="123"/>
      <c r="R973" s="123"/>
      <c r="S973" s="123"/>
      <c r="T973" s="123"/>
      <c r="U973" s="123"/>
      <c r="V973" s="123"/>
      <c r="W973" s="123"/>
      <c r="X973" s="123"/>
      <c r="Y973" s="123"/>
      <c r="Z973" s="123"/>
    </row>
    <row r="974" spans="2:26" s="235" customFormat="1" ht="13.8">
      <c r="B974" s="307"/>
      <c r="C974" s="307"/>
      <c r="D974" s="307"/>
      <c r="E974" s="307"/>
      <c r="F974" s="307"/>
      <c r="M974" s="123"/>
      <c r="N974" s="123"/>
      <c r="O974" s="123"/>
      <c r="P974" s="123"/>
      <c r="Q974" s="123"/>
      <c r="R974" s="123"/>
      <c r="S974" s="123"/>
      <c r="T974" s="123"/>
      <c r="U974" s="123"/>
      <c r="V974" s="123"/>
      <c r="W974" s="123"/>
      <c r="X974" s="123"/>
      <c r="Y974" s="123"/>
      <c r="Z974" s="123"/>
    </row>
    <row r="975" spans="2:26" s="235" customFormat="1" ht="13.8">
      <c r="B975" s="307"/>
      <c r="C975" s="307"/>
      <c r="D975" s="307"/>
      <c r="E975" s="307"/>
      <c r="F975" s="307"/>
      <c r="M975" s="123"/>
      <c r="N975" s="123"/>
      <c r="O975" s="123"/>
      <c r="P975" s="123"/>
      <c r="Q975" s="123"/>
      <c r="R975" s="123"/>
      <c r="S975" s="123"/>
      <c r="T975" s="123"/>
      <c r="U975" s="123"/>
      <c r="V975" s="123"/>
      <c r="W975" s="123"/>
      <c r="X975" s="123"/>
      <c r="Y975" s="123"/>
      <c r="Z975" s="123"/>
    </row>
    <row r="976" spans="2:26" s="235" customFormat="1" ht="13.8">
      <c r="B976" s="307"/>
      <c r="C976" s="307"/>
      <c r="D976" s="307"/>
      <c r="E976" s="307"/>
      <c r="F976" s="307"/>
      <c r="M976" s="123"/>
      <c r="N976" s="123"/>
      <c r="O976" s="123"/>
      <c r="P976" s="123"/>
      <c r="Q976" s="123"/>
      <c r="R976" s="123"/>
      <c r="S976" s="123"/>
      <c r="T976" s="123"/>
      <c r="U976" s="123"/>
      <c r="V976" s="123"/>
      <c r="W976" s="123"/>
      <c r="X976" s="123"/>
      <c r="Y976" s="123"/>
      <c r="Z976" s="123"/>
    </row>
    <row r="977" spans="2:26" s="235" customFormat="1" ht="13.8">
      <c r="B977" s="307"/>
      <c r="C977" s="307"/>
      <c r="D977" s="307"/>
      <c r="E977" s="307"/>
      <c r="F977" s="307"/>
      <c r="M977" s="123"/>
      <c r="N977" s="123"/>
      <c r="O977" s="123"/>
      <c r="P977" s="123"/>
      <c r="Q977" s="123"/>
      <c r="R977" s="123"/>
      <c r="S977" s="123"/>
      <c r="T977" s="123"/>
      <c r="U977" s="123"/>
      <c r="V977" s="123"/>
      <c r="W977" s="123"/>
      <c r="X977" s="123"/>
      <c r="Y977" s="123"/>
      <c r="Z977" s="123"/>
    </row>
    <row r="978" spans="2:26" s="235" customFormat="1" ht="13.8">
      <c r="B978" s="307"/>
      <c r="C978" s="307"/>
      <c r="D978" s="307"/>
      <c r="E978" s="307"/>
      <c r="F978" s="307"/>
      <c r="M978" s="123"/>
      <c r="N978" s="123"/>
      <c r="O978" s="123"/>
      <c r="P978" s="123"/>
      <c r="Q978" s="123"/>
      <c r="R978" s="123"/>
      <c r="S978" s="123"/>
      <c r="T978" s="123"/>
      <c r="U978" s="123"/>
      <c r="V978" s="123"/>
      <c r="W978" s="123"/>
      <c r="X978" s="123"/>
      <c r="Y978" s="123"/>
      <c r="Z978" s="123"/>
    </row>
    <row r="979" spans="2:26" s="235" customFormat="1" ht="13.8">
      <c r="B979" s="307"/>
      <c r="C979" s="307"/>
      <c r="D979" s="307"/>
      <c r="E979" s="307"/>
      <c r="F979" s="307"/>
      <c r="M979" s="123"/>
      <c r="N979" s="123"/>
      <c r="O979" s="123"/>
      <c r="P979" s="123"/>
      <c r="Q979" s="123"/>
      <c r="R979" s="123"/>
      <c r="S979" s="123"/>
      <c r="T979" s="123"/>
      <c r="U979" s="123"/>
      <c r="V979" s="123"/>
      <c r="W979" s="123"/>
      <c r="X979" s="123"/>
      <c r="Y979" s="123"/>
      <c r="Z979" s="123"/>
    </row>
    <row r="980" spans="2:26" s="235" customFormat="1" ht="13.8">
      <c r="B980" s="307"/>
      <c r="C980" s="307"/>
      <c r="D980" s="307"/>
      <c r="E980" s="307"/>
      <c r="F980" s="307"/>
      <c r="M980" s="123"/>
      <c r="N980" s="123"/>
      <c r="O980" s="123"/>
      <c r="P980" s="123"/>
      <c r="Q980" s="123"/>
      <c r="R980" s="123"/>
      <c r="S980" s="123"/>
      <c r="T980" s="123"/>
      <c r="U980" s="123"/>
      <c r="V980" s="123"/>
      <c r="W980" s="123"/>
      <c r="X980" s="123"/>
      <c r="Y980" s="123"/>
      <c r="Z980" s="123"/>
    </row>
    <row r="981" spans="2:26" s="235" customFormat="1" ht="13.8">
      <c r="B981" s="307"/>
      <c r="C981" s="307"/>
      <c r="D981" s="307"/>
      <c r="E981" s="307"/>
      <c r="F981" s="307"/>
      <c r="M981" s="123"/>
      <c r="N981" s="123"/>
      <c r="O981" s="123"/>
      <c r="P981" s="123"/>
      <c r="Q981" s="123"/>
      <c r="R981" s="123"/>
      <c r="S981" s="123"/>
      <c r="T981" s="123"/>
      <c r="U981" s="123"/>
      <c r="V981" s="123"/>
      <c r="W981" s="123"/>
      <c r="X981" s="123"/>
      <c r="Y981" s="123"/>
      <c r="Z981" s="123"/>
    </row>
    <row r="982" spans="2:26" s="235" customFormat="1" ht="13.8">
      <c r="B982" s="307"/>
      <c r="C982" s="307"/>
      <c r="D982" s="307"/>
      <c r="E982" s="307"/>
      <c r="F982" s="307"/>
      <c r="M982" s="123"/>
      <c r="N982" s="123"/>
      <c r="O982" s="123"/>
      <c r="P982" s="123"/>
      <c r="Q982" s="123"/>
      <c r="R982" s="123"/>
      <c r="S982" s="123"/>
      <c r="T982" s="123"/>
      <c r="U982" s="123"/>
      <c r="V982" s="123"/>
      <c r="W982" s="123"/>
      <c r="X982" s="123"/>
      <c r="Y982" s="123"/>
      <c r="Z982" s="123"/>
    </row>
    <row r="983" spans="2:26" s="235" customFormat="1" ht="13.8">
      <c r="B983" s="307"/>
      <c r="C983" s="307"/>
      <c r="D983" s="307"/>
      <c r="E983" s="307"/>
      <c r="F983" s="307"/>
      <c r="M983" s="123"/>
      <c r="N983" s="123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  <c r="Y983" s="123"/>
      <c r="Z983" s="123"/>
    </row>
    <row r="984" spans="2:26" s="235" customFormat="1" ht="13.8">
      <c r="B984" s="307"/>
      <c r="C984" s="307"/>
      <c r="D984" s="307"/>
      <c r="E984" s="307"/>
      <c r="F984" s="307"/>
      <c r="M984" s="123"/>
      <c r="N984" s="123"/>
      <c r="O984" s="123"/>
      <c r="P984" s="123"/>
      <c r="Q984" s="123"/>
      <c r="R984" s="123"/>
      <c r="S984" s="123"/>
      <c r="T984" s="123"/>
      <c r="U984" s="123"/>
      <c r="V984" s="123"/>
      <c r="W984" s="123"/>
      <c r="X984" s="123"/>
      <c r="Y984" s="123"/>
      <c r="Z984" s="123"/>
    </row>
    <row r="985" spans="2:26" s="235" customFormat="1" ht="13.8">
      <c r="B985" s="307"/>
      <c r="C985" s="307"/>
      <c r="D985" s="307"/>
      <c r="E985" s="307"/>
      <c r="F985" s="307"/>
      <c r="M985" s="123"/>
      <c r="N985" s="123"/>
      <c r="O985" s="123"/>
      <c r="P985" s="123"/>
      <c r="Q985" s="123"/>
      <c r="R985" s="123"/>
      <c r="S985" s="123"/>
      <c r="T985" s="123"/>
      <c r="U985" s="123"/>
      <c r="V985" s="123"/>
      <c r="W985" s="123"/>
      <c r="X985" s="123"/>
      <c r="Y985" s="123"/>
      <c r="Z985" s="123"/>
    </row>
    <row r="986" spans="2:26" s="235" customFormat="1" ht="13.8">
      <c r="B986" s="307"/>
      <c r="C986" s="307"/>
      <c r="D986" s="307"/>
      <c r="E986" s="307"/>
      <c r="F986" s="307"/>
      <c r="M986" s="123"/>
      <c r="N986" s="123"/>
      <c r="O986" s="123"/>
      <c r="P986" s="123"/>
      <c r="Q986" s="123"/>
      <c r="R986" s="123"/>
      <c r="S986" s="123"/>
      <c r="T986" s="123"/>
      <c r="U986" s="123"/>
      <c r="V986" s="123"/>
      <c r="W986" s="123"/>
      <c r="X986" s="123"/>
      <c r="Y986" s="123"/>
      <c r="Z986" s="123"/>
    </row>
    <row r="987" spans="2:26" s="235" customFormat="1" ht="13.8">
      <c r="B987" s="307"/>
      <c r="C987" s="307"/>
      <c r="D987" s="307"/>
      <c r="E987" s="307"/>
      <c r="F987" s="307"/>
      <c r="M987" s="123"/>
      <c r="N987" s="123"/>
      <c r="O987" s="123"/>
      <c r="P987" s="123"/>
      <c r="Q987" s="123"/>
      <c r="R987" s="123"/>
      <c r="S987" s="123"/>
      <c r="T987" s="123"/>
      <c r="U987" s="123"/>
      <c r="V987" s="123"/>
      <c r="W987" s="123"/>
      <c r="X987" s="123"/>
      <c r="Y987" s="123"/>
      <c r="Z987" s="123"/>
    </row>
    <row r="988" spans="2:26" s="235" customFormat="1" ht="13.8">
      <c r="B988" s="307"/>
      <c r="C988" s="307"/>
      <c r="D988" s="307"/>
      <c r="E988" s="307"/>
      <c r="F988" s="307"/>
      <c r="M988" s="123"/>
      <c r="N988" s="123"/>
      <c r="O988" s="123"/>
      <c r="P988" s="123"/>
      <c r="Q988" s="123"/>
      <c r="R988" s="123"/>
      <c r="S988" s="123"/>
      <c r="T988" s="123"/>
      <c r="U988" s="123"/>
      <c r="V988" s="123"/>
      <c r="W988" s="123"/>
      <c r="X988" s="123"/>
      <c r="Y988" s="123"/>
      <c r="Z988" s="123"/>
    </row>
    <row r="989" spans="2:26" s="235" customFormat="1" ht="13.8">
      <c r="B989" s="307"/>
      <c r="C989" s="307"/>
      <c r="D989" s="307"/>
      <c r="E989" s="307"/>
      <c r="F989" s="307"/>
      <c r="M989" s="123"/>
      <c r="N989" s="123"/>
      <c r="O989" s="123"/>
      <c r="P989" s="123"/>
      <c r="Q989" s="123"/>
      <c r="R989" s="123"/>
      <c r="S989" s="123"/>
      <c r="T989" s="123"/>
      <c r="U989" s="123"/>
      <c r="V989" s="123"/>
      <c r="W989" s="123"/>
      <c r="X989" s="123"/>
      <c r="Y989" s="123"/>
      <c r="Z989" s="123"/>
    </row>
    <row r="990" spans="2:26" s="235" customFormat="1" ht="13.8">
      <c r="B990" s="307"/>
      <c r="C990" s="307"/>
      <c r="D990" s="307"/>
      <c r="E990" s="307"/>
      <c r="F990" s="307"/>
      <c r="M990" s="123"/>
      <c r="N990" s="123"/>
      <c r="O990" s="123"/>
      <c r="P990" s="123"/>
      <c r="Q990" s="123"/>
      <c r="R990" s="123"/>
      <c r="S990" s="123"/>
      <c r="T990" s="123"/>
      <c r="U990" s="123"/>
      <c r="V990" s="123"/>
      <c r="W990" s="123"/>
      <c r="X990" s="123"/>
      <c r="Y990" s="123"/>
      <c r="Z990" s="123"/>
    </row>
    <row r="991" spans="2:26" s="235" customFormat="1" ht="13.8">
      <c r="B991" s="307"/>
      <c r="C991" s="307"/>
      <c r="D991" s="307"/>
      <c r="E991" s="307"/>
      <c r="F991" s="307"/>
      <c r="M991" s="123"/>
      <c r="N991" s="123"/>
      <c r="O991" s="123"/>
      <c r="P991" s="123"/>
      <c r="Q991" s="123"/>
      <c r="R991" s="123"/>
      <c r="S991" s="123"/>
      <c r="T991" s="123"/>
      <c r="U991" s="123"/>
      <c r="V991" s="123"/>
      <c r="W991" s="123"/>
      <c r="X991" s="123"/>
      <c r="Y991" s="123"/>
      <c r="Z991" s="123"/>
    </row>
    <row r="992" spans="2:26" s="235" customFormat="1" ht="13.8">
      <c r="B992" s="307"/>
      <c r="C992" s="307"/>
      <c r="D992" s="307"/>
      <c r="E992" s="307"/>
      <c r="F992" s="307"/>
      <c r="M992" s="123"/>
      <c r="N992" s="123"/>
      <c r="O992" s="123"/>
      <c r="P992" s="123"/>
      <c r="Q992" s="123"/>
      <c r="R992" s="123"/>
      <c r="S992" s="123"/>
      <c r="T992" s="123"/>
      <c r="U992" s="123"/>
      <c r="V992" s="123"/>
      <c r="W992" s="123"/>
      <c r="X992" s="123"/>
      <c r="Y992" s="123"/>
      <c r="Z992" s="123"/>
    </row>
  </sheetData>
  <mergeCells count="1">
    <mergeCell ref="A1:F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1"/>
  <sheetViews>
    <sheetView workbookViewId="0">
      <selection activeCell="F4" sqref="F4"/>
    </sheetView>
  </sheetViews>
  <sheetFormatPr defaultColWidth="15.59765625" defaultRowHeight="15" customHeight="1"/>
  <cols>
    <col min="1" max="1" width="30.8984375" style="235" customWidth="1"/>
    <col min="2" max="5" width="12.5" style="307" customWidth="1"/>
    <col min="6" max="6" width="16.19921875" style="307" customWidth="1"/>
    <col min="7" max="7" width="15.8984375" style="235" customWidth="1"/>
    <col min="8" max="8" width="21.3984375" style="235" customWidth="1"/>
    <col min="9" max="9" width="17.796875" style="235" customWidth="1"/>
    <col min="10" max="11" width="18.3984375" style="235" customWidth="1"/>
    <col min="12" max="12" width="22.5" style="235" customWidth="1"/>
    <col min="13" max="17" width="8" style="123" customWidth="1"/>
    <col min="18" max="26" width="15.3984375" style="123" customWidth="1"/>
    <col min="27" max="16384" width="15.59765625" style="123"/>
  </cols>
  <sheetData>
    <row r="1" spans="1:26" ht="22.5" customHeight="1">
      <c r="A1" s="819" t="s">
        <v>287</v>
      </c>
      <c r="B1" s="820"/>
      <c r="C1" s="820"/>
      <c r="D1" s="820"/>
      <c r="E1" s="820"/>
      <c r="F1" s="820"/>
      <c r="G1" s="234"/>
      <c r="H1" s="237"/>
      <c r="I1" s="238"/>
      <c r="J1" s="237"/>
    </row>
    <row r="2" spans="1:26" s="312" customFormat="1" ht="14.25" customHeight="1">
      <c r="A2" s="313" t="s">
        <v>217</v>
      </c>
      <c r="B2" s="314">
        <v>2024</v>
      </c>
      <c r="C2" s="314">
        <v>2025</v>
      </c>
      <c r="D2" s="314">
        <v>2026</v>
      </c>
      <c r="E2" s="314">
        <v>2027</v>
      </c>
      <c r="F2" s="314">
        <v>2028</v>
      </c>
      <c r="G2" s="308"/>
      <c r="H2" s="309"/>
      <c r="I2" s="309"/>
      <c r="J2" s="309"/>
      <c r="K2" s="310"/>
      <c r="L2" s="310"/>
      <c r="M2" s="311"/>
      <c r="N2" s="311"/>
      <c r="O2" s="311"/>
      <c r="P2" s="311"/>
      <c r="Q2" s="311"/>
      <c r="R2" s="311"/>
      <c r="S2" s="311"/>
      <c r="T2" s="311"/>
      <c r="U2" s="311"/>
    </row>
    <row r="3" spans="1:26" ht="44.4" customHeight="1">
      <c r="A3" s="315" t="s">
        <v>288</v>
      </c>
      <c r="B3" s="316">
        <f>-Перем.Расх!B30*0.1</f>
        <v>1456.6595555555559</v>
      </c>
      <c r="C3" s="316">
        <f>-Перем.Расх!C30*0.1</f>
        <v>89219.301333333337</v>
      </c>
      <c r="D3" s="316">
        <f>-Перем.Расх!D30*0.1</f>
        <v>527395.69644444447</v>
      </c>
      <c r="E3" s="316">
        <f>-Перем.Расх!E30*0.1</f>
        <v>3772796.574222222</v>
      </c>
      <c r="F3" s="316">
        <f>-Перем.Расх!F30*0.1</f>
        <v>37334610.524444446</v>
      </c>
      <c r="G3" s="246"/>
      <c r="H3" s="247"/>
      <c r="I3" s="237"/>
      <c r="J3" s="237"/>
    </row>
    <row r="4" spans="1:26" ht="25.05" customHeight="1">
      <c r="A4" s="318" t="s">
        <v>223</v>
      </c>
      <c r="B4" s="319">
        <f t="shared" ref="B4" si="0">SUM(B3:B3)</f>
        <v>1456.6595555555559</v>
      </c>
      <c r="C4" s="319">
        <f>C3-B3</f>
        <v>87762.641777777782</v>
      </c>
      <c r="D4" s="319">
        <f t="shared" ref="D4:F4" si="1">D3-C3</f>
        <v>438176.39511111111</v>
      </c>
      <c r="E4" s="319">
        <f t="shared" si="1"/>
        <v>3245400.8777777776</v>
      </c>
      <c r="F4" s="319">
        <f t="shared" si="1"/>
        <v>33561813.950222224</v>
      </c>
      <c r="G4" s="255"/>
      <c r="H4" s="244"/>
      <c r="I4" s="237"/>
      <c r="J4" s="237"/>
    </row>
    <row r="5" spans="1:26" ht="25.05" customHeight="1">
      <c r="A5" s="250"/>
      <c r="B5" s="306"/>
      <c r="C5" s="306"/>
      <c r="D5" s="306"/>
      <c r="E5" s="306"/>
      <c r="F5" s="306"/>
      <c r="G5" s="246"/>
      <c r="H5" s="247"/>
      <c r="I5" s="237"/>
      <c r="J5" s="237"/>
    </row>
    <row r="6" spans="1:26" ht="25.05" customHeight="1">
      <c r="A6" s="252"/>
      <c r="B6" s="306"/>
      <c r="C6" s="306"/>
      <c r="D6" s="306"/>
      <c r="E6" s="306"/>
      <c r="F6" s="306"/>
      <c r="G6" s="246"/>
      <c r="H6" s="247"/>
      <c r="I6" s="237"/>
      <c r="J6" s="237"/>
    </row>
    <row r="7" spans="1:26" s="235" customFormat="1" ht="25.05" customHeight="1">
      <c r="A7" s="253"/>
      <c r="B7" s="306"/>
      <c r="C7" s="306"/>
      <c r="D7" s="306"/>
      <c r="E7" s="306"/>
      <c r="F7" s="306"/>
      <c r="G7" s="255"/>
      <c r="H7" s="244"/>
      <c r="I7" s="237"/>
      <c r="J7" s="237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</row>
    <row r="8" spans="1:26" s="235" customFormat="1" ht="25.05" customHeight="1">
      <c r="A8" s="250"/>
      <c r="B8" s="306"/>
      <c r="C8" s="306"/>
      <c r="D8" s="306"/>
      <c r="E8" s="306"/>
      <c r="F8" s="306"/>
      <c r="G8" s="246"/>
      <c r="H8" s="247"/>
      <c r="I8" s="237"/>
      <c r="J8" s="237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 spans="1:26" s="235" customFormat="1" ht="25.05" customHeight="1">
      <c r="A9" s="250"/>
      <c r="B9" s="306"/>
      <c r="C9" s="306"/>
      <c r="D9" s="306"/>
      <c r="E9" s="306"/>
      <c r="F9" s="306"/>
      <c r="G9" s="255"/>
      <c r="H9" s="244"/>
      <c r="I9" s="237"/>
      <c r="J9" s="237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 spans="1:26" s="235" customFormat="1" ht="25.05" customHeight="1">
      <c r="A10" s="250"/>
      <c r="B10" s="306"/>
      <c r="C10" s="306"/>
      <c r="D10" s="306"/>
      <c r="E10" s="306"/>
      <c r="F10" s="306"/>
      <c r="G10" s="246"/>
      <c r="H10" s="247"/>
      <c r="I10" s="237"/>
      <c r="J10" s="237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</row>
    <row r="11" spans="1:26" s="235" customFormat="1" ht="25.05" customHeight="1">
      <c r="A11" s="250"/>
      <c r="B11" s="306"/>
      <c r="C11" s="306"/>
      <c r="D11" s="306"/>
      <c r="E11" s="306"/>
      <c r="F11" s="306"/>
      <c r="G11" s="255"/>
      <c r="H11" s="244"/>
      <c r="I11" s="237"/>
      <c r="J11" s="237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</row>
    <row r="12" spans="1:26" s="235" customFormat="1" ht="25.05" customHeight="1">
      <c r="A12" s="250"/>
      <c r="B12" s="306"/>
      <c r="C12" s="306"/>
      <c r="D12" s="306"/>
      <c r="E12" s="306"/>
      <c r="F12" s="306"/>
      <c r="G12" s="246"/>
      <c r="H12" s="247"/>
      <c r="I12" s="237"/>
      <c r="J12" s="237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</row>
    <row r="13" spans="1:26" s="235" customFormat="1" ht="25.05" customHeight="1">
      <c r="B13" s="307"/>
      <c r="C13" s="307"/>
      <c r="D13" s="307"/>
      <c r="E13" s="307"/>
      <c r="F13" s="307"/>
      <c r="G13" s="255"/>
      <c r="H13" s="244"/>
      <c r="I13" s="237"/>
      <c r="J13" s="237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</row>
    <row r="14" spans="1:26" s="235" customFormat="1" ht="25.05" customHeight="1">
      <c r="B14" s="307"/>
      <c r="C14" s="307"/>
      <c r="D14" s="307"/>
      <c r="E14" s="307"/>
      <c r="F14" s="307"/>
      <c r="G14" s="246"/>
      <c r="H14" s="247"/>
      <c r="I14" s="237"/>
      <c r="J14" s="237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</row>
    <row r="15" spans="1:26" s="235" customFormat="1" ht="25.05" customHeight="1">
      <c r="B15" s="307"/>
      <c r="C15" s="307"/>
      <c r="D15" s="307"/>
      <c r="E15" s="307"/>
      <c r="F15" s="307"/>
      <c r="G15" s="255"/>
      <c r="H15" s="244"/>
      <c r="I15" s="237"/>
      <c r="J15" s="237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</row>
    <row r="16" spans="1:26" s="235" customFormat="1" ht="25.05" customHeight="1">
      <c r="B16" s="307"/>
      <c r="C16" s="307"/>
      <c r="D16" s="307"/>
      <c r="E16" s="307"/>
      <c r="F16" s="307"/>
      <c r="G16" s="255"/>
      <c r="H16" s="244"/>
      <c r="I16" s="237"/>
      <c r="J16" s="237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</row>
    <row r="17" spans="2:26" s="235" customFormat="1" ht="25.05" customHeight="1">
      <c r="B17" s="307"/>
      <c r="C17" s="307"/>
      <c r="D17" s="307"/>
      <c r="E17" s="307"/>
      <c r="F17" s="307"/>
      <c r="G17" s="255"/>
      <c r="H17" s="244"/>
      <c r="I17" s="237"/>
      <c r="J17" s="237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</row>
    <row r="18" spans="2:26" s="235" customFormat="1" ht="25.05" customHeight="1">
      <c r="B18" s="307"/>
      <c r="C18" s="307"/>
      <c r="D18" s="307"/>
      <c r="E18" s="307"/>
      <c r="F18" s="307"/>
      <c r="G18" s="255"/>
      <c r="H18" s="244"/>
      <c r="I18" s="237"/>
      <c r="J18" s="237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</row>
    <row r="19" spans="2:26" s="235" customFormat="1" ht="25.05" customHeight="1">
      <c r="B19" s="307"/>
      <c r="C19" s="307"/>
      <c r="D19" s="307"/>
      <c r="E19" s="307"/>
      <c r="F19" s="307"/>
      <c r="G19" s="246"/>
      <c r="H19" s="247"/>
      <c r="I19" s="237"/>
      <c r="J19" s="237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</row>
    <row r="20" spans="2:26" s="235" customFormat="1" ht="25.05" customHeight="1">
      <c r="B20" s="307"/>
      <c r="C20" s="307"/>
      <c r="D20" s="307"/>
      <c r="E20" s="307"/>
      <c r="F20" s="307"/>
      <c r="G20" s="255"/>
      <c r="H20" s="244"/>
      <c r="I20" s="237"/>
      <c r="J20" s="237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</row>
    <row r="21" spans="2:26" s="235" customFormat="1" ht="25.05" customHeight="1">
      <c r="B21" s="307"/>
      <c r="C21" s="307"/>
      <c r="D21" s="307"/>
      <c r="E21" s="307"/>
      <c r="F21" s="307"/>
      <c r="G21" s="255"/>
      <c r="H21" s="244"/>
      <c r="I21" s="237"/>
      <c r="J21" s="237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</row>
    <row r="22" spans="2:26" s="235" customFormat="1" ht="25.05" customHeight="1">
      <c r="B22" s="307"/>
      <c r="C22" s="307"/>
      <c r="D22" s="307"/>
      <c r="E22" s="307"/>
      <c r="F22" s="307"/>
      <c r="G22" s="255"/>
      <c r="H22" s="244"/>
      <c r="I22" s="237"/>
      <c r="J22" s="237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</row>
    <row r="23" spans="2:26" s="235" customFormat="1" ht="25.05" customHeight="1">
      <c r="B23" s="307"/>
      <c r="C23" s="307"/>
      <c r="D23" s="307"/>
      <c r="E23" s="307"/>
      <c r="F23" s="307"/>
      <c r="G23" s="255"/>
      <c r="H23" s="244"/>
      <c r="I23" s="237"/>
      <c r="J23" s="237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</row>
    <row r="24" spans="2:26" s="235" customFormat="1" ht="25.05" customHeight="1">
      <c r="B24" s="307"/>
      <c r="C24" s="307"/>
      <c r="D24" s="307"/>
      <c r="E24" s="307"/>
      <c r="F24" s="307"/>
      <c r="G24" s="255"/>
      <c r="H24" s="244"/>
      <c r="I24" s="237"/>
      <c r="J24" s="237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</row>
    <row r="25" spans="2:26" s="235" customFormat="1" ht="25.05" customHeight="1">
      <c r="B25" s="307"/>
      <c r="C25" s="307"/>
      <c r="D25" s="307"/>
      <c r="E25" s="307"/>
      <c r="F25" s="307"/>
      <c r="G25" s="255"/>
      <c r="H25" s="244"/>
      <c r="I25" s="237"/>
      <c r="J25" s="237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</row>
    <row r="26" spans="2:26" s="235" customFormat="1" ht="25.05" customHeight="1">
      <c r="B26" s="307"/>
      <c r="C26" s="307"/>
      <c r="D26" s="307"/>
      <c r="E26" s="307"/>
      <c r="F26" s="307"/>
      <c r="G26" s="255"/>
      <c r="H26" s="244"/>
      <c r="I26" s="237"/>
      <c r="J26" s="237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</row>
    <row r="27" spans="2:26" s="235" customFormat="1" ht="25.05" customHeight="1">
      <c r="B27" s="307"/>
      <c r="C27" s="307"/>
      <c r="D27" s="307"/>
      <c r="E27" s="307"/>
      <c r="F27" s="307"/>
      <c r="G27" s="246"/>
      <c r="H27" s="247"/>
      <c r="I27" s="237"/>
      <c r="J27" s="237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</row>
    <row r="28" spans="2:26" s="235" customFormat="1" ht="25.05" customHeight="1">
      <c r="B28" s="307"/>
      <c r="C28" s="307"/>
      <c r="D28" s="307"/>
      <c r="E28" s="307"/>
      <c r="F28" s="307"/>
      <c r="G28" s="255"/>
      <c r="H28" s="244"/>
      <c r="I28" s="237"/>
      <c r="J28" s="237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</row>
    <row r="29" spans="2:26" s="235" customFormat="1" ht="25.05" customHeight="1">
      <c r="B29" s="307"/>
      <c r="C29" s="307"/>
      <c r="D29" s="307"/>
      <c r="E29" s="307"/>
      <c r="F29" s="307"/>
      <c r="G29" s="246"/>
      <c r="H29" s="247"/>
      <c r="I29" s="237"/>
      <c r="J29" s="237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</row>
    <row r="30" spans="2:26" s="235" customFormat="1" ht="25.05" customHeight="1">
      <c r="B30" s="307"/>
      <c r="C30" s="307"/>
      <c r="D30" s="307"/>
      <c r="E30" s="307"/>
      <c r="F30" s="307"/>
      <c r="G30" s="255"/>
      <c r="H30" s="244"/>
      <c r="I30" s="237"/>
      <c r="J30" s="237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</row>
    <row r="31" spans="2:26" s="235" customFormat="1" ht="25.05" customHeight="1">
      <c r="B31" s="307"/>
      <c r="C31" s="307"/>
      <c r="D31" s="307"/>
      <c r="E31" s="307"/>
      <c r="F31" s="307"/>
      <c r="G31" s="255"/>
      <c r="H31" s="244"/>
      <c r="I31" s="237"/>
      <c r="J31" s="237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</row>
    <row r="32" spans="2:26" s="235" customFormat="1" ht="25.05" customHeight="1">
      <c r="B32" s="307"/>
      <c r="C32" s="307"/>
      <c r="D32" s="307"/>
      <c r="E32" s="307"/>
      <c r="F32" s="307"/>
      <c r="G32" s="255"/>
      <c r="H32" s="244"/>
      <c r="I32" s="237"/>
      <c r="J32" s="237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</row>
    <row r="33" spans="2:26" s="235" customFormat="1" ht="25.05" customHeight="1">
      <c r="B33" s="307"/>
      <c r="C33" s="307"/>
      <c r="D33" s="307"/>
      <c r="E33" s="307"/>
      <c r="F33" s="307"/>
      <c r="G33" s="255"/>
      <c r="H33" s="244"/>
      <c r="I33" s="237"/>
      <c r="J33" s="237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</row>
    <row r="34" spans="2:26" s="235" customFormat="1" ht="25.05" customHeight="1">
      <c r="B34" s="307"/>
      <c r="C34" s="307"/>
      <c r="D34" s="307"/>
      <c r="E34" s="307"/>
      <c r="F34" s="307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</row>
    <row r="35" spans="2:26" s="235" customFormat="1" ht="25.05" customHeight="1">
      <c r="B35" s="307"/>
      <c r="C35" s="307"/>
      <c r="D35" s="307"/>
      <c r="E35" s="307"/>
      <c r="F35" s="307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</row>
    <row r="36" spans="2:26" s="235" customFormat="1" ht="25.05" customHeight="1">
      <c r="B36" s="307"/>
      <c r="C36" s="307"/>
      <c r="D36" s="307"/>
      <c r="E36" s="307"/>
      <c r="F36" s="307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</row>
    <row r="37" spans="2:26" s="235" customFormat="1" ht="25.05" customHeight="1">
      <c r="B37" s="307"/>
      <c r="C37" s="307"/>
      <c r="D37" s="307"/>
      <c r="E37" s="307"/>
      <c r="F37" s="307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</row>
    <row r="38" spans="2:26" s="235" customFormat="1" ht="25.05" customHeight="1">
      <c r="B38" s="307"/>
      <c r="C38" s="307"/>
      <c r="D38" s="307"/>
      <c r="E38" s="307"/>
      <c r="F38" s="307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</row>
    <row r="39" spans="2:26" s="235" customFormat="1" ht="25.05" customHeight="1">
      <c r="B39" s="307"/>
      <c r="C39" s="307"/>
      <c r="D39" s="307"/>
      <c r="E39" s="307"/>
      <c r="F39" s="307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</row>
    <row r="40" spans="2:26" s="235" customFormat="1" ht="25.05" customHeight="1">
      <c r="B40" s="307"/>
      <c r="C40" s="307"/>
      <c r="D40" s="307"/>
      <c r="E40" s="307"/>
      <c r="F40" s="307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</row>
    <row r="41" spans="2:26" s="235" customFormat="1" ht="25.05" customHeight="1">
      <c r="B41" s="307"/>
      <c r="C41" s="307"/>
      <c r="D41" s="307"/>
      <c r="E41" s="307"/>
      <c r="F41" s="307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</row>
    <row r="42" spans="2:26" s="235" customFormat="1" ht="25.05" customHeight="1">
      <c r="B42" s="307"/>
      <c r="C42" s="307"/>
      <c r="D42" s="307"/>
      <c r="E42" s="307"/>
      <c r="F42" s="307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</row>
    <row r="43" spans="2:26" s="235" customFormat="1" ht="25.05" customHeight="1">
      <c r="B43" s="307"/>
      <c r="C43" s="307"/>
      <c r="D43" s="307"/>
      <c r="E43" s="307"/>
      <c r="F43" s="307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</row>
    <row r="44" spans="2:26" s="235" customFormat="1" ht="25.05" customHeight="1">
      <c r="B44" s="307"/>
      <c r="C44" s="307"/>
      <c r="D44" s="307"/>
      <c r="E44" s="307"/>
      <c r="F44" s="307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</row>
    <row r="45" spans="2:26" s="235" customFormat="1" ht="25.05" customHeight="1">
      <c r="B45" s="307"/>
      <c r="C45" s="307"/>
      <c r="D45" s="307"/>
      <c r="E45" s="307"/>
      <c r="F45" s="307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</row>
    <row r="46" spans="2:26" s="235" customFormat="1" ht="25.05" customHeight="1">
      <c r="B46" s="307"/>
      <c r="C46" s="307"/>
      <c r="D46" s="307"/>
      <c r="E46" s="307"/>
      <c r="F46" s="307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</row>
    <row r="47" spans="2:26" s="235" customFormat="1" ht="25.05" customHeight="1">
      <c r="B47" s="307"/>
      <c r="C47" s="307"/>
      <c r="D47" s="307"/>
      <c r="E47" s="307"/>
      <c r="F47" s="307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</row>
    <row r="48" spans="2:26" s="235" customFormat="1" ht="25.05" customHeight="1">
      <c r="B48" s="307"/>
      <c r="C48" s="307"/>
      <c r="D48" s="307"/>
      <c r="E48" s="307"/>
      <c r="F48" s="307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</row>
    <row r="49" spans="2:26" s="235" customFormat="1" ht="25.05" customHeight="1">
      <c r="B49" s="307"/>
      <c r="C49" s="307"/>
      <c r="D49" s="307"/>
      <c r="E49" s="307"/>
      <c r="F49" s="307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</row>
    <row r="50" spans="2:26" s="235" customFormat="1" ht="25.05" customHeight="1">
      <c r="B50" s="307"/>
      <c r="C50" s="307"/>
      <c r="D50" s="307"/>
      <c r="E50" s="307"/>
      <c r="F50" s="307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</row>
    <row r="51" spans="2:26" s="235" customFormat="1" ht="25.05" customHeight="1">
      <c r="B51" s="307"/>
      <c r="C51" s="307"/>
      <c r="D51" s="307"/>
      <c r="E51" s="307"/>
      <c r="F51" s="307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</row>
    <row r="52" spans="2:26" s="235" customFormat="1" ht="25.05" customHeight="1">
      <c r="B52" s="307"/>
      <c r="C52" s="307"/>
      <c r="D52" s="307"/>
      <c r="E52" s="307"/>
      <c r="F52" s="307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</row>
    <row r="53" spans="2:26" s="235" customFormat="1" ht="25.05" customHeight="1">
      <c r="B53" s="307"/>
      <c r="C53" s="307"/>
      <c r="D53" s="307"/>
      <c r="E53" s="307"/>
      <c r="F53" s="307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</row>
    <row r="54" spans="2:26" s="235" customFormat="1" ht="25.05" customHeight="1">
      <c r="B54" s="307"/>
      <c r="C54" s="307"/>
      <c r="D54" s="307"/>
      <c r="E54" s="307"/>
      <c r="F54" s="307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</row>
    <row r="55" spans="2:26" s="235" customFormat="1" ht="25.05" customHeight="1">
      <c r="B55" s="307"/>
      <c r="C55" s="307"/>
      <c r="D55" s="307"/>
      <c r="E55" s="307"/>
      <c r="F55" s="307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</row>
    <row r="56" spans="2:26" s="235" customFormat="1" ht="25.05" customHeight="1">
      <c r="B56" s="307"/>
      <c r="C56" s="307"/>
      <c r="D56" s="307"/>
      <c r="E56" s="307"/>
      <c r="F56" s="307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</row>
    <row r="57" spans="2:26" s="235" customFormat="1" ht="25.05" customHeight="1">
      <c r="B57" s="307"/>
      <c r="C57" s="307"/>
      <c r="D57" s="307"/>
      <c r="E57" s="307"/>
      <c r="F57" s="307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</row>
    <row r="58" spans="2:26" s="235" customFormat="1" ht="25.05" customHeight="1">
      <c r="B58" s="307"/>
      <c r="C58" s="307"/>
      <c r="D58" s="307"/>
      <c r="E58" s="307"/>
      <c r="F58" s="307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</row>
    <row r="59" spans="2:26" s="235" customFormat="1" ht="25.05" customHeight="1">
      <c r="B59" s="307"/>
      <c r="C59" s="307"/>
      <c r="D59" s="307"/>
      <c r="E59" s="307"/>
      <c r="F59" s="307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</row>
    <row r="60" spans="2:26" s="235" customFormat="1" ht="25.05" customHeight="1">
      <c r="B60" s="307"/>
      <c r="C60" s="307"/>
      <c r="D60" s="307"/>
      <c r="E60" s="307"/>
      <c r="F60" s="307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</row>
    <row r="61" spans="2:26" s="235" customFormat="1" ht="25.05" customHeight="1">
      <c r="B61" s="307"/>
      <c r="C61" s="307"/>
      <c r="D61" s="307"/>
      <c r="E61" s="307"/>
      <c r="F61" s="307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</row>
    <row r="62" spans="2:26" s="235" customFormat="1" ht="25.05" customHeight="1">
      <c r="B62" s="307"/>
      <c r="C62" s="307"/>
      <c r="D62" s="307"/>
      <c r="E62" s="307"/>
      <c r="F62" s="307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</row>
    <row r="63" spans="2:26" s="235" customFormat="1" ht="25.05" customHeight="1">
      <c r="B63" s="307"/>
      <c r="C63" s="307"/>
      <c r="D63" s="307"/>
      <c r="E63" s="307"/>
      <c r="F63" s="307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</row>
    <row r="64" spans="2:26" s="235" customFormat="1" ht="25.05" customHeight="1">
      <c r="B64" s="307"/>
      <c r="C64" s="307"/>
      <c r="D64" s="307"/>
      <c r="E64" s="307"/>
      <c r="F64" s="307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</row>
    <row r="65" spans="2:26" s="235" customFormat="1" ht="25.05" customHeight="1">
      <c r="B65" s="307"/>
      <c r="C65" s="307"/>
      <c r="D65" s="307"/>
      <c r="E65" s="307"/>
      <c r="F65" s="307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</row>
    <row r="66" spans="2:26" s="235" customFormat="1" ht="25.05" customHeight="1">
      <c r="B66" s="307"/>
      <c r="C66" s="307"/>
      <c r="D66" s="307"/>
      <c r="E66" s="307"/>
      <c r="F66" s="307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</row>
    <row r="67" spans="2:26" s="235" customFormat="1" ht="25.05" customHeight="1">
      <c r="B67" s="307"/>
      <c r="C67" s="307"/>
      <c r="D67" s="307"/>
      <c r="E67" s="307"/>
      <c r="F67" s="307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</row>
    <row r="68" spans="2:26" s="235" customFormat="1" ht="25.05" customHeight="1">
      <c r="B68" s="307"/>
      <c r="C68" s="307"/>
      <c r="D68" s="307"/>
      <c r="E68" s="307"/>
      <c r="F68" s="307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</row>
    <row r="69" spans="2:26" s="235" customFormat="1" ht="25.05" customHeight="1">
      <c r="B69" s="307"/>
      <c r="C69" s="307"/>
      <c r="D69" s="307"/>
      <c r="E69" s="307"/>
      <c r="F69" s="307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</row>
    <row r="70" spans="2:26" s="235" customFormat="1" ht="25.05" customHeight="1">
      <c r="B70" s="307"/>
      <c r="C70" s="307"/>
      <c r="D70" s="307"/>
      <c r="E70" s="307"/>
      <c r="F70" s="307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</row>
    <row r="71" spans="2:26" s="235" customFormat="1" ht="25.05" customHeight="1">
      <c r="B71" s="307"/>
      <c r="C71" s="307"/>
      <c r="D71" s="307"/>
      <c r="E71" s="307"/>
      <c r="F71" s="307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</row>
    <row r="72" spans="2:26" s="235" customFormat="1" ht="25.05" customHeight="1">
      <c r="B72" s="307"/>
      <c r="C72" s="307"/>
      <c r="D72" s="307"/>
      <c r="E72" s="307"/>
      <c r="F72" s="307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</row>
    <row r="73" spans="2:26" s="235" customFormat="1" ht="25.05" customHeight="1">
      <c r="B73" s="307"/>
      <c r="C73" s="307"/>
      <c r="D73" s="307"/>
      <c r="E73" s="307"/>
      <c r="F73" s="307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</row>
    <row r="74" spans="2:26" s="235" customFormat="1" ht="25.05" customHeight="1">
      <c r="B74" s="307"/>
      <c r="C74" s="307"/>
      <c r="D74" s="307"/>
      <c r="E74" s="307"/>
      <c r="F74" s="307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</row>
    <row r="75" spans="2:26" s="235" customFormat="1" ht="25.05" customHeight="1">
      <c r="B75" s="307"/>
      <c r="C75" s="307"/>
      <c r="D75" s="307"/>
      <c r="E75" s="307"/>
      <c r="F75" s="307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</row>
    <row r="76" spans="2:26" s="235" customFormat="1" ht="25.05" customHeight="1">
      <c r="B76" s="307"/>
      <c r="C76" s="307"/>
      <c r="D76" s="307"/>
      <c r="E76" s="307"/>
      <c r="F76" s="307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</row>
    <row r="77" spans="2:26" s="235" customFormat="1" ht="25.05" customHeight="1">
      <c r="B77" s="307"/>
      <c r="C77" s="307"/>
      <c r="D77" s="307"/>
      <c r="E77" s="307"/>
      <c r="F77" s="307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</row>
    <row r="78" spans="2:26" s="235" customFormat="1" ht="25.05" customHeight="1">
      <c r="B78" s="307"/>
      <c r="C78" s="307"/>
      <c r="D78" s="307"/>
      <c r="E78" s="307"/>
      <c r="F78" s="307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</row>
    <row r="79" spans="2:26" s="235" customFormat="1" ht="25.05" customHeight="1">
      <c r="B79" s="307"/>
      <c r="C79" s="307"/>
      <c r="D79" s="307"/>
      <c r="E79" s="307"/>
      <c r="F79" s="307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</row>
    <row r="80" spans="2:26" s="235" customFormat="1" ht="25.05" customHeight="1">
      <c r="B80" s="307"/>
      <c r="C80" s="307"/>
      <c r="D80" s="307"/>
      <c r="E80" s="307"/>
      <c r="F80" s="307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</row>
    <row r="81" spans="2:26" s="235" customFormat="1" ht="25.05" customHeight="1">
      <c r="B81" s="307"/>
      <c r="C81" s="307"/>
      <c r="D81" s="307"/>
      <c r="E81" s="307"/>
      <c r="F81" s="307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</row>
    <row r="82" spans="2:26" s="235" customFormat="1" ht="25.05" customHeight="1">
      <c r="B82" s="307"/>
      <c r="C82" s="307"/>
      <c r="D82" s="307"/>
      <c r="E82" s="307"/>
      <c r="F82" s="307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</row>
    <row r="83" spans="2:26" s="235" customFormat="1" ht="25.05" customHeight="1">
      <c r="B83" s="307"/>
      <c r="C83" s="307"/>
      <c r="D83" s="307"/>
      <c r="E83" s="307"/>
      <c r="F83" s="307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</row>
    <row r="84" spans="2:26" s="235" customFormat="1" ht="25.05" customHeight="1">
      <c r="B84" s="307"/>
      <c r="C84" s="307"/>
      <c r="D84" s="307"/>
      <c r="E84" s="307"/>
      <c r="F84" s="307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</row>
    <row r="85" spans="2:26" s="235" customFormat="1" ht="25.05" customHeight="1">
      <c r="B85" s="307"/>
      <c r="C85" s="307"/>
      <c r="D85" s="307"/>
      <c r="E85" s="307"/>
      <c r="F85" s="307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</row>
    <row r="86" spans="2:26" s="235" customFormat="1" ht="25.05" customHeight="1">
      <c r="B86" s="307"/>
      <c r="C86" s="307"/>
      <c r="D86" s="307"/>
      <c r="E86" s="307"/>
      <c r="F86" s="307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</row>
    <row r="87" spans="2:26" s="235" customFormat="1" ht="25.05" customHeight="1">
      <c r="B87" s="307"/>
      <c r="C87" s="307"/>
      <c r="D87" s="307"/>
      <c r="E87" s="307"/>
      <c r="F87" s="307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</row>
    <row r="88" spans="2:26" s="235" customFormat="1" ht="25.05" customHeight="1">
      <c r="B88" s="307"/>
      <c r="C88" s="307"/>
      <c r="D88" s="307"/>
      <c r="E88" s="307"/>
      <c r="F88" s="307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</row>
    <row r="89" spans="2:26" s="235" customFormat="1" ht="25.05" customHeight="1">
      <c r="B89" s="307"/>
      <c r="C89" s="307"/>
      <c r="D89" s="307"/>
      <c r="E89" s="307"/>
      <c r="F89" s="307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</row>
    <row r="90" spans="2:26" s="235" customFormat="1" ht="25.05" customHeight="1">
      <c r="B90" s="307"/>
      <c r="C90" s="307"/>
      <c r="D90" s="307"/>
      <c r="E90" s="307"/>
      <c r="F90" s="307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</row>
    <row r="91" spans="2:26" s="235" customFormat="1" ht="25.05" customHeight="1">
      <c r="B91" s="307"/>
      <c r="C91" s="307"/>
      <c r="D91" s="307"/>
      <c r="E91" s="307"/>
      <c r="F91" s="307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</row>
    <row r="92" spans="2:26" s="235" customFormat="1" ht="25.05" customHeight="1">
      <c r="B92" s="307"/>
      <c r="C92" s="307"/>
      <c r="D92" s="307"/>
      <c r="E92" s="307"/>
      <c r="F92" s="307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</row>
    <row r="93" spans="2:26" s="235" customFormat="1" ht="25.05" customHeight="1">
      <c r="B93" s="307"/>
      <c r="C93" s="307"/>
      <c r="D93" s="307"/>
      <c r="E93" s="307"/>
      <c r="F93" s="307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</row>
    <row r="94" spans="2:26" s="235" customFormat="1" ht="25.05" customHeight="1">
      <c r="B94" s="307"/>
      <c r="C94" s="307"/>
      <c r="D94" s="307"/>
      <c r="E94" s="307"/>
      <c r="F94" s="307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</row>
    <row r="95" spans="2:26" s="235" customFormat="1" ht="25.05" customHeight="1">
      <c r="B95" s="307"/>
      <c r="C95" s="307"/>
      <c r="D95" s="307"/>
      <c r="E95" s="307"/>
      <c r="F95" s="307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</row>
    <row r="96" spans="2:26" s="235" customFormat="1" ht="25.05" customHeight="1">
      <c r="B96" s="307"/>
      <c r="C96" s="307"/>
      <c r="D96" s="307"/>
      <c r="E96" s="307"/>
      <c r="F96" s="307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</row>
    <row r="97" spans="2:26" s="235" customFormat="1" ht="25.05" customHeight="1">
      <c r="B97" s="307"/>
      <c r="C97" s="307"/>
      <c r="D97" s="307"/>
      <c r="E97" s="307"/>
      <c r="F97" s="307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</row>
    <row r="98" spans="2:26" s="235" customFormat="1" ht="25.05" customHeight="1">
      <c r="B98" s="307"/>
      <c r="C98" s="307"/>
      <c r="D98" s="307"/>
      <c r="E98" s="307"/>
      <c r="F98" s="307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</row>
    <row r="99" spans="2:26" s="235" customFormat="1" ht="25.05" customHeight="1">
      <c r="B99" s="307"/>
      <c r="C99" s="307"/>
      <c r="D99" s="307"/>
      <c r="E99" s="307"/>
      <c r="F99" s="307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</row>
    <row r="100" spans="2:26" s="235" customFormat="1" ht="25.05" customHeight="1">
      <c r="B100" s="307"/>
      <c r="C100" s="307"/>
      <c r="D100" s="307"/>
      <c r="E100" s="307"/>
      <c r="F100" s="307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</row>
    <row r="101" spans="2:26" s="235" customFormat="1" ht="25.05" customHeight="1">
      <c r="B101" s="307"/>
      <c r="C101" s="307"/>
      <c r="D101" s="307"/>
      <c r="E101" s="307"/>
      <c r="F101" s="307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</row>
    <row r="102" spans="2:26" s="235" customFormat="1" ht="25.05" customHeight="1">
      <c r="B102" s="307"/>
      <c r="C102" s="307"/>
      <c r="D102" s="307"/>
      <c r="E102" s="307"/>
      <c r="F102" s="307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</row>
    <row r="103" spans="2:26" s="235" customFormat="1" ht="25.05" customHeight="1">
      <c r="B103" s="307"/>
      <c r="C103" s="307"/>
      <c r="D103" s="307"/>
      <c r="E103" s="307"/>
      <c r="F103" s="307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</row>
    <row r="104" spans="2:26" s="235" customFormat="1" ht="25.05" customHeight="1">
      <c r="B104" s="307"/>
      <c r="C104" s="307"/>
      <c r="D104" s="307"/>
      <c r="E104" s="307"/>
      <c r="F104" s="307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</row>
    <row r="105" spans="2:26" s="235" customFormat="1" ht="25.05" customHeight="1">
      <c r="B105" s="307"/>
      <c r="C105" s="307"/>
      <c r="D105" s="307"/>
      <c r="E105" s="307"/>
      <c r="F105" s="307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</row>
    <row r="106" spans="2:26" s="235" customFormat="1" ht="25.05" customHeight="1">
      <c r="B106" s="307"/>
      <c r="C106" s="307"/>
      <c r="D106" s="307"/>
      <c r="E106" s="307"/>
      <c r="F106" s="307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</row>
    <row r="107" spans="2:26" s="235" customFormat="1" ht="25.05" customHeight="1">
      <c r="B107" s="307"/>
      <c r="C107" s="307"/>
      <c r="D107" s="307"/>
      <c r="E107" s="307"/>
      <c r="F107" s="307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</row>
    <row r="108" spans="2:26" s="235" customFormat="1" ht="25.05" customHeight="1">
      <c r="B108" s="307"/>
      <c r="C108" s="307"/>
      <c r="D108" s="307"/>
      <c r="E108" s="307"/>
      <c r="F108" s="307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</row>
    <row r="109" spans="2:26" s="235" customFormat="1" ht="25.05" customHeight="1">
      <c r="B109" s="307"/>
      <c r="C109" s="307"/>
      <c r="D109" s="307"/>
      <c r="E109" s="307"/>
      <c r="F109" s="307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</row>
    <row r="110" spans="2:26" s="235" customFormat="1" ht="25.05" customHeight="1">
      <c r="B110" s="307"/>
      <c r="C110" s="307"/>
      <c r="D110" s="307"/>
      <c r="E110" s="307"/>
      <c r="F110" s="307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</row>
    <row r="111" spans="2:26" s="235" customFormat="1" ht="25.05" customHeight="1">
      <c r="B111" s="307"/>
      <c r="C111" s="307"/>
      <c r="D111" s="307"/>
      <c r="E111" s="307"/>
      <c r="F111" s="307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</row>
    <row r="112" spans="2:26" s="235" customFormat="1" ht="25.05" customHeight="1">
      <c r="B112" s="307"/>
      <c r="C112" s="307"/>
      <c r="D112" s="307"/>
      <c r="E112" s="307"/>
      <c r="F112" s="307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</row>
    <row r="113" spans="2:26" s="235" customFormat="1" ht="25.05" customHeight="1">
      <c r="B113" s="307"/>
      <c r="C113" s="307"/>
      <c r="D113" s="307"/>
      <c r="E113" s="307"/>
      <c r="F113" s="307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</row>
    <row r="114" spans="2:26" s="235" customFormat="1" ht="25.05" customHeight="1">
      <c r="B114" s="307"/>
      <c r="C114" s="307"/>
      <c r="D114" s="307"/>
      <c r="E114" s="307"/>
      <c r="F114" s="307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</row>
    <row r="115" spans="2:26" s="235" customFormat="1" ht="25.05" customHeight="1">
      <c r="B115" s="307"/>
      <c r="C115" s="307"/>
      <c r="D115" s="307"/>
      <c r="E115" s="307"/>
      <c r="F115" s="307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</row>
    <row r="116" spans="2:26" s="235" customFormat="1" ht="25.05" customHeight="1">
      <c r="B116" s="307"/>
      <c r="C116" s="307"/>
      <c r="D116" s="307"/>
      <c r="E116" s="307"/>
      <c r="F116" s="307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</row>
    <row r="117" spans="2:26" s="235" customFormat="1" ht="25.05" customHeight="1">
      <c r="B117" s="307"/>
      <c r="C117" s="307"/>
      <c r="D117" s="307"/>
      <c r="E117" s="307"/>
      <c r="F117" s="307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</row>
    <row r="118" spans="2:26" s="235" customFormat="1" ht="25.05" customHeight="1">
      <c r="B118" s="307"/>
      <c r="C118" s="307"/>
      <c r="D118" s="307"/>
      <c r="E118" s="307"/>
      <c r="F118" s="307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</row>
    <row r="119" spans="2:26" s="235" customFormat="1" ht="25.05" customHeight="1">
      <c r="B119" s="307"/>
      <c r="C119" s="307"/>
      <c r="D119" s="307"/>
      <c r="E119" s="307"/>
      <c r="F119" s="307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</row>
    <row r="120" spans="2:26" s="235" customFormat="1" ht="25.05" customHeight="1">
      <c r="B120" s="307"/>
      <c r="C120" s="307"/>
      <c r="D120" s="307"/>
      <c r="E120" s="307"/>
      <c r="F120" s="307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</row>
    <row r="121" spans="2:26" s="235" customFormat="1" ht="25.05" customHeight="1">
      <c r="B121" s="307"/>
      <c r="C121" s="307"/>
      <c r="D121" s="307"/>
      <c r="E121" s="307"/>
      <c r="F121" s="307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</row>
    <row r="122" spans="2:26" s="235" customFormat="1" ht="25.05" customHeight="1">
      <c r="B122" s="307"/>
      <c r="C122" s="307"/>
      <c r="D122" s="307"/>
      <c r="E122" s="307"/>
      <c r="F122" s="307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</row>
    <row r="123" spans="2:26" s="235" customFormat="1" ht="25.05" customHeight="1">
      <c r="B123" s="307"/>
      <c r="C123" s="307"/>
      <c r="D123" s="307"/>
      <c r="E123" s="307"/>
      <c r="F123" s="307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</row>
    <row r="124" spans="2:26" s="235" customFormat="1" ht="25.05" customHeight="1">
      <c r="B124" s="307"/>
      <c r="C124" s="307"/>
      <c r="D124" s="307"/>
      <c r="E124" s="307"/>
      <c r="F124" s="307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</row>
    <row r="125" spans="2:26" s="235" customFormat="1" ht="25.05" customHeight="1">
      <c r="B125" s="307"/>
      <c r="C125" s="307"/>
      <c r="D125" s="307"/>
      <c r="E125" s="307"/>
      <c r="F125" s="307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</row>
    <row r="126" spans="2:26" s="235" customFormat="1" ht="25.05" customHeight="1">
      <c r="B126" s="307"/>
      <c r="C126" s="307"/>
      <c r="D126" s="307"/>
      <c r="E126" s="307"/>
      <c r="F126" s="307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</row>
    <row r="127" spans="2:26" s="235" customFormat="1" ht="25.05" customHeight="1">
      <c r="B127" s="307"/>
      <c r="C127" s="307"/>
      <c r="D127" s="307"/>
      <c r="E127" s="307"/>
      <c r="F127" s="307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  <c r="Z127" s="123"/>
    </row>
    <row r="128" spans="2:26" s="235" customFormat="1" ht="25.05" customHeight="1">
      <c r="B128" s="307"/>
      <c r="C128" s="307"/>
      <c r="D128" s="307"/>
      <c r="E128" s="307"/>
      <c r="F128" s="307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</row>
    <row r="129" spans="2:26" s="235" customFormat="1" ht="25.05" customHeight="1">
      <c r="B129" s="307"/>
      <c r="C129" s="307"/>
      <c r="D129" s="307"/>
      <c r="E129" s="307"/>
      <c r="F129" s="307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</row>
    <row r="130" spans="2:26" s="235" customFormat="1" ht="25.05" customHeight="1">
      <c r="B130" s="307"/>
      <c r="C130" s="307"/>
      <c r="D130" s="307"/>
      <c r="E130" s="307"/>
      <c r="F130" s="307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  <c r="Z130" s="123"/>
    </row>
    <row r="131" spans="2:26" s="235" customFormat="1" ht="25.05" customHeight="1">
      <c r="B131" s="307"/>
      <c r="C131" s="307"/>
      <c r="D131" s="307"/>
      <c r="E131" s="307"/>
      <c r="F131" s="307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  <c r="Z131" s="123"/>
    </row>
    <row r="132" spans="2:26" s="235" customFormat="1" ht="25.05" customHeight="1">
      <c r="B132" s="307"/>
      <c r="C132" s="307"/>
      <c r="D132" s="307"/>
      <c r="E132" s="307"/>
      <c r="F132" s="307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  <c r="Z132" s="123"/>
    </row>
    <row r="133" spans="2:26" s="235" customFormat="1" ht="25.05" customHeight="1">
      <c r="B133" s="307"/>
      <c r="C133" s="307"/>
      <c r="D133" s="307"/>
      <c r="E133" s="307"/>
      <c r="F133" s="307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  <c r="Z133" s="123"/>
    </row>
    <row r="134" spans="2:26" s="235" customFormat="1" ht="25.05" customHeight="1">
      <c r="B134" s="307"/>
      <c r="C134" s="307"/>
      <c r="D134" s="307"/>
      <c r="E134" s="307"/>
      <c r="F134" s="307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  <c r="Z134" s="123"/>
    </row>
    <row r="135" spans="2:26" s="235" customFormat="1" ht="25.05" customHeight="1">
      <c r="B135" s="307"/>
      <c r="C135" s="307"/>
      <c r="D135" s="307"/>
      <c r="E135" s="307"/>
      <c r="F135" s="307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  <c r="Z135" s="123"/>
    </row>
    <row r="136" spans="2:26" s="235" customFormat="1" ht="25.05" customHeight="1">
      <c r="B136" s="307"/>
      <c r="C136" s="307"/>
      <c r="D136" s="307"/>
      <c r="E136" s="307"/>
      <c r="F136" s="307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  <c r="Z136" s="123"/>
    </row>
    <row r="137" spans="2:26" s="235" customFormat="1" ht="25.05" customHeight="1">
      <c r="B137" s="307"/>
      <c r="C137" s="307"/>
      <c r="D137" s="307"/>
      <c r="E137" s="307"/>
      <c r="F137" s="307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</row>
    <row r="138" spans="2:26" s="235" customFormat="1" ht="25.05" customHeight="1">
      <c r="B138" s="307"/>
      <c r="C138" s="307"/>
      <c r="D138" s="307"/>
      <c r="E138" s="307"/>
      <c r="F138" s="307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</row>
    <row r="139" spans="2:26" s="235" customFormat="1" ht="25.05" customHeight="1">
      <c r="B139" s="307"/>
      <c r="C139" s="307"/>
      <c r="D139" s="307"/>
      <c r="E139" s="307"/>
      <c r="F139" s="307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  <c r="Z139" s="123"/>
    </row>
    <row r="140" spans="2:26" s="235" customFormat="1" ht="25.05" customHeight="1">
      <c r="B140" s="307"/>
      <c r="C140" s="307"/>
      <c r="D140" s="307"/>
      <c r="E140" s="307"/>
      <c r="F140" s="307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  <c r="Z140" s="123"/>
    </row>
    <row r="141" spans="2:26" s="235" customFormat="1" ht="25.05" customHeight="1">
      <c r="B141" s="307"/>
      <c r="C141" s="307"/>
      <c r="D141" s="307"/>
      <c r="E141" s="307"/>
      <c r="F141" s="307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  <c r="Z141" s="123"/>
    </row>
    <row r="142" spans="2:26" s="235" customFormat="1" ht="25.05" customHeight="1">
      <c r="B142" s="307"/>
      <c r="C142" s="307"/>
      <c r="D142" s="307"/>
      <c r="E142" s="307"/>
      <c r="F142" s="307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</row>
    <row r="143" spans="2:26" s="235" customFormat="1" ht="25.05" customHeight="1">
      <c r="B143" s="307"/>
      <c r="C143" s="307"/>
      <c r="D143" s="307"/>
      <c r="E143" s="307"/>
      <c r="F143" s="307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  <c r="Z143" s="123"/>
    </row>
    <row r="144" spans="2:26" s="235" customFormat="1" ht="25.05" customHeight="1">
      <c r="B144" s="307"/>
      <c r="C144" s="307"/>
      <c r="D144" s="307"/>
      <c r="E144" s="307"/>
      <c r="F144" s="307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  <c r="Z144" s="123"/>
    </row>
    <row r="145" spans="2:26" s="235" customFormat="1" ht="25.05" customHeight="1">
      <c r="B145" s="307"/>
      <c r="C145" s="307"/>
      <c r="D145" s="307"/>
      <c r="E145" s="307"/>
      <c r="F145" s="307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  <c r="Z145" s="123"/>
    </row>
    <row r="146" spans="2:26" s="235" customFormat="1" ht="25.05" customHeight="1">
      <c r="B146" s="307"/>
      <c r="C146" s="307"/>
      <c r="D146" s="307"/>
      <c r="E146" s="307"/>
      <c r="F146" s="307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</row>
    <row r="147" spans="2:26" s="235" customFormat="1" ht="25.05" customHeight="1">
      <c r="B147" s="307"/>
      <c r="C147" s="307"/>
      <c r="D147" s="307"/>
      <c r="E147" s="307"/>
      <c r="F147" s="307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</row>
    <row r="148" spans="2:26" s="235" customFormat="1" ht="25.05" customHeight="1">
      <c r="B148" s="307"/>
      <c r="C148" s="307"/>
      <c r="D148" s="307"/>
      <c r="E148" s="307"/>
      <c r="F148" s="307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</row>
    <row r="149" spans="2:26" s="235" customFormat="1" ht="25.05" customHeight="1">
      <c r="B149" s="307"/>
      <c r="C149" s="307"/>
      <c r="D149" s="307"/>
      <c r="E149" s="307"/>
      <c r="F149" s="307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</row>
    <row r="150" spans="2:26" s="235" customFormat="1" ht="25.05" customHeight="1">
      <c r="B150" s="307"/>
      <c r="C150" s="307"/>
      <c r="D150" s="307"/>
      <c r="E150" s="307"/>
      <c r="F150" s="307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</row>
    <row r="151" spans="2:26" s="235" customFormat="1" ht="25.05" customHeight="1">
      <c r="B151" s="307"/>
      <c r="C151" s="307"/>
      <c r="D151" s="307"/>
      <c r="E151" s="307"/>
      <c r="F151" s="307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</row>
    <row r="152" spans="2:26" s="235" customFormat="1" ht="25.05" customHeight="1">
      <c r="B152" s="307"/>
      <c r="C152" s="307"/>
      <c r="D152" s="307"/>
      <c r="E152" s="307"/>
      <c r="F152" s="307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</row>
    <row r="153" spans="2:26" s="235" customFormat="1" ht="25.05" customHeight="1">
      <c r="B153" s="307"/>
      <c r="C153" s="307"/>
      <c r="D153" s="307"/>
      <c r="E153" s="307"/>
      <c r="F153" s="307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</row>
    <row r="154" spans="2:26" s="235" customFormat="1" ht="25.05" customHeight="1">
      <c r="B154" s="307"/>
      <c r="C154" s="307"/>
      <c r="D154" s="307"/>
      <c r="E154" s="307"/>
      <c r="F154" s="307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</row>
    <row r="155" spans="2:26" s="235" customFormat="1" ht="25.05" customHeight="1">
      <c r="B155" s="307"/>
      <c r="C155" s="307"/>
      <c r="D155" s="307"/>
      <c r="E155" s="307"/>
      <c r="F155" s="307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</row>
    <row r="156" spans="2:26" s="235" customFormat="1" ht="25.05" customHeight="1">
      <c r="B156" s="307"/>
      <c r="C156" s="307"/>
      <c r="D156" s="307"/>
      <c r="E156" s="307"/>
      <c r="F156" s="307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</row>
    <row r="157" spans="2:26" s="235" customFormat="1" ht="25.05" customHeight="1">
      <c r="B157" s="307"/>
      <c r="C157" s="307"/>
      <c r="D157" s="307"/>
      <c r="E157" s="307"/>
      <c r="F157" s="307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</row>
    <row r="158" spans="2:26" s="235" customFormat="1" ht="25.05" customHeight="1">
      <c r="B158" s="307"/>
      <c r="C158" s="307"/>
      <c r="D158" s="307"/>
      <c r="E158" s="307"/>
      <c r="F158" s="307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</row>
    <row r="159" spans="2:26" s="235" customFormat="1" ht="25.05" customHeight="1">
      <c r="B159" s="307"/>
      <c r="C159" s="307"/>
      <c r="D159" s="307"/>
      <c r="E159" s="307"/>
      <c r="F159" s="307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</row>
    <row r="160" spans="2:26" s="235" customFormat="1" ht="13.8">
      <c r="B160" s="307"/>
      <c r="C160" s="307"/>
      <c r="D160" s="307"/>
      <c r="E160" s="307"/>
      <c r="F160" s="307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</row>
    <row r="161" spans="2:26" s="235" customFormat="1" ht="13.8">
      <c r="B161" s="307"/>
      <c r="C161" s="307"/>
      <c r="D161" s="307"/>
      <c r="E161" s="307"/>
      <c r="F161" s="307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</row>
    <row r="162" spans="2:26" s="235" customFormat="1" ht="13.8">
      <c r="B162" s="307"/>
      <c r="C162" s="307"/>
      <c r="D162" s="307"/>
      <c r="E162" s="307"/>
      <c r="F162" s="307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</row>
    <row r="163" spans="2:26" s="235" customFormat="1" ht="13.8">
      <c r="B163" s="307"/>
      <c r="C163" s="307"/>
      <c r="D163" s="307"/>
      <c r="E163" s="307"/>
      <c r="F163" s="307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  <c r="Z163" s="123"/>
    </row>
    <row r="164" spans="2:26" s="235" customFormat="1" ht="13.8">
      <c r="B164" s="307"/>
      <c r="C164" s="307"/>
      <c r="D164" s="307"/>
      <c r="E164" s="307"/>
      <c r="F164" s="307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  <c r="Z164" s="123"/>
    </row>
    <row r="165" spans="2:26" s="235" customFormat="1" ht="13.8">
      <c r="B165" s="307"/>
      <c r="C165" s="307"/>
      <c r="D165" s="307"/>
      <c r="E165" s="307"/>
      <c r="F165" s="307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  <c r="Z165" s="123"/>
    </row>
    <row r="166" spans="2:26" s="235" customFormat="1" ht="13.8">
      <c r="B166" s="307"/>
      <c r="C166" s="307"/>
      <c r="D166" s="307"/>
      <c r="E166" s="307"/>
      <c r="F166" s="307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  <c r="Z166" s="123"/>
    </row>
    <row r="167" spans="2:26" s="235" customFormat="1" ht="13.8">
      <c r="B167" s="307"/>
      <c r="C167" s="307"/>
      <c r="D167" s="307"/>
      <c r="E167" s="307"/>
      <c r="F167" s="307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</row>
    <row r="168" spans="2:26" s="235" customFormat="1" ht="13.8">
      <c r="B168" s="307"/>
      <c r="C168" s="307"/>
      <c r="D168" s="307"/>
      <c r="E168" s="307"/>
      <c r="F168" s="307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  <c r="Z168" s="123"/>
    </row>
    <row r="169" spans="2:26" s="235" customFormat="1" ht="13.8">
      <c r="B169" s="307"/>
      <c r="C169" s="307"/>
      <c r="D169" s="307"/>
      <c r="E169" s="307"/>
      <c r="F169" s="307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  <c r="Z169" s="123"/>
    </row>
    <row r="170" spans="2:26" s="235" customFormat="1" ht="13.8">
      <c r="B170" s="307"/>
      <c r="C170" s="307"/>
      <c r="D170" s="307"/>
      <c r="E170" s="307"/>
      <c r="F170" s="307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  <c r="Z170" s="123"/>
    </row>
    <row r="171" spans="2:26" s="235" customFormat="1" ht="13.8">
      <c r="B171" s="307"/>
      <c r="C171" s="307"/>
      <c r="D171" s="307"/>
      <c r="E171" s="307"/>
      <c r="F171" s="307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  <c r="Z171" s="123"/>
    </row>
    <row r="172" spans="2:26" s="235" customFormat="1" ht="13.8">
      <c r="B172" s="307"/>
      <c r="C172" s="307"/>
      <c r="D172" s="307"/>
      <c r="E172" s="307"/>
      <c r="F172" s="307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  <c r="Z172" s="123"/>
    </row>
    <row r="173" spans="2:26" s="235" customFormat="1" ht="13.8">
      <c r="B173" s="307"/>
      <c r="C173" s="307"/>
      <c r="D173" s="307"/>
      <c r="E173" s="307"/>
      <c r="F173" s="307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  <c r="Z173" s="123"/>
    </row>
    <row r="174" spans="2:26" s="235" customFormat="1" ht="13.8">
      <c r="B174" s="307"/>
      <c r="C174" s="307"/>
      <c r="D174" s="307"/>
      <c r="E174" s="307"/>
      <c r="F174" s="307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  <c r="Z174" s="123"/>
    </row>
    <row r="175" spans="2:26" s="235" customFormat="1" ht="13.8">
      <c r="B175" s="307"/>
      <c r="C175" s="307"/>
      <c r="D175" s="307"/>
      <c r="E175" s="307"/>
      <c r="F175" s="307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</row>
    <row r="176" spans="2:26" s="235" customFormat="1" ht="13.8">
      <c r="B176" s="307"/>
      <c r="C176" s="307"/>
      <c r="D176" s="307"/>
      <c r="E176" s="307"/>
      <c r="F176" s="307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</row>
    <row r="177" spans="2:26" s="235" customFormat="1" ht="13.8">
      <c r="B177" s="307"/>
      <c r="C177" s="307"/>
      <c r="D177" s="307"/>
      <c r="E177" s="307"/>
      <c r="F177" s="307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</row>
    <row r="178" spans="2:26" s="235" customFormat="1" ht="13.8">
      <c r="B178" s="307"/>
      <c r="C178" s="307"/>
      <c r="D178" s="307"/>
      <c r="E178" s="307"/>
      <c r="F178" s="307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</row>
    <row r="179" spans="2:26" s="235" customFormat="1" ht="13.8">
      <c r="B179" s="307"/>
      <c r="C179" s="307"/>
      <c r="D179" s="307"/>
      <c r="E179" s="307"/>
      <c r="F179" s="307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  <c r="Z179" s="123"/>
    </row>
    <row r="180" spans="2:26" s="235" customFormat="1" ht="13.8">
      <c r="B180" s="307"/>
      <c r="C180" s="307"/>
      <c r="D180" s="307"/>
      <c r="E180" s="307"/>
      <c r="F180" s="307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  <c r="Z180" s="123"/>
    </row>
    <row r="181" spans="2:26" s="235" customFormat="1" ht="13.8">
      <c r="B181" s="307"/>
      <c r="C181" s="307"/>
      <c r="D181" s="307"/>
      <c r="E181" s="307"/>
      <c r="F181" s="307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</row>
    <row r="182" spans="2:26" s="235" customFormat="1" ht="13.8">
      <c r="B182" s="307"/>
      <c r="C182" s="307"/>
      <c r="D182" s="307"/>
      <c r="E182" s="307"/>
      <c r="F182" s="307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  <c r="Z182" s="123"/>
    </row>
    <row r="183" spans="2:26" s="235" customFormat="1" ht="13.8">
      <c r="B183" s="307"/>
      <c r="C183" s="307"/>
      <c r="D183" s="307"/>
      <c r="E183" s="307"/>
      <c r="F183" s="307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  <c r="Z183" s="123"/>
    </row>
    <row r="184" spans="2:26" s="235" customFormat="1" ht="13.8">
      <c r="B184" s="307"/>
      <c r="C184" s="307"/>
      <c r="D184" s="307"/>
      <c r="E184" s="307"/>
      <c r="F184" s="307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  <c r="Z184" s="123"/>
    </row>
    <row r="185" spans="2:26" s="235" customFormat="1" ht="13.8">
      <c r="B185" s="307"/>
      <c r="C185" s="307"/>
      <c r="D185" s="307"/>
      <c r="E185" s="307"/>
      <c r="F185" s="307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</row>
    <row r="186" spans="2:26" s="235" customFormat="1" ht="13.8">
      <c r="B186" s="307"/>
      <c r="C186" s="307"/>
      <c r="D186" s="307"/>
      <c r="E186" s="307"/>
      <c r="F186" s="307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</row>
    <row r="187" spans="2:26" s="235" customFormat="1" ht="13.8">
      <c r="B187" s="307"/>
      <c r="C187" s="307"/>
      <c r="D187" s="307"/>
      <c r="E187" s="307"/>
      <c r="F187" s="307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</row>
    <row r="188" spans="2:26" s="235" customFormat="1" ht="13.8">
      <c r="B188" s="307"/>
      <c r="C188" s="307"/>
      <c r="D188" s="307"/>
      <c r="E188" s="307"/>
      <c r="F188" s="307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</row>
    <row r="189" spans="2:26" s="235" customFormat="1" ht="13.8">
      <c r="B189" s="307"/>
      <c r="C189" s="307"/>
      <c r="D189" s="307"/>
      <c r="E189" s="307"/>
      <c r="F189" s="307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</row>
    <row r="190" spans="2:26" s="235" customFormat="1" ht="13.8">
      <c r="B190" s="307"/>
      <c r="C190" s="307"/>
      <c r="D190" s="307"/>
      <c r="E190" s="307"/>
      <c r="F190" s="307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</row>
    <row r="191" spans="2:26" s="235" customFormat="1" ht="13.8">
      <c r="B191" s="307"/>
      <c r="C191" s="307"/>
      <c r="D191" s="307"/>
      <c r="E191" s="307"/>
      <c r="F191" s="307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</row>
    <row r="192" spans="2:26" s="235" customFormat="1" ht="13.8">
      <c r="B192" s="307"/>
      <c r="C192" s="307"/>
      <c r="D192" s="307"/>
      <c r="E192" s="307"/>
      <c r="F192" s="307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</row>
    <row r="193" spans="2:26" s="235" customFormat="1" ht="13.8">
      <c r="B193" s="307"/>
      <c r="C193" s="307"/>
      <c r="D193" s="307"/>
      <c r="E193" s="307"/>
      <c r="F193" s="307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</row>
    <row r="194" spans="2:26" s="235" customFormat="1" ht="13.8">
      <c r="B194" s="307"/>
      <c r="C194" s="307"/>
      <c r="D194" s="307"/>
      <c r="E194" s="307"/>
      <c r="F194" s="307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  <c r="Z194" s="123"/>
    </row>
    <row r="195" spans="2:26" s="235" customFormat="1" ht="13.8">
      <c r="B195" s="307"/>
      <c r="C195" s="307"/>
      <c r="D195" s="307"/>
      <c r="E195" s="307"/>
      <c r="F195" s="307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  <c r="Z195" s="123"/>
    </row>
    <row r="196" spans="2:26" s="235" customFormat="1" ht="13.8">
      <c r="B196" s="307"/>
      <c r="C196" s="307"/>
      <c r="D196" s="307"/>
      <c r="E196" s="307"/>
      <c r="F196" s="307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  <c r="Z196" s="123"/>
    </row>
    <row r="197" spans="2:26" s="235" customFormat="1" ht="13.8">
      <c r="B197" s="307"/>
      <c r="C197" s="307"/>
      <c r="D197" s="307"/>
      <c r="E197" s="307"/>
      <c r="F197" s="307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  <c r="Z197" s="123"/>
    </row>
    <row r="198" spans="2:26" s="235" customFormat="1" ht="13.8">
      <c r="B198" s="307"/>
      <c r="C198" s="307"/>
      <c r="D198" s="307"/>
      <c r="E198" s="307"/>
      <c r="F198" s="307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  <c r="Z198" s="123"/>
    </row>
    <row r="199" spans="2:26" s="235" customFormat="1" ht="13.8">
      <c r="B199" s="307"/>
      <c r="C199" s="307"/>
      <c r="D199" s="307"/>
      <c r="E199" s="307"/>
      <c r="F199" s="307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  <c r="Z199" s="123"/>
    </row>
    <row r="200" spans="2:26" s="235" customFormat="1" ht="13.8">
      <c r="B200" s="307"/>
      <c r="C200" s="307"/>
      <c r="D200" s="307"/>
      <c r="E200" s="307"/>
      <c r="F200" s="307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  <c r="Z200" s="123"/>
    </row>
    <row r="201" spans="2:26" s="235" customFormat="1" ht="13.8">
      <c r="B201" s="307"/>
      <c r="C201" s="307"/>
      <c r="D201" s="307"/>
      <c r="E201" s="307"/>
      <c r="F201" s="307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  <c r="Z201" s="123"/>
    </row>
    <row r="202" spans="2:26" s="235" customFormat="1" ht="13.8">
      <c r="B202" s="307"/>
      <c r="C202" s="307"/>
      <c r="D202" s="307"/>
      <c r="E202" s="307"/>
      <c r="F202" s="307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  <c r="Z202" s="123"/>
    </row>
    <row r="203" spans="2:26" s="235" customFormat="1" ht="13.8">
      <c r="B203" s="307"/>
      <c r="C203" s="307"/>
      <c r="D203" s="307"/>
      <c r="E203" s="307"/>
      <c r="F203" s="307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  <c r="Z203" s="123"/>
    </row>
    <row r="204" spans="2:26" s="235" customFormat="1" ht="13.8">
      <c r="B204" s="307"/>
      <c r="C204" s="307"/>
      <c r="D204" s="307"/>
      <c r="E204" s="307"/>
      <c r="F204" s="307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</row>
    <row r="205" spans="2:26" s="235" customFormat="1" ht="13.8">
      <c r="B205" s="307"/>
      <c r="C205" s="307"/>
      <c r="D205" s="307"/>
      <c r="E205" s="307"/>
      <c r="F205" s="307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</row>
    <row r="206" spans="2:26" s="235" customFormat="1" ht="13.8">
      <c r="B206" s="307"/>
      <c r="C206" s="307"/>
      <c r="D206" s="307"/>
      <c r="E206" s="307"/>
      <c r="F206" s="307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</row>
    <row r="207" spans="2:26" s="235" customFormat="1" ht="13.8">
      <c r="B207" s="307"/>
      <c r="C207" s="307"/>
      <c r="D207" s="307"/>
      <c r="E207" s="307"/>
      <c r="F207" s="307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</row>
    <row r="208" spans="2:26" s="235" customFormat="1" ht="13.8">
      <c r="B208" s="307"/>
      <c r="C208" s="307"/>
      <c r="D208" s="307"/>
      <c r="E208" s="307"/>
      <c r="F208" s="307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</row>
    <row r="209" spans="2:26" s="235" customFormat="1" ht="13.8">
      <c r="B209" s="307"/>
      <c r="C209" s="307"/>
      <c r="D209" s="307"/>
      <c r="E209" s="307"/>
      <c r="F209" s="307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</row>
    <row r="210" spans="2:26" s="235" customFormat="1" ht="13.8">
      <c r="B210" s="307"/>
      <c r="C210" s="307"/>
      <c r="D210" s="307"/>
      <c r="E210" s="307"/>
      <c r="F210" s="307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</row>
    <row r="211" spans="2:26" s="235" customFormat="1" ht="13.8">
      <c r="B211" s="307"/>
      <c r="C211" s="307"/>
      <c r="D211" s="307"/>
      <c r="E211" s="307"/>
      <c r="F211" s="307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</row>
    <row r="212" spans="2:26" s="235" customFormat="1" ht="13.8">
      <c r="B212" s="307"/>
      <c r="C212" s="307"/>
      <c r="D212" s="307"/>
      <c r="E212" s="307"/>
      <c r="F212" s="307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</row>
    <row r="213" spans="2:26" s="235" customFormat="1" ht="13.8">
      <c r="B213" s="307"/>
      <c r="C213" s="307"/>
      <c r="D213" s="307"/>
      <c r="E213" s="307"/>
      <c r="F213" s="307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</row>
    <row r="214" spans="2:26" s="235" customFormat="1" ht="13.8">
      <c r="B214" s="307"/>
      <c r="C214" s="307"/>
      <c r="D214" s="307"/>
      <c r="E214" s="307"/>
      <c r="F214" s="307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</row>
    <row r="215" spans="2:26" s="235" customFormat="1" ht="13.8">
      <c r="B215" s="307"/>
      <c r="C215" s="307"/>
      <c r="D215" s="307"/>
      <c r="E215" s="307"/>
      <c r="F215" s="307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</row>
    <row r="216" spans="2:26" s="235" customFormat="1" ht="13.8">
      <c r="B216" s="307"/>
      <c r="C216" s="307"/>
      <c r="D216" s="307"/>
      <c r="E216" s="307"/>
      <c r="F216" s="307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</row>
    <row r="217" spans="2:26" s="235" customFormat="1" ht="13.8">
      <c r="B217" s="307"/>
      <c r="C217" s="307"/>
      <c r="D217" s="307"/>
      <c r="E217" s="307"/>
      <c r="F217" s="307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</row>
    <row r="218" spans="2:26" s="235" customFormat="1" ht="13.8">
      <c r="B218" s="307"/>
      <c r="C218" s="307"/>
      <c r="D218" s="307"/>
      <c r="E218" s="307"/>
      <c r="F218" s="307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</row>
    <row r="219" spans="2:26" s="235" customFormat="1" ht="13.8">
      <c r="B219" s="307"/>
      <c r="C219" s="307"/>
      <c r="D219" s="307"/>
      <c r="E219" s="307"/>
      <c r="F219" s="307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</row>
    <row r="220" spans="2:26" s="235" customFormat="1" ht="13.8">
      <c r="B220" s="307"/>
      <c r="C220" s="307"/>
      <c r="D220" s="307"/>
      <c r="E220" s="307"/>
      <c r="F220" s="307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</row>
    <row r="221" spans="2:26" s="235" customFormat="1" ht="13.8">
      <c r="B221" s="307"/>
      <c r="C221" s="307"/>
      <c r="D221" s="307"/>
      <c r="E221" s="307"/>
      <c r="F221" s="307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</row>
    <row r="222" spans="2:26" s="235" customFormat="1" ht="13.8">
      <c r="B222" s="307"/>
      <c r="C222" s="307"/>
      <c r="D222" s="307"/>
      <c r="E222" s="307"/>
      <c r="F222" s="307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</row>
    <row r="223" spans="2:26" s="235" customFormat="1" ht="13.8">
      <c r="B223" s="307"/>
      <c r="C223" s="307"/>
      <c r="D223" s="307"/>
      <c r="E223" s="307"/>
      <c r="F223" s="307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</row>
    <row r="224" spans="2:26" s="235" customFormat="1" ht="13.8">
      <c r="B224" s="307"/>
      <c r="C224" s="307"/>
      <c r="D224" s="307"/>
      <c r="E224" s="307"/>
      <c r="F224" s="307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23"/>
      <c r="Z224" s="123"/>
    </row>
    <row r="225" spans="2:26" s="235" customFormat="1" ht="13.8">
      <c r="B225" s="307"/>
      <c r="C225" s="307"/>
      <c r="D225" s="307"/>
      <c r="E225" s="307"/>
      <c r="F225" s="307"/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23"/>
      <c r="Z225" s="123"/>
    </row>
    <row r="226" spans="2:26" s="235" customFormat="1" ht="13.8">
      <c r="B226" s="307"/>
      <c r="C226" s="307"/>
      <c r="D226" s="307"/>
      <c r="E226" s="307"/>
      <c r="F226" s="307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</row>
    <row r="227" spans="2:26" s="235" customFormat="1" ht="13.8">
      <c r="B227" s="307"/>
      <c r="C227" s="307"/>
      <c r="D227" s="307"/>
      <c r="E227" s="307"/>
      <c r="F227" s="307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</row>
    <row r="228" spans="2:26" s="235" customFormat="1" ht="13.8">
      <c r="B228" s="307"/>
      <c r="C228" s="307"/>
      <c r="D228" s="307"/>
      <c r="E228" s="307"/>
      <c r="F228" s="307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</row>
    <row r="229" spans="2:26" s="235" customFormat="1" ht="13.8">
      <c r="B229" s="307"/>
      <c r="C229" s="307"/>
      <c r="D229" s="307"/>
      <c r="E229" s="307"/>
      <c r="F229" s="307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</row>
    <row r="230" spans="2:26" s="235" customFormat="1" ht="13.8">
      <c r="B230" s="307"/>
      <c r="C230" s="307"/>
      <c r="D230" s="307"/>
      <c r="E230" s="307"/>
      <c r="F230" s="307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</row>
    <row r="231" spans="2:26" s="235" customFormat="1" ht="13.8">
      <c r="B231" s="307"/>
      <c r="C231" s="307"/>
      <c r="D231" s="307"/>
      <c r="E231" s="307"/>
      <c r="F231" s="307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</row>
    <row r="232" spans="2:26" s="235" customFormat="1" ht="13.8">
      <c r="B232" s="307"/>
      <c r="C232" s="307"/>
      <c r="D232" s="307"/>
      <c r="E232" s="307"/>
      <c r="F232" s="307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</row>
    <row r="233" spans="2:26" s="235" customFormat="1" ht="13.8">
      <c r="B233" s="307"/>
      <c r="C233" s="307"/>
      <c r="D233" s="307"/>
      <c r="E233" s="307"/>
      <c r="F233" s="307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</row>
    <row r="234" spans="2:26" s="235" customFormat="1" ht="13.8">
      <c r="B234" s="307"/>
      <c r="C234" s="307"/>
      <c r="D234" s="307"/>
      <c r="E234" s="307"/>
      <c r="F234" s="307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</row>
    <row r="235" spans="2:26" s="235" customFormat="1" ht="13.8">
      <c r="B235" s="307"/>
      <c r="C235" s="307"/>
      <c r="D235" s="307"/>
      <c r="E235" s="307"/>
      <c r="F235" s="307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</row>
    <row r="236" spans="2:26" s="235" customFormat="1" ht="13.8">
      <c r="B236" s="307"/>
      <c r="C236" s="307"/>
      <c r="D236" s="307"/>
      <c r="E236" s="307"/>
      <c r="F236" s="307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</row>
    <row r="237" spans="2:26" s="235" customFormat="1" ht="13.8">
      <c r="B237" s="307"/>
      <c r="C237" s="307"/>
      <c r="D237" s="307"/>
      <c r="E237" s="307"/>
      <c r="F237" s="307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</row>
    <row r="238" spans="2:26" s="235" customFormat="1" ht="13.8">
      <c r="B238" s="307"/>
      <c r="C238" s="307"/>
      <c r="D238" s="307"/>
      <c r="E238" s="307"/>
      <c r="F238" s="307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</row>
    <row r="239" spans="2:26" s="235" customFormat="1" ht="13.8">
      <c r="B239" s="307"/>
      <c r="C239" s="307"/>
      <c r="D239" s="307"/>
      <c r="E239" s="307"/>
      <c r="F239" s="307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</row>
    <row r="240" spans="2:26" s="235" customFormat="1" ht="13.8">
      <c r="B240" s="307"/>
      <c r="C240" s="307"/>
      <c r="D240" s="307"/>
      <c r="E240" s="307"/>
      <c r="F240" s="307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</row>
    <row r="241" spans="2:26" s="235" customFormat="1" ht="13.8">
      <c r="B241" s="307"/>
      <c r="C241" s="307"/>
      <c r="D241" s="307"/>
      <c r="E241" s="307"/>
      <c r="F241" s="307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</row>
    <row r="242" spans="2:26" s="235" customFormat="1" ht="13.8">
      <c r="B242" s="307"/>
      <c r="C242" s="307"/>
      <c r="D242" s="307"/>
      <c r="E242" s="307"/>
      <c r="F242" s="307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</row>
    <row r="243" spans="2:26" s="235" customFormat="1" ht="13.8">
      <c r="B243" s="307"/>
      <c r="C243" s="307"/>
      <c r="D243" s="307"/>
      <c r="E243" s="307"/>
      <c r="F243" s="307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</row>
    <row r="244" spans="2:26" s="235" customFormat="1" ht="13.8">
      <c r="B244" s="307"/>
      <c r="C244" s="307"/>
      <c r="D244" s="307"/>
      <c r="E244" s="307"/>
      <c r="F244" s="307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</row>
    <row r="245" spans="2:26" s="235" customFormat="1" ht="13.8">
      <c r="B245" s="307"/>
      <c r="C245" s="307"/>
      <c r="D245" s="307"/>
      <c r="E245" s="307"/>
      <c r="F245" s="307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</row>
    <row r="246" spans="2:26" s="235" customFormat="1" ht="13.8">
      <c r="B246" s="307"/>
      <c r="C246" s="307"/>
      <c r="D246" s="307"/>
      <c r="E246" s="307"/>
      <c r="F246" s="307"/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23"/>
      <c r="Z246" s="123"/>
    </row>
    <row r="247" spans="2:26" s="235" customFormat="1" ht="13.8">
      <c r="B247" s="307"/>
      <c r="C247" s="307"/>
      <c r="D247" s="307"/>
      <c r="E247" s="307"/>
      <c r="F247" s="307"/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23"/>
      <c r="Z247" s="123"/>
    </row>
    <row r="248" spans="2:26" s="235" customFormat="1" ht="13.8">
      <c r="B248" s="307"/>
      <c r="C248" s="307"/>
      <c r="D248" s="307"/>
      <c r="E248" s="307"/>
      <c r="F248" s="307"/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23"/>
      <c r="Z248" s="123"/>
    </row>
    <row r="249" spans="2:26" s="235" customFormat="1" ht="13.8">
      <c r="B249" s="307"/>
      <c r="C249" s="307"/>
      <c r="D249" s="307"/>
      <c r="E249" s="307"/>
      <c r="F249" s="307"/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23"/>
      <c r="Z249" s="123"/>
    </row>
    <row r="250" spans="2:26" s="235" customFormat="1" ht="13.8">
      <c r="B250" s="307"/>
      <c r="C250" s="307"/>
      <c r="D250" s="307"/>
      <c r="E250" s="307"/>
      <c r="F250" s="307"/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23"/>
      <c r="Z250" s="123"/>
    </row>
    <row r="251" spans="2:26" s="235" customFormat="1" ht="13.8">
      <c r="B251" s="307"/>
      <c r="C251" s="307"/>
      <c r="D251" s="307"/>
      <c r="E251" s="307"/>
      <c r="F251" s="307"/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23"/>
      <c r="Z251" s="123"/>
    </row>
    <row r="252" spans="2:26" s="235" customFormat="1" ht="13.8">
      <c r="B252" s="307"/>
      <c r="C252" s="307"/>
      <c r="D252" s="307"/>
      <c r="E252" s="307"/>
      <c r="F252" s="307"/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23"/>
      <c r="Z252" s="123"/>
    </row>
    <row r="253" spans="2:26" s="235" customFormat="1" ht="13.8">
      <c r="B253" s="307"/>
      <c r="C253" s="307"/>
      <c r="D253" s="307"/>
      <c r="E253" s="307"/>
      <c r="F253" s="307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123"/>
    </row>
    <row r="254" spans="2:26" s="235" customFormat="1" ht="13.8">
      <c r="B254" s="307"/>
      <c r="C254" s="307"/>
      <c r="D254" s="307"/>
      <c r="E254" s="307"/>
      <c r="F254" s="307"/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23"/>
      <c r="Z254" s="123"/>
    </row>
    <row r="255" spans="2:26" s="235" customFormat="1" ht="13.8">
      <c r="B255" s="307"/>
      <c r="C255" s="307"/>
      <c r="D255" s="307"/>
      <c r="E255" s="307"/>
      <c r="F255" s="307"/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23"/>
      <c r="Z255" s="123"/>
    </row>
    <row r="256" spans="2:26" s="235" customFormat="1" ht="13.8">
      <c r="B256" s="307"/>
      <c r="C256" s="307"/>
      <c r="D256" s="307"/>
      <c r="E256" s="307"/>
      <c r="F256" s="307"/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</row>
    <row r="257" spans="2:26" s="235" customFormat="1" ht="13.8">
      <c r="B257" s="307"/>
      <c r="C257" s="307"/>
      <c r="D257" s="307"/>
      <c r="E257" s="307"/>
      <c r="F257" s="307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</row>
    <row r="258" spans="2:26" s="235" customFormat="1" ht="13.8">
      <c r="B258" s="307"/>
      <c r="C258" s="307"/>
      <c r="D258" s="307"/>
      <c r="E258" s="307"/>
      <c r="F258" s="307"/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</row>
    <row r="259" spans="2:26" s="235" customFormat="1" ht="13.8">
      <c r="B259" s="307"/>
      <c r="C259" s="307"/>
      <c r="D259" s="307"/>
      <c r="E259" s="307"/>
      <c r="F259" s="307"/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23"/>
      <c r="Z259" s="123"/>
    </row>
    <row r="260" spans="2:26" s="235" customFormat="1" ht="13.8">
      <c r="B260" s="307"/>
      <c r="C260" s="307"/>
      <c r="D260" s="307"/>
      <c r="E260" s="307"/>
      <c r="F260" s="307"/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23"/>
      <c r="Z260" s="123"/>
    </row>
    <row r="261" spans="2:26" s="235" customFormat="1" ht="13.8">
      <c r="B261" s="307"/>
      <c r="C261" s="307"/>
      <c r="D261" s="307"/>
      <c r="E261" s="307"/>
      <c r="F261" s="307"/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23"/>
      <c r="Z261" s="123"/>
    </row>
    <row r="262" spans="2:26" s="235" customFormat="1" ht="13.8">
      <c r="B262" s="307"/>
      <c r="C262" s="307"/>
      <c r="D262" s="307"/>
      <c r="E262" s="307"/>
      <c r="F262" s="307"/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23"/>
      <c r="Z262" s="123"/>
    </row>
    <row r="263" spans="2:26" s="235" customFormat="1" ht="13.8">
      <c r="B263" s="307"/>
      <c r="C263" s="307"/>
      <c r="D263" s="307"/>
      <c r="E263" s="307"/>
      <c r="F263" s="307"/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23"/>
      <c r="Z263" s="123"/>
    </row>
    <row r="264" spans="2:26" s="235" customFormat="1" ht="13.8">
      <c r="B264" s="307"/>
      <c r="C264" s="307"/>
      <c r="D264" s="307"/>
      <c r="E264" s="307"/>
      <c r="F264" s="307"/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23"/>
      <c r="Z264" s="123"/>
    </row>
    <row r="265" spans="2:26" s="235" customFormat="1" ht="13.8">
      <c r="B265" s="307"/>
      <c r="C265" s="307"/>
      <c r="D265" s="307"/>
      <c r="E265" s="307"/>
      <c r="F265" s="307"/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23"/>
      <c r="Z265" s="123"/>
    </row>
    <row r="266" spans="2:26" s="235" customFormat="1" ht="13.8">
      <c r="B266" s="307"/>
      <c r="C266" s="307"/>
      <c r="D266" s="307"/>
      <c r="E266" s="307"/>
      <c r="F266" s="307"/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23"/>
      <c r="Z266" s="123"/>
    </row>
    <row r="267" spans="2:26" s="235" customFormat="1" ht="13.8">
      <c r="B267" s="307"/>
      <c r="C267" s="307"/>
      <c r="D267" s="307"/>
      <c r="E267" s="307"/>
      <c r="F267" s="307"/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23"/>
      <c r="Z267" s="123"/>
    </row>
    <row r="268" spans="2:26" s="235" customFormat="1" ht="13.8">
      <c r="B268" s="307"/>
      <c r="C268" s="307"/>
      <c r="D268" s="307"/>
      <c r="E268" s="307"/>
      <c r="F268" s="307"/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23"/>
      <c r="Z268" s="123"/>
    </row>
    <row r="269" spans="2:26" s="235" customFormat="1" ht="13.8">
      <c r="B269" s="307"/>
      <c r="C269" s="307"/>
      <c r="D269" s="307"/>
      <c r="E269" s="307"/>
      <c r="F269" s="307"/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23"/>
      <c r="Z269" s="123"/>
    </row>
    <row r="270" spans="2:26" s="235" customFormat="1" ht="13.8">
      <c r="B270" s="307"/>
      <c r="C270" s="307"/>
      <c r="D270" s="307"/>
      <c r="E270" s="307"/>
      <c r="F270" s="307"/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23"/>
      <c r="Z270" s="123"/>
    </row>
    <row r="271" spans="2:26" s="235" customFormat="1" ht="13.8">
      <c r="B271" s="307"/>
      <c r="C271" s="307"/>
      <c r="D271" s="307"/>
      <c r="E271" s="307"/>
      <c r="F271" s="307"/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23"/>
      <c r="Z271" s="123"/>
    </row>
    <row r="272" spans="2:26" s="235" customFormat="1" ht="13.8">
      <c r="B272" s="307"/>
      <c r="C272" s="307"/>
      <c r="D272" s="307"/>
      <c r="E272" s="307"/>
      <c r="F272" s="307"/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23"/>
      <c r="Z272" s="123"/>
    </row>
    <row r="273" spans="2:26" s="235" customFormat="1" ht="13.8">
      <c r="B273" s="307"/>
      <c r="C273" s="307"/>
      <c r="D273" s="307"/>
      <c r="E273" s="307"/>
      <c r="F273" s="307"/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23"/>
      <c r="Z273" s="123"/>
    </row>
    <row r="274" spans="2:26" s="235" customFormat="1" ht="13.8">
      <c r="B274" s="307"/>
      <c r="C274" s="307"/>
      <c r="D274" s="307"/>
      <c r="E274" s="307"/>
      <c r="F274" s="307"/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  <c r="Z274" s="123"/>
    </row>
    <row r="275" spans="2:26" s="235" customFormat="1" ht="13.8">
      <c r="B275" s="307"/>
      <c r="C275" s="307"/>
      <c r="D275" s="307"/>
      <c r="E275" s="307"/>
      <c r="F275" s="307"/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23"/>
      <c r="Z275" s="123"/>
    </row>
    <row r="276" spans="2:26" s="235" customFormat="1" ht="13.8">
      <c r="B276" s="307"/>
      <c r="C276" s="307"/>
      <c r="D276" s="307"/>
      <c r="E276" s="307"/>
      <c r="F276" s="307"/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23"/>
      <c r="Z276" s="123"/>
    </row>
    <row r="277" spans="2:26" s="235" customFormat="1" ht="13.8">
      <c r="B277" s="307"/>
      <c r="C277" s="307"/>
      <c r="D277" s="307"/>
      <c r="E277" s="307"/>
      <c r="F277" s="307"/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23"/>
      <c r="Z277" s="123"/>
    </row>
    <row r="278" spans="2:26" s="235" customFormat="1" ht="13.8">
      <c r="B278" s="307"/>
      <c r="C278" s="307"/>
      <c r="D278" s="307"/>
      <c r="E278" s="307"/>
      <c r="F278" s="307"/>
      <c r="M278" s="123"/>
      <c r="N278" s="123"/>
      <c r="O278" s="123"/>
      <c r="P278" s="123"/>
      <c r="Q278" s="123"/>
      <c r="R278" s="123"/>
      <c r="S278" s="123"/>
      <c r="T278" s="123"/>
      <c r="U278" s="123"/>
      <c r="V278" s="123"/>
      <c r="W278" s="123"/>
      <c r="X278" s="123"/>
      <c r="Y278" s="123"/>
      <c r="Z278" s="123"/>
    </row>
    <row r="279" spans="2:26" s="235" customFormat="1" ht="13.8">
      <c r="B279" s="307"/>
      <c r="C279" s="307"/>
      <c r="D279" s="307"/>
      <c r="E279" s="307"/>
      <c r="F279" s="307"/>
      <c r="M279" s="123"/>
      <c r="N279" s="123"/>
      <c r="O279" s="123"/>
      <c r="P279" s="123"/>
      <c r="Q279" s="123"/>
      <c r="R279" s="123"/>
      <c r="S279" s="123"/>
      <c r="T279" s="123"/>
      <c r="U279" s="123"/>
      <c r="V279" s="123"/>
      <c r="W279" s="123"/>
      <c r="X279" s="123"/>
      <c r="Y279" s="123"/>
      <c r="Z279" s="123"/>
    </row>
    <row r="280" spans="2:26" s="235" customFormat="1" ht="13.8">
      <c r="B280" s="307"/>
      <c r="C280" s="307"/>
      <c r="D280" s="307"/>
      <c r="E280" s="307"/>
      <c r="F280" s="307"/>
      <c r="M280" s="123"/>
      <c r="N280" s="123"/>
      <c r="O280" s="123"/>
      <c r="P280" s="123"/>
      <c r="Q280" s="123"/>
      <c r="R280" s="123"/>
      <c r="S280" s="123"/>
      <c r="T280" s="123"/>
      <c r="U280" s="123"/>
      <c r="V280" s="123"/>
      <c r="W280" s="123"/>
      <c r="X280" s="123"/>
      <c r="Y280" s="123"/>
      <c r="Z280" s="123"/>
    </row>
    <row r="281" spans="2:26" s="235" customFormat="1" ht="13.8">
      <c r="B281" s="307"/>
      <c r="C281" s="307"/>
      <c r="D281" s="307"/>
      <c r="E281" s="307"/>
      <c r="F281" s="307"/>
      <c r="M281" s="123"/>
      <c r="N281" s="123"/>
      <c r="O281" s="123"/>
      <c r="P281" s="123"/>
      <c r="Q281" s="123"/>
      <c r="R281" s="123"/>
      <c r="S281" s="123"/>
      <c r="T281" s="123"/>
      <c r="U281" s="123"/>
      <c r="V281" s="123"/>
      <c r="W281" s="123"/>
      <c r="X281" s="123"/>
      <c r="Y281" s="123"/>
      <c r="Z281" s="123"/>
    </row>
    <row r="282" spans="2:26" s="235" customFormat="1" ht="13.8">
      <c r="B282" s="307"/>
      <c r="C282" s="307"/>
      <c r="D282" s="307"/>
      <c r="E282" s="307"/>
      <c r="F282" s="307"/>
      <c r="M282" s="123"/>
      <c r="N282" s="123"/>
      <c r="O282" s="123"/>
      <c r="P282" s="123"/>
      <c r="Q282" s="123"/>
      <c r="R282" s="123"/>
      <c r="S282" s="123"/>
      <c r="T282" s="123"/>
      <c r="U282" s="123"/>
      <c r="V282" s="123"/>
      <c r="W282" s="123"/>
      <c r="X282" s="123"/>
      <c r="Y282" s="123"/>
      <c r="Z282" s="123"/>
    </row>
    <row r="283" spans="2:26" s="235" customFormat="1" ht="13.8">
      <c r="B283" s="307"/>
      <c r="C283" s="307"/>
      <c r="D283" s="307"/>
      <c r="E283" s="307"/>
      <c r="F283" s="307"/>
      <c r="M283" s="123"/>
      <c r="N283" s="123"/>
      <c r="O283" s="123"/>
      <c r="P283" s="123"/>
      <c r="Q283" s="123"/>
      <c r="R283" s="123"/>
      <c r="S283" s="123"/>
      <c r="T283" s="123"/>
      <c r="U283" s="123"/>
      <c r="V283" s="123"/>
      <c r="W283" s="123"/>
      <c r="X283" s="123"/>
      <c r="Y283" s="123"/>
      <c r="Z283" s="123"/>
    </row>
    <row r="284" spans="2:26" s="235" customFormat="1" ht="13.8">
      <c r="B284" s="307"/>
      <c r="C284" s="307"/>
      <c r="D284" s="307"/>
      <c r="E284" s="307"/>
      <c r="F284" s="307"/>
      <c r="M284" s="123"/>
      <c r="N284" s="123"/>
      <c r="O284" s="123"/>
      <c r="P284" s="123"/>
      <c r="Q284" s="123"/>
      <c r="R284" s="123"/>
      <c r="S284" s="123"/>
      <c r="T284" s="123"/>
      <c r="U284" s="123"/>
      <c r="V284" s="123"/>
      <c r="W284" s="123"/>
      <c r="X284" s="123"/>
      <c r="Y284" s="123"/>
      <c r="Z284" s="123"/>
    </row>
    <row r="285" spans="2:26" s="235" customFormat="1" ht="13.8">
      <c r="B285" s="307"/>
      <c r="C285" s="307"/>
      <c r="D285" s="307"/>
      <c r="E285" s="307"/>
      <c r="F285" s="307"/>
      <c r="M285" s="123"/>
      <c r="N285" s="123"/>
      <c r="O285" s="123"/>
      <c r="P285" s="123"/>
      <c r="Q285" s="123"/>
      <c r="R285" s="123"/>
      <c r="S285" s="123"/>
      <c r="T285" s="123"/>
      <c r="U285" s="123"/>
      <c r="V285" s="123"/>
      <c r="W285" s="123"/>
      <c r="X285" s="123"/>
      <c r="Y285" s="123"/>
      <c r="Z285" s="123"/>
    </row>
    <row r="286" spans="2:26" s="235" customFormat="1" ht="13.8">
      <c r="B286" s="307"/>
      <c r="C286" s="307"/>
      <c r="D286" s="307"/>
      <c r="E286" s="307"/>
      <c r="F286" s="307"/>
      <c r="M286" s="123"/>
      <c r="N286" s="123"/>
      <c r="O286" s="123"/>
      <c r="P286" s="123"/>
      <c r="Q286" s="123"/>
      <c r="R286" s="123"/>
      <c r="S286" s="123"/>
      <c r="T286" s="123"/>
      <c r="U286" s="123"/>
      <c r="V286" s="123"/>
      <c r="W286" s="123"/>
      <c r="X286" s="123"/>
      <c r="Y286" s="123"/>
      <c r="Z286" s="123"/>
    </row>
    <row r="287" spans="2:26" s="235" customFormat="1" ht="13.8">
      <c r="B287" s="307"/>
      <c r="C287" s="307"/>
      <c r="D287" s="307"/>
      <c r="E287" s="307"/>
      <c r="F287" s="307"/>
      <c r="M287" s="123"/>
      <c r="N287" s="123"/>
      <c r="O287" s="123"/>
      <c r="P287" s="123"/>
      <c r="Q287" s="123"/>
      <c r="R287" s="123"/>
      <c r="S287" s="123"/>
      <c r="T287" s="123"/>
      <c r="U287" s="123"/>
      <c r="V287" s="123"/>
      <c r="W287" s="123"/>
      <c r="X287" s="123"/>
      <c r="Y287" s="123"/>
      <c r="Z287" s="123"/>
    </row>
    <row r="288" spans="2:26" s="235" customFormat="1" ht="13.8">
      <c r="B288" s="307"/>
      <c r="C288" s="307"/>
      <c r="D288" s="307"/>
      <c r="E288" s="307"/>
      <c r="F288" s="307"/>
      <c r="M288" s="123"/>
      <c r="N288" s="123"/>
      <c r="O288" s="123"/>
      <c r="P288" s="123"/>
      <c r="Q288" s="123"/>
      <c r="R288" s="123"/>
      <c r="S288" s="123"/>
      <c r="T288" s="123"/>
      <c r="U288" s="123"/>
      <c r="V288" s="123"/>
      <c r="W288" s="123"/>
      <c r="X288" s="123"/>
      <c r="Y288" s="123"/>
      <c r="Z288" s="123"/>
    </row>
    <row r="289" spans="2:26" s="235" customFormat="1" ht="13.8">
      <c r="B289" s="307"/>
      <c r="C289" s="307"/>
      <c r="D289" s="307"/>
      <c r="E289" s="307"/>
      <c r="F289" s="307"/>
      <c r="M289" s="123"/>
      <c r="N289" s="123"/>
      <c r="O289" s="123"/>
      <c r="P289" s="123"/>
      <c r="Q289" s="123"/>
      <c r="R289" s="123"/>
      <c r="S289" s="123"/>
      <c r="T289" s="123"/>
      <c r="U289" s="123"/>
      <c r="V289" s="123"/>
      <c r="W289" s="123"/>
      <c r="X289" s="123"/>
      <c r="Y289" s="123"/>
      <c r="Z289" s="123"/>
    </row>
    <row r="290" spans="2:26" s="235" customFormat="1" ht="13.8">
      <c r="B290" s="307"/>
      <c r="C290" s="307"/>
      <c r="D290" s="307"/>
      <c r="E290" s="307"/>
      <c r="F290" s="307"/>
      <c r="M290" s="123"/>
      <c r="N290" s="123"/>
      <c r="O290" s="123"/>
      <c r="P290" s="123"/>
      <c r="Q290" s="123"/>
      <c r="R290" s="123"/>
      <c r="S290" s="123"/>
      <c r="T290" s="123"/>
      <c r="U290" s="123"/>
      <c r="V290" s="123"/>
      <c r="W290" s="123"/>
      <c r="X290" s="123"/>
      <c r="Y290" s="123"/>
      <c r="Z290" s="123"/>
    </row>
    <row r="291" spans="2:26" s="235" customFormat="1" ht="13.8">
      <c r="B291" s="307"/>
      <c r="C291" s="307"/>
      <c r="D291" s="307"/>
      <c r="E291" s="307"/>
      <c r="F291" s="307"/>
      <c r="M291" s="123"/>
      <c r="N291" s="123"/>
      <c r="O291" s="123"/>
      <c r="P291" s="123"/>
      <c r="Q291" s="123"/>
      <c r="R291" s="123"/>
      <c r="S291" s="123"/>
      <c r="T291" s="123"/>
      <c r="U291" s="123"/>
      <c r="V291" s="123"/>
      <c r="W291" s="123"/>
      <c r="X291" s="123"/>
      <c r="Y291" s="123"/>
      <c r="Z291" s="123"/>
    </row>
    <row r="292" spans="2:26" s="235" customFormat="1" ht="13.8">
      <c r="B292" s="307"/>
      <c r="C292" s="307"/>
      <c r="D292" s="307"/>
      <c r="E292" s="307"/>
      <c r="F292" s="307"/>
      <c r="M292" s="123"/>
      <c r="N292" s="123"/>
      <c r="O292" s="123"/>
      <c r="P292" s="123"/>
      <c r="Q292" s="123"/>
      <c r="R292" s="123"/>
      <c r="S292" s="123"/>
      <c r="T292" s="123"/>
      <c r="U292" s="123"/>
      <c r="V292" s="123"/>
      <c r="W292" s="123"/>
      <c r="X292" s="123"/>
      <c r="Y292" s="123"/>
      <c r="Z292" s="123"/>
    </row>
    <row r="293" spans="2:26" s="235" customFormat="1" ht="13.8">
      <c r="B293" s="307"/>
      <c r="C293" s="307"/>
      <c r="D293" s="307"/>
      <c r="E293" s="307"/>
      <c r="F293" s="307"/>
      <c r="M293" s="123"/>
      <c r="N293" s="123"/>
      <c r="O293" s="123"/>
      <c r="P293" s="123"/>
      <c r="Q293" s="123"/>
      <c r="R293" s="123"/>
      <c r="S293" s="123"/>
      <c r="T293" s="123"/>
      <c r="U293" s="123"/>
      <c r="V293" s="123"/>
      <c r="W293" s="123"/>
      <c r="X293" s="123"/>
      <c r="Y293" s="123"/>
      <c r="Z293" s="123"/>
    </row>
    <row r="294" spans="2:26" s="235" customFormat="1" ht="13.8">
      <c r="B294" s="307"/>
      <c r="C294" s="307"/>
      <c r="D294" s="307"/>
      <c r="E294" s="307"/>
      <c r="F294" s="307"/>
      <c r="M294" s="123"/>
      <c r="N294" s="123"/>
      <c r="O294" s="123"/>
      <c r="P294" s="123"/>
      <c r="Q294" s="123"/>
      <c r="R294" s="123"/>
      <c r="S294" s="123"/>
      <c r="T294" s="123"/>
      <c r="U294" s="123"/>
      <c r="V294" s="123"/>
      <c r="W294" s="123"/>
      <c r="X294" s="123"/>
      <c r="Y294" s="123"/>
      <c r="Z294" s="123"/>
    </row>
    <row r="295" spans="2:26" s="235" customFormat="1" ht="13.8">
      <c r="B295" s="307"/>
      <c r="C295" s="307"/>
      <c r="D295" s="307"/>
      <c r="E295" s="307"/>
      <c r="F295" s="307"/>
      <c r="M295" s="123"/>
      <c r="N295" s="123"/>
      <c r="O295" s="123"/>
      <c r="P295" s="123"/>
      <c r="Q295" s="123"/>
      <c r="R295" s="123"/>
      <c r="S295" s="123"/>
      <c r="T295" s="123"/>
      <c r="U295" s="123"/>
      <c r="V295" s="123"/>
      <c r="W295" s="123"/>
      <c r="X295" s="123"/>
      <c r="Y295" s="123"/>
      <c r="Z295" s="123"/>
    </row>
    <row r="296" spans="2:26" s="235" customFormat="1" ht="13.8">
      <c r="B296" s="307"/>
      <c r="C296" s="307"/>
      <c r="D296" s="307"/>
      <c r="E296" s="307"/>
      <c r="F296" s="307"/>
      <c r="M296" s="123"/>
      <c r="N296" s="123"/>
      <c r="O296" s="123"/>
      <c r="P296" s="123"/>
      <c r="Q296" s="123"/>
      <c r="R296" s="123"/>
      <c r="S296" s="123"/>
      <c r="T296" s="123"/>
      <c r="U296" s="123"/>
      <c r="V296" s="123"/>
      <c r="W296" s="123"/>
      <c r="X296" s="123"/>
      <c r="Y296" s="123"/>
      <c r="Z296" s="123"/>
    </row>
    <row r="297" spans="2:26" s="235" customFormat="1" ht="13.8">
      <c r="B297" s="307"/>
      <c r="C297" s="307"/>
      <c r="D297" s="307"/>
      <c r="E297" s="307"/>
      <c r="F297" s="307"/>
      <c r="M297" s="123"/>
      <c r="N297" s="123"/>
      <c r="O297" s="123"/>
      <c r="P297" s="123"/>
      <c r="Q297" s="123"/>
      <c r="R297" s="123"/>
      <c r="S297" s="123"/>
      <c r="T297" s="123"/>
      <c r="U297" s="123"/>
      <c r="V297" s="123"/>
      <c r="W297" s="123"/>
      <c r="X297" s="123"/>
      <c r="Y297" s="123"/>
      <c r="Z297" s="123"/>
    </row>
    <row r="298" spans="2:26" s="235" customFormat="1" ht="13.8">
      <c r="B298" s="307"/>
      <c r="C298" s="307"/>
      <c r="D298" s="307"/>
      <c r="E298" s="307"/>
      <c r="F298" s="307"/>
      <c r="M298" s="123"/>
      <c r="N298" s="123"/>
      <c r="O298" s="123"/>
      <c r="P298" s="123"/>
      <c r="Q298" s="123"/>
      <c r="R298" s="123"/>
      <c r="S298" s="123"/>
      <c r="T298" s="123"/>
      <c r="U298" s="123"/>
      <c r="V298" s="123"/>
      <c r="W298" s="123"/>
      <c r="X298" s="123"/>
      <c r="Y298" s="123"/>
      <c r="Z298" s="123"/>
    </row>
    <row r="299" spans="2:26" s="235" customFormat="1" ht="13.8">
      <c r="B299" s="307"/>
      <c r="C299" s="307"/>
      <c r="D299" s="307"/>
      <c r="E299" s="307"/>
      <c r="F299" s="307"/>
      <c r="M299" s="123"/>
      <c r="N299" s="123"/>
      <c r="O299" s="123"/>
      <c r="P299" s="123"/>
      <c r="Q299" s="123"/>
      <c r="R299" s="123"/>
      <c r="S299" s="123"/>
      <c r="T299" s="123"/>
      <c r="U299" s="123"/>
      <c r="V299" s="123"/>
      <c r="W299" s="123"/>
      <c r="X299" s="123"/>
      <c r="Y299" s="123"/>
      <c r="Z299" s="123"/>
    </row>
    <row r="300" spans="2:26" s="235" customFormat="1" ht="13.8">
      <c r="B300" s="307"/>
      <c r="C300" s="307"/>
      <c r="D300" s="307"/>
      <c r="E300" s="307"/>
      <c r="F300" s="307"/>
      <c r="M300" s="123"/>
      <c r="N300" s="123"/>
      <c r="O300" s="123"/>
      <c r="P300" s="123"/>
      <c r="Q300" s="123"/>
      <c r="R300" s="123"/>
      <c r="S300" s="123"/>
      <c r="T300" s="123"/>
      <c r="U300" s="123"/>
      <c r="V300" s="123"/>
      <c r="W300" s="123"/>
      <c r="X300" s="123"/>
      <c r="Y300" s="123"/>
      <c r="Z300" s="123"/>
    </row>
    <row r="301" spans="2:26" s="235" customFormat="1" ht="13.8">
      <c r="B301" s="307"/>
      <c r="C301" s="307"/>
      <c r="D301" s="307"/>
      <c r="E301" s="307"/>
      <c r="F301" s="307"/>
      <c r="M301" s="123"/>
      <c r="N301" s="123"/>
      <c r="O301" s="123"/>
      <c r="P301" s="123"/>
      <c r="Q301" s="123"/>
      <c r="R301" s="123"/>
      <c r="S301" s="123"/>
      <c r="T301" s="123"/>
      <c r="U301" s="123"/>
      <c r="V301" s="123"/>
      <c r="W301" s="123"/>
      <c r="X301" s="123"/>
      <c r="Y301" s="123"/>
      <c r="Z301" s="123"/>
    </row>
    <row r="302" spans="2:26" s="235" customFormat="1" ht="13.8">
      <c r="B302" s="307"/>
      <c r="C302" s="307"/>
      <c r="D302" s="307"/>
      <c r="E302" s="307"/>
      <c r="F302" s="307"/>
      <c r="M302" s="123"/>
      <c r="N302" s="123"/>
      <c r="O302" s="123"/>
      <c r="P302" s="123"/>
      <c r="Q302" s="123"/>
      <c r="R302" s="123"/>
      <c r="S302" s="123"/>
      <c r="T302" s="123"/>
      <c r="U302" s="123"/>
      <c r="V302" s="123"/>
      <c r="W302" s="123"/>
      <c r="X302" s="123"/>
      <c r="Y302" s="123"/>
      <c r="Z302" s="123"/>
    </row>
    <row r="303" spans="2:26" s="235" customFormat="1" ht="13.8">
      <c r="B303" s="307"/>
      <c r="C303" s="307"/>
      <c r="D303" s="307"/>
      <c r="E303" s="307"/>
      <c r="F303" s="307"/>
      <c r="M303" s="123"/>
      <c r="N303" s="123"/>
      <c r="O303" s="123"/>
      <c r="P303" s="123"/>
      <c r="Q303" s="123"/>
      <c r="R303" s="123"/>
      <c r="S303" s="123"/>
      <c r="T303" s="123"/>
      <c r="U303" s="123"/>
      <c r="V303" s="123"/>
      <c r="W303" s="123"/>
      <c r="X303" s="123"/>
      <c r="Y303" s="123"/>
      <c r="Z303" s="123"/>
    </row>
    <row r="304" spans="2:26" s="235" customFormat="1" ht="13.8">
      <c r="B304" s="307"/>
      <c r="C304" s="307"/>
      <c r="D304" s="307"/>
      <c r="E304" s="307"/>
      <c r="F304" s="307"/>
      <c r="M304" s="123"/>
      <c r="N304" s="123"/>
      <c r="O304" s="123"/>
      <c r="P304" s="123"/>
      <c r="Q304" s="123"/>
      <c r="R304" s="123"/>
      <c r="S304" s="123"/>
      <c r="T304" s="123"/>
      <c r="U304" s="123"/>
      <c r="V304" s="123"/>
      <c r="W304" s="123"/>
      <c r="X304" s="123"/>
      <c r="Y304" s="123"/>
      <c r="Z304" s="123"/>
    </row>
    <row r="305" spans="2:26" s="235" customFormat="1" ht="13.8">
      <c r="B305" s="307"/>
      <c r="C305" s="307"/>
      <c r="D305" s="307"/>
      <c r="E305" s="307"/>
      <c r="F305" s="307"/>
      <c r="M305" s="123"/>
      <c r="N305" s="123"/>
      <c r="O305" s="123"/>
      <c r="P305" s="123"/>
      <c r="Q305" s="123"/>
      <c r="R305" s="123"/>
      <c r="S305" s="123"/>
      <c r="T305" s="123"/>
      <c r="U305" s="123"/>
      <c r="V305" s="123"/>
      <c r="W305" s="123"/>
      <c r="X305" s="123"/>
      <c r="Y305" s="123"/>
      <c r="Z305" s="123"/>
    </row>
    <row r="306" spans="2:26" s="235" customFormat="1" ht="13.8">
      <c r="B306" s="307"/>
      <c r="C306" s="307"/>
      <c r="D306" s="307"/>
      <c r="E306" s="307"/>
      <c r="F306" s="307"/>
      <c r="M306" s="123"/>
      <c r="N306" s="123"/>
      <c r="O306" s="123"/>
      <c r="P306" s="123"/>
      <c r="Q306" s="123"/>
      <c r="R306" s="123"/>
      <c r="S306" s="123"/>
      <c r="T306" s="123"/>
      <c r="U306" s="123"/>
      <c r="V306" s="123"/>
      <c r="W306" s="123"/>
      <c r="X306" s="123"/>
      <c r="Y306" s="123"/>
      <c r="Z306" s="123"/>
    </row>
    <row r="307" spans="2:26" s="235" customFormat="1" ht="13.8">
      <c r="B307" s="307"/>
      <c r="C307" s="307"/>
      <c r="D307" s="307"/>
      <c r="E307" s="307"/>
      <c r="F307" s="307"/>
      <c r="M307" s="123"/>
      <c r="N307" s="123"/>
      <c r="O307" s="123"/>
      <c r="P307" s="123"/>
      <c r="Q307" s="123"/>
      <c r="R307" s="123"/>
      <c r="S307" s="123"/>
      <c r="T307" s="123"/>
      <c r="U307" s="123"/>
      <c r="V307" s="123"/>
      <c r="W307" s="123"/>
      <c r="X307" s="123"/>
      <c r="Y307" s="123"/>
      <c r="Z307" s="123"/>
    </row>
    <row r="308" spans="2:26" s="235" customFormat="1" ht="13.8">
      <c r="B308" s="307"/>
      <c r="C308" s="307"/>
      <c r="D308" s="307"/>
      <c r="E308" s="307"/>
      <c r="F308" s="307"/>
      <c r="M308" s="123"/>
      <c r="N308" s="123"/>
      <c r="O308" s="123"/>
      <c r="P308" s="123"/>
      <c r="Q308" s="123"/>
      <c r="R308" s="123"/>
      <c r="S308" s="123"/>
      <c r="T308" s="123"/>
      <c r="U308" s="123"/>
      <c r="V308" s="123"/>
      <c r="W308" s="123"/>
      <c r="X308" s="123"/>
      <c r="Y308" s="123"/>
      <c r="Z308" s="123"/>
    </row>
    <row r="309" spans="2:26" s="235" customFormat="1" ht="13.8">
      <c r="B309" s="307"/>
      <c r="C309" s="307"/>
      <c r="D309" s="307"/>
      <c r="E309" s="307"/>
      <c r="F309" s="307"/>
      <c r="M309" s="123"/>
      <c r="N309" s="123"/>
      <c r="O309" s="123"/>
      <c r="P309" s="123"/>
      <c r="Q309" s="123"/>
      <c r="R309" s="123"/>
      <c r="S309" s="123"/>
      <c r="T309" s="123"/>
      <c r="U309" s="123"/>
      <c r="V309" s="123"/>
      <c r="W309" s="123"/>
      <c r="X309" s="123"/>
      <c r="Y309" s="123"/>
      <c r="Z309" s="123"/>
    </row>
    <row r="310" spans="2:26" s="235" customFormat="1" ht="13.8">
      <c r="B310" s="307"/>
      <c r="C310" s="307"/>
      <c r="D310" s="307"/>
      <c r="E310" s="307"/>
      <c r="F310" s="307"/>
      <c r="M310" s="123"/>
      <c r="N310" s="123"/>
      <c r="O310" s="123"/>
      <c r="P310" s="123"/>
      <c r="Q310" s="123"/>
      <c r="R310" s="123"/>
      <c r="S310" s="123"/>
      <c r="T310" s="123"/>
      <c r="U310" s="123"/>
      <c r="V310" s="123"/>
      <c r="W310" s="123"/>
      <c r="X310" s="123"/>
      <c r="Y310" s="123"/>
      <c r="Z310" s="123"/>
    </row>
    <row r="311" spans="2:26" s="235" customFormat="1" ht="13.8">
      <c r="B311" s="307"/>
      <c r="C311" s="307"/>
      <c r="D311" s="307"/>
      <c r="E311" s="307"/>
      <c r="F311" s="307"/>
      <c r="M311" s="123"/>
      <c r="N311" s="123"/>
      <c r="O311" s="123"/>
      <c r="P311" s="123"/>
      <c r="Q311" s="123"/>
      <c r="R311" s="123"/>
      <c r="S311" s="123"/>
      <c r="T311" s="123"/>
      <c r="U311" s="123"/>
      <c r="V311" s="123"/>
      <c r="W311" s="123"/>
      <c r="X311" s="123"/>
      <c r="Y311" s="123"/>
      <c r="Z311" s="123"/>
    </row>
    <row r="312" spans="2:26" s="235" customFormat="1" ht="13.8">
      <c r="B312" s="307"/>
      <c r="C312" s="307"/>
      <c r="D312" s="307"/>
      <c r="E312" s="307"/>
      <c r="F312" s="307"/>
      <c r="M312" s="123"/>
      <c r="N312" s="123"/>
      <c r="O312" s="123"/>
      <c r="P312" s="123"/>
      <c r="Q312" s="123"/>
      <c r="R312" s="123"/>
      <c r="S312" s="123"/>
      <c r="T312" s="123"/>
      <c r="U312" s="123"/>
      <c r="V312" s="123"/>
      <c r="W312" s="123"/>
      <c r="X312" s="123"/>
      <c r="Y312" s="123"/>
      <c r="Z312" s="123"/>
    </row>
    <row r="313" spans="2:26" s="235" customFormat="1" ht="13.8">
      <c r="B313" s="307"/>
      <c r="C313" s="307"/>
      <c r="D313" s="307"/>
      <c r="E313" s="307"/>
      <c r="F313" s="307"/>
      <c r="M313" s="123"/>
      <c r="N313" s="123"/>
      <c r="O313" s="123"/>
      <c r="P313" s="123"/>
      <c r="Q313" s="123"/>
      <c r="R313" s="123"/>
      <c r="S313" s="123"/>
      <c r="T313" s="123"/>
      <c r="U313" s="123"/>
      <c r="V313" s="123"/>
      <c r="W313" s="123"/>
      <c r="X313" s="123"/>
      <c r="Y313" s="123"/>
      <c r="Z313" s="123"/>
    </row>
    <row r="314" spans="2:26" s="235" customFormat="1" ht="13.8">
      <c r="B314" s="307"/>
      <c r="C314" s="307"/>
      <c r="D314" s="307"/>
      <c r="E314" s="307"/>
      <c r="F314" s="307"/>
      <c r="M314" s="123"/>
      <c r="N314" s="123"/>
      <c r="O314" s="123"/>
      <c r="P314" s="123"/>
      <c r="Q314" s="123"/>
      <c r="R314" s="123"/>
      <c r="S314" s="123"/>
      <c r="T314" s="123"/>
      <c r="U314" s="123"/>
      <c r="V314" s="123"/>
      <c r="W314" s="123"/>
      <c r="X314" s="123"/>
      <c r="Y314" s="123"/>
      <c r="Z314" s="123"/>
    </row>
    <row r="315" spans="2:26" s="235" customFormat="1" ht="13.8">
      <c r="B315" s="307"/>
      <c r="C315" s="307"/>
      <c r="D315" s="307"/>
      <c r="E315" s="307"/>
      <c r="F315" s="307"/>
      <c r="M315" s="123"/>
      <c r="N315" s="123"/>
      <c r="O315" s="123"/>
      <c r="P315" s="123"/>
      <c r="Q315" s="123"/>
      <c r="R315" s="123"/>
      <c r="S315" s="123"/>
      <c r="T315" s="123"/>
      <c r="U315" s="123"/>
      <c r="V315" s="123"/>
      <c r="W315" s="123"/>
      <c r="X315" s="123"/>
      <c r="Y315" s="123"/>
      <c r="Z315" s="123"/>
    </row>
    <row r="316" spans="2:26" s="235" customFormat="1" ht="13.8">
      <c r="B316" s="307"/>
      <c r="C316" s="307"/>
      <c r="D316" s="307"/>
      <c r="E316" s="307"/>
      <c r="F316" s="307"/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23"/>
      <c r="Z316" s="123"/>
    </row>
    <row r="317" spans="2:26" s="235" customFormat="1" ht="13.8">
      <c r="B317" s="307"/>
      <c r="C317" s="307"/>
      <c r="D317" s="307"/>
      <c r="E317" s="307"/>
      <c r="F317" s="307"/>
      <c r="M317" s="123"/>
      <c r="N317" s="123"/>
      <c r="O317" s="123"/>
      <c r="P317" s="123"/>
      <c r="Q317" s="123"/>
      <c r="R317" s="123"/>
      <c r="S317" s="123"/>
      <c r="T317" s="123"/>
      <c r="U317" s="123"/>
      <c r="V317" s="123"/>
      <c r="W317" s="123"/>
      <c r="X317" s="123"/>
      <c r="Y317" s="123"/>
      <c r="Z317" s="123"/>
    </row>
    <row r="318" spans="2:26" s="235" customFormat="1" ht="13.8">
      <c r="B318" s="307"/>
      <c r="C318" s="307"/>
      <c r="D318" s="307"/>
      <c r="E318" s="307"/>
      <c r="F318" s="307"/>
      <c r="M318" s="123"/>
      <c r="N318" s="123"/>
      <c r="O318" s="123"/>
      <c r="P318" s="123"/>
      <c r="Q318" s="123"/>
      <c r="R318" s="123"/>
      <c r="S318" s="123"/>
      <c r="T318" s="123"/>
      <c r="U318" s="123"/>
      <c r="V318" s="123"/>
      <c r="W318" s="123"/>
      <c r="X318" s="123"/>
      <c r="Y318" s="123"/>
      <c r="Z318" s="123"/>
    </row>
    <row r="319" spans="2:26" s="235" customFormat="1" ht="13.8">
      <c r="B319" s="307"/>
      <c r="C319" s="307"/>
      <c r="D319" s="307"/>
      <c r="E319" s="307"/>
      <c r="F319" s="307"/>
      <c r="M319" s="123"/>
      <c r="N319" s="123"/>
      <c r="O319" s="123"/>
      <c r="P319" s="123"/>
      <c r="Q319" s="123"/>
      <c r="R319" s="123"/>
      <c r="S319" s="123"/>
      <c r="T319" s="123"/>
      <c r="U319" s="123"/>
      <c r="V319" s="123"/>
      <c r="W319" s="123"/>
      <c r="X319" s="123"/>
      <c r="Y319" s="123"/>
      <c r="Z319" s="123"/>
    </row>
    <row r="320" spans="2:26" s="235" customFormat="1" ht="13.8">
      <c r="B320" s="307"/>
      <c r="C320" s="307"/>
      <c r="D320" s="307"/>
      <c r="E320" s="307"/>
      <c r="F320" s="307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  <c r="Z320" s="123"/>
    </row>
    <row r="321" spans="2:26" s="235" customFormat="1" ht="13.8">
      <c r="B321" s="307"/>
      <c r="C321" s="307"/>
      <c r="D321" s="307"/>
      <c r="E321" s="307"/>
      <c r="F321" s="307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  <c r="Z321" s="123"/>
    </row>
    <row r="322" spans="2:26" s="235" customFormat="1" ht="13.8">
      <c r="B322" s="307"/>
      <c r="C322" s="307"/>
      <c r="D322" s="307"/>
      <c r="E322" s="307"/>
      <c r="F322" s="307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  <c r="Z322" s="123"/>
    </row>
    <row r="323" spans="2:26" s="235" customFormat="1" ht="13.8">
      <c r="B323" s="307"/>
      <c r="C323" s="307"/>
      <c r="D323" s="307"/>
      <c r="E323" s="307"/>
      <c r="F323" s="307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  <c r="Z323" s="123"/>
    </row>
    <row r="324" spans="2:26" s="235" customFormat="1" ht="13.8">
      <c r="B324" s="307"/>
      <c r="C324" s="307"/>
      <c r="D324" s="307"/>
      <c r="E324" s="307"/>
      <c r="F324" s="307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  <c r="Z324" s="123"/>
    </row>
    <row r="325" spans="2:26" s="235" customFormat="1" ht="13.8">
      <c r="B325" s="307"/>
      <c r="C325" s="307"/>
      <c r="D325" s="307"/>
      <c r="E325" s="307"/>
      <c r="F325" s="307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  <c r="Z325" s="123"/>
    </row>
    <row r="326" spans="2:26" s="235" customFormat="1" ht="13.8">
      <c r="B326" s="307"/>
      <c r="C326" s="307"/>
      <c r="D326" s="307"/>
      <c r="E326" s="307"/>
      <c r="F326" s="307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  <c r="Z326" s="123"/>
    </row>
    <row r="327" spans="2:26" s="235" customFormat="1" ht="13.8">
      <c r="B327" s="307"/>
      <c r="C327" s="307"/>
      <c r="D327" s="307"/>
      <c r="E327" s="307"/>
      <c r="F327" s="307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  <c r="Z327" s="123"/>
    </row>
    <row r="328" spans="2:26" s="235" customFormat="1" ht="13.8">
      <c r="B328" s="307"/>
      <c r="C328" s="307"/>
      <c r="D328" s="307"/>
      <c r="E328" s="307"/>
      <c r="F328" s="307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  <c r="Z328" s="123"/>
    </row>
    <row r="329" spans="2:26" s="235" customFormat="1" ht="13.8">
      <c r="B329" s="307"/>
      <c r="C329" s="307"/>
      <c r="D329" s="307"/>
      <c r="E329" s="307"/>
      <c r="F329" s="307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  <c r="Z329" s="123"/>
    </row>
    <row r="330" spans="2:26" s="235" customFormat="1" ht="13.8">
      <c r="B330" s="307"/>
      <c r="C330" s="307"/>
      <c r="D330" s="307"/>
      <c r="E330" s="307"/>
      <c r="F330" s="307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  <c r="Z330" s="123"/>
    </row>
    <row r="331" spans="2:26" s="235" customFormat="1" ht="13.8">
      <c r="B331" s="307"/>
      <c r="C331" s="307"/>
      <c r="D331" s="307"/>
      <c r="E331" s="307"/>
      <c r="F331" s="307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  <c r="Z331" s="123"/>
    </row>
    <row r="332" spans="2:26" s="235" customFormat="1" ht="13.8">
      <c r="B332" s="307"/>
      <c r="C332" s="307"/>
      <c r="D332" s="307"/>
      <c r="E332" s="307"/>
      <c r="F332" s="307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  <c r="Z332" s="123"/>
    </row>
    <row r="333" spans="2:26" s="235" customFormat="1" ht="13.8">
      <c r="B333" s="307"/>
      <c r="C333" s="307"/>
      <c r="D333" s="307"/>
      <c r="E333" s="307"/>
      <c r="F333" s="307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</row>
    <row r="334" spans="2:26" s="235" customFormat="1" ht="13.8">
      <c r="B334" s="307"/>
      <c r="C334" s="307"/>
      <c r="D334" s="307"/>
      <c r="E334" s="307"/>
      <c r="F334" s="307"/>
      <c r="M334" s="123"/>
      <c r="N334" s="123"/>
      <c r="O334" s="123"/>
      <c r="P334" s="123"/>
      <c r="Q334" s="123"/>
      <c r="R334" s="123"/>
      <c r="S334" s="123"/>
      <c r="T334" s="123"/>
      <c r="U334" s="123"/>
      <c r="V334" s="123"/>
      <c r="W334" s="123"/>
      <c r="X334" s="123"/>
      <c r="Y334" s="123"/>
      <c r="Z334" s="123"/>
    </row>
    <row r="335" spans="2:26" s="235" customFormat="1" ht="13.8">
      <c r="B335" s="307"/>
      <c r="C335" s="307"/>
      <c r="D335" s="307"/>
      <c r="E335" s="307"/>
      <c r="F335" s="307"/>
      <c r="M335" s="123"/>
      <c r="N335" s="123"/>
      <c r="O335" s="123"/>
      <c r="P335" s="123"/>
      <c r="Q335" s="123"/>
      <c r="R335" s="123"/>
      <c r="S335" s="123"/>
      <c r="T335" s="123"/>
      <c r="U335" s="123"/>
      <c r="V335" s="123"/>
      <c r="W335" s="123"/>
      <c r="X335" s="123"/>
      <c r="Y335" s="123"/>
      <c r="Z335" s="123"/>
    </row>
    <row r="336" spans="2:26" s="235" customFormat="1" ht="13.8">
      <c r="B336" s="307"/>
      <c r="C336" s="307"/>
      <c r="D336" s="307"/>
      <c r="E336" s="307"/>
      <c r="F336" s="307"/>
      <c r="M336" s="123"/>
      <c r="N336" s="123"/>
      <c r="O336" s="123"/>
      <c r="P336" s="123"/>
      <c r="Q336" s="123"/>
      <c r="R336" s="123"/>
      <c r="S336" s="123"/>
      <c r="T336" s="123"/>
      <c r="U336" s="123"/>
      <c r="V336" s="123"/>
      <c r="W336" s="123"/>
      <c r="X336" s="123"/>
      <c r="Y336" s="123"/>
      <c r="Z336" s="123"/>
    </row>
    <row r="337" spans="2:26" s="235" customFormat="1" ht="13.8">
      <c r="B337" s="307"/>
      <c r="C337" s="307"/>
      <c r="D337" s="307"/>
      <c r="E337" s="307"/>
      <c r="F337" s="307"/>
      <c r="M337" s="123"/>
      <c r="N337" s="123"/>
      <c r="O337" s="123"/>
      <c r="P337" s="123"/>
      <c r="Q337" s="123"/>
      <c r="R337" s="123"/>
      <c r="S337" s="123"/>
      <c r="T337" s="123"/>
      <c r="U337" s="123"/>
      <c r="V337" s="123"/>
      <c r="W337" s="123"/>
      <c r="X337" s="123"/>
      <c r="Y337" s="123"/>
      <c r="Z337" s="123"/>
    </row>
    <row r="338" spans="2:26" s="235" customFormat="1" ht="13.8">
      <c r="B338" s="307"/>
      <c r="C338" s="307"/>
      <c r="D338" s="307"/>
      <c r="E338" s="307"/>
      <c r="F338" s="307"/>
      <c r="M338" s="123"/>
      <c r="N338" s="123"/>
      <c r="O338" s="123"/>
      <c r="P338" s="123"/>
      <c r="Q338" s="123"/>
      <c r="R338" s="123"/>
      <c r="S338" s="123"/>
      <c r="T338" s="123"/>
      <c r="U338" s="123"/>
      <c r="V338" s="123"/>
      <c r="W338" s="123"/>
      <c r="X338" s="123"/>
      <c r="Y338" s="123"/>
      <c r="Z338" s="123"/>
    </row>
    <row r="339" spans="2:26" s="235" customFormat="1" ht="13.8">
      <c r="B339" s="307"/>
      <c r="C339" s="307"/>
      <c r="D339" s="307"/>
      <c r="E339" s="307"/>
      <c r="F339" s="307"/>
      <c r="M339" s="123"/>
      <c r="N339" s="123"/>
      <c r="O339" s="123"/>
      <c r="P339" s="123"/>
      <c r="Q339" s="123"/>
      <c r="R339" s="123"/>
      <c r="S339" s="123"/>
      <c r="T339" s="123"/>
      <c r="U339" s="123"/>
      <c r="V339" s="123"/>
      <c r="W339" s="123"/>
      <c r="X339" s="123"/>
      <c r="Y339" s="123"/>
      <c r="Z339" s="123"/>
    </row>
    <row r="340" spans="2:26" s="235" customFormat="1" ht="13.8">
      <c r="B340" s="307"/>
      <c r="C340" s="307"/>
      <c r="D340" s="307"/>
      <c r="E340" s="307"/>
      <c r="F340" s="307"/>
      <c r="M340" s="123"/>
      <c r="N340" s="123"/>
      <c r="O340" s="123"/>
      <c r="P340" s="123"/>
      <c r="Q340" s="123"/>
      <c r="R340" s="123"/>
      <c r="S340" s="123"/>
      <c r="T340" s="123"/>
      <c r="U340" s="123"/>
      <c r="V340" s="123"/>
      <c r="W340" s="123"/>
      <c r="X340" s="123"/>
      <c r="Y340" s="123"/>
      <c r="Z340" s="123"/>
    </row>
    <row r="341" spans="2:26" s="235" customFormat="1" ht="13.8">
      <c r="B341" s="307"/>
      <c r="C341" s="307"/>
      <c r="D341" s="307"/>
      <c r="E341" s="307"/>
      <c r="F341" s="307"/>
      <c r="M341" s="123"/>
      <c r="N341" s="123"/>
      <c r="O341" s="123"/>
      <c r="P341" s="123"/>
      <c r="Q341" s="123"/>
      <c r="R341" s="123"/>
      <c r="S341" s="123"/>
      <c r="T341" s="123"/>
      <c r="U341" s="123"/>
      <c r="V341" s="123"/>
      <c r="W341" s="123"/>
      <c r="X341" s="123"/>
      <c r="Y341" s="123"/>
      <c r="Z341" s="123"/>
    </row>
    <row r="342" spans="2:26" s="235" customFormat="1" ht="13.8">
      <c r="B342" s="307"/>
      <c r="C342" s="307"/>
      <c r="D342" s="307"/>
      <c r="E342" s="307"/>
      <c r="F342" s="307"/>
      <c r="M342" s="123"/>
      <c r="N342" s="123"/>
      <c r="O342" s="123"/>
      <c r="P342" s="123"/>
      <c r="Q342" s="123"/>
      <c r="R342" s="123"/>
      <c r="S342" s="123"/>
      <c r="T342" s="123"/>
      <c r="U342" s="123"/>
      <c r="V342" s="123"/>
      <c r="W342" s="123"/>
      <c r="X342" s="123"/>
      <c r="Y342" s="123"/>
      <c r="Z342" s="123"/>
    </row>
    <row r="343" spans="2:26" s="235" customFormat="1" ht="13.8">
      <c r="B343" s="307"/>
      <c r="C343" s="307"/>
      <c r="D343" s="307"/>
      <c r="E343" s="307"/>
      <c r="F343" s="307"/>
      <c r="M343" s="123"/>
      <c r="N343" s="123"/>
      <c r="O343" s="123"/>
      <c r="P343" s="123"/>
      <c r="Q343" s="123"/>
      <c r="R343" s="123"/>
      <c r="S343" s="123"/>
      <c r="T343" s="123"/>
      <c r="U343" s="123"/>
      <c r="V343" s="123"/>
      <c r="W343" s="123"/>
      <c r="X343" s="123"/>
      <c r="Y343" s="123"/>
      <c r="Z343" s="123"/>
    </row>
    <row r="344" spans="2:26" s="235" customFormat="1" ht="13.8">
      <c r="B344" s="307"/>
      <c r="C344" s="307"/>
      <c r="D344" s="307"/>
      <c r="E344" s="307"/>
      <c r="F344" s="307"/>
      <c r="M344" s="123"/>
      <c r="N344" s="123"/>
      <c r="O344" s="123"/>
      <c r="P344" s="123"/>
      <c r="Q344" s="123"/>
      <c r="R344" s="123"/>
      <c r="S344" s="123"/>
      <c r="T344" s="123"/>
      <c r="U344" s="123"/>
      <c r="V344" s="123"/>
      <c r="W344" s="123"/>
      <c r="X344" s="123"/>
      <c r="Y344" s="123"/>
      <c r="Z344" s="123"/>
    </row>
    <row r="345" spans="2:26" s="235" customFormat="1" ht="13.8">
      <c r="B345" s="307"/>
      <c r="C345" s="307"/>
      <c r="D345" s="307"/>
      <c r="E345" s="307"/>
      <c r="F345" s="307"/>
      <c r="M345" s="123"/>
      <c r="N345" s="123"/>
      <c r="O345" s="123"/>
      <c r="P345" s="123"/>
      <c r="Q345" s="123"/>
      <c r="R345" s="123"/>
      <c r="S345" s="123"/>
      <c r="T345" s="123"/>
      <c r="U345" s="123"/>
      <c r="V345" s="123"/>
      <c r="W345" s="123"/>
      <c r="X345" s="123"/>
      <c r="Y345" s="123"/>
      <c r="Z345" s="123"/>
    </row>
    <row r="346" spans="2:26" s="235" customFormat="1" ht="13.8">
      <c r="B346" s="307"/>
      <c r="C346" s="307"/>
      <c r="D346" s="307"/>
      <c r="E346" s="307"/>
      <c r="F346" s="307"/>
      <c r="M346" s="123"/>
      <c r="N346" s="123"/>
      <c r="O346" s="123"/>
      <c r="P346" s="123"/>
      <c r="Q346" s="123"/>
      <c r="R346" s="123"/>
      <c r="S346" s="123"/>
      <c r="T346" s="123"/>
      <c r="U346" s="123"/>
      <c r="V346" s="123"/>
      <c r="W346" s="123"/>
      <c r="X346" s="123"/>
      <c r="Y346" s="123"/>
      <c r="Z346" s="123"/>
    </row>
    <row r="347" spans="2:26" s="235" customFormat="1" ht="13.8">
      <c r="B347" s="307"/>
      <c r="C347" s="307"/>
      <c r="D347" s="307"/>
      <c r="E347" s="307"/>
      <c r="F347" s="307"/>
      <c r="M347" s="123"/>
      <c r="N347" s="123"/>
      <c r="O347" s="123"/>
      <c r="P347" s="123"/>
      <c r="Q347" s="123"/>
      <c r="R347" s="123"/>
      <c r="S347" s="123"/>
      <c r="T347" s="123"/>
      <c r="U347" s="123"/>
      <c r="V347" s="123"/>
      <c r="W347" s="123"/>
      <c r="X347" s="123"/>
      <c r="Y347" s="123"/>
      <c r="Z347" s="123"/>
    </row>
    <row r="348" spans="2:26" s="235" customFormat="1" ht="13.8">
      <c r="B348" s="307"/>
      <c r="C348" s="307"/>
      <c r="D348" s="307"/>
      <c r="E348" s="307"/>
      <c r="F348" s="307"/>
      <c r="M348" s="123"/>
      <c r="N348" s="123"/>
      <c r="O348" s="123"/>
      <c r="P348" s="123"/>
      <c r="Q348" s="123"/>
      <c r="R348" s="123"/>
      <c r="S348" s="123"/>
      <c r="T348" s="123"/>
      <c r="U348" s="123"/>
      <c r="V348" s="123"/>
      <c r="W348" s="123"/>
      <c r="X348" s="123"/>
      <c r="Y348" s="123"/>
      <c r="Z348" s="123"/>
    </row>
    <row r="349" spans="2:26" s="235" customFormat="1" ht="13.8">
      <c r="B349" s="307"/>
      <c r="C349" s="307"/>
      <c r="D349" s="307"/>
      <c r="E349" s="307"/>
      <c r="F349" s="307"/>
      <c r="M349" s="123"/>
      <c r="N349" s="123"/>
      <c r="O349" s="123"/>
      <c r="P349" s="123"/>
      <c r="Q349" s="123"/>
      <c r="R349" s="123"/>
      <c r="S349" s="123"/>
      <c r="T349" s="123"/>
      <c r="U349" s="123"/>
      <c r="V349" s="123"/>
      <c r="W349" s="123"/>
      <c r="X349" s="123"/>
      <c r="Y349" s="123"/>
      <c r="Z349" s="123"/>
    </row>
    <row r="350" spans="2:26" s="235" customFormat="1" ht="13.8">
      <c r="B350" s="307"/>
      <c r="C350" s="307"/>
      <c r="D350" s="307"/>
      <c r="E350" s="307"/>
      <c r="F350" s="307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  <c r="Z350" s="123"/>
    </row>
    <row r="351" spans="2:26" s="235" customFormat="1" ht="13.8">
      <c r="B351" s="307"/>
      <c r="C351" s="307"/>
      <c r="D351" s="307"/>
      <c r="E351" s="307"/>
      <c r="F351" s="307"/>
      <c r="M351" s="123"/>
      <c r="N351" s="123"/>
      <c r="O351" s="123"/>
      <c r="P351" s="123"/>
      <c r="Q351" s="123"/>
      <c r="R351" s="123"/>
      <c r="S351" s="123"/>
      <c r="T351" s="123"/>
      <c r="U351" s="123"/>
      <c r="V351" s="123"/>
      <c r="W351" s="123"/>
      <c r="X351" s="123"/>
      <c r="Y351" s="123"/>
      <c r="Z351" s="123"/>
    </row>
    <row r="352" spans="2:26" s="235" customFormat="1" ht="13.8">
      <c r="B352" s="307"/>
      <c r="C352" s="307"/>
      <c r="D352" s="307"/>
      <c r="E352" s="307"/>
      <c r="F352" s="307"/>
      <c r="M352" s="123"/>
      <c r="N352" s="123"/>
      <c r="O352" s="123"/>
      <c r="P352" s="123"/>
      <c r="Q352" s="123"/>
      <c r="R352" s="123"/>
      <c r="S352" s="123"/>
      <c r="T352" s="123"/>
      <c r="U352" s="123"/>
      <c r="V352" s="123"/>
      <c r="W352" s="123"/>
      <c r="X352" s="123"/>
      <c r="Y352" s="123"/>
      <c r="Z352" s="123"/>
    </row>
    <row r="353" spans="2:26" s="235" customFormat="1" ht="13.8">
      <c r="B353" s="307"/>
      <c r="C353" s="307"/>
      <c r="D353" s="307"/>
      <c r="E353" s="307"/>
      <c r="F353" s="307"/>
      <c r="M353" s="123"/>
      <c r="N353" s="123"/>
      <c r="O353" s="123"/>
      <c r="P353" s="123"/>
      <c r="Q353" s="123"/>
      <c r="R353" s="123"/>
      <c r="S353" s="123"/>
      <c r="T353" s="123"/>
      <c r="U353" s="123"/>
      <c r="V353" s="123"/>
      <c r="W353" s="123"/>
      <c r="X353" s="123"/>
      <c r="Y353" s="123"/>
      <c r="Z353" s="123"/>
    </row>
    <row r="354" spans="2:26" s="235" customFormat="1" ht="13.8">
      <c r="B354" s="307"/>
      <c r="C354" s="307"/>
      <c r="D354" s="307"/>
      <c r="E354" s="307"/>
      <c r="F354" s="307"/>
      <c r="M354" s="123"/>
      <c r="N354" s="123"/>
      <c r="O354" s="123"/>
      <c r="P354" s="123"/>
      <c r="Q354" s="123"/>
      <c r="R354" s="123"/>
      <c r="S354" s="123"/>
      <c r="T354" s="123"/>
      <c r="U354" s="123"/>
      <c r="V354" s="123"/>
      <c r="W354" s="123"/>
      <c r="X354" s="123"/>
      <c r="Y354" s="123"/>
      <c r="Z354" s="123"/>
    </row>
    <row r="355" spans="2:26" s="235" customFormat="1" ht="13.8">
      <c r="B355" s="307"/>
      <c r="C355" s="307"/>
      <c r="D355" s="307"/>
      <c r="E355" s="307"/>
      <c r="F355" s="307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  <c r="X355" s="123"/>
      <c r="Y355" s="123"/>
      <c r="Z355" s="123"/>
    </row>
    <row r="356" spans="2:26" s="235" customFormat="1" ht="13.8">
      <c r="B356" s="307"/>
      <c r="C356" s="307"/>
      <c r="D356" s="307"/>
      <c r="E356" s="307"/>
      <c r="F356" s="307"/>
      <c r="M356" s="123"/>
      <c r="N356" s="123"/>
      <c r="O356" s="123"/>
      <c r="P356" s="123"/>
      <c r="Q356" s="123"/>
      <c r="R356" s="123"/>
      <c r="S356" s="123"/>
      <c r="T356" s="123"/>
      <c r="U356" s="123"/>
      <c r="V356" s="123"/>
      <c r="W356" s="123"/>
      <c r="X356" s="123"/>
      <c r="Y356" s="123"/>
      <c r="Z356" s="123"/>
    </row>
    <row r="357" spans="2:26" s="235" customFormat="1" ht="13.8">
      <c r="B357" s="307"/>
      <c r="C357" s="307"/>
      <c r="D357" s="307"/>
      <c r="E357" s="307"/>
      <c r="F357" s="307"/>
      <c r="M357" s="123"/>
      <c r="N357" s="123"/>
      <c r="O357" s="123"/>
      <c r="P357" s="123"/>
      <c r="Q357" s="123"/>
      <c r="R357" s="123"/>
      <c r="S357" s="123"/>
      <c r="T357" s="123"/>
      <c r="U357" s="123"/>
      <c r="V357" s="123"/>
      <c r="W357" s="123"/>
      <c r="X357" s="123"/>
      <c r="Y357" s="123"/>
      <c r="Z357" s="123"/>
    </row>
    <row r="358" spans="2:26" s="235" customFormat="1" ht="13.8">
      <c r="B358" s="307"/>
      <c r="C358" s="307"/>
      <c r="D358" s="307"/>
      <c r="E358" s="307"/>
      <c r="F358" s="307"/>
      <c r="M358" s="123"/>
      <c r="N358" s="123"/>
      <c r="O358" s="123"/>
      <c r="P358" s="123"/>
      <c r="Q358" s="123"/>
      <c r="R358" s="123"/>
      <c r="S358" s="123"/>
      <c r="T358" s="123"/>
      <c r="U358" s="123"/>
      <c r="V358" s="123"/>
      <c r="W358" s="123"/>
      <c r="X358" s="123"/>
      <c r="Y358" s="123"/>
      <c r="Z358" s="123"/>
    </row>
    <row r="359" spans="2:26" s="235" customFormat="1" ht="13.8">
      <c r="B359" s="307"/>
      <c r="C359" s="307"/>
      <c r="D359" s="307"/>
      <c r="E359" s="307"/>
      <c r="F359" s="307"/>
      <c r="M359" s="123"/>
      <c r="N359" s="123"/>
      <c r="O359" s="123"/>
      <c r="P359" s="123"/>
      <c r="Q359" s="123"/>
      <c r="R359" s="123"/>
      <c r="S359" s="123"/>
      <c r="T359" s="123"/>
      <c r="U359" s="123"/>
      <c r="V359" s="123"/>
      <c r="W359" s="123"/>
      <c r="X359" s="123"/>
      <c r="Y359" s="123"/>
      <c r="Z359" s="123"/>
    </row>
    <row r="360" spans="2:26" s="235" customFormat="1" ht="13.8">
      <c r="B360" s="307"/>
      <c r="C360" s="307"/>
      <c r="D360" s="307"/>
      <c r="E360" s="307"/>
      <c r="F360" s="307"/>
      <c r="M360" s="123"/>
      <c r="N360" s="123"/>
      <c r="O360" s="123"/>
      <c r="P360" s="123"/>
      <c r="Q360" s="123"/>
      <c r="R360" s="123"/>
      <c r="S360" s="123"/>
      <c r="T360" s="123"/>
      <c r="U360" s="123"/>
      <c r="V360" s="123"/>
      <c r="W360" s="123"/>
      <c r="X360" s="123"/>
      <c r="Y360" s="123"/>
      <c r="Z360" s="123"/>
    </row>
    <row r="361" spans="2:26" s="235" customFormat="1" ht="13.8">
      <c r="B361" s="307"/>
      <c r="C361" s="307"/>
      <c r="D361" s="307"/>
      <c r="E361" s="307"/>
      <c r="F361" s="307"/>
      <c r="M361" s="123"/>
      <c r="N361" s="123"/>
      <c r="O361" s="123"/>
      <c r="P361" s="123"/>
      <c r="Q361" s="123"/>
      <c r="R361" s="123"/>
      <c r="S361" s="123"/>
      <c r="T361" s="123"/>
      <c r="U361" s="123"/>
      <c r="V361" s="123"/>
      <c r="W361" s="123"/>
      <c r="X361" s="123"/>
      <c r="Y361" s="123"/>
      <c r="Z361" s="123"/>
    </row>
    <row r="362" spans="2:26" s="235" customFormat="1" ht="13.8">
      <c r="B362" s="307"/>
      <c r="C362" s="307"/>
      <c r="D362" s="307"/>
      <c r="E362" s="307"/>
      <c r="F362" s="307"/>
      <c r="M362" s="123"/>
      <c r="N362" s="123"/>
      <c r="O362" s="123"/>
      <c r="P362" s="123"/>
      <c r="Q362" s="123"/>
      <c r="R362" s="123"/>
      <c r="S362" s="123"/>
      <c r="T362" s="123"/>
      <c r="U362" s="123"/>
      <c r="V362" s="123"/>
      <c r="W362" s="123"/>
      <c r="X362" s="123"/>
      <c r="Y362" s="123"/>
      <c r="Z362" s="123"/>
    </row>
    <row r="363" spans="2:26" s="235" customFormat="1" ht="13.8">
      <c r="B363" s="307"/>
      <c r="C363" s="307"/>
      <c r="D363" s="307"/>
      <c r="E363" s="307"/>
      <c r="F363" s="307"/>
      <c r="M363" s="123"/>
      <c r="N363" s="123"/>
      <c r="O363" s="123"/>
      <c r="P363" s="123"/>
      <c r="Q363" s="123"/>
      <c r="R363" s="123"/>
      <c r="S363" s="123"/>
      <c r="T363" s="123"/>
      <c r="U363" s="123"/>
      <c r="V363" s="123"/>
      <c r="W363" s="123"/>
      <c r="X363" s="123"/>
      <c r="Y363" s="123"/>
      <c r="Z363" s="123"/>
    </row>
    <row r="364" spans="2:26" s="235" customFormat="1" ht="13.8">
      <c r="B364" s="307"/>
      <c r="C364" s="307"/>
      <c r="D364" s="307"/>
      <c r="E364" s="307"/>
      <c r="F364" s="307"/>
      <c r="M364" s="123"/>
      <c r="N364" s="123"/>
      <c r="O364" s="123"/>
      <c r="P364" s="123"/>
      <c r="Q364" s="123"/>
      <c r="R364" s="123"/>
      <c r="S364" s="123"/>
      <c r="T364" s="123"/>
      <c r="U364" s="123"/>
      <c r="V364" s="123"/>
      <c r="W364" s="123"/>
      <c r="X364" s="123"/>
      <c r="Y364" s="123"/>
      <c r="Z364" s="123"/>
    </row>
    <row r="365" spans="2:26" s="235" customFormat="1" ht="13.8">
      <c r="B365" s="307"/>
      <c r="C365" s="307"/>
      <c r="D365" s="307"/>
      <c r="E365" s="307"/>
      <c r="F365" s="307"/>
      <c r="M365" s="123"/>
      <c r="N365" s="123"/>
      <c r="O365" s="123"/>
      <c r="P365" s="123"/>
      <c r="Q365" s="123"/>
      <c r="R365" s="123"/>
      <c r="S365" s="123"/>
      <c r="T365" s="123"/>
      <c r="U365" s="123"/>
      <c r="V365" s="123"/>
      <c r="W365" s="123"/>
      <c r="X365" s="123"/>
      <c r="Y365" s="123"/>
      <c r="Z365" s="123"/>
    </row>
    <row r="366" spans="2:26" s="235" customFormat="1" ht="13.8">
      <c r="B366" s="307"/>
      <c r="C366" s="307"/>
      <c r="D366" s="307"/>
      <c r="E366" s="307"/>
      <c r="F366" s="307"/>
      <c r="M366" s="123"/>
      <c r="N366" s="123"/>
      <c r="O366" s="123"/>
      <c r="P366" s="123"/>
      <c r="Q366" s="123"/>
      <c r="R366" s="123"/>
      <c r="S366" s="123"/>
      <c r="T366" s="123"/>
      <c r="U366" s="123"/>
      <c r="V366" s="123"/>
      <c r="W366" s="123"/>
      <c r="X366" s="123"/>
      <c r="Y366" s="123"/>
      <c r="Z366" s="123"/>
    </row>
    <row r="367" spans="2:26" s="235" customFormat="1" ht="13.8">
      <c r="B367" s="307"/>
      <c r="C367" s="307"/>
      <c r="D367" s="307"/>
      <c r="E367" s="307"/>
      <c r="F367" s="307"/>
      <c r="M367" s="123"/>
      <c r="N367" s="123"/>
      <c r="O367" s="123"/>
      <c r="P367" s="123"/>
      <c r="Q367" s="123"/>
      <c r="R367" s="123"/>
      <c r="S367" s="123"/>
      <c r="T367" s="123"/>
      <c r="U367" s="123"/>
      <c r="V367" s="123"/>
      <c r="W367" s="123"/>
      <c r="X367" s="123"/>
      <c r="Y367" s="123"/>
      <c r="Z367" s="123"/>
    </row>
    <row r="368" spans="2:26" s="235" customFormat="1" ht="13.8">
      <c r="B368" s="307"/>
      <c r="C368" s="307"/>
      <c r="D368" s="307"/>
      <c r="E368" s="307"/>
      <c r="F368" s="307"/>
      <c r="M368" s="123"/>
      <c r="N368" s="123"/>
      <c r="O368" s="123"/>
      <c r="P368" s="123"/>
      <c r="Q368" s="123"/>
      <c r="R368" s="123"/>
      <c r="S368" s="123"/>
      <c r="T368" s="123"/>
      <c r="U368" s="123"/>
      <c r="V368" s="123"/>
      <c r="W368" s="123"/>
      <c r="X368" s="123"/>
      <c r="Y368" s="123"/>
      <c r="Z368" s="123"/>
    </row>
    <row r="369" spans="2:26" s="235" customFormat="1" ht="13.8">
      <c r="B369" s="307"/>
      <c r="C369" s="307"/>
      <c r="D369" s="307"/>
      <c r="E369" s="307"/>
      <c r="F369" s="307"/>
      <c r="M369" s="123"/>
      <c r="N369" s="123"/>
      <c r="O369" s="123"/>
      <c r="P369" s="123"/>
      <c r="Q369" s="123"/>
      <c r="R369" s="123"/>
      <c r="S369" s="123"/>
      <c r="T369" s="123"/>
      <c r="U369" s="123"/>
      <c r="V369" s="123"/>
      <c r="W369" s="123"/>
      <c r="X369" s="123"/>
      <c r="Y369" s="123"/>
      <c r="Z369" s="123"/>
    </row>
    <row r="370" spans="2:26" s="235" customFormat="1" ht="13.8">
      <c r="B370" s="307"/>
      <c r="C370" s="307"/>
      <c r="D370" s="307"/>
      <c r="E370" s="307"/>
      <c r="F370" s="307"/>
      <c r="M370" s="123"/>
      <c r="N370" s="123"/>
      <c r="O370" s="123"/>
      <c r="P370" s="123"/>
      <c r="Q370" s="123"/>
      <c r="R370" s="123"/>
      <c r="S370" s="123"/>
      <c r="T370" s="123"/>
      <c r="U370" s="123"/>
      <c r="V370" s="123"/>
      <c r="W370" s="123"/>
      <c r="X370" s="123"/>
      <c r="Y370" s="123"/>
      <c r="Z370" s="123"/>
    </row>
    <row r="371" spans="2:26" s="235" customFormat="1" ht="13.8">
      <c r="B371" s="307"/>
      <c r="C371" s="307"/>
      <c r="D371" s="307"/>
      <c r="E371" s="307"/>
      <c r="F371" s="307"/>
      <c r="M371" s="123"/>
      <c r="N371" s="123"/>
      <c r="O371" s="123"/>
      <c r="P371" s="123"/>
      <c r="Q371" s="123"/>
      <c r="R371" s="123"/>
      <c r="S371" s="123"/>
      <c r="T371" s="123"/>
      <c r="U371" s="123"/>
      <c r="V371" s="123"/>
      <c r="W371" s="123"/>
      <c r="X371" s="123"/>
      <c r="Y371" s="123"/>
      <c r="Z371" s="123"/>
    </row>
    <row r="372" spans="2:26" s="235" customFormat="1" ht="13.8">
      <c r="B372" s="307"/>
      <c r="C372" s="307"/>
      <c r="D372" s="307"/>
      <c r="E372" s="307"/>
      <c r="F372" s="307"/>
      <c r="M372" s="123"/>
      <c r="N372" s="123"/>
      <c r="O372" s="123"/>
      <c r="P372" s="123"/>
      <c r="Q372" s="123"/>
      <c r="R372" s="123"/>
      <c r="S372" s="123"/>
      <c r="T372" s="123"/>
      <c r="U372" s="123"/>
      <c r="V372" s="123"/>
      <c r="W372" s="123"/>
      <c r="X372" s="123"/>
      <c r="Y372" s="123"/>
      <c r="Z372" s="123"/>
    </row>
    <row r="373" spans="2:26" s="235" customFormat="1" ht="13.8">
      <c r="B373" s="307"/>
      <c r="C373" s="307"/>
      <c r="D373" s="307"/>
      <c r="E373" s="307"/>
      <c r="F373" s="307"/>
      <c r="M373" s="123"/>
      <c r="N373" s="123"/>
      <c r="O373" s="123"/>
      <c r="P373" s="123"/>
      <c r="Q373" s="123"/>
      <c r="R373" s="123"/>
      <c r="S373" s="123"/>
      <c r="T373" s="123"/>
      <c r="U373" s="123"/>
      <c r="V373" s="123"/>
      <c r="W373" s="123"/>
      <c r="X373" s="123"/>
      <c r="Y373" s="123"/>
      <c r="Z373" s="123"/>
    </row>
    <row r="374" spans="2:26" s="235" customFormat="1" ht="13.8">
      <c r="B374" s="307"/>
      <c r="C374" s="307"/>
      <c r="D374" s="307"/>
      <c r="E374" s="307"/>
      <c r="F374" s="307"/>
      <c r="M374" s="123"/>
      <c r="N374" s="123"/>
      <c r="O374" s="123"/>
      <c r="P374" s="123"/>
      <c r="Q374" s="123"/>
      <c r="R374" s="123"/>
      <c r="S374" s="123"/>
      <c r="T374" s="123"/>
      <c r="U374" s="123"/>
      <c r="V374" s="123"/>
      <c r="W374" s="123"/>
      <c r="X374" s="123"/>
      <c r="Y374" s="123"/>
      <c r="Z374" s="123"/>
    </row>
    <row r="375" spans="2:26" s="235" customFormat="1" ht="13.8">
      <c r="B375" s="307"/>
      <c r="C375" s="307"/>
      <c r="D375" s="307"/>
      <c r="E375" s="307"/>
      <c r="F375" s="307"/>
      <c r="M375" s="123"/>
      <c r="N375" s="123"/>
      <c r="O375" s="123"/>
      <c r="P375" s="123"/>
      <c r="Q375" s="123"/>
      <c r="R375" s="123"/>
      <c r="S375" s="123"/>
      <c r="T375" s="123"/>
      <c r="U375" s="123"/>
      <c r="V375" s="123"/>
      <c r="W375" s="123"/>
      <c r="X375" s="123"/>
      <c r="Y375" s="123"/>
      <c r="Z375" s="123"/>
    </row>
    <row r="376" spans="2:26" s="235" customFormat="1" ht="13.8">
      <c r="B376" s="307"/>
      <c r="C376" s="307"/>
      <c r="D376" s="307"/>
      <c r="E376" s="307"/>
      <c r="F376" s="307"/>
      <c r="M376" s="123"/>
      <c r="N376" s="123"/>
      <c r="O376" s="123"/>
      <c r="P376" s="123"/>
      <c r="Q376" s="123"/>
      <c r="R376" s="123"/>
      <c r="S376" s="123"/>
      <c r="T376" s="123"/>
      <c r="U376" s="123"/>
      <c r="V376" s="123"/>
      <c r="W376" s="123"/>
      <c r="X376" s="123"/>
      <c r="Y376" s="123"/>
      <c r="Z376" s="123"/>
    </row>
    <row r="377" spans="2:26" s="235" customFormat="1" ht="13.8">
      <c r="B377" s="307"/>
      <c r="C377" s="307"/>
      <c r="D377" s="307"/>
      <c r="E377" s="307"/>
      <c r="F377" s="307"/>
      <c r="M377" s="123"/>
      <c r="N377" s="123"/>
      <c r="O377" s="123"/>
      <c r="P377" s="123"/>
      <c r="Q377" s="123"/>
      <c r="R377" s="123"/>
      <c r="S377" s="123"/>
      <c r="T377" s="123"/>
      <c r="U377" s="123"/>
      <c r="V377" s="123"/>
      <c r="W377" s="123"/>
      <c r="X377" s="123"/>
      <c r="Y377" s="123"/>
      <c r="Z377" s="123"/>
    </row>
    <row r="378" spans="2:26" s="235" customFormat="1" ht="13.8">
      <c r="B378" s="307"/>
      <c r="C378" s="307"/>
      <c r="D378" s="307"/>
      <c r="E378" s="307"/>
      <c r="F378" s="307"/>
      <c r="M378" s="123"/>
      <c r="N378" s="123"/>
      <c r="O378" s="123"/>
      <c r="P378" s="123"/>
      <c r="Q378" s="123"/>
      <c r="R378" s="123"/>
      <c r="S378" s="123"/>
      <c r="T378" s="123"/>
      <c r="U378" s="123"/>
      <c r="V378" s="123"/>
      <c r="W378" s="123"/>
      <c r="X378" s="123"/>
      <c r="Y378" s="123"/>
      <c r="Z378" s="123"/>
    </row>
    <row r="379" spans="2:26" s="235" customFormat="1" ht="13.8">
      <c r="B379" s="307"/>
      <c r="C379" s="307"/>
      <c r="D379" s="307"/>
      <c r="E379" s="307"/>
      <c r="F379" s="307"/>
      <c r="M379" s="123"/>
      <c r="N379" s="123"/>
      <c r="O379" s="123"/>
      <c r="P379" s="123"/>
      <c r="Q379" s="123"/>
      <c r="R379" s="123"/>
      <c r="S379" s="123"/>
      <c r="T379" s="123"/>
      <c r="U379" s="123"/>
      <c r="V379" s="123"/>
      <c r="W379" s="123"/>
      <c r="X379" s="123"/>
      <c r="Y379" s="123"/>
      <c r="Z379" s="123"/>
    </row>
    <row r="380" spans="2:26" s="235" customFormat="1" ht="13.8">
      <c r="B380" s="307"/>
      <c r="C380" s="307"/>
      <c r="D380" s="307"/>
      <c r="E380" s="307"/>
      <c r="F380" s="307"/>
      <c r="M380" s="123"/>
      <c r="N380" s="123"/>
      <c r="O380" s="123"/>
      <c r="P380" s="123"/>
      <c r="Q380" s="123"/>
      <c r="R380" s="123"/>
      <c r="S380" s="123"/>
      <c r="T380" s="123"/>
      <c r="U380" s="123"/>
      <c r="V380" s="123"/>
      <c r="W380" s="123"/>
      <c r="X380" s="123"/>
      <c r="Y380" s="123"/>
      <c r="Z380" s="123"/>
    </row>
    <row r="381" spans="2:26" s="235" customFormat="1" ht="13.8">
      <c r="B381" s="307"/>
      <c r="C381" s="307"/>
      <c r="D381" s="307"/>
      <c r="E381" s="307"/>
      <c r="F381" s="307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</row>
    <row r="382" spans="2:26" s="235" customFormat="1" ht="13.8">
      <c r="B382" s="307"/>
      <c r="C382" s="307"/>
      <c r="D382" s="307"/>
      <c r="E382" s="307"/>
      <c r="F382" s="307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</row>
    <row r="383" spans="2:26" s="235" customFormat="1" ht="13.8">
      <c r="B383" s="307"/>
      <c r="C383" s="307"/>
      <c r="D383" s="307"/>
      <c r="E383" s="307"/>
      <c r="F383" s="307"/>
      <c r="M383" s="123"/>
      <c r="N383" s="123"/>
      <c r="O383" s="123"/>
      <c r="P383" s="123"/>
      <c r="Q383" s="123"/>
      <c r="R383" s="123"/>
      <c r="S383" s="123"/>
      <c r="T383" s="123"/>
      <c r="U383" s="123"/>
      <c r="V383" s="123"/>
      <c r="W383" s="123"/>
      <c r="X383" s="123"/>
      <c r="Y383" s="123"/>
      <c r="Z383" s="123"/>
    </row>
    <row r="384" spans="2:26" s="235" customFormat="1" ht="13.8">
      <c r="B384" s="307"/>
      <c r="C384" s="307"/>
      <c r="D384" s="307"/>
      <c r="E384" s="307"/>
      <c r="F384" s="307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  <c r="Z384" s="123"/>
    </row>
    <row r="385" spans="2:26" s="235" customFormat="1" ht="13.8">
      <c r="B385" s="307"/>
      <c r="C385" s="307"/>
      <c r="D385" s="307"/>
      <c r="E385" s="307"/>
      <c r="F385" s="307"/>
      <c r="M385" s="123"/>
      <c r="N385" s="123"/>
      <c r="O385" s="123"/>
      <c r="P385" s="123"/>
      <c r="Q385" s="123"/>
      <c r="R385" s="123"/>
      <c r="S385" s="123"/>
      <c r="T385" s="123"/>
      <c r="U385" s="123"/>
      <c r="V385" s="123"/>
      <c r="W385" s="123"/>
      <c r="X385" s="123"/>
      <c r="Y385" s="123"/>
      <c r="Z385" s="123"/>
    </row>
    <row r="386" spans="2:26" s="235" customFormat="1" ht="13.8">
      <c r="B386" s="307"/>
      <c r="C386" s="307"/>
      <c r="D386" s="307"/>
      <c r="E386" s="307"/>
      <c r="F386" s="307"/>
      <c r="M386" s="123"/>
      <c r="N386" s="123"/>
      <c r="O386" s="123"/>
      <c r="P386" s="123"/>
      <c r="Q386" s="123"/>
      <c r="R386" s="123"/>
      <c r="S386" s="123"/>
      <c r="T386" s="123"/>
      <c r="U386" s="123"/>
      <c r="V386" s="123"/>
      <c r="W386" s="123"/>
      <c r="X386" s="123"/>
      <c r="Y386" s="123"/>
      <c r="Z386" s="123"/>
    </row>
    <row r="387" spans="2:26" s="235" customFormat="1" ht="13.8">
      <c r="B387" s="307"/>
      <c r="C387" s="307"/>
      <c r="D387" s="307"/>
      <c r="E387" s="307"/>
      <c r="F387" s="307"/>
      <c r="M387" s="123"/>
      <c r="N387" s="123"/>
      <c r="O387" s="123"/>
      <c r="P387" s="123"/>
      <c r="Q387" s="123"/>
      <c r="R387" s="123"/>
      <c r="S387" s="123"/>
      <c r="T387" s="123"/>
      <c r="U387" s="123"/>
      <c r="V387" s="123"/>
      <c r="W387" s="123"/>
      <c r="X387" s="123"/>
      <c r="Y387" s="123"/>
      <c r="Z387" s="123"/>
    </row>
    <row r="388" spans="2:26" s="235" customFormat="1" ht="13.8">
      <c r="B388" s="307"/>
      <c r="C388" s="307"/>
      <c r="D388" s="307"/>
      <c r="E388" s="307"/>
      <c r="F388" s="307"/>
      <c r="M388" s="123"/>
      <c r="N388" s="123"/>
      <c r="O388" s="123"/>
      <c r="P388" s="123"/>
      <c r="Q388" s="123"/>
      <c r="R388" s="123"/>
      <c r="S388" s="123"/>
      <c r="T388" s="123"/>
      <c r="U388" s="123"/>
      <c r="V388" s="123"/>
      <c r="W388" s="123"/>
      <c r="X388" s="123"/>
      <c r="Y388" s="123"/>
      <c r="Z388" s="123"/>
    </row>
    <row r="389" spans="2:26" s="235" customFormat="1" ht="13.8">
      <c r="B389" s="307"/>
      <c r="C389" s="307"/>
      <c r="D389" s="307"/>
      <c r="E389" s="307"/>
      <c r="F389" s="307"/>
      <c r="M389" s="123"/>
      <c r="N389" s="123"/>
      <c r="O389" s="123"/>
      <c r="P389" s="123"/>
      <c r="Q389" s="123"/>
      <c r="R389" s="123"/>
      <c r="S389" s="123"/>
      <c r="T389" s="123"/>
      <c r="U389" s="123"/>
      <c r="V389" s="123"/>
      <c r="W389" s="123"/>
      <c r="X389" s="123"/>
      <c r="Y389" s="123"/>
      <c r="Z389" s="123"/>
    </row>
    <row r="390" spans="2:26" s="235" customFormat="1" ht="13.8">
      <c r="B390" s="307"/>
      <c r="C390" s="307"/>
      <c r="D390" s="307"/>
      <c r="E390" s="307"/>
      <c r="F390" s="307"/>
      <c r="M390" s="123"/>
      <c r="N390" s="123"/>
      <c r="O390" s="123"/>
      <c r="P390" s="123"/>
      <c r="Q390" s="123"/>
      <c r="R390" s="123"/>
      <c r="S390" s="123"/>
      <c r="T390" s="123"/>
      <c r="U390" s="123"/>
      <c r="V390" s="123"/>
      <c r="W390" s="123"/>
      <c r="X390" s="123"/>
      <c r="Y390" s="123"/>
      <c r="Z390" s="123"/>
    </row>
    <row r="391" spans="2:26" s="235" customFormat="1" ht="13.8">
      <c r="B391" s="307"/>
      <c r="C391" s="307"/>
      <c r="D391" s="307"/>
      <c r="E391" s="307"/>
      <c r="F391" s="307"/>
      <c r="M391" s="123"/>
      <c r="N391" s="123"/>
      <c r="O391" s="123"/>
      <c r="P391" s="123"/>
      <c r="Q391" s="123"/>
      <c r="R391" s="123"/>
      <c r="S391" s="123"/>
      <c r="T391" s="123"/>
      <c r="U391" s="123"/>
      <c r="V391" s="123"/>
      <c r="W391" s="123"/>
      <c r="X391" s="123"/>
      <c r="Y391" s="123"/>
      <c r="Z391" s="123"/>
    </row>
    <row r="392" spans="2:26" s="235" customFormat="1" ht="13.8">
      <c r="B392" s="307"/>
      <c r="C392" s="307"/>
      <c r="D392" s="307"/>
      <c r="E392" s="307"/>
      <c r="F392" s="307"/>
      <c r="M392" s="123"/>
      <c r="N392" s="123"/>
      <c r="O392" s="123"/>
      <c r="P392" s="123"/>
      <c r="Q392" s="123"/>
      <c r="R392" s="123"/>
      <c r="S392" s="123"/>
      <c r="T392" s="123"/>
      <c r="U392" s="123"/>
      <c r="V392" s="123"/>
      <c r="W392" s="123"/>
      <c r="X392" s="123"/>
      <c r="Y392" s="123"/>
      <c r="Z392" s="123"/>
    </row>
    <row r="393" spans="2:26" s="235" customFormat="1" ht="13.8">
      <c r="B393" s="307"/>
      <c r="C393" s="307"/>
      <c r="D393" s="307"/>
      <c r="E393" s="307"/>
      <c r="F393" s="307"/>
      <c r="M393" s="123"/>
      <c r="N393" s="123"/>
      <c r="O393" s="123"/>
      <c r="P393" s="123"/>
      <c r="Q393" s="123"/>
      <c r="R393" s="123"/>
      <c r="S393" s="123"/>
      <c r="T393" s="123"/>
      <c r="U393" s="123"/>
      <c r="V393" s="123"/>
      <c r="W393" s="123"/>
      <c r="X393" s="123"/>
      <c r="Y393" s="123"/>
      <c r="Z393" s="123"/>
    </row>
    <row r="394" spans="2:26" s="235" customFormat="1" ht="13.8">
      <c r="B394" s="307"/>
      <c r="C394" s="307"/>
      <c r="D394" s="307"/>
      <c r="E394" s="307"/>
      <c r="F394" s="307"/>
      <c r="M394" s="123"/>
      <c r="N394" s="123"/>
      <c r="O394" s="123"/>
      <c r="P394" s="123"/>
      <c r="Q394" s="123"/>
      <c r="R394" s="123"/>
      <c r="S394" s="123"/>
      <c r="T394" s="123"/>
      <c r="U394" s="123"/>
      <c r="V394" s="123"/>
      <c r="W394" s="123"/>
      <c r="X394" s="123"/>
      <c r="Y394" s="123"/>
      <c r="Z394" s="123"/>
    </row>
    <row r="395" spans="2:26" s="235" customFormat="1" ht="13.8">
      <c r="B395" s="307"/>
      <c r="C395" s="307"/>
      <c r="D395" s="307"/>
      <c r="E395" s="307"/>
      <c r="F395" s="307"/>
      <c r="M395" s="123"/>
      <c r="N395" s="123"/>
      <c r="O395" s="123"/>
      <c r="P395" s="123"/>
      <c r="Q395" s="123"/>
      <c r="R395" s="123"/>
      <c r="S395" s="123"/>
      <c r="T395" s="123"/>
      <c r="U395" s="123"/>
      <c r="V395" s="123"/>
      <c r="W395" s="123"/>
      <c r="X395" s="123"/>
      <c r="Y395" s="123"/>
      <c r="Z395" s="123"/>
    </row>
    <row r="396" spans="2:26" s="235" customFormat="1" ht="13.8">
      <c r="B396" s="307"/>
      <c r="C396" s="307"/>
      <c r="D396" s="307"/>
      <c r="E396" s="307"/>
      <c r="F396" s="307"/>
      <c r="M396" s="123"/>
      <c r="N396" s="123"/>
      <c r="O396" s="123"/>
      <c r="P396" s="123"/>
      <c r="Q396" s="123"/>
      <c r="R396" s="123"/>
      <c r="S396" s="123"/>
      <c r="T396" s="123"/>
      <c r="U396" s="123"/>
      <c r="V396" s="123"/>
      <c r="W396" s="123"/>
      <c r="X396" s="123"/>
      <c r="Y396" s="123"/>
      <c r="Z396" s="123"/>
    </row>
    <row r="397" spans="2:26" s="235" customFormat="1" ht="13.8">
      <c r="B397" s="307"/>
      <c r="C397" s="307"/>
      <c r="D397" s="307"/>
      <c r="E397" s="307"/>
      <c r="F397" s="307"/>
      <c r="M397" s="123"/>
      <c r="N397" s="123"/>
      <c r="O397" s="123"/>
      <c r="P397" s="123"/>
      <c r="Q397" s="123"/>
      <c r="R397" s="123"/>
      <c r="S397" s="123"/>
      <c r="T397" s="123"/>
      <c r="U397" s="123"/>
      <c r="V397" s="123"/>
      <c r="W397" s="123"/>
      <c r="X397" s="123"/>
      <c r="Y397" s="123"/>
      <c r="Z397" s="123"/>
    </row>
    <row r="398" spans="2:26" s="235" customFormat="1" ht="13.8">
      <c r="B398" s="307"/>
      <c r="C398" s="307"/>
      <c r="D398" s="307"/>
      <c r="E398" s="307"/>
      <c r="F398" s="307"/>
      <c r="M398" s="123"/>
      <c r="N398" s="123"/>
      <c r="O398" s="123"/>
      <c r="P398" s="123"/>
      <c r="Q398" s="123"/>
      <c r="R398" s="123"/>
      <c r="S398" s="123"/>
      <c r="T398" s="123"/>
      <c r="U398" s="123"/>
      <c r="V398" s="123"/>
      <c r="W398" s="123"/>
      <c r="X398" s="123"/>
      <c r="Y398" s="123"/>
      <c r="Z398" s="123"/>
    </row>
    <row r="399" spans="2:26" s="235" customFormat="1" ht="13.8">
      <c r="B399" s="307"/>
      <c r="C399" s="307"/>
      <c r="D399" s="307"/>
      <c r="E399" s="307"/>
      <c r="F399" s="307"/>
      <c r="M399" s="123"/>
      <c r="N399" s="123"/>
      <c r="O399" s="123"/>
      <c r="P399" s="123"/>
      <c r="Q399" s="123"/>
      <c r="R399" s="123"/>
      <c r="S399" s="123"/>
      <c r="T399" s="123"/>
      <c r="U399" s="123"/>
      <c r="V399" s="123"/>
      <c r="W399" s="123"/>
      <c r="X399" s="123"/>
      <c r="Y399" s="123"/>
      <c r="Z399" s="123"/>
    </row>
    <row r="400" spans="2:26" s="235" customFormat="1" ht="13.8">
      <c r="B400" s="307"/>
      <c r="C400" s="307"/>
      <c r="D400" s="307"/>
      <c r="E400" s="307"/>
      <c r="F400" s="307"/>
      <c r="M400" s="123"/>
      <c r="N400" s="123"/>
      <c r="O400" s="123"/>
      <c r="P400" s="123"/>
      <c r="Q400" s="123"/>
      <c r="R400" s="123"/>
      <c r="S400" s="123"/>
      <c r="T400" s="123"/>
      <c r="U400" s="123"/>
      <c r="V400" s="123"/>
      <c r="W400" s="123"/>
      <c r="X400" s="123"/>
      <c r="Y400" s="123"/>
      <c r="Z400" s="123"/>
    </row>
    <row r="401" spans="2:26" s="235" customFormat="1" ht="13.8">
      <c r="B401" s="307"/>
      <c r="C401" s="307"/>
      <c r="D401" s="307"/>
      <c r="E401" s="307"/>
      <c r="F401" s="307"/>
      <c r="M401" s="123"/>
      <c r="N401" s="123"/>
      <c r="O401" s="123"/>
      <c r="P401" s="123"/>
      <c r="Q401" s="123"/>
      <c r="R401" s="123"/>
      <c r="S401" s="123"/>
      <c r="T401" s="123"/>
      <c r="U401" s="123"/>
      <c r="V401" s="123"/>
      <c r="W401" s="123"/>
      <c r="X401" s="123"/>
      <c r="Y401" s="123"/>
      <c r="Z401" s="123"/>
    </row>
    <row r="402" spans="2:26" s="235" customFormat="1" ht="13.8">
      <c r="B402" s="307"/>
      <c r="C402" s="307"/>
      <c r="D402" s="307"/>
      <c r="E402" s="307"/>
      <c r="F402" s="307"/>
      <c r="M402" s="123"/>
      <c r="N402" s="123"/>
      <c r="O402" s="123"/>
      <c r="P402" s="123"/>
      <c r="Q402" s="123"/>
      <c r="R402" s="123"/>
      <c r="S402" s="123"/>
      <c r="T402" s="123"/>
      <c r="U402" s="123"/>
      <c r="V402" s="123"/>
      <c r="W402" s="123"/>
      <c r="X402" s="123"/>
      <c r="Y402" s="123"/>
      <c r="Z402" s="123"/>
    </row>
    <row r="403" spans="2:26" s="235" customFormat="1" ht="13.8">
      <c r="B403" s="307"/>
      <c r="C403" s="307"/>
      <c r="D403" s="307"/>
      <c r="E403" s="307"/>
      <c r="F403" s="307"/>
      <c r="M403" s="123"/>
      <c r="N403" s="123"/>
      <c r="O403" s="123"/>
      <c r="P403" s="123"/>
      <c r="Q403" s="123"/>
      <c r="R403" s="123"/>
      <c r="S403" s="123"/>
      <c r="T403" s="123"/>
      <c r="U403" s="123"/>
      <c r="V403" s="123"/>
      <c r="W403" s="123"/>
      <c r="X403" s="123"/>
      <c r="Y403" s="123"/>
      <c r="Z403" s="123"/>
    </row>
    <row r="404" spans="2:26" s="235" customFormat="1" ht="13.8">
      <c r="B404" s="307"/>
      <c r="C404" s="307"/>
      <c r="D404" s="307"/>
      <c r="E404" s="307"/>
      <c r="F404" s="307"/>
      <c r="M404" s="123"/>
      <c r="N404" s="123"/>
      <c r="O404" s="123"/>
      <c r="P404" s="123"/>
      <c r="Q404" s="123"/>
      <c r="R404" s="123"/>
      <c r="S404" s="123"/>
      <c r="T404" s="123"/>
      <c r="U404" s="123"/>
      <c r="V404" s="123"/>
      <c r="W404" s="123"/>
      <c r="X404" s="123"/>
      <c r="Y404" s="123"/>
      <c r="Z404" s="123"/>
    </row>
    <row r="405" spans="2:26" s="235" customFormat="1" ht="13.8">
      <c r="B405" s="307"/>
      <c r="C405" s="307"/>
      <c r="D405" s="307"/>
      <c r="E405" s="307"/>
      <c r="F405" s="307"/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  <c r="Y405" s="123"/>
      <c r="Z405" s="123"/>
    </row>
    <row r="406" spans="2:26" s="235" customFormat="1" ht="13.8">
      <c r="B406" s="307"/>
      <c r="C406" s="307"/>
      <c r="D406" s="307"/>
      <c r="E406" s="307"/>
      <c r="F406" s="307"/>
      <c r="M406" s="123"/>
      <c r="N406" s="123"/>
      <c r="O406" s="123"/>
      <c r="P406" s="123"/>
      <c r="Q406" s="123"/>
      <c r="R406" s="123"/>
      <c r="S406" s="123"/>
      <c r="T406" s="123"/>
      <c r="U406" s="123"/>
      <c r="V406" s="123"/>
      <c r="W406" s="123"/>
      <c r="X406" s="123"/>
      <c r="Y406" s="123"/>
      <c r="Z406" s="123"/>
    </row>
    <row r="407" spans="2:26" s="235" customFormat="1" ht="13.8">
      <c r="B407" s="307"/>
      <c r="C407" s="307"/>
      <c r="D407" s="307"/>
      <c r="E407" s="307"/>
      <c r="F407" s="307"/>
      <c r="M407" s="123"/>
      <c r="N407" s="123"/>
      <c r="O407" s="123"/>
      <c r="P407" s="123"/>
      <c r="Q407" s="123"/>
      <c r="R407" s="123"/>
      <c r="S407" s="123"/>
      <c r="T407" s="123"/>
      <c r="U407" s="123"/>
      <c r="V407" s="123"/>
      <c r="W407" s="123"/>
      <c r="X407" s="123"/>
      <c r="Y407" s="123"/>
      <c r="Z407" s="123"/>
    </row>
    <row r="408" spans="2:26" s="235" customFormat="1" ht="13.8">
      <c r="B408" s="307"/>
      <c r="C408" s="307"/>
      <c r="D408" s="307"/>
      <c r="E408" s="307"/>
      <c r="F408" s="307"/>
      <c r="M408" s="123"/>
      <c r="N408" s="123"/>
      <c r="O408" s="123"/>
      <c r="P408" s="123"/>
      <c r="Q408" s="123"/>
      <c r="R408" s="123"/>
      <c r="S408" s="123"/>
      <c r="T408" s="123"/>
      <c r="U408" s="123"/>
      <c r="V408" s="123"/>
      <c r="W408" s="123"/>
      <c r="X408" s="123"/>
      <c r="Y408" s="123"/>
      <c r="Z408" s="123"/>
    </row>
    <row r="409" spans="2:26" s="235" customFormat="1" ht="13.8">
      <c r="B409" s="307"/>
      <c r="C409" s="307"/>
      <c r="D409" s="307"/>
      <c r="E409" s="307"/>
      <c r="F409" s="307"/>
      <c r="M409" s="123"/>
      <c r="N409" s="123"/>
      <c r="O409" s="123"/>
      <c r="P409" s="123"/>
      <c r="Q409" s="123"/>
      <c r="R409" s="123"/>
      <c r="S409" s="123"/>
      <c r="T409" s="123"/>
      <c r="U409" s="123"/>
      <c r="V409" s="123"/>
      <c r="W409" s="123"/>
      <c r="X409" s="123"/>
      <c r="Y409" s="123"/>
      <c r="Z409" s="123"/>
    </row>
    <row r="410" spans="2:26" s="235" customFormat="1" ht="13.8">
      <c r="B410" s="307"/>
      <c r="C410" s="307"/>
      <c r="D410" s="307"/>
      <c r="E410" s="307"/>
      <c r="F410" s="307"/>
      <c r="M410" s="123"/>
      <c r="N410" s="123"/>
      <c r="O410" s="123"/>
      <c r="P410" s="123"/>
      <c r="Q410" s="123"/>
      <c r="R410" s="123"/>
      <c r="S410" s="123"/>
      <c r="T410" s="123"/>
      <c r="U410" s="123"/>
      <c r="V410" s="123"/>
      <c r="W410" s="123"/>
      <c r="X410" s="123"/>
      <c r="Y410" s="123"/>
      <c r="Z410" s="123"/>
    </row>
    <row r="411" spans="2:26" s="235" customFormat="1" ht="13.8">
      <c r="B411" s="307"/>
      <c r="C411" s="307"/>
      <c r="D411" s="307"/>
      <c r="E411" s="307"/>
      <c r="F411" s="307"/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23"/>
      <c r="Z411" s="123"/>
    </row>
    <row r="412" spans="2:26" s="235" customFormat="1" ht="13.8">
      <c r="B412" s="307"/>
      <c r="C412" s="307"/>
      <c r="D412" s="307"/>
      <c r="E412" s="307"/>
      <c r="F412" s="307"/>
      <c r="M412" s="123"/>
      <c r="N412" s="123"/>
      <c r="O412" s="123"/>
      <c r="P412" s="123"/>
      <c r="Q412" s="123"/>
      <c r="R412" s="123"/>
      <c r="S412" s="123"/>
      <c r="T412" s="123"/>
      <c r="U412" s="123"/>
      <c r="V412" s="123"/>
      <c r="W412" s="123"/>
      <c r="X412" s="123"/>
      <c r="Y412" s="123"/>
      <c r="Z412" s="123"/>
    </row>
    <row r="413" spans="2:26" s="235" customFormat="1" ht="13.8">
      <c r="B413" s="307"/>
      <c r="C413" s="307"/>
      <c r="D413" s="307"/>
      <c r="E413" s="307"/>
      <c r="F413" s="307"/>
      <c r="M413" s="123"/>
      <c r="N413" s="123"/>
      <c r="O413" s="123"/>
      <c r="P413" s="123"/>
      <c r="Q413" s="123"/>
      <c r="R413" s="123"/>
      <c r="S413" s="123"/>
      <c r="T413" s="123"/>
      <c r="U413" s="123"/>
      <c r="V413" s="123"/>
      <c r="W413" s="123"/>
      <c r="X413" s="123"/>
      <c r="Y413" s="123"/>
      <c r="Z413" s="123"/>
    </row>
    <row r="414" spans="2:26" s="235" customFormat="1" ht="13.8">
      <c r="B414" s="307"/>
      <c r="C414" s="307"/>
      <c r="D414" s="307"/>
      <c r="E414" s="307"/>
      <c r="F414" s="307"/>
      <c r="M414" s="123"/>
      <c r="N414" s="123"/>
      <c r="O414" s="123"/>
      <c r="P414" s="123"/>
      <c r="Q414" s="123"/>
      <c r="R414" s="123"/>
      <c r="S414" s="123"/>
      <c r="T414" s="123"/>
      <c r="U414" s="123"/>
      <c r="V414" s="123"/>
      <c r="W414" s="123"/>
      <c r="X414" s="123"/>
      <c r="Y414" s="123"/>
      <c r="Z414" s="123"/>
    </row>
    <row r="415" spans="2:26" s="235" customFormat="1" ht="13.8">
      <c r="B415" s="307"/>
      <c r="C415" s="307"/>
      <c r="D415" s="307"/>
      <c r="E415" s="307"/>
      <c r="F415" s="307"/>
      <c r="M415" s="123"/>
      <c r="N415" s="123"/>
      <c r="O415" s="123"/>
      <c r="P415" s="123"/>
      <c r="Q415" s="123"/>
      <c r="R415" s="123"/>
      <c r="S415" s="123"/>
      <c r="T415" s="123"/>
      <c r="U415" s="123"/>
      <c r="V415" s="123"/>
      <c r="W415" s="123"/>
      <c r="X415" s="123"/>
      <c r="Y415" s="123"/>
      <c r="Z415" s="123"/>
    </row>
    <row r="416" spans="2:26" s="235" customFormat="1" ht="13.8">
      <c r="B416" s="307"/>
      <c r="C416" s="307"/>
      <c r="D416" s="307"/>
      <c r="E416" s="307"/>
      <c r="F416" s="307"/>
      <c r="M416" s="123"/>
      <c r="N416" s="123"/>
      <c r="O416" s="123"/>
      <c r="P416" s="123"/>
      <c r="Q416" s="123"/>
      <c r="R416" s="123"/>
      <c r="S416" s="123"/>
      <c r="T416" s="123"/>
      <c r="U416" s="123"/>
      <c r="V416" s="123"/>
      <c r="W416" s="123"/>
      <c r="X416" s="123"/>
      <c r="Y416" s="123"/>
      <c r="Z416" s="123"/>
    </row>
    <row r="417" spans="2:26" s="235" customFormat="1" ht="13.8">
      <c r="B417" s="307"/>
      <c r="C417" s="307"/>
      <c r="D417" s="307"/>
      <c r="E417" s="307"/>
      <c r="F417" s="307"/>
      <c r="M417" s="123"/>
      <c r="N417" s="123"/>
      <c r="O417" s="123"/>
      <c r="P417" s="123"/>
      <c r="Q417" s="123"/>
      <c r="R417" s="123"/>
      <c r="S417" s="123"/>
      <c r="T417" s="123"/>
      <c r="U417" s="123"/>
      <c r="V417" s="123"/>
      <c r="W417" s="123"/>
      <c r="X417" s="123"/>
      <c r="Y417" s="123"/>
      <c r="Z417" s="123"/>
    </row>
    <row r="418" spans="2:26" s="235" customFormat="1" ht="13.8">
      <c r="B418" s="307"/>
      <c r="C418" s="307"/>
      <c r="D418" s="307"/>
      <c r="E418" s="307"/>
      <c r="F418" s="307"/>
      <c r="M418" s="123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23"/>
      <c r="Z418" s="123"/>
    </row>
    <row r="419" spans="2:26" s="235" customFormat="1" ht="13.8">
      <c r="B419" s="307"/>
      <c r="C419" s="307"/>
      <c r="D419" s="307"/>
      <c r="E419" s="307"/>
      <c r="F419" s="307"/>
      <c r="M419" s="123"/>
      <c r="N419" s="123"/>
      <c r="O419" s="123"/>
      <c r="P419" s="123"/>
      <c r="Q419" s="123"/>
      <c r="R419" s="123"/>
      <c r="S419" s="123"/>
      <c r="T419" s="123"/>
      <c r="U419" s="123"/>
      <c r="V419" s="123"/>
      <c r="W419" s="123"/>
      <c r="X419" s="123"/>
      <c r="Y419" s="123"/>
      <c r="Z419" s="123"/>
    </row>
    <row r="420" spans="2:26" s="235" customFormat="1" ht="13.8">
      <c r="B420" s="307"/>
      <c r="C420" s="307"/>
      <c r="D420" s="307"/>
      <c r="E420" s="307"/>
      <c r="F420" s="307"/>
      <c r="M420" s="123"/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23"/>
      <c r="Z420" s="123"/>
    </row>
    <row r="421" spans="2:26" s="235" customFormat="1" ht="13.8">
      <c r="B421" s="307"/>
      <c r="C421" s="307"/>
      <c r="D421" s="307"/>
      <c r="E421" s="307"/>
      <c r="F421" s="307"/>
      <c r="M421" s="123"/>
      <c r="N421" s="123"/>
      <c r="O421" s="123"/>
      <c r="P421" s="123"/>
      <c r="Q421" s="123"/>
      <c r="R421" s="123"/>
      <c r="S421" s="123"/>
      <c r="T421" s="123"/>
      <c r="U421" s="123"/>
      <c r="V421" s="123"/>
      <c r="W421" s="123"/>
      <c r="X421" s="123"/>
      <c r="Y421" s="123"/>
      <c r="Z421" s="123"/>
    </row>
    <row r="422" spans="2:26" s="235" customFormat="1" ht="13.8">
      <c r="B422" s="307"/>
      <c r="C422" s="307"/>
      <c r="D422" s="307"/>
      <c r="E422" s="307"/>
      <c r="F422" s="307"/>
      <c r="M422" s="123"/>
      <c r="N422" s="123"/>
      <c r="O422" s="123"/>
      <c r="P422" s="123"/>
      <c r="Q422" s="123"/>
      <c r="R422" s="123"/>
      <c r="S422" s="123"/>
      <c r="T422" s="123"/>
      <c r="U422" s="123"/>
      <c r="V422" s="123"/>
      <c r="W422" s="123"/>
      <c r="X422" s="123"/>
      <c r="Y422" s="123"/>
      <c r="Z422" s="123"/>
    </row>
    <row r="423" spans="2:26" s="235" customFormat="1" ht="13.8">
      <c r="B423" s="307"/>
      <c r="C423" s="307"/>
      <c r="D423" s="307"/>
      <c r="E423" s="307"/>
      <c r="F423" s="307"/>
      <c r="M423" s="123"/>
      <c r="N423" s="123"/>
      <c r="O423" s="123"/>
      <c r="P423" s="123"/>
      <c r="Q423" s="123"/>
      <c r="R423" s="123"/>
      <c r="S423" s="123"/>
      <c r="T423" s="123"/>
      <c r="U423" s="123"/>
      <c r="V423" s="123"/>
      <c r="W423" s="123"/>
      <c r="X423" s="123"/>
      <c r="Y423" s="123"/>
      <c r="Z423" s="123"/>
    </row>
    <row r="424" spans="2:26" s="235" customFormat="1" ht="13.8">
      <c r="B424" s="307"/>
      <c r="C424" s="307"/>
      <c r="D424" s="307"/>
      <c r="E424" s="307"/>
      <c r="F424" s="307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</row>
    <row r="425" spans="2:26" s="235" customFormat="1" ht="13.8">
      <c r="B425" s="307"/>
      <c r="C425" s="307"/>
      <c r="D425" s="307"/>
      <c r="E425" s="307"/>
      <c r="F425" s="307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</row>
    <row r="426" spans="2:26" s="235" customFormat="1" ht="13.8">
      <c r="B426" s="307"/>
      <c r="C426" s="307"/>
      <c r="D426" s="307"/>
      <c r="E426" s="307"/>
      <c r="F426" s="307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</row>
    <row r="427" spans="2:26" s="235" customFormat="1" ht="13.8">
      <c r="B427" s="307"/>
      <c r="C427" s="307"/>
      <c r="D427" s="307"/>
      <c r="E427" s="307"/>
      <c r="F427" s="307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</row>
    <row r="428" spans="2:26" s="235" customFormat="1" ht="13.8">
      <c r="B428" s="307"/>
      <c r="C428" s="307"/>
      <c r="D428" s="307"/>
      <c r="E428" s="307"/>
      <c r="F428" s="307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</row>
    <row r="429" spans="2:26" s="235" customFormat="1" ht="13.8">
      <c r="B429" s="307"/>
      <c r="C429" s="307"/>
      <c r="D429" s="307"/>
      <c r="E429" s="307"/>
      <c r="F429" s="307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</row>
    <row r="430" spans="2:26" s="235" customFormat="1" ht="13.8">
      <c r="B430" s="307"/>
      <c r="C430" s="307"/>
      <c r="D430" s="307"/>
      <c r="E430" s="307"/>
      <c r="F430" s="307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</row>
    <row r="431" spans="2:26" s="235" customFormat="1" ht="13.8">
      <c r="B431" s="307"/>
      <c r="C431" s="307"/>
      <c r="D431" s="307"/>
      <c r="E431" s="307"/>
      <c r="F431" s="307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</row>
    <row r="432" spans="2:26" s="235" customFormat="1" ht="13.8">
      <c r="B432" s="307"/>
      <c r="C432" s="307"/>
      <c r="D432" s="307"/>
      <c r="E432" s="307"/>
      <c r="F432" s="307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  <c r="Z432" s="123"/>
    </row>
    <row r="433" spans="2:26" s="235" customFormat="1" ht="13.8">
      <c r="B433" s="307"/>
      <c r="C433" s="307"/>
      <c r="D433" s="307"/>
      <c r="E433" s="307"/>
      <c r="F433" s="307"/>
      <c r="M433" s="123"/>
      <c r="N433" s="123"/>
      <c r="O433" s="123"/>
      <c r="P433" s="123"/>
      <c r="Q433" s="123"/>
      <c r="R433" s="123"/>
      <c r="S433" s="123"/>
      <c r="T433" s="123"/>
      <c r="U433" s="123"/>
      <c r="V433" s="123"/>
      <c r="W433" s="123"/>
      <c r="X433" s="123"/>
      <c r="Y433" s="123"/>
      <c r="Z433" s="123"/>
    </row>
    <row r="434" spans="2:26" s="235" customFormat="1" ht="13.8">
      <c r="B434" s="307"/>
      <c r="C434" s="307"/>
      <c r="D434" s="307"/>
      <c r="E434" s="307"/>
      <c r="F434" s="307"/>
      <c r="M434" s="123"/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23"/>
      <c r="Z434" s="123"/>
    </row>
    <row r="435" spans="2:26" s="235" customFormat="1" ht="13.8">
      <c r="B435" s="307"/>
      <c r="C435" s="307"/>
      <c r="D435" s="307"/>
      <c r="E435" s="307"/>
      <c r="F435" s="307"/>
      <c r="M435" s="123"/>
      <c r="N435" s="123"/>
      <c r="O435" s="123"/>
      <c r="P435" s="123"/>
      <c r="Q435" s="123"/>
      <c r="R435" s="123"/>
      <c r="S435" s="123"/>
      <c r="T435" s="123"/>
      <c r="U435" s="123"/>
      <c r="V435" s="123"/>
      <c r="W435" s="123"/>
      <c r="X435" s="123"/>
      <c r="Y435" s="123"/>
      <c r="Z435" s="123"/>
    </row>
    <row r="436" spans="2:26" s="235" customFormat="1" ht="13.8">
      <c r="B436" s="307"/>
      <c r="C436" s="307"/>
      <c r="D436" s="307"/>
      <c r="E436" s="307"/>
      <c r="F436" s="307"/>
      <c r="M436" s="123"/>
      <c r="N436" s="123"/>
      <c r="O436" s="123"/>
      <c r="P436" s="123"/>
      <c r="Q436" s="123"/>
      <c r="R436" s="123"/>
      <c r="S436" s="123"/>
      <c r="T436" s="123"/>
      <c r="U436" s="123"/>
      <c r="V436" s="123"/>
      <c r="W436" s="123"/>
      <c r="X436" s="123"/>
      <c r="Y436" s="123"/>
      <c r="Z436" s="123"/>
    </row>
    <row r="437" spans="2:26" s="235" customFormat="1" ht="13.8">
      <c r="B437" s="307"/>
      <c r="C437" s="307"/>
      <c r="D437" s="307"/>
      <c r="E437" s="307"/>
      <c r="F437" s="307"/>
      <c r="M437" s="123"/>
      <c r="N437" s="123"/>
      <c r="O437" s="123"/>
      <c r="P437" s="123"/>
      <c r="Q437" s="123"/>
      <c r="R437" s="123"/>
      <c r="S437" s="123"/>
      <c r="T437" s="123"/>
      <c r="U437" s="123"/>
      <c r="V437" s="123"/>
      <c r="W437" s="123"/>
      <c r="X437" s="123"/>
      <c r="Y437" s="123"/>
      <c r="Z437" s="123"/>
    </row>
    <row r="438" spans="2:26" s="235" customFormat="1" ht="13.8">
      <c r="B438" s="307"/>
      <c r="C438" s="307"/>
      <c r="D438" s="307"/>
      <c r="E438" s="307"/>
      <c r="F438" s="307"/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123"/>
      <c r="Z438" s="123"/>
    </row>
    <row r="439" spans="2:26" s="235" customFormat="1" ht="13.8">
      <c r="B439" s="307"/>
      <c r="C439" s="307"/>
      <c r="D439" s="307"/>
      <c r="E439" s="307"/>
      <c r="F439" s="307"/>
      <c r="M439" s="123"/>
      <c r="N439" s="123"/>
      <c r="O439" s="123"/>
      <c r="P439" s="123"/>
      <c r="Q439" s="123"/>
      <c r="R439" s="123"/>
      <c r="S439" s="123"/>
      <c r="T439" s="123"/>
      <c r="U439" s="123"/>
      <c r="V439" s="123"/>
      <c r="W439" s="123"/>
      <c r="X439" s="123"/>
      <c r="Y439" s="123"/>
      <c r="Z439" s="123"/>
    </row>
    <row r="440" spans="2:26" s="235" customFormat="1" ht="13.8">
      <c r="B440" s="307"/>
      <c r="C440" s="307"/>
      <c r="D440" s="307"/>
      <c r="E440" s="307"/>
      <c r="F440" s="307"/>
      <c r="M440" s="123"/>
      <c r="N440" s="123"/>
      <c r="O440" s="123"/>
      <c r="P440" s="123"/>
      <c r="Q440" s="123"/>
      <c r="R440" s="123"/>
      <c r="S440" s="123"/>
      <c r="T440" s="123"/>
      <c r="U440" s="123"/>
      <c r="V440" s="123"/>
      <c r="W440" s="123"/>
      <c r="X440" s="123"/>
      <c r="Y440" s="123"/>
      <c r="Z440" s="123"/>
    </row>
    <row r="441" spans="2:26" s="235" customFormat="1" ht="13.8">
      <c r="B441" s="307"/>
      <c r="C441" s="307"/>
      <c r="D441" s="307"/>
      <c r="E441" s="307"/>
      <c r="F441" s="307"/>
      <c r="M441" s="123"/>
      <c r="N441" s="123"/>
      <c r="O441" s="123"/>
      <c r="P441" s="123"/>
      <c r="Q441" s="123"/>
      <c r="R441" s="123"/>
      <c r="S441" s="123"/>
      <c r="T441" s="123"/>
      <c r="U441" s="123"/>
      <c r="V441" s="123"/>
      <c r="W441" s="123"/>
      <c r="X441" s="123"/>
      <c r="Y441" s="123"/>
      <c r="Z441" s="123"/>
    </row>
    <row r="442" spans="2:26" s="235" customFormat="1" ht="13.8">
      <c r="B442" s="307"/>
      <c r="C442" s="307"/>
      <c r="D442" s="307"/>
      <c r="E442" s="307"/>
      <c r="F442" s="307"/>
      <c r="M442" s="123"/>
      <c r="N442" s="123"/>
      <c r="O442" s="123"/>
      <c r="P442" s="123"/>
      <c r="Q442" s="123"/>
      <c r="R442" s="123"/>
      <c r="S442" s="123"/>
      <c r="T442" s="123"/>
      <c r="U442" s="123"/>
      <c r="V442" s="123"/>
      <c r="W442" s="123"/>
      <c r="X442" s="123"/>
      <c r="Y442" s="123"/>
      <c r="Z442" s="123"/>
    </row>
    <row r="443" spans="2:26" s="235" customFormat="1" ht="13.8">
      <c r="B443" s="307"/>
      <c r="C443" s="307"/>
      <c r="D443" s="307"/>
      <c r="E443" s="307"/>
      <c r="F443" s="307"/>
      <c r="M443" s="123"/>
      <c r="N443" s="123"/>
      <c r="O443" s="123"/>
      <c r="P443" s="123"/>
      <c r="Q443" s="123"/>
      <c r="R443" s="123"/>
      <c r="S443" s="123"/>
      <c r="T443" s="123"/>
      <c r="U443" s="123"/>
      <c r="V443" s="123"/>
      <c r="W443" s="123"/>
      <c r="X443" s="123"/>
      <c r="Y443" s="123"/>
      <c r="Z443" s="123"/>
    </row>
    <row r="444" spans="2:26" s="235" customFormat="1" ht="13.8">
      <c r="B444" s="307"/>
      <c r="C444" s="307"/>
      <c r="D444" s="307"/>
      <c r="E444" s="307"/>
      <c r="F444" s="307"/>
      <c r="M444" s="123"/>
      <c r="N444" s="123"/>
      <c r="O444" s="123"/>
      <c r="P444" s="123"/>
      <c r="Q444" s="123"/>
      <c r="R444" s="123"/>
      <c r="S444" s="123"/>
      <c r="T444" s="123"/>
      <c r="U444" s="123"/>
      <c r="V444" s="123"/>
      <c r="W444" s="123"/>
      <c r="X444" s="123"/>
      <c r="Y444" s="123"/>
      <c r="Z444" s="123"/>
    </row>
    <row r="445" spans="2:26" s="235" customFormat="1" ht="13.8">
      <c r="B445" s="307"/>
      <c r="C445" s="307"/>
      <c r="D445" s="307"/>
      <c r="E445" s="307"/>
      <c r="F445" s="307"/>
      <c r="M445" s="123"/>
      <c r="N445" s="123"/>
      <c r="O445" s="123"/>
      <c r="P445" s="123"/>
      <c r="Q445" s="123"/>
      <c r="R445" s="123"/>
      <c r="S445" s="123"/>
      <c r="T445" s="123"/>
      <c r="U445" s="123"/>
      <c r="V445" s="123"/>
      <c r="W445" s="123"/>
      <c r="X445" s="123"/>
      <c r="Y445" s="123"/>
      <c r="Z445" s="123"/>
    </row>
    <row r="446" spans="2:26" s="235" customFormat="1" ht="13.8">
      <c r="B446" s="307"/>
      <c r="C446" s="307"/>
      <c r="D446" s="307"/>
      <c r="E446" s="307"/>
      <c r="F446" s="307"/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  <c r="Y446" s="123"/>
      <c r="Z446" s="123"/>
    </row>
    <row r="447" spans="2:26" s="235" customFormat="1" ht="13.8">
      <c r="B447" s="307"/>
      <c r="C447" s="307"/>
      <c r="D447" s="307"/>
      <c r="E447" s="307"/>
      <c r="F447" s="307"/>
      <c r="M447" s="123"/>
      <c r="N447" s="123"/>
      <c r="O447" s="123"/>
      <c r="P447" s="123"/>
      <c r="Q447" s="123"/>
      <c r="R447" s="123"/>
      <c r="S447" s="123"/>
      <c r="T447" s="123"/>
      <c r="U447" s="123"/>
      <c r="V447" s="123"/>
      <c r="W447" s="123"/>
      <c r="X447" s="123"/>
      <c r="Y447" s="123"/>
      <c r="Z447" s="123"/>
    </row>
    <row r="448" spans="2:26" s="235" customFormat="1" ht="13.8">
      <c r="B448" s="307"/>
      <c r="C448" s="307"/>
      <c r="D448" s="307"/>
      <c r="E448" s="307"/>
      <c r="F448" s="307"/>
      <c r="M448" s="123"/>
      <c r="N448" s="123"/>
      <c r="O448" s="123"/>
      <c r="P448" s="123"/>
      <c r="Q448" s="123"/>
      <c r="R448" s="123"/>
      <c r="S448" s="123"/>
      <c r="T448" s="123"/>
      <c r="U448" s="123"/>
      <c r="V448" s="123"/>
      <c r="W448" s="123"/>
      <c r="X448" s="123"/>
      <c r="Y448" s="123"/>
      <c r="Z448" s="123"/>
    </row>
    <row r="449" spans="2:26" s="235" customFormat="1" ht="13.8">
      <c r="B449" s="307"/>
      <c r="C449" s="307"/>
      <c r="D449" s="307"/>
      <c r="E449" s="307"/>
      <c r="F449" s="307"/>
      <c r="M449" s="12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23"/>
      <c r="Z449" s="123"/>
    </row>
    <row r="450" spans="2:26" s="235" customFormat="1" ht="13.8">
      <c r="B450" s="307"/>
      <c r="C450" s="307"/>
      <c r="D450" s="307"/>
      <c r="E450" s="307"/>
      <c r="F450" s="307"/>
      <c r="M450" s="123"/>
      <c r="N450" s="123"/>
      <c r="O450" s="123"/>
      <c r="P450" s="123"/>
      <c r="Q450" s="123"/>
      <c r="R450" s="123"/>
      <c r="S450" s="123"/>
      <c r="T450" s="123"/>
      <c r="U450" s="123"/>
      <c r="V450" s="123"/>
      <c r="W450" s="123"/>
      <c r="X450" s="123"/>
      <c r="Y450" s="123"/>
      <c r="Z450" s="123"/>
    </row>
    <row r="451" spans="2:26" s="235" customFormat="1" ht="13.8">
      <c r="B451" s="307"/>
      <c r="C451" s="307"/>
      <c r="D451" s="307"/>
      <c r="E451" s="307"/>
      <c r="F451" s="307"/>
      <c r="M451" s="123"/>
      <c r="N451" s="123"/>
      <c r="O451" s="123"/>
      <c r="P451" s="123"/>
      <c r="Q451" s="123"/>
      <c r="R451" s="123"/>
      <c r="S451" s="123"/>
      <c r="T451" s="123"/>
      <c r="U451" s="123"/>
      <c r="V451" s="123"/>
      <c r="W451" s="123"/>
      <c r="X451" s="123"/>
      <c r="Y451" s="123"/>
      <c r="Z451" s="123"/>
    </row>
    <row r="452" spans="2:26" s="235" customFormat="1" ht="13.8">
      <c r="B452" s="307"/>
      <c r="C452" s="307"/>
      <c r="D452" s="307"/>
      <c r="E452" s="307"/>
      <c r="F452" s="307"/>
      <c r="M452" s="123"/>
      <c r="N452" s="123"/>
      <c r="O452" s="123"/>
      <c r="P452" s="123"/>
      <c r="Q452" s="123"/>
      <c r="R452" s="123"/>
      <c r="S452" s="123"/>
      <c r="T452" s="123"/>
      <c r="U452" s="123"/>
      <c r="V452" s="123"/>
      <c r="W452" s="123"/>
      <c r="X452" s="123"/>
      <c r="Y452" s="123"/>
      <c r="Z452" s="123"/>
    </row>
    <row r="453" spans="2:26" s="235" customFormat="1" ht="13.8">
      <c r="B453" s="307"/>
      <c r="C453" s="307"/>
      <c r="D453" s="307"/>
      <c r="E453" s="307"/>
      <c r="F453" s="307"/>
      <c r="M453" s="123"/>
      <c r="N453" s="123"/>
      <c r="O453" s="123"/>
      <c r="P453" s="123"/>
      <c r="Q453" s="123"/>
      <c r="R453" s="123"/>
      <c r="S453" s="123"/>
      <c r="T453" s="123"/>
      <c r="U453" s="123"/>
      <c r="V453" s="123"/>
      <c r="W453" s="123"/>
      <c r="X453" s="123"/>
      <c r="Y453" s="123"/>
      <c r="Z453" s="123"/>
    </row>
    <row r="454" spans="2:26" s="235" customFormat="1" ht="13.8">
      <c r="B454" s="307"/>
      <c r="C454" s="307"/>
      <c r="D454" s="307"/>
      <c r="E454" s="307"/>
      <c r="F454" s="307"/>
      <c r="M454" s="123"/>
      <c r="N454" s="123"/>
      <c r="O454" s="123"/>
      <c r="P454" s="123"/>
      <c r="Q454" s="123"/>
      <c r="R454" s="123"/>
      <c r="S454" s="123"/>
      <c r="T454" s="123"/>
      <c r="U454" s="123"/>
      <c r="V454" s="123"/>
      <c r="W454" s="123"/>
      <c r="X454" s="123"/>
      <c r="Y454" s="123"/>
      <c r="Z454" s="123"/>
    </row>
    <row r="455" spans="2:26" s="235" customFormat="1" ht="13.8">
      <c r="B455" s="307"/>
      <c r="C455" s="307"/>
      <c r="D455" s="307"/>
      <c r="E455" s="307"/>
      <c r="F455" s="307"/>
      <c r="M455" s="123"/>
      <c r="N455" s="123"/>
      <c r="O455" s="123"/>
      <c r="P455" s="123"/>
      <c r="Q455" s="123"/>
      <c r="R455" s="123"/>
      <c r="S455" s="123"/>
      <c r="T455" s="123"/>
      <c r="U455" s="123"/>
      <c r="V455" s="123"/>
      <c r="W455" s="123"/>
      <c r="X455" s="123"/>
      <c r="Y455" s="123"/>
      <c r="Z455" s="123"/>
    </row>
    <row r="456" spans="2:26" s="235" customFormat="1" ht="13.8">
      <c r="B456" s="307"/>
      <c r="C456" s="307"/>
      <c r="D456" s="307"/>
      <c r="E456" s="307"/>
      <c r="F456" s="307"/>
      <c r="M456" s="123"/>
      <c r="N456" s="123"/>
      <c r="O456" s="123"/>
      <c r="P456" s="123"/>
      <c r="Q456" s="123"/>
      <c r="R456" s="123"/>
      <c r="S456" s="123"/>
      <c r="T456" s="123"/>
      <c r="U456" s="123"/>
      <c r="V456" s="123"/>
      <c r="W456" s="123"/>
      <c r="X456" s="123"/>
      <c r="Y456" s="123"/>
      <c r="Z456" s="123"/>
    </row>
    <row r="457" spans="2:26" s="235" customFormat="1" ht="13.8">
      <c r="B457" s="307"/>
      <c r="C457" s="307"/>
      <c r="D457" s="307"/>
      <c r="E457" s="307"/>
      <c r="F457" s="307"/>
      <c r="M457" s="123"/>
      <c r="N457" s="123"/>
      <c r="O457" s="123"/>
      <c r="P457" s="123"/>
      <c r="Q457" s="123"/>
      <c r="R457" s="123"/>
      <c r="S457" s="123"/>
      <c r="T457" s="123"/>
      <c r="U457" s="123"/>
      <c r="V457" s="123"/>
      <c r="W457" s="123"/>
      <c r="X457" s="123"/>
      <c r="Y457" s="123"/>
      <c r="Z457" s="123"/>
    </row>
    <row r="458" spans="2:26" s="235" customFormat="1" ht="13.8">
      <c r="B458" s="307"/>
      <c r="C458" s="307"/>
      <c r="D458" s="307"/>
      <c r="E458" s="307"/>
      <c r="F458" s="307"/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23"/>
      <c r="Z458" s="123"/>
    </row>
    <row r="459" spans="2:26" s="235" customFormat="1" ht="13.8">
      <c r="B459" s="307"/>
      <c r="C459" s="307"/>
      <c r="D459" s="307"/>
      <c r="E459" s="307"/>
      <c r="F459" s="307"/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23"/>
      <c r="Z459" s="123"/>
    </row>
    <row r="460" spans="2:26" s="235" customFormat="1" ht="13.8">
      <c r="B460" s="307"/>
      <c r="C460" s="307"/>
      <c r="D460" s="307"/>
      <c r="E460" s="307"/>
      <c r="F460" s="307"/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23"/>
      <c r="Z460" s="123"/>
    </row>
    <row r="461" spans="2:26" s="235" customFormat="1" ht="13.8">
      <c r="B461" s="307"/>
      <c r="C461" s="307"/>
      <c r="D461" s="307"/>
      <c r="E461" s="307"/>
      <c r="F461" s="307"/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23"/>
      <c r="Z461" s="123"/>
    </row>
    <row r="462" spans="2:26" s="235" customFormat="1" ht="13.8">
      <c r="B462" s="307"/>
      <c r="C462" s="307"/>
      <c r="D462" s="307"/>
      <c r="E462" s="307"/>
      <c r="F462" s="307"/>
      <c r="M462" s="123"/>
      <c r="N462" s="123"/>
      <c r="O462" s="123"/>
      <c r="P462" s="123"/>
      <c r="Q462" s="123"/>
      <c r="R462" s="123"/>
      <c r="S462" s="123"/>
      <c r="T462" s="123"/>
      <c r="U462" s="123"/>
      <c r="V462" s="123"/>
      <c r="W462" s="123"/>
      <c r="X462" s="123"/>
      <c r="Y462" s="123"/>
      <c r="Z462" s="123"/>
    </row>
    <row r="463" spans="2:26" s="235" customFormat="1" ht="13.8">
      <c r="B463" s="307"/>
      <c r="C463" s="307"/>
      <c r="D463" s="307"/>
      <c r="E463" s="307"/>
      <c r="F463" s="307"/>
      <c r="M463" s="123"/>
      <c r="N463" s="123"/>
      <c r="O463" s="123"/>
      <c r="P463" s="123"/>
      <c r="Q463" s="123"/>
      <c r="R463" s="123"/>
      <c r="S463" s="123"/>
      <c r="T463" s="123"/>
      <c r="U463" s="123"/>
      <c r="V463" s="123"/>
      <c r="W463" s="123"/>
      <c r="X463" s="123"/>
      <c r="Y463" s="123"/>
      <c r="Z463" s="123"/>
    </row>
    <row r="464" spans="2:26" s="235" customFormat="1" ht="13.8">
      <c r="B464" s="307"/>
      <c r="C464" s="307"/>
      <c r="D464" s="307"/>
      <c r="E464" s="307"/>
      <c r="F464" s="307"/>
      <c r="M464" s="123"/>
      <c r="N464" s="123"/>
      <c r="O464" s="123"/>
      <c r="P464" s="123"/>
      <c r="Q464" s="123"/>
      <c r="R464" s="123"/>
      <c r="S464" s="123"/>
      <c r="T464" s="123"/>
      <c r="U464" s="123"/>
      <c r="V464" s="123"/>
      <c r="W464" s="123"/>
      <c r="X464" s="123"/>
      <c r="Y464" s="123"/>
      <c r="Z464" s="123"/>
    </row>
    <row r="465" spans="2:26" s="235" customFormat="1" ht="13.8">
      <c r="B465" s="307"/>
      <c r="C465" s="307"/>
      <c r="D465" s="307"/>
      <c r="E465" s="307"/>
      <c r="F465" s="307"/>
      <c r="M465" s="123"/>
      <c r="N465" s="123"/>
      <c r="O465" s="123"/>
      <c r="P465" s="123"/>
      <c r="Q465" s="123"/>
      <c r="R465" s="123"/>
      <c r="S465" s="123"/>
      <c r="T465" s="123"/>
      <c r="U465" s="123"/>
      <c r="V465" s="123"/>
      <c r="W465" s="123"/>
      <c r="X465" s="123"/>
      <c r="Y465" s="123"/>
      <c r="Z465" s="123"/>
    </row>
    <row r="466" spans="2:26" s="235" customFormat="1" ht="13.8">
      <c r="B466" s="307"/>
      <c r="C466" s="307"/>
      <c r="D466" s="307"/>
      <c r="E466" s="307"/>
      <c r="F466" s="307"/>
      <c r="M466" s="123"/>
      <c r="N466" s="123"/>
      <c r="O466" s="123"/>
      <c r="P466" s="123"/>
      <c r="Q466" s="123"/>
      <c r="R466" s="123"/>
      <c r="S466" s="123"/>
      <c r="T466" s="123"/>
      <c r="U466" s="123"/>
      <c r="V466" s="123"/>
      <c r="W466" s="123"/>
      <c r="X466" s="123"/>
      <c r="Y466" s="123"/>
      <c r="Z466" s="123"/>
    </row>
    <row r="467" spans="2:26" s="235" customFormat="1" ht="13.8">
      <c r="B467" s="307"/>
      <c r="C467" s="307"/>
      <c r="D467" s="307"/>
      <c r="E467" s="307"/>
      <c r="F467" s="307"/>
      <c r="M467" s="123"/>
      <c r="N467" s="123"/>
      <c r="O467" s="123"/>
      <c r="P467" s="123"/>
      <c r="Q467" s="123"/>
      <c r="R467" s="123"/>
      <c r="S467" s="123"/>
      <c r="T467" s="123"/>
      <c r="U467" s="123"/>
      <c r="V467" s="123"/>
      <c r="W467" s="123"/>
      <c r="X467" s="123"/>
      <c r="Y467" s="123"/>
      <c r="Z467" s="123"/>
    </row>
    <row r="468" spans="2:26" s="235" customFormat="1" ht="13.8">
      <c r="B468" s="307"/>
      <c r="C468" s="307"/>
      <c r="D468" s="307"/>
      <c r="E468" s="307"/>
      <c r="F468" s="307"/>
      <c r="M468" s="123"/>
      <c r="N468" s="123"/>
      <c r="O468" s="123"/>
      <c r="P468" s="123"/>
      <c r="Q468" s="123"/>
      <c r="R468" s="123"/>
      <c r="S468" s="123"/>
      <c r="T468" s="123"/>
      <c r="U468" s="123"/>
      <c r="V468" s="123"/>
      <c r="W468" s="123"/>
      <c r="X468" s="123"/>
      <c r="Y468" s="123"/>
      <c r="Z468" s="123"/>
    </row>
    <row r="469" spans="2:26" s="235" customFormat="1" ht="13.8">
      <c r="B469" s="307"/>
      <c r="C469" s="307"/>
      <c r="D469" s="307"/>
      <c r="E469" s="307"/>
      <c r="F469" s="307"/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23"/>
      <c r="Z469" s="123"/>
    </row>
    <row r="470" spans="2:26" s="235" customFormat="1" ht="13.8">
      <c r="B470" s="307"/>
      <c r="C470" s="307"/>
      <c r="D470" s="307"/>
      <c r="E470" s="307"/>
      <c r="F470" s="307"/>
      <c r="M470" s="123"/>
      <c r="N470" s="123"/>
      <c r="O470" s="123"/>
      <c r="P470" s="123"/>
      <c r="Q470" s="123"/>
      <c r="R470" s="123"/>
      <c r="S470" s="123"/>
      <c r="T470" s="123"/>
      <c r="U470" s="123"/>
      <c r="V470" s="123"/>
      <c r="W470" s="123"/>
      <c r="X470" s="123"/>
      <c r="Y470" s="123"/>
      <c r="Z470" s="123"/>
    </row>
    <row r="471" spans="2:26" s="235" customFormat="1" ht="13.8">
      <c r="B471" s="307"/>
      <c r="C471" s="307"/>
      <c r="D471" s="307"/>
      <c r="E471" s="307"/>
      <c r="F471" s="307"/>
      <c r="M471" s="123"/>
      <c r="N471" s="123"/>
      <c r="O471" s="123"/>
      <c r="P471" s="123"/>
      <c r="Q471" s="123"/>
      <c r="R471" s="123"/>
      <c r="S471" s="123"/>
      <c r="T471" s="123"/>
      <c r="U471" s="123"/>
      <c r="V471" s="123"/>
      <c r="W471" s="123"/>
      <c r="X471" s="123"/>
      <c r="Y471" s="123"/>
      <c r="Z471" s="123"/>
    </row>
    <row r="472" spans="2:26" s="235" customFormat="1" ht="13.8">
      <c r="B472" s="307"/>
      <c r="C472" s="307"/>
      <c r="D472" s="307"/>
      <c r="E472" s="307"/>
      <c r="F472" s="307"/>
      <c r="M472" s="123"/>
      <c r="N472" s="123"/>
      <c r="O472" s="123"/>
      <c r="P472" s="123"/>
      <c r="Q472" s="123"/>
      <c r="R472" s="123"/>
      <c r="S472" s="123"/>
      <c r="T472" s="123"/>
      <c r="U472" s="123"/>
      <c r="V472" s="123"/>
      <c r="W472" s="123"/>
      <c r="X472" s="123"/>
      <c r="Y472" s="123"/>
      <c r="Z472" s="123"/>
    </row>
    <row r="473" spans="2:26" s="235" customFormat="1" ht="13.8">
      <c r="B473" s="307"/>
      <c r="C473" s="307"/>
      <c r="D473" s="307"/>
      <c r="E473" s="307"/>
      <c r="F473" s="307"/>
      <c r="M473" s="123"/>
      <c r="N473" s="123"/>
      <c r="O473" s="123"/>
      <c r="P473" s="123"/>
      <c r="Q473" s="123"/>
      <c r="R473" s="123"/>
      <c r="S473" s="123"/>
      <c r="T473" s="123"/>
      <c r="U473" s="123"/>
      <c r="V473" s="123"/>
      <c r="W473" s="123"/>
      <c r="X473" s="123"/>
      <c r="Y473" s="123"/>
      <c r="Z473" s="123"/>
    </row>
    <row r="474" spans="2:26" s="235" customFormat="1" ht="13.8">
      <c r="B474" s="307"/>
      <c r="C474" s="307"/>
      <c r="D474" s="307"/>
      <c r="E474" s="307"/>
      <c r="F474" s="307"/>
      <c r="M474" s="123"/>
      <c r="N474" s="123"/>
      <c r="O474" s="123"/>
      <c r="P474" s="123"/>
      <c r="Q474" s="123"/>
      <c r="R474" s="123"/>
      <c r="S474" s="123"/>
      <c r="T474" s="123"/>
      <c r="U474" s="123"/>
      <c r="V474" s="123"/>
      <c r="W474" s="123"/>
      <c r="X474" s="123"/>
      <c r="Y474" s="123"/>
      <c r="Z474" s="123"/>
    </row>
    <row r="475" spans="2:26" s="235" customFormat="1" ht="13.8">
      <c r="B475" s="307"/>
      <c r="C475" s="307"/>
      <c r="D475" s="307"/>
      <c r="E475" s="307"/>
      <c r="F475" s="307"/>
      <c r="M475" s="123"/>
      <c r="N475" s="123"/>
      <c r="O475" s="123"/>
      <c r="P475" s="123"/>
      <c r="Q475" s="123"/>
      <c r="R475" s="123"/>
      <c r="S475" s="123"/>
      <c r="T475" s="123"/>
      <c r="U475" s="123"/>
      <c r="V475" s="123"/>
      <c r="W475" s="123"/>
      <c r="X475" s="123"/>
      <c r="Y475" s="123"/>
      <c r="Z475" s="123"/>
    </row>
    <row r="476" spans="2:26" s="235" customFormat="1" ht="13.8">
      <c r="B476" s="307"/>
      <c r="C476" s="307"/>
      <c r="D476" s="307"/>
      <c r="E476" s="307"/>
      <c r="F476" s="307"/>
      <c r="M476" s="123"/>
      <c r="N476" s="123"/>
      <c r="O476" s="123"/>
      <c r="P476" s="123"/>
      <c r="Q476" s="123"/>
      <c r="R476" s="123"/>
      <c r="S476" s="123"/>
      <c r="T476" s="123"/>
      <c r="U476" s="123"/>
      <c r="V476" s="123"/>
      <c r="W476" s="123"/>
      <c r="X476" s="123"/>
      <c r="Y476" s="123"/>
      <c r="Z476" s="123"/>
    </row>
    <row r="477" spans="2:26" s="235" customFormat="1" ht="13.8">
      <c r="B477" s="307"/>
      <c r="C477" s="307"/>
      <c r="D477" s="307"/>
      <c r="E477" s="307"/>
      <c r="F477" s="307"/>
      <c r="M477" s="123"/>
      <c r="N477" s="123"/>
      <c r="O477" s="123"/>
      <c r="P477" s="123"/>
      <c r="Q477" s="123"/>
      <c r="R477" s="123"/>
      <c r="S477" s="123"/>
      <c r="T477" s="123"/>
      <c r="U477" s="123"/>
      <c r="V477" s="123"/>
      <c r="W477" s="123"/>
      <c r="X477" s="123"/>
      <c r="Y477" s="123"/>
      <c r="Z477" s="123"/>
    </row>
    <row r="478" spans="2:26" s="235" customFormat="1" ht="13.8">
      <c r="B478" s="307"/>
      <c r="C478" s="307"/>
      <c r="D478" s="307"/>
      <c r="E478" s="307"/>
      <c r="F478" s="307"/>
      <c r="M478" s="123"/>
      <c r="N478" s="123"/>
      <c r="O478" s="123"/>
      <c r="P478" s="123"/>
      <c r="Q478" s="123"/>
      <c r="R478" s="123"/>
      <c r="S478" s="123"/>
      <c r="T478" s="123"/>
      <c r="U478" s="123"/>
      <c r="V478" s="123"/>
      <c r="W478" s="123"/>
      <c r="X478" s="123"/>
      <c r="Y478" s="123"/>
      <c r="Z478" s="123"/>
    </row>
    <row r="479" spans="2:26" s="235" customFormat="1" ht="13.8">
      <c r="B479" s="307"/>
      <c r="C479" s="307"/>
      <c r="D479" s="307"/>
      <c r="E479" s="307"/>
      <c r="F479" s="307"/>
      <c r="M479" s="123"/>
      <c r="N479" s="123"/>
      <c r="O479" s="123"/>
      <c r="P479" s="123"/>
      <c r="Q479" s="123"/>
      <c r="R479" s="123"/>
      <c r="S479" s="123"/>
      <c r="T479" s="123"/>
      <c r="U479" s="123"/>
      <c r="V479" s="123"/>
      <c r="W479" s="123"/>
      <c r="X479" s="123"/>
      <c r="Y479" s="123"/>
      <c r="Z479" s="123"/>
    </row>
    <row r="480" spans="2:26" s="235" customFormat="1" ht="13.8">
      <c r="B480" s="307"/>
      <c r="C480" s="307"/>
      <c r="D480" s="307"/>
      <c r="E480" s="307"/>
      <c r="F480" s="307"/>
      <c r="M480" s="123"/>
      <c r="N480" s="123"/>
      <c r="O480" s="123"/>
      <c r="P480" s="123"/>
      <c r="Q480" s="123"/>
      <c r="R480" s="123"/>
      <c r="S480" s="123"/>
      <c r="T480" s="123"/>
      <c r="U480" s="123"/>
      <c r="V480" s="123"/>
      <c r="W480" s="123"/>
      <c r="X480" s="123"/>
      <c r="Y480" s="123"/>
      <c r="Z480" s="123"/>
    </row>
    <row r="481" spans="2:26" s="235" customFormat="1" ht="13.8">
      <c r="B481" s="307"/>
      <c r="C481" s="307"/>
      <c r="D481" s="307"/>
      <c r="E481" s="307"/>
      <c r="F481" s="307"/>
      <c r="M481" s="123"/>
      <c r="N481" s="123"/>
      <c r="O481" s="123"/>
      <c r="P481" s="123"/>
      <c r="Q481" s="123"/>
      <c r="R481" s="123"/>
      <c r="S481" s="123"/>
      <c r="T481" s="123"/>
      <c r="U481" s="123"/>
      <c r="V481" s="123"/>
      <c r="W481" s="123"/>
      <c r="X481" s="123"/>
      <c r="Y481" s="123"/>
      <c r="Z481" s="123"/>
    </row>
    <row r="482" spans="2:26" s="235" customFormat="1" ht="13.8">
      <c r="B482" s="307"/>
      <c r="C482" s="307"/>
      <c r="D482" s="307"/>
      <c r="E482" s="307"/>
      <c r="F482" s="307"/>
      <c r="M482" s="123"/>
      <c r="N482" s="123"/>
      <c r="O482" s="123"/>
      <c r="P482" s="123"/>
      <c r="Q482" s="123"/>
      <c r="R482" s="123"/>
      <c r="S482" s="123"/>
      <c r="T482" s="123"/>
      <c r="U482" s="123"/>
      <c r="V482" s="123"/>
      <c r="W482" s="123"/>
      <c r="X482" s="123"/>
      <c r="Y482" s="123"/>
      <c r="Z482" s="123"/>
    </row>
    <row r="483" spans="2:26" s="235" customFormat="1" ht="13.8">
      <c r="B483" s="307"/>
      <c r="C483" s="307"/>
      <c r="D483" s="307"/>
      <c r="E483" s="307"/>
      <c r="F483" s="307"/>
      <c r="M483" s="123"/>
      <c r="N483" s="123"/>
      <c r="O483" s="123"/>
      <c r="P483" s="123"/>
      <c r="Q483" s="123"/>
      <c r="R483" s="123"/>
      <c r="S483" s="123"/>
      <c r="T483" s="123"/>
      <c r="U483" s="123"/>
      <c r="V483" s="123"/>
      <c r="W483" s="123"/>
      <c r="X483" s="123"/>
      <c r="Y483" s="123"/>
      <c r="Z483" s="123"/>
    </row>
    <row r="484" spans="2:26" s="235" customFormat="1" ht="13.8">
      <c r="B484" s="307"/>
      <c r="C484" s="307"/>
      <c r="D484" s="307"/>
      <c r="E484" s="307"/>
      <c r="F484" s="307"/>
      <c r="M484" s="123"/>
      <c r="N484" s="123"/>
      <c r="O484" s="123"/>
      <c r="P484" s="123"/>
      <c r="Q484" s="123"/>
      <c r="R484" s="123"/>
      <c r="S484" s="123"/>
      <c r="T484" s="123"/>
      <c r="U484" s="123"/>
      <c r="V484" s="123"/>
      <c r="W484" s="123"/>
      <c r="X484" s="123"/>
      <c r="Y484" s="123"/>
      <c r="Z484" s="123"/>
    </row>
    <row r="485" spans="2:26" s="235" customFormat="1" ht="13.8">
      <c r="B485" s="307"/>
      <c r="C485" s="307"/>
      <c r="D485" s="307"/>
      <c r="E485" s="307"/>
      <c r="F485" s="307"/>
      <c r="M485" s="123"/>
      <c r="N485" s="123"/>
      <c r="O485" s="123"/>
      <c r="P485" s="123"/>
      <c r="Q485" s="123"/>
      <c r="R485" s="123"/>
      <c r="S485" s="123"/>
      <c r="T485" s="123"/>
      <c r="U485" s="123"/>
      <c r="V485" s="123"/>
      <c r="W485" s="123"/>
      <c r="X485" s="123"/>
      <c r="Y485" s="123"/>
      <c r="Z485" s="123"/>
    </row>
    <row r="486" spans="2:26" s="235" customFormat="1" ht="13.8">
      <c r="B486" s="307"/>
      <c r="C486" s="307"/>
      <c r="D486" s="307"/>
      <c r="E486" s="307"/>
      <c r="F486" s="307"/>
      <c r="M486" s="123"/>
      <c r="N486" s="123"/>
      <c r="O486" s="123"/>
      <c r="P486" s="123"/>
      <c r="Q486" s="123"/>
      <c r="R486" s="123"/>
      <c r="S486" s="123"/>
      <c r="T486" s="123"/>
      <c r="U486" s="123"/>
      <c r="V486" s="123"/>
      <c r="W486" s="123"/>
      <c r="X486" s="123"/>
      <c r="Y486" s="123"/>
      <c r="Z486" s="123"/>
    </row>
    <row r="487" spans="2:26" s="235" customFormat="1" ht="13.8">
      <c r="B487" s="307"/>
      <c r="C487" s="307"/>
      <c r="D487" s="307"/>
      <c r="E487" s="307"/>
      <c r="F487" s="307"/>
      <c r="M487" s="123"/>
      <c r="N487" s="123"/>
      <c r="O487" s="123"/>
      <c r="P487" s="123"/>
      <c r="Q487" s="123"/>
      <c r="R487" s="123"/>
      <c r="S487" s="123"/>
      <c r="T487" s="123"/>
      <c r="U487" s="123"/>
      <c r="V487" s="123"/>
      <c r="W487" s="123"/>
      <c r="X487" s="123"/>
      <c r="Y487" s="123"/>
      <c r="Z487" s="123"/>
    </row>
    <row r="488" spans="2:26" s="235" customFormat="1" ht="13.8">
      <c r="B488" s="307"/>
      <c r="C488" s="307"/>
      <c r="D488" s="307"/>
      <c r="E488" s="307"/>
      <c r="F488" s="307"/>
      <c r="M488" s="123"/>
      <c r="N488" s="123"/>
      <c r="O488" s="123"/>
      <c r="P488" s="123"/>
      <c r="Q488" s="123"/>
      <c r="R488" s="123"/>
      <c r="S488" s="123"/>
      <c r="T488" s="123"/>
      <c r="U488" s="123"/>
      <c r="V488" s="123"/>
      <c r="W488" s="123"/>
      <c r="X488" s="123"/>
      <c r="Y488" s="123"/>
      <c r="Z488" s="123"/>
    </row>
    <row r="489" spans="2:26" s="235" customFormat="1" ht="13.8">
      <c r="B489" s="307"/>
      <c r="C489" s="307"/>
      <c r="D489" s="307"/>
      <c r="E489" s="307"/>
      <c r="F489" s="307"/>
      <c r="M489" s="123"/>
      <c r="N489" s="123"/>
      <c r="O489" s="123"/>
      <c r="P489" s="123"/>
      <c r="Q489" s="123"/>
      <c r="R489" s="123"/>
      <c r="S489" s="123"/>
      <c r="T489" s="123"/>
      <c r="U489" s="123"/>
      <c r="V489" s="123"/>
      <c r="W489" s="123"/>
      <c r="X489" s="123"/>
      <c r="Y489" s="123"/>
      <c r="Z489" s="123"/>
    </row>
    <row r="490" spans="2:26" s="235" customFormat="1" ht="13.8">
      <c r="B490" s="307"/>
      <c r="C490" s="307"/>
      <c r="D490" s="307"/>
      <c r="E490" s="307"/>
      <c r="F490" s="307"/>
      <c r="M490" s="123"/>
      <c r="N490" s="123"/>
      <c r="O490" s="123"/>
      <c r="P490" s="123"/>
      <c r="Q490" s="123"/>
      <c r="R490" s="123"/>
      <c r="S490" s="123"/>
      <c r="T490" s="123"/>
      <c r="U490" s="123"/>
      <c r="V490" s="123"/>
      <c r="W490" s="123"/>
      <c r="X490" s="123"/>
      <c r="Y490" s="123"/>
      <c r="Z490" s="123"/>
    </row>
    <row r="491" spans="2:26" s="235" customFormat="1" ht="13.8">
      <c r="B491" s="307"/>
      <c r="C491" s="307"/>
      <c r="D491" s="307"/>
      <c r="E491" s="307"/>
      <c r="F491" s="307"/>
      <c r="M491" s="123"/>
      <c r="N491" s="123"/>
      <c r="O491" s="123"/>
      <c r="P491" s="123"/>
      <c r="Q491" s="123"/>
      <c r="R491" s="123"/>
      <c r="S491" s="123"/>
      <c r="T491" s="123"/>
      <c r="U491" s="123"/>
      <c r="V491" s="123"/>
      <c r="W491" s="123"/>
      <c r="X491" s="123"/>
      <c r="Y491" s="123"/>
      <c r="Z491" s="123"/>
    </row>
    <row r="492" spans="2:26" s="235" customFormat="1" ht="13.8">
      <c r="B492" s="307"/>
      <c r="C492" s="307"/>
      <c r="D492" s="307"/>
      <c r="E492" s="307"/>
      <c r="F492" s="307"/>
      <c r="M492" s="123"/>
      <c r="N492" s="123"/>
      <c r="O492" s="123"/>
      <c r="P492" s="123"/>
      <c r="Q492" s="123"/>
      <c r="R492" s="123"/>
      <c r="S492" s="123"/>
      <c r="T492" s="123"/>
      <c r="U492" s="123"/>
      <c r="V492" s="123"/>
      <c r="W492" s="123"/>
      <c r="X492" s="123"/>
      <c r="Y492" s="123"/>
      <c r="Z492" s="123"/>
    </row>
    <row r="493" spans="2:26" s="235" customFormat="1" ht="13.8">
      <c r="B493" s="307"/>
      <c r="C493" s="307"/>
      <c r="D493" s="307"/>
      <c r="E493" s="307"/>
      <c r="F493" s="307"/>
      <c r="M493" s="123"/>
      <c r="N493" s="123"/>
      <c r="O493" s="123"/>
      <c r="P493" s="123"/>
      <c r="Q493" s="123"/>
      <c r="R493" s="123"/>
      <c r="S493" s="123"/>
      <c r="T493" s="123"/>
      <c r="U493" s="123"/>
      <c r="V493" s="123"/>
      <c r="W493" s="123"/>
      <c r="X493" s="123"/>
      <c r="Y493" s="123"/>
      <c r="Z493" s="123"/>
    </row>
    <row r="494" spans="2:26" s="235" customFormat="1" ht="13.8">
      <c r="B494" s="307"/>
      <c r="C494" s="307"/>
      <c r="D494" s="307"/>
      <c r="E494" s="307"/>
      <c r="F494" s="307"/>
      <c r="M494" s="123"/>
      <c r="N494" s="123"/>
      <c r="O494" s="123"/>
      <c r="P494" s="123"/>
      <c r="Q494" s="123"/>
      <c r="R494" s="123"/>
      <c r="S494" s="123"/>
      <c r="T494" s="123"/>
      <c r="U494" s="123"/>
      <c r="V494" s="123"/>
      <c r="W494" s="123"/>
      <c r="X494" s="123"/>
      <c r="Y494" s="123"/>
      <c r="Z494" s="123"/>
    </row>
    <row r="495" spans="2:26" s="235" customFormat="1" ht="13.8">
      <c r="B495" s="307"/>
      <c r="C495" s="307"/>
      <c r="D495" s="307"/>
      <c r="E495" s="307"/>
      <c r="F495" s="307"/>
      <c r="M495" s="123"/>
      <c r="N495" s="123"/>
      <c r="O495" s="123"/>
      <c r="P495" s="123"/>
      <c r="Q495" s="123"/>
      <c r="R495" s="123"/>
      <c r="S495" s="123"/>
      <c r="T495" s="123"/>
      <c r="U495" s="123"/>
      <c r="V495" s="123"/>
      <c r="W495" s="123"/>
      <c r="X495" s="123"/>
      <c r="Y495" s="123"/>
      <c r="Z495" s="123"/>
    </row>
    <row r="496" spans="2:26" s="235" customFormat="1" ht="13.8">
      <c r="B496" s="307"/>
      <c r="C496" s="307"/>
      <c r="D496" s="307"/>
      <c r="E496" s="307"/>
      <c r="F496" s="307"/>
      <c r="M496" s="123"/>
      <c r="N496" s="123"/>
      <c r="O496" s="123"/>
      <c r="P496" s="123"/>
      <c r="Q496" s="123"/>
      <c r="R496" s="123"/>
      <c r="S496" s="123"/>
      <c r="T496" s="123"/>
      <c r="U496" s="123"/>
      <c r="V496" s="123"/>
      <c r="W496" s="123"/>
      <c r="X496" s="123"/>
      <c r="Y496" s="123"/>
      <c r="Z496" s="123"/>
    </row>
    <row r="497" spans="2:26" s="235" customFormat="1" ht="13.8">
      <c r="B497" s="307"/>
      <c r="C497" s="307"/>
      <c r="D497" s="307"/>
      <c r="E497" s="307"/>
      <c r="F497" s="307"/>
      <c r="M497" s="123"/>
      <c r="N497" s="123"/>
      <c r="O497" s="123"/>
      <c r="P497" s="123"/>
      <c r="Q497" s="123"/>
      <c r="R497" s="123"/>
      <c r="S497" s="123"/>
      <c r="T497" s="123"/>
      <c r="U497" s="123"/>
      <c r="V497" s="123"/>
      <c r="W497" s="123"/>
      <c r="X497" s="123"/>
      <c r="Y497" s="123"/>
      <c r="Z497" s="123"/>
    </row>
    <row r="498" spans="2:26" s="235" customFormat="1" ht="13.8">
      <c r="B498" s="307"/>
      <c r="C498" s="307"/>
      <c r="D498" s="307"/>
      <c r="E498" s="307"/>
      <c r="F498" s="307"/>
      <c r="M498" s="123"/>
      <c r="N498" s="123"/>
      <c r="O498" s="123"/>
      <c r="P498" s="123"/>
      <c r="Q498" s="123"/>
      <c r="R498" s="123"/>
      <c r="S498" s="123"/>
      <c r="T498" s="123"/>
      <c r="U498" s="123"/>
      <c r="V498" s="123"/>
      <c r="W498" s="123"/>
      <c r="X498" s="123"/>
      <c r="Y498" s="123"/>
      <c r="Z498" s="123"/>
    </row>
    <row r="499" spans="2:26" s="235" customFormat="1" ht="13.8">
      <c r="B499" s="307"/>
      <c r="C499" s="307"/>
      <c r="D499" s="307"/>
      <c r="E499" s="307"/>
      <c r="F499" s="307"/>
      <c r="M499" s="123"/>
      <c r="N499" s="123"/>
      <c r="O499" s="123"/>
      <c r="P499" s="123"/>
      <c r="Q499" s="123"/>
      <c r="R499" s="123"/>
      <c r="S499" s="123"/>
      <c r="T499" s="123"/>
      <c r="U499" s="123"/>
      <c r="V499" s="123"/>
      <c r="W499" s="123"/>
      <c r="X499" s="123"/>
      <c r="Y499" s="123"/>
      <c r="Z499" s="123"/>
    </row>
    <row r="500" spans="2:26" s="235" customFormat="1" ht="13.8">
      <c r="B500" s="307"/>
      <c r="C500" s="307"/>
      <c r="D500" s="307"/>
      <c r="E500" s="307"/>
      <c r="F500" s="307"/>
      <c r="M500" s="123"/>
      <c r="N500" s="123"/>
      <c r="O500" s="123"/>
      <c r="P500" s="123"/>
      <c r="Q500" s="123"/>
      <c r="R500" s="123"/>
      <c r="S500" s="123"/>
      <c r="T500" s="123"/>
      <c r="U500" s="123"/>
      <c r="V500" s="123"/>
      <c r="W500" s="123"/>
      <c r="X500" s="123"/>
      <c r="Y500" s="123"/>
      <c r="Z500" s="123"/>
    </row>
    <row r="501" spans="2:26" s="235" customFormat="1" ht="13.8">
      <c r="B501" s="307"/>
      <c r="C501" s="307"/>
      <c r="D501" s="307"/>
      <c r="E501" s="307"/>
      <c r="F501" s="307"/>
      <c r="M501" s="123"/>
      <c r="N501" s="123"/>
      <c r="O501" s="123"/>
      <c r="P501" s="123"/>
      <c r="Q501" s="123"/>
      <c r="R501" s="123"/>
      <c r="S501" s="123"/>
      <c r="T501" s="123"/>
      <c r="U501" s="123"/>
      <c r="V501" s="123"/>
      <c r="W501" s="123"/>
      <c r="X501" s="123"/>
      <c r="Y501" s="123"/>
      <c r="Z501" s="123"/>
    </row>
    <row r="502" spans="2:26" s="235" customFormat="1" ht="13.8">
      <c r="B502" s="307"/>
      <c r="C502" s="307"/>
      <c r="D502" s="307"/>
      <c r="E502" s="307"/>
      <c r="F502" s="307"/>
      <c r="M502" s="123"/>
      <c r="N502" s="123"/>
      <c r="O502" s="123"/>
      <c r="P502" s="123"/>
      <c r="Q502" s="123"/>
      <c r="R502" s="123"/>
      <c r="S502" s="123"/>
      <c r="T502" s="123"/>
      <c r="U502" s="123"/>
      <c r="V502" s="123"/>
      <c r="W502" s="123"/>
      <c r="X502" s="123"/>
      <c r="Y502" s="123"/>
      <c r="Z502" s="123"/>
    </row>
    <row r="503" spans="2:26" s="235" customFormat="1" ht="13.8">
      <c r="B503" s="307"/>
      <c r="C503" s="307"/>
      <c r="D503" s="307"/>
      <c r="E503" s="307"/>
      <c r="F503" s="307"/>
      <c r="M503" s="123"/>
      <c r="N503" s="123"/>
      <c r="O503" s="123"/>
      <c r="P503" s="123"/>
      <c r="Q503" s="123"/>
      <c r="R503" s="123"/>
      <c r="S503" s="123"/>
      <c r="T503" s="123"/>
      <c r="U503" s="123"/>
      <c r="V503" s="123"/>
      <c r="W503" s="123"/>
      <c r="X503" s="123"/>
      <c r="Y503" s="123"/>
      <c r="Z503" s="123"/>
    </row>
    <row r="504" spans="2:26" s="235" customFormat="1" ht="13.8">
      <c r="B504" s="307"/>
      <c r="C504" s="307"/>
      <c r="D504" s="307"/>
      <c r="E504" s="307"/>
      <c r="F504" s="307"/>
      <c r="M504" s="123"/>
      <c r="N504" s="123"/>
      <c r="O504" s="123"/>
      <c r="P504" s="123"/>
      <c r="Q504" s="123"/>
      <c r="R504" s="123"/>
      <c r="S504" s="123"/>
      <c r="T504" s="123"/>
      <c r="U504" s="123"/>
      <c r="V504" s="123"/>
      <c r="W504" s="123"/>
      <c r="X504" s="123"/>
      <c r="Y504" s="123"/>
      <c r="Z504" s="123"/>
    </row>
    <row r="505" spans="2:26" s="235" customFormat="1" ht="13.8">
      <c r="B505" s="307"/>
      <c r="C505" s="307"/>
      <c r="D505" s="307"/>
      <c r="E505" s="307"/>
      <c r="F505" s="307"/>
      <c r="M505" s="123"/>
      <c r="N505" s="123"/>
      <c r="O505" s="123"/>
      <c r="P505" s="123"/>
      <c r="Q505" s="123"/>
      <c r="R505" s="123"/>
      <c r="S505" s="123"/>
      <c r="T505" s="123"/>
      <c r="U505" s="123"/>
      <c r="V505" s="123"/>
      <c r="W505" s="123"/>
      <c r="X505" s="123"/>
      <c r="Y505" s="123"/>
      <c r="Z505" s="123"/>
    </row>
    <row r="506" spans="2:26" s="235" customFormat="1" ht="13.8">
      <c r="B506" s="307"/>
      <c r="C506" s="307"/>
      <c r="D506" s="307"/>
      <c r="E506" s="307"/>
      <c r="F506" s="307"/>
      <c r="M506" s="123"/>
      <c r="N506" s="123"/>
      <c r="O506" s="123"/>
      <c r="P506" s="123"/>
      <c r="Q506" s="123"/>
      <c r="R506" s="123"/>
      <c r="S506" s="123"/>
      <c r="T506" s="123"/>
      <c r="U506" s="123"/>
      <c r="V506" s="123"/>
      <c r="W506" s="123"/>
      <c r="X506" s="123"/>
      <c r="Y506" s="123"/>
      <c r="Z506" s="123"/>
    </row>
    <row r="507" spans="2:26" s="235" customFormat="1" ht="13.8">
      <c r="B507" s="307"/>
      <c r="C507" s="307"/>
      <c r="D507" s="307"/>
      <c r="E507" s="307"/>
      <c r="F507" s="307"/>
      <c r="M507" s="123"/>
      <c r="N507" s="123"/>
      <c r="O507" s="123"/>
      <c r="P507" s="123"/>
      <c r="Q507" s="123"/>
      <c r="R507" s="123"/>
      <c r="S507" s="123"/>
      <c r="T507" s="123"/>
      <c r="U507" s="123"/>
      <c r="V507" s="123"/>
      <c r="W507" s="123"/>
      <c r="X507" s="123"/>
      <c r="Y507" s="123"/>
      <c r="Z507" s="123"/>
    </row>
    <row r="508" spans="2:26" s="235" customFormat="1" ht="13.8">
      <c r="B508" s="307"/>
      <c r="C508" s="307"/>
      <c r="D508" s="307"/>
      <c r="E508" s="307"/>
      <c r="F508" s="307"/>
      <c r="M508" s="123"/>
      <c r="N508" s="123"/>
      <c r="O508" s="123"/>
      <c r="P508" s="123"/>
      <c r="Q508" s="123"/>
      <c r="R508" s="123"/>
      <c r="S508" s="123"/>
      <c r="T508" s="123"/>
      <c r="U508" s="123"/>
      <c r="V508" s="123"/>
      <c r="W508" s="123"/>
      <c r="X508" s="123"/>
      <c r="Y508" s="123"/>
      <c r="Z508" s="123"/>
    </row>
    <row r="509" spans="2:26" s="235" customFormat="1" ht="13.8">
      <c r="B509" s="307"/>
      <c r="C509" s="307"/>
      <c r="D509" s="307"/>
      <c r="E509" s="307"/>
      <c r="F509" s="307"/>
      <c r="M509" s="123"/>
      <c r="N509" s="123"/>
      <c r="O509" s="123"/>
      <c r="P509" s="123"/>
      <c r="Q509" s="123"/>
      <c r="R509" s="123"/>
      <c r="S509" s="123"/>
      <c r="T509" s="123"/>
      <c r="U509" s="123"/>
      <c r="V509" s="123"/>
      <c r="W509" s="123"/>
      <c r="X509" s="123"/>
      <c r="Y509" s="123"/>
      <c r="Z509" s="123"/>
    </row>
    <row r="510" spans="2:26" s="235" customFormat="1" ht="13.8">
      <c r="B510" s="307"/>
      <c r="C510" s="307"/>
      <c r="D510" s="307"/>
      <c r="E510" s="307"/>
      <c r="F510" s="307"/>
      <c r="M510" s="123"/>
      <c r="N510" s="123"/>
      <c r="O510" s="123"/>
      <c r="P510" s="123"/>
      <c r="Q510" s="123"/>
      <c r="R510" s="123"/>
      <c r="S510" s="123"/>
      <c r="T510" s="123"/>
      <c r="U510" s="123"/>
      <c r="V510" s="123"/>
      <c r="W510" s="123"/>
      <c r="X510" s="123"/>
      <c r="Y510" s="123"/>
      <c r="Z510" s="123"/>
    </row>
    <row r="511" spans="2:26" s="235" customFormat="1" ht="13.8">
      <c r="B511" s="307"/>
      <c r="C511" s="307"/>
      <c r="D511" s="307"/>
      <c r="E511" s="307"/>
      <c r="F511" s="307"/>
      <c r="M511" s="123"/>
      <c r="N511" s="123"/>
      <c r="O511" s="123"/>
      <c r="P511" s="123"/>
      <c r="Q511" s="123"/>
      <c r="R511" s="123"/>
      <c r="S511" s="123"/>
      <c r="T511" s="123"/>
      <c r="U511" s="123"/>
      <c r="V511" s="123"/>
      <c r="W511" s="123"/>
      <c r="X511" s="123"/>
      <c r="Y511" s="123"/>
      <c r="Z511" s="123"/>
    </row>
    <row r="512" spans="2:26" s="235" customFormat="1" ht="13.8">
      <c r="B512" s="307"/>
      <c r="C512" s="307"/>
      <c r="D512" s="307"/>
      <c r="E512" s="307"/>
      <c r="F512" s="307"/>
      <c r="M512" s="123"/>
      <c r="N512" s="123"/>
      <c r="O512" s="123"/>
      <c r="P512" s="123"/>
      <c r="Q512" s="123"/>
      <c r="R512" s="123"/>
      <c r="S512" s="123"/>
      <c r="T512" s="123"/>
      <c r="U512" s="123"/>
      <c r="V512" s="123"/>
      <c r="W512" s="123"/>
      <c r="X512" s="123"/>
      <c r="Y512" s="123"/>
      <c r="Z512" s="123"/>
    </row>
    <row r="513" spans="2:26" s="235" customFormat="1" ht="13.8">
      <c r="B513" s="307"/>
      <c r="C513" s="307"/>
      <c r="D513" s="307"/>
      <c r="E513" s="307"/>
      <c r="F513" s="307"/>
      <c r="M513" s="123"/>
      <c r="N513" s="123"/>
      <c r="O513" s="123"/>
      <c r="P513" s="123"/>
      <c r="Q513" s="123"/>
      <c r="R513" s="123"/>
      <c r="S513" s="123"/>
      <c r="T513" s="123"/>
      <c r="U513" s="123"/>
      <c r="V513" s="123"/>
      <c r="W513" s="123"/>
      <c r="X513" s="123"/>
      <c r="Y513" s="123"/>
      <c r="Z513" s="123"/>
    </row>
    <row r="514" spans="2:26" s="235" customFormat="1" ht="13.8">
      <c r="B514" s="307"/>
      <c r="C514" s="307"/>
      <c r="D514" s="307"/>
      <c r="E514" s="307"/>
      <c r="F514" s="307"/>
      <c r="M514" s="123"/>
      <c r="N514" s="123"/>
      <c r="O514" s="123"/>
      <c r="P514" s="123"/>
      <c r="Q514" s="123"/>
      <c r="R514" s="123"/>
      <c r="S514" s="123"/>
      <c r="T514" s="123"/>
      <c r="U514" s="123"/>
      <c r="V514" s="123"/>
      <c r="W514" s="123"/>
      <c r="X514" s="123"/>
      <c r="Y514" s="123"/>
      <c r="Z514" s="123"/>
    </row>
    <row r="515" spans="2:26" s="235" customFormat="1" ht="13.8">
      <c r="B515" s="307"/>
      <c r="C515" s="307"/>
      <c r="D515" s="307"/>
      <c r="E515" s="307"/>
      <c r="F515" s="307"/>
      <c r="M515" s="123"/>
      <c r="N515" s="123"/>
      <c r="O515" s="123"/>
      <c r="P515" s="123"/>
      <c r="Q515" s="123"/>
      <c r="R515" s="123"/>
      <c r="S515" s="123"/>
      <c r="T515" s="123"/>
      <c r="U515" s="123"/>
      <c r="V515" s="123"/>
      <c r="W515" s="123"/>
      <c r="X515" s="123"/>
      <c r="Y515" s="123"/>
      <c r="Z515" s="123"/>
    </row>
    <row r="516" spans="2:26" s="235" customFormat="1" ht="13.8">
      <c r="B516" s="307"/>
      <c r="C516" s="307"/>
      <c r="D516" s="307"/>
      <c r="E516" s="307"/>
      <c r="F516" s="307"/>
      <c r="M516" s="123"/>
      <c r="N516" s="123"/>
      <c r="O516" s="123"/>
      <c r="P516" s="123"/>
      <c r="Q516" s="123"/>
      <c r="R516" s="123"/>
      <c r="S516" s="123"/>
      <c r="T516" s="123"/>
      <c r="U516" s="123"/>
      <c r="V516" s="123"/>
      <c r="W516" s="123"/>
      <c r="X516" s="123"/>
      <c r="Y516" s="123"/>
      <c r="Z516" s="123"/>
    </row>
    <row r="517" spans="2:26" s="235" customFormat="1" ht="13.8">
      <c r="B517" s="307"/>
      <c r="C517" s="307"/>
      <c r="D517" s="307"/>
      <c r="E517" s="307"/>
      <c r="F517" s="307"/>
      <c r="M517" s="123"/>
      <c r="N517" s="123"/>
      <c r="O517" s="123"/>
      <c r="P517" s="123"/>
      <c r="Q517" s="123"/>
      <c r="R517" s="123"/>
      <c r="S517" s="123"/>
      <c r="T517" s="123"/>
      <c r="U517" s="123"/>
      <c r="V517" s="123"/>
      <c r="W517" s="123"/>
      <c r="X517" s="123"/>
      <c r="Y517" s="123"/>
      <c r="Z517" s="123"/>
    </row>
    <row r="518" spans="2:26" s="235" customFormat="1" ht="13.8">
      <c r="B518" s="307"/>
      <c r="C518" s="307"/>
      <c r="D518" s="307"/>
      <c r="E518" s="307"/>
      <c r="F518" s="307"/>
      <c r="M518" s="123"/>
      <c r="N518" s="123"/>
      <c r="O518" s="123"/>
      <c r="P518" s="123"/>
      <c r="Q518" s="123"/>
      <c r="R518" s="123"/>
      <c r="S518" s="123"/>
      <c r="T518" s="123"/>
      <c r="U518" s="123"/>
      <c r="V518" s="123"/>
      <c r="W518" s="123"/>
      <c r="X518" s="123"/>
      <c r="Y518" s="123"/>
      <c r="Z518" s="123"/>
    </row>
    <row r="519" spans="2:26" s="235" customFormat="1" ht="13.8">
      <c r="B519" s="307"/>
      <c r="C519" s="307"/>
      <c r="D519" s="307"/>
      <c r="E519" s="307"/>
      <c r="F519" s="307"/>
      <c r="M519" s="123"/>
      <c r="N519" s="123"/>
      <c r="O519" s="123"/>
      <c r="P519" s="123"/>
      <c r="Q519" s="123"/>
      <c r="R519" s="123"/>
      <c r="S519" s="123"/>
      <c r="T519" s="123"/>
      <c r="U519" s="123"/>
      <c r="V519" s="123"/>
      <c r="W519" s="123"/>
      <c r="X519" s="123"/>
      <c r="Y519" s="123"/>
      <c r="Z519" s="123"/>
    </row>
    <row r="520" spans="2:26" s="235" customFormat="1" ht="13.8">
      <c r="B520" s="307"/>
      <c r="C520" s="307"/>
      <c r="D520" s="307"/>
      <c r="E520" s="307"/>
      <c r="F520" s="307"/>
      <c r="M520" s="123"/>
      <c r="N520" s="123"/>
      <c r="O520" s="123"/>
      <c r="P520" s="123"/>
      <c r="Q520" s="123"/>
      <c r="R520" s="123"/>
      <c r="S520" s="123"/>
      <c r="T520" s="123"/>
      <c r="U520" s="123"/>
      <c r="V520" s="123"/>
      <c r="W520" s="123"/>
      <c r="X520" s="123"/>
      <c r="Y520" s="123"/>
      <c r="Z520" s="123"/>
    </row>
    <row r="521" spans="2:26" s="235" customFormat="1" ht="13.8">
      <c r="B521" s="307"/>
      <c r="C521" s="307"/>
      <c r="D521" s="307"/>
      <c r="E521" s="307"/>
      <c r="F521" s="307"/>
      <c r="M521" s="123"/>
      <c r="N521" s="123"/>
      <c r="O521" s="123"/>
      <c r="P521" s="123"/>
      <c r="Q521" s="123"/>
      <c r="R521" s="123"/>
      <c r="S521" s="123"/>
      <c r="T521" s="123"/>
      <c r="U521" s="123"/>
      <c r="V521" s="123"/>
      <c r="W521" s="123"/>
      <c r="X521" s="123"/>
      <c r="Y521" s="123"/>
      <c r="Z521" s="123"/>
    </row>
    <row r="522" spans="2:26" s="235" customFormat="1" ht="13.8">
      <c r="B522" s="307"/>
      <c r="C522" s="307"/>
      <c r="D522" s="307"/>
      <c r="E522" s="307"/>
      <c r="F522" s="307"/>
      <c r="M522" s="123"/>
      <c r="N522" s="123"/>
      <c r="O522" s="123"/>
      <c r="P522" s="123"/>
      <c r="Q522" s="123"/>
      <c r="R522" s="123"/>
      <c r="S522" s="123"/>
      <c r="T522" s="123"/>
      <c r="U522" s="123"/>
      <c r="V522" s="123"/>
      <c r="W522" s="123"/>
      <c r="X522" s="123"/>
      <c r="Y522" s="123"/>
      <c r="Z522" s="123"/>
    </row>
    <row r="523" spans="2:26" s="235" customFormat="1" ht="13.8">
      <c r="B523" s="307"/>
      <c r="C523" s="307"/>
      <c r="D523" s="307"/>
      <c r="E523" s="307"/>
      <c r="F523" s="307"/>
      <c r="M523" s="123"/>
      <c r="N523" s="123"/>
      <c r="O523" s="123"/>
      <c r="P523" s="123"/>
      <c r="Q523" s="123"/>
      <c r="R523" s="123"/>
      <c r="S523" s="123"/>
      <c r="T523" s="123"/>
      <c r="U523" s="123"/>
      <c r="V523" s="123"/>
      <c r="W523" s="123"/>
      <c r="X523" s="123"/>
      <c r="Y523" s="123"/>
      <c r="Z523" s="123"/>
    </row>
    <row r="524" spans="2:26" s="235" customFormat="1" ht="13.8">
      <c r="B524" s="307"/>
      <c r="C524" s="307"/>
      <c r="D524" s="307"/>
      <c r="E524" s="307"/>
      <c r="F524" s="307"/>
      <c r="M524" s="123"/>
      <c r="N524" s="123"/>
      <c r="O524" s="123"/>
      <c r="P524" s="123"/>
      <c r="Q524" s="123"/>
      <c r="R524" s="123"/>
      <c r="S524" s="123"/>
      <c r="T524" s="123"/>
      <c r="U524" s="123"/>
      <c r="V524" s="123"/>
      <c r="W524" s="123"/>
      <c r="X524" s="123"/>
      <c r="Y524" s="123"/>
      <c r="Z524" s="123"/>
    </row>
    <row r="525" spans="2:26" s="235" customFormat="1" ht="13.8">
      <c r="B525" s="307"/>
      <c r="C525" s="307"/>
      <c r="D525" s="307"/>
      <c r="E525" s="307"/>
      <c r="F525" s="307"/>
      <c r="M525" s="123"/>
      <c r="N525" s="123"/>
      <c r="O525" s="123"/>
      <c r="P525" s="123"/>
      <c r="Q525" s="123"/>
      <c r="R525" s="123"/>
      <c r="S525" s="123"/>
      <c r="T525" s="123"/>
      <c r="U525" s="123"/>
      <c r="V525" s="123"/>
      <c r="W525" s="123"/>
      <c r="X525" s="123"/>
      <c r="Y525" s="123"/>
      <c r="Z525" s="123"/>
    </row>
    <row r="526" spans="2:26" s="235" customFormat="1" ht="13.8">
      <c r="B526" s="307"/>
      <c r="C526" s="307"/>
      <c r="D526" s="307"/>
      <c r="E526" s="307"/>
      <c r="F526" s="307"/>
      <c r="M526" s="123"/>
      <c r="N526" s="123"/>
      <c r="O526" s="123"/>
      <c r="P526" s="123"/>
      <c r="Q526" s="123"/>
      <c r="R526" s="123"/>
      <c r="S526" s="123"/>
      <c r="T526" s="123"/>
      <c r="U526" s="123"/>
      <c r="V526" s="123"/>
      <c r="W526" s="123"/>
      <c r="X526" s="123"/>
      <c r="Y526" s="123"/>
      <c r="Z526" s="123"/>
    </row>
    <row r="527" spans="2:26" s="235" customFormat="1" ht="13.8">
      <c r="B527" s="307"/>
      <c r="C527" s="307"/>
      <c r="D527" s="307"/>
      <c r="E527" s="307"/>
      <c r="F527" s="307"/>
      <c r="M527" s="123"/>
      <c r="N527" s="123"/>
      <c r="O527" s="123"/>
      <c r="P527" s="123"/>
      <c r="Q527" s="123"/>
      <c r="R527" s="123"/>
      <c r="S527" s="123"/>
      <c r="T527" s="123"/>
      <c r="U527" s="123"/>
      <c r="V527" s="123"/>
      <c r="W527" s="123"/>
      <c r="X527" s="123"/>
      <c r="Y527" s="123"/>
      <c r="Z527" s="123"/>
    </row>
    <row r="528" spans="2:26" s="235" customFormat="1" ht="13.8">
      <c r="B528" s="307"/>
      <c r="C528" s="307"/>
      <c r="D528" s="307"/>
      <c r="E528" s="307"/>
      <c r="F528" s="307"/>
      <c r="M528" s="123"/>
      <c r="N528" s="123"/>
      <c r="O528" s="123"/>
      <c r="P528" s="123"/>
      <c r="Q528" s="123"/>
      <c r="R528" s="123"/>
      <c r="S528" s="123"/>
      <c r="T528" s="123"/>
      <c r="U528" s="123"/>
      <c r="V528" s="123"/>
      <c r="W528" s="123"/>
      <c r="X528" s="123"/>
      <c r="Y528" s="123"/>
      <c r="Z528" s="123"/>
    </row>
    <row r="529" spans="2:26" s="235" customFormat="1" ht="13.8">
      <c r="B529" s="307"/>
      <c r="C529" s="307"/>
      <c r="D529" s="307"/>
      <c r="E529" s="307"/>
      <c r="F529" s="307"/>
      <c r="M529" s="123"/>
      <c r="N529" s="123"/>
      <c r="O529" s="123"/>
      <c r="P529" s="123"/>
      <c r="Q529" s="123"/>
      <c r="R529" s="123"/>
      <c r="S529" s="123"/>
      <c r="T529" s="123"/>
      <c r="U529" s="123"/>
      <c r="V529" s="123"/>
      <c r="W529" s="123"/>
      <c r="X529" s="123"/>
      <c r="Y529" s="123"/>
      <c r="Z529" s="123"/>
    </row>
    <row r="530" spans="2:26" s="235" customFormat="1" ht="13.8">
      <c r="B530" s="307"/>
      <c r="C530" s="307"/>
      <c r="D530" s="307"/>
      <c r="E530" s="307"/>
      <c r="F530" s="307"/>
      <c r="M530" s="123"/>
      <c r="N530" s="123"/>
      <c r="O530" s="123"/>
      <c r="P530" s="123"/>
      <c r="Q530" s="123"/>
      <c r="R530" s="123"/>
      <c r="S530" s="123"/>
      <c r="T530" s="123"/>
      <c r="U530" s="123"/>
      <c r="V530" s="123"/>
      <c r="W530" s="123"/>
      <c r="X530" s="123"/>
      <c r="Y530" s="123"/>
      <c r="Z530" s="123"/>
    </row>
    <row r="531" spans="2:26" s="235" customFormat="1" ht="13.8">
      <c r="B531" s="307"/>
      <c r="C531" s="307"/>
      <c r="D531" s="307"/>
      <c r="E531" s="307"/>
      <c r="F531" s="307"/>
      <c r="M531" s="123"/>
      <c r="N531" s="123"/>
      <c r="O531" s="123"/>
      <c r="P531" s="123"/>
      <c r="Q531" s="123"/>
      <c r="R531" s="123"/>
      <c r="S531" s="123"/>
      <c r="T531" s="123"/>
      <c r="U531" s="123"/>
      <c r="V531" s="123"/>
      <c r="W531" s="123"/>
      <c r="X531" s="123"/>
      <c r="Y531" s="123"/>
      <c r="Z531" s="123"/>
    </row>
    <row r="532" spans="2:26" s="235" customFormat="1" ht="13.8">
      <c r="B532" s="307"/>
      <c r="C532" s="307"/>
      <c r="D532" s="307"/>
      <c r="E532" s="307"/>
      <c r="F532" s="307"/>
      <c r="M532" s="123"/>
      <c r="N532" s="123"/>
      <c r="O532" s="123"/>
      <c r="P532" s="123"/>
      <c r="Q532" s="123"/>
      <c r="R532" s="123"/>
      <c r="S532" s="123"/>
      <c r="T532" s="123"/>
      <c r="U532" s="123"/>
      <c r="V532" s="123"/>
      <c r="W532" s="123"/>
      <c r="X532" s="123"/>
      <c r="Y532" s="123"/>
      <c r="Z532" s="123"/>
    </row>
    <row r="533" spans="2:26" s="235" customFormat="1" ht="13.8">
      <c r="B533" s="307"/>
      <c r="C533" s="307"/>
      <c r="D533" s="307"/>
      <c r="E533" s="307"/>
      <c r="F533" s="307"/>
      <c r="M533" s="123"/>
      <c r="N533" s="123"/>
      <c r="O533" s="123"/>
      <c r="P533" s="123"/>
      <c r="Q533" s="123"/>
      <c r="R533" s="123"/>
      <c r="S533" s="123"/>
      <c r="T533" s="123"/>
      <c r="U533" s="123"/>
      <c r="V533" s="123"/>
      <c r="W533" s="123"/>
      <c r="X533" s="123"/>
      <c r="Y533" s="123"/>
      <c r="Z533" s="123"/>
    </row>
    <row r="534" spans="2:26" s="235" customFormat="1" ht="13.8">
      <c r="B534" s="307"/>
      <c r="C534" s="307"/>
      <c r="D534" s="307"/>
      <c r="E534" s="307"/>
      <c r="F534" s="307"/>
      <c r="M534" s="123"/>
      <c r="N534" s="123"/>
      <c r="O534" s="123"/>
      <c r="P534" s="123"/>
      <c r="Q534" s="123"/>
      <c r="R534" s="123"/>
      <c r="S534" s="123"/>
      <c r="T534" s="123"/>
      <c r="U534" s="123"/>
      <c r="V534" s="123"/>
      <c r="W534" s="123"/>
      <c r="X534" s="123"/>
      <c r="Y534" s="123"/>
      <c r="Z534" s="123"/>
    </row>
    <row r="535" spans="2:26" s="235" customFormat="1" ht="13.8">
      <c r="B535" s="307"/>
      <c r="C535" s="307"/>
      <c r="D535" s="307"/>
      <c r="E535" s="307"/>
      <c r="F535" s="307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</row>
    <row r="536" spans="2:26" s="235" customFormat="1" ht="13.8">
      <c r="B536" s="307"/>
      <c r="C536" s="307"/>
      <c r="D536" s="307"/>
      <c r="E536" s="307"/>
      <c r="F536" s="307"/>
      <c r="M536" s="123"/>
      <c r="N536" s="123"/>
      <c r="O536" s="123"/>
      <c r="P536" s="123"/>
      <c r="Q536" s="123"/>
      <c r="R536" s="123"/>
      <c r="S536" s="123"/>
      <c r="T536" s="123"/>
      <c r="U536" s="123"/>
      <c r="V536" s="123"/>
      <c r="W536" s="123"/>
      <c r="X536" s="123"/>
      <c r="Y536" s="123"/>
      <c r="Z536" s="123"/>
    </row>
    <row r="537" spans="2:26" s="235" customFormat="1" ht="13.8">
      <c r="B537" s="307"/>
      <c r="C537" s="307"/>
      <c r="D537" s="307"/>
      <c r="E537" s="307"/>
      <c r="F537" s="307"/>
      <c r="M537" s="123"/>
      <c r="N537" s="123"/>
      <c r="O537" s="123"/>
      <c r="P537" s="123"/>
      <c r="Q537" s="123"/>
      <c r="R537" s="123"/>
      <c r="S537" s="123"/>
      <c r="T537" s="123"/>
      <c r="U537" s="123"/>
      <c r="V537" s="123"/>
      <c r="W537" s="123"/>
      <c r="X537" s="123"/>
      <c r="Y537" s="123"/>
      <c r="Z537" s="123"/>
    </row>
    <row r="538" spans="2:26" s="235" customFormat="1" ht="13.8">
      <c r="B538" s="307"/>
      <c r="C538" s="307"/>
      <c r="D538" s="307"/>
      <c r="E538" s="307"/>
      <c r="F538" s="307"/>
      <c r="M538" s="123"/>
      <c r="N538" s="123"/>
      <c r="O538" s="123"/>
      <c r="P538" s="123"/>
      <c r="Q538" s="123"/>
      <c r="R538" s="123"/>
      <c r="S538" s="123"/>
      <c r="T538" s="123"/>
      <c r="U538" s="123"/>
      <c r="V538" s="123"/>
      <c r="W538" s="123"/>
      <c r="X538" s="123"/>
      <c r="Y538" s="123"/>
      <c r="Z538" s="123"/>
    </row>
    <row r="539" spans="2:26" s="235" customFormat="1" ht="13.8">
      <c r="B539" s="307"/>
      <c r="C539" s="307"/>
      <c r="D539" s="307"/>
      <c r="E539" s="307"/>
      <c r="F539" s="307"/>
      <c r="M539" s="123"/>
      <c r="N539" s="123"/>
      <c r="O539" s="123"/>
      <c r="P539" s="123"/>
      <c r="Q539" s="123"/>
      <c r="R539" s="123"/>
      <c r="S539" s="123"/>
      <c r="T539" s="123"/>
      <c r="U539" s="123"/>
      <c r="V539" s="123"/>
      <c r="W539" s="123"/>
      <c r="X539" s="123"/>
      <c r="Y539" s="123"/>
      <c r="Z539" s="123"/>
    </row>
    <row r="540" spans="2:26" s="235" customFormat="1" ht="13.8">
      <c r="B540" s="307"/>
      <c r="C540" s="307"/>
      <c r="D540" s="307"/>
      <c r="E540" s="307"/>
      <c r="F540" s="307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  <c r="Z540" s="123"/>
    </row>
    <row r="541" spans="2:26" s="235" customFormat="1" ht="13.8">
      <c r="B541" s="307"/>
      <c r="C541" s="307"/>
      <c r="D541" s="307"/>
      <c r="E541" s="307"/>
      <c r="F541" s="307"/>
      <c r="M541" s="123"/>
      <c r="N541" s="123"/>
      <c r="O541" s="123"/>
      <c r="P541" s="123"/>
      <c r="Q541" s="123"/>
      <c r="R541" s="123"/>
      <c r="S541" s="123"/>
      <c r="T541" s="123"/>
      <c r="U541" s="123"/>
      <c r="V541" s="123"/>
      <c r="W541" s="123"/>
      <c r="X541" s="123"/>
      <c r="Y541" s="123"/>
      <c r="Z541" s="123"/>
    </row>
    <row r="542" spans="2:26" s="235" customFormat="1" ht="13.8">
      <c r="B542" s="307"/>
      <c r="C542" s="307"/>
      <c r="D542" s="307"/>
      <c r="E542" s="307"/>
      <c r="F542" s="307"/>
      <c r="M542" s="123"/>
      <c r="N542" s="123"/>
      <c r="O542" s="123"/>
      <c r="P542" s="123"/>
      <c r="Q542" s="123"/>
      <c r="R542" s="123"/>
      <c r="S542" s="123"/>
      <c r="T542" s="123"/>
      <c r="U542" s="123"/>
      <c r="V542" s="123"/>
      <c r="W542" s="123"/>
      <c r="X542" s="123"/>
      <c r="Y542" s="123"/>
      <c r="Z542" s="123"/>
    </row>
    <row r="543" spans="2:26" s="235" customFormat="1" ht="13.8">
      <c r="B543" s="307"/>
      <c r="C543" s="307"/>
      <c r="D543" s="307"/>
      <c r="E543" s="307"/>
      <c r="F543" s="307"/>
      <c r="M543" s="123"/>
      <c r="N543" s="123"/>
      <c r="O543" s="123"/>
      <c r="P543" s="123"/>
      <c r="Q543" s="123"/>
      <c r="R543" s="123"/>
      <c r="S543" s="123"/>
      <c r="T543" s="123"/>
      <c r="U543" s="123"/>
      <c r="V543" s="123"/>
      <c r="W543" s="123"/>
      <c r="X543" s="123"/>
      <c r="Y543" s="123"/>
      <c r="Z543" s="123"/>
    </row>
    <row r="544" spans="2:26" s="235" customFormat="1" ht="13.8">
      <c r="B544" s="307"/>
      <c r="C544" s="307"/>
      <c r="D544" s="307"/>
      <c r="E544" s="307"/>
      <c r="F544" s="307"/>
      <c r="M544" s="123"/>
      <c r="N544" s="123"/>
      <c r="O544" s="123"/>
      <c r="P544" s="123"/>
      <c r="Q544" s="123"/>
      <c r="R544" s="123"/>
      <c r="S544" s="123"/>
      <c r="T544" s="123"/>
      <c r="U544" s="123"/>
      <c r="V544" s="123"/>
      <c r="W544" s="123"/>
      <c r="X544" s="123"/>
      <c r="Y544" s="123"/>
      <c r="Z544" s="123"/>
    </row>
    <row r="545" spans="2:26" s="235" customFormat="1" ht="13.8">
      <c r="B545" s="307"/>
      <c r="C545" s="307"/>
      <c r="D545" s="307"/>
      <c r="E545" s="307"/>
      <c r="F545" s="307"/>
      <c r="M545" s="123"/>
      <c r="N545" s="123"/>
      <c r="O545" s="123"/>
      <c r="P545" s="123"/>
      <c r="Q545" s="123"/>
      <c r="R545" s="123"/>
      <c r="S545" s="123"/>
      <c r="T545" s="123"/>
      <c r="U545" s="123"/>
      <c r="V545" s="123"/>
      <c r="W545" s="123"/>
      <c r="X545" s="123"/>
      <c r="Y545" s="123"/>
      <c r="Z545" s="123"/>
    </row>
    <row r="546" spans="2:26" s="235" customFormat="1" ht="13.8">
      <c r="B546" s="307"/>
      <c r="C546" s="307"/>
      <c r="D546" s="307"/>
      <c r="E546" s="307"/>
      <c r="F546" s="307"/>
      <c r="M546" s="123"/>
      <c r="N546" s="123"/>
      <c r="O546" s="123"/>
      <c r="P546" s="123"/>
      <c r="Q546" s="123"/>
      <c r="R546" s="123"/>
      <c r="S546" s="123"/>
      <c r="T546" s="123"/>
      <c r="U546" s="123"/>
      <c r="V546" s="123"/>
      <c r="W546" s="123"/>
      <c r="X546" s="123"/>
      <c r="Y546" s="123"/>
      <c r="Z546" s="123"/>
    </row>
    <row r="547" spans="2:26" s="235" customFormat="1" ht="13.8">
      <c r="B547" s="307"/>
      <c r="C547" s="307"/>
      <c r="D547" s="307"/>
      <c r="E547" s="307"/>
      <c r="F547" s="307"/>
      <c r="M547" s="123"/>
      <c r="N547" s="123"/>
      <c r="O547" s="123"/>
      <c r="P547" s="123"/>
      <c r="Q547" s="123"/>
      <c r="R547" s="123"/>
      <c r="S547" s="123"/>
      <c r="T547" s="123"/>
      <c r="U547" s="123"/>
      <c r="V547" s="123"/>
      <c r="W547" s="123"/>
      <c r="X547" s="123"/>
      <c r="Y547" s="123"/>
      <c r="Z547" s="123"/>
    </row>
    <row r="548" spans="2:26" s="235" customFormat="1" ht="13.8">
      <c r="B548" s="307"/>
      <c r="C548" s="307"/>
      <c r="D548" s="307"/>
      <c r="E548" s="307"/>
      <c r="F548" s="307"/>
      <c r="M548" s="123"/>
      <c r="N548" s="123"/>
      <c r="O548" s="123"/>
      <c r="P548" s="123"/>
      <c r="Q548" s="123"/>
      <c r="R548" s="123"/>
      <c r="S548" s="123"/>
      <c r="T548" s="123"/>
      <c r="U548" s="123"/>
      <c r="V548" s="123"/>
      <c r="W548" s="123"/>
      <c r="X548" s="123"/>
      <c r="Y548" s="123"/>
      <c r="Z548" s="123"/>
    </row>
    <row r="549" spans="2:26" s="235" customFormat="1" ht="13.8">
      <c r="B549" s="307"/>
      <c r="C549" s="307"/>
      <c r="D549" s="307"/>
      <c r="E549" s="307"/>
      <c r="F549" s="307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  <c r="Z549" s="123"/>
    </row>
    <row r="550" spans="2:26" s="235" customFormat="1" ht="13.8">
      <c r="B550" s="307"/>
      <c r="C550" s="307"/>
      <c r="D550" s="307"/>
      <c r="E550" s="307"/>
      <c r="F550" s="307"/>
      <c r="M550" s="123"/>
      <c r="N550" s="123"/>
      <c r="O550" s="123"/>
      <c r="P550" s="123"/>
      <c r="Q550" s="123"/>
      <c r="R550" s="123"/>
      <c r="S550" s="123"/>
      <c r="T550" s="123"/>
      <c r="U550" s="123"/>
      <c r="V550" s="123"/>
      <c r="W550" s="123"/>
      <c r="X550" s="123"/>
      <c r="Y550" s="123"/>
      <c r="Z550" s="123"/>
    </row>
    <row r="551" spans="2:26" s="235" customFormat="1" ht="13.8">
      <c r="B551" s="307"/>
      <c r="C551" s="307"/>
      <c r="D551" s="307"/>
      <c r="E551" s="307"/>
      <c r="F551" s="307"/>
      <c r="M551" s="123"/>
      <c r="N551" s="123"/>
      <c r="O551" s="123"/>
      <c r="P551" s="123"/>
      <c r="Q551" s="123"/>
      <c r="R551" s="123"/>
      <c r="S551" s="123"/>
      <c r="T551" s="123"/>
      <c r="U551" s="123"/>
      <c r="V551" s="123"/>
      <c r="W551" s="123"/>
      <c r="X551" s="123"/>
      <c r="Y551" s="123"/>
      <c r="Z551" s="123"/>
    </row>
    <row r="552" spans="2:26" s="235" customFormat="1" ht="13.8">
      <c r="B552" s="307"/>
      <c r="C552" s="307"/>
      <c r="D552" s="307"/>
      <c r="E552" s="307"/>
      <c r="F552" s="307"/>
      <c r="M552" s="123"/>
      <c r="N552" s="123"/>
      <c r="O552" s="123"/>
      <c r="P552" s="123"/>
      <c r="Q552" s="123"/>
      <c r="R552" s="123"/>
      <c r="S552" s="123"/>
      <c r="T552" s="123"/>
      <c r="U552" s="123"/>
      <c r="V552" s="123"/>
      <c r="W552" s="123"/>
      <c r="X552" s="123"/>
      <c r="Y552" s="123"/>
      <c r="Z552" s="123"/>
    </row>
    <row r="553" spans="2:26" s="235" customFormat="1" ht="13.8">
      <c r="B553" s="307"/>
      <c r="C553" s="307"/>
      <c r="D553" s="307"/>
      <c r="E553" s="307"/>
      <c r="F553" s="307"/>
      <c r="M553" s="123"/>
      <c r="N553" s="123"/>
      <c r="O553" s="123"/>
      <c r="P553" s="123"/>
      <c r="Q553" s="123"/>
      <c r="R553" s="123"/>
      <c r="S553" s="123"/>
      <c r="T553" s="123"/>
      <c r="U553" s="123"/>
      <c r="V553" s="123"/>
      <c r="W553" s="123"/>
      <c r="X553" s="123"/>
      <c r="Y553" s="123"/>
      <c r="Z553" s="123"/>
    </row>
    <row r="554" spans="2:26" s="235" customFormat="1" ht="13.8">
      <c r="B554" s="307"/>
      <c r="C554" s="307"/>
      <c r="D554" s="307"/>
      <c r="E554" s="307"/>
      <c r="F554" s="307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</row>
    <row r="555" spans="2:26" s="235" customFormat="1" ht="13.8">
      <c r="B555" s="307"/>
      <c r="C555" s="307"/>
      <c r="D555" s="307"/>
      <c r="E555" s="307"/>
      <c r="F555" s="307"/>
      <c r="M555" s="123"/>
      <c r="N555" s="123"/>
      <c r="O555" s="123"/>
      <c r="P555" s="123"/>
      <c r="Q555" s="123"/>
      <c r="R555" s="123"/>
      <c r="S555" s="123"/>
      <c r="T555" s="123"/>
      <c r="U555" s="123"/>
      <c r="V555" s="123"/>
      <c r="W555" s="123"/>
      <c r="X555" s="123"/>
      <c r="Y555" s="123"/>
      <c r="Z555" s="123"/>
    </row>
    <row r="556" spans="2:26" s="235" customFormat="1" ht="13.8">
      <c r="B556" s="307"/>
      <c r="C556" s="307"/>
      <c r="D556" s="307"/>
      <c r="E556" s="307"/>
      <c r="F556" s="307"/>
      <c r="M556" s="123"/>
      <c r="N556" s="123"/>
      <c r="O556" s="123"/>
      <c r="P556" s="123"/>
      <c r="Q556" s="123"/>
      <c r="R556" s="123"/>
      <c r="S556" s="123"/>
      <c r="T556" s="123"/>
      <c r="U556" s="123"/>
      <c r="V556" s="123"/>
      <c r="W556" s="123"/>
      <c r="X556" s="123"/>
      <c r="Y556" s="123"/>
      <c r="Z556" s="123"/>
    </row>
    <row r="557" spans="2:26" s="235" customFormat="1" ht="13.8">
      <c r="B557" s="307"/>
      <c r="C557" s="307"/>
      <c r="D557" s="307"/>
      <c r="E557" s="307"/>
      <c r="F557" s="307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</row>
    <row r="558" spans="2:26" s="235" customFormat="1" ht="13.8">
      <c r="B558" s="307"/>
      <c r="C558" s="307"/>
      <c r="D558" s="307"/>
      <c r="E558" s="307"/>
      <c r="F558" s="307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</row>
    <row r="559" spans="2:26" s="235" customFormat="1" ht="13.8">
      <c r="B559" s="307"/>
      <c r="C559" s="307"/>
      <c r="D559" s="307"/>
      <c r="E559" s="307"/>
      <c r="F559" s="307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</row>
    <row r="560" spans="2:26" s="235" customFormat="1" ht="13.8">
      <c r="B560" s="307"/>
      <c r="C560" s="307"/>
      <c r="D560" s="307"/>
      <c r="E560" s="307"/>
      <c r="F560" s="307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</row>
    <row r="561" spans="2:26" s="235" customFormat="1" ht="13.8">
      <c r="B561" s="307"/>
      <c r="C561" s="307"/>
      <c r="D561" s="307"/>
      <c r="E561" s="307"/>
      <c r="F561" s="307"/>
      <c r="M561" s="123"/>
      <c r="N561" s="123"/>
      <c r="O561" s="123"/>
      <c r="P561" s="123"/>
      <c r="Q561" s="123"/>
      <c r="R561" s="123"/>
      <c r="S561" s="123"/>
      <c r="T561" s="123"/>
      <c r="U561" s="123"/>
      <c r="V561" s="123"/>
      <c r="W561" s="123"/>
      <c r="X561" s="123"/>
      <c r="Y561" s="123"/>
      <c r="Z561" s="123"/>
    </row>
    <row r="562" spans="2:26" s="235" customFormat="1" ht="13.8">
      <c r="B562" s="307"/>
      <c r="C562" s="307"/>
      <c r="D562" s="307"/>
      <c r="E562" s="307"/>
      <c r="F562" s="307"/>
      <c r="M562" s="123"/>
      <c r="N562" s="123"/>
      <c r="O562" s="123"/>
      <c r="P562" s="123"/>
      <c r="Q562" s="123"/>
      <c r="R562" s="123"/>
      <c r="S562" s="123"/>
      <c r="T562" s="123"/>
      <c r="U562" s="123"/>
      <c r="V562" s="123"/>
      <c r="W562" s="123"/>
      <c r="X562" s="123"/>
      <c r="Y562" s="123"/>
      <c r="Z562" s="123"/>
    </row>
    <row r="563" spans="2:26" s="235" customFormat="1" ht="13.8">
      <c r="B563" s="307"/>
      <c r="C563" s="307"/>
      <c r="D563" s="307"/>
      <c r="E563" s="307"/>
      <c r="F563" s="307"/>
      <c r="M563" s="123"/>
      <c r="N563" s="123"/>
      <c r="O563" s="123"/>
      <c r="P563" s="123"/>
      <c r="Q563" s="123"/>
      <c r="R563" s="123"/>
      <c r="S563" s="123"/>
      <c r="T563" s="123"/>
      <c r="U563" s="123"/>
      <c r="V563" s="123"/>
      <c r="W563" s="123"/>
      <c r="X563" s="123"/>
      <c r="Y563" s="123"/>
      <c r="Z563" s="123"/>
    </row>
    <row r="564" spans="2:26" s="235" customFormat="1" ht="13.8">
      <c r="B564" s="307"/>
      <c r="C564" s="307"/>
      <c r="D564" s="307"/>
      <c r="E564" s="307"/>
      <c r="F564" s="307"/>
      <c r="M564" s="123"/>
      <c r="N564" s="123"/>
      <c r="O564" s="123"/>
      <c r="P564" s="123"/>
      <c r="Q564" s="123"/>
      <c r="R564" s="123"/>
      <c r="S564" s="123"/>
      <c r="T564" s="123"/>
      <c r="U564" s="123"/>
      <c r="V564" s="123"/>
      <c r="W564" s="123"/>
      <c r="X564" s="123"/>
      <c r="Y564" s="123"/>
      <c r="Z564" s="123"/>
    </row>
    <row r="565" spans="2:26" s="235" customFormat="1" ht="13.8">
      <c r="B565" s="307"/>
      <c r="C565" s="307"/>
      <c r="D565" s="307"/>
      <c r="E565" s="307"/>
      <c r="F565" s="307"/>
      <c r="M565" s="123"/>
      <c r="N565" s="123"/>
      <c r="O565" s="123"/>
      <c r="P565" s="123"/>
      <c r="Q565" s="123"/>
      <c r="R565" s="123"/>
      <c r="S565" s="123"/>
      <c r="T565" s="123"/>
      <c r="U565" s="123"/>
      <c r="V565" s="123"/>
      <c r="W565" s="123"/>
      <c r="X565" s="123"/>
      <c r="Y565" s="123"/>
      <c r="Z565" s="123"/>
    </row>
    <row r="566" spans="2:26" s="235" customFormat="1" ht="13.8">
      <c r="B566" s="307"/>
      <c r="C566" s="307"/>
      <c r="D566" s="307"/>
      <c r="E566" s="307"/>
      <c r="F566" s="307"/>
      <c r="M566" s="123"/>
      <c r="N566" s="123"/>
      <c r="O566" s="123"/>
      <c r="P566" s="123"/>
      <c r="Q566" s="123"/>
      <c r="R566" s="123"/>
      <c r="S566" s="123"/>
      <c r="T566" s="123"/>
      <c r="U566" s="123"/>
      <c r="V566" s="123"/>
      <c r="W566" s="123"/>
      <c r="X566" s="123"/>
      <c r="Y566" s="123"/>
      <c r="Z566" s="123"/>
    </row>
    <row r="567" spans="2:26" s="235" customFormat="1" ht="13.8">
      <c r="B567" s="307"/>
      <c r="C567" s="307"/>
      <c r="D567" s="307"/>
      <c r="E567" s="307"/>
      <c r="F567" s="307"/>
      <c r="M567" s="123"/>
      <c r="N567" s="123"/>
      <c r="O567" s="123"/>
      <c r="P567" s="123"/>
      <c r="Q567" s="123"/>
      <c r="R567" s="123"/>
      <c r="S567" s="123"/>
      <c r="T567" s="123"/>
      <c r="U567" s="123"/>
      <c r="V567" s="123"/>
      <c r="W567" s="123"/>
      <c r="X567" s="123"/>
      <c r="Y567" s="123"/>
      <c r="Z567" s="123"/>
    </row>
    <row r="568" spans="2:26" s="235" customFormat="1" ht="13.8">
      <c r="B568" s="307"/>
      <c r="C568" s="307"/>
      <c r="D568" s="307"/>
      <c r="E568" s="307"/>
      <c r="F568" s="307"/>
      <c r="M568" s="123"/>
      <c r="N568" s="123"/>
      <c r="O568" s="123"/>
      <c r="P568" s="123"/>
      <c r="Q568" s="123"/>
      <c r="R568" s="123"/>
      <c r="S568" s="123"/>
      <c r="T568" s="123"/>
      <c r="U568" s="123"/>
      <c r="V568" s="123"/>
      <c r="W568" s="123"/>
      <c r="X568" s="123"/>
      <c r="Y568" s="123"/>
      <c r="Z568" s="123"/>
    </row>
    <row r="569" spans="2:26" s="235" customFormat="1" ht="13.8">
      <c r="B569" s="307"/>
      <c r="C569" s="307"/>
      <c r="D569" s="307"/>
      <c r="E569" s="307"/>
      <c r="F569" s="307"/>
      <c r="M569" s="123"/>
      <c r="N569" s="123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  <c r="Y569" s="123"/>
      <c r="Z569" s="123"/>
    </row>
    <row r="570" spans="2:26" s="235" customFormat="1" ht="13.8">
      <c r="B570" s="307"/>
      <c r="C570" s="307"/>
      <c r="D570" s="307"/>
      <c r="E570" s="307"/>
      <c r="F570" s="307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  <c r="Z570" s="123"/>
    </row>
    <row r="571" spans="2:26" s="235" customFormat="1" ht="13.8">
      <c r="B571" s="307"/>
      <c r="C571" s="307"/>
      <c r="D571" s="307"/>
      <c r="E571" s="307"/>
      <c r="F571" s="307"/>
      <c r="M571" s="123"/>
      <c r="N571" s="123"/>
      <c r="O571" s="123"/>
      <c r="P571" s="123"/>
      <c r="Q571" s="123"/>
      <c r="R571" s="123"/>
      <c r="S571" s="123"/>
      <c r="T571" s="123"/>
      <c r="U571" s="123"/>
      <c r="V571" s="123"/>
      <c r="W571" s="123"/>
      <c r="X571" s="123"/>
      <c r="Y571" s="123"/>
      <c r="Z571" s="123"/>
    </row>
    <row r="572" spans="2:26" s="235" customFormat="1" ht="13.8">
      <c r="B572" s="307"/>
      <c r="C572" s="307"/>
      <c r="D572" s="307"/>
      <c r="E572" s="307"/>
      <c r="F572" s="307"/>
      <c r="M572" s="123"/>
      <c r="N572" s="123"/>
      <c r="O572" s="123"/>
      <c r="P572" s="123"/>
      <c r="Q572" s="123"/>
      <c r="R572" s="123"/>
      <c r="S572" s="123"/>
      <c r="T572" s="123"/>
      <c r="U572" s="123"/>
      <c r="V572" s="123"/>
      <c r="W572" s="123"/>
      <c r="X572" s="123"/>
      <c r="Y572" s="123"/>
      <c r="Z572" s="123"/>
    </row>
    <row r="573" spans="2:26" s="235" customFormat="1" ht="13.8">
      <c r="B573" s="307"/>
      <c r="C573" s="307"/>
      <c r="D573" s="307"/>
      <c r="E573" s="307"/>
      <c r="F573" s="307"/>
      <c r="M573" s="123"/>
      <c r="N573" s="123"/>
      <c r="O573" s="123"/>
      <c r="P573" s="123"/>
      <c r="Q573" s="123"/>
      <c r="R573" s="123"/>
      <c r="S573" s="123"/>
      <c r="T573" s="123"/>
      <c r="U573" s="123"/>
      <c r="V573" s="123"/>
      <c r="W573" s="123"/>
      <c r="X573" s="123"/>
      <c r="Y573" s="123"/>
      <c r="Z573" s="123"/>
    </row>
    <row r="574" spans="2:26" s="235" customFormat="1" ht="13.8">
      <c r="B574" s="307"/>
      <c r="C574" s="307"/>
      <c r="D574" s="307"/>
      <c r="E574" s="307"/>
      <c r="F574" s="307"/>
      <c r="M574" s="123"/>
      <c r="N574" s="123"/>
      <c r="O574" s="123"/>
      <c r="P574" s="123"/>
      <c r="Q574" s="123"/>
      <c r="R574" s="123"/>
      <c r="S574" s="123"/>
      <c r="T574" s="123"/>
      <c r="U574" s="123"/>
      <c r="V574" s="123"/>
      <c r="W574" s="123"/>
      <c r="X574" s="123"/>
      <c r="Y574" s="123"/>
      <c r="Z574" s="123"/>
    </row>
    <row r="575" spans="2:26" s="235" customFormat="1" ht="13.8">
      <c r="B575" s="307"/>
      <c r="C575" s="307"/>
      <c r="D575" s="307"/>
      <c r="E575" s="307"/>
      <c r="F575" s="307"/>
      <c r="M575" s="123"/>
      <c r="N575" s="123"/>
      <c r="O575" s="123"/>
      <c r="P575" s="123"/>
      <c r="Q575" s="123"/>
      <c r="R575" s="123"/>
      <c r="S575" s="123"/>
      <c r="T575" s="123"/>
      <c r="U575" s="123"/>
      <c r="V575" s="123"/>
      <c r="W575" s="123"/>
      <c r="X575" s="123"/>
      <c r="Y575" s="123"/>
      <c r="Z575" s="123"/>
    </row>
    <row r="576" spans="2:26" s="235" customFormat="1" ht="13.8">
      <c r="B576" s="307"/>
      <c r="C576" s="307"/>
      <c r="D576" s="307"/>
      <c r="E576" s="307"/>
      <c r="F576" s="307"/>
      <c r="M576" s="123"/>
      <c r="N576" s="123"/>
      <c r="O576" s="123"/>
      <c r="P576" s="123"/>
      <c r="Q576" s="123"/>
      <c r="R576" s="123"/>
      <c r="S576" s="123"/>
      <c r="T576" s="123"/>
      <c r="U576" s="123"/>
      <c r="V576" s="123"/>
      <c r="W576" s="123"/>
      <c r="X576" s="123"/>
      <c r="Y576" s="123"/>
      <c r="Z576" s="123"/>
    </row>
    <row r="577" spans="2:26" s="235" customFormat="1" ht="13.8">
      <c r="B577" s="307"/>
      <c r="C577" s="307"/>
      <c r="D577" s="307"/>
      <c r="E577" s="307"/>
      <c r="F577" s="307"/>
      <c r="M577" s="123"/>
      <c r="N577" s="123"/>
      <c r="O577" s="123"/>
      <c r="P577" s="123"/>
      <c r="Q577" s="123"/>
      <c r="R577" s="123"/>
      <c r="S577" s="123"/>
      <c r="T577" s="123"/>
      <c r="U577" s="123"/>
      <c r="V577" s="123"/>
      <c r="W577" s="123"/>
      <c r="X577" s="123"/>
      <c r="Y577" s="123"/>
      <c r="Z577" s="123"/>
    </row>
    <row r="578" spans="2:26" s="235" customFormat="1" ht="13.8">
      <c r="B578" s="307"/>
      <c r="C578" s="307"/>
      <c r="D578" s="307"/>
      <c r="E578" s="307"/>
      <c r="F578" s="307"/>
      <c r="M578" s="123"/>
      <c r="N578" s="123"/>
      <c r="O578" s="123"/>
      <c r="P578" s="123"/>
      <c r="Q578" s="123"/>
      <c r="R578" s="123"/>
      <c r="S578" s="123"/>
      <c r="T578" s="123"/>
      <c r="U578" s="123"/>
      <c r="V578" s="123"/>
      <c r="W578" s="123"/>
      <c r="X578" s="123"/>
      <c r="Y578" s="123"/>
      <c r="Z578" s="123"/>
    </row>
    <row r="579" spans="2:26" s="235" customFormat="1" ht="13.8">
      <c r="B579" s="307"/>
      <c r="C579" s="307"/>
      <c r="D579" s="307"/>
      <c r="E579" s="307"/>
      <c r="F579" s="307"/>
      <c r="M579" s="123"/>
      <c r="N579" s="123"/>
      <c r="O579" s="123"/>
      <c r="P579" s="123"/>
      <c r="Q579" s="123"/>
      <c r="R579" s="123"/>
      <c r="S579" s="123"/>
      <c r="T579" s="123"/>
      <c r="U579" s="123"/>
      <c r="V579" s="123"/>
      <c r="W579" s="123"/>
      <c r="X579" s="123"/>
      <c r="Y579" s="123"/>
      <c r="Z579" s="123"/>
    </row>
    <row r="580" spans="2:26" s="235" customFormat="1" ht="13.8">
      <c r="B580" s="307"/>
      <c r="C580" s="307"/>
      <c r="D580" s="307"/>
      <c r="E580" s="307"/>
      <c r="F580" s="307"/>
      <c r="M580" s="123"/>
      <c r="N580" s="123"/>
      <c r="O580" s="123"/>
      <c r="P580" s="123"/>
      <c r="Q580" s="123"/>
      <c r="R580" s="123"/>
      <c r="S580" s="123"/>
      <c r="T580" s="123"/>
      <c r="U580" s="123"/>
      <c r="V580" s="123"/>
      <c r="W580" s="123"/>
      <c r="X580" s="123"/>
      <c r="Y580" s="123"/>
      <c r="Z580" s="123"/>
    </row>
    <row r="581" spans="2:26" s="235" customFormat="1" ht="13.8">
      <c r="B581" s="307"/>
      <c r="C581" s="307"/>
      <c r="D581" s="307"/>
      <c r="E581" s="307"/>
      <c r="F581" s="307"/>
      <c r="M581" s="123"/>
      <c r="N581" s="123"/>
      <c r="O581" s="123"/>
      <c r="P581" s="123"/>
      <c r="Q581" s="123"/>
      <c r="R581" s="123"/>
      <c r="S581" s="123"/>
      <c r="T581" s="123"/>
      <c r="U581" s="123"/>
      <c r="V581" s="123"/>
      <c r="W581" s="123"/>
      <c r="X581" s="123"/>
      <c r="Y581" s="123"/>
      <c r="Z581" s="123"/>
    </row>
    <row r="582" spans="2:26" s="235" customFormat="1" ht="13.8">
      <c r="B582" s="307"/>
      <c r="C582" s="307"/>
      <c r="D582" s="307"/>
      <c r="E582" s="307"/>
      <c r="F582" s="307"/>
      <c r="M582" s="123"/>
      <c r="N582" s="123"/>
      <c r="O582" s="123"/>
      <c r="P582" s="123"/>
      <c r="Q582" s="123"/>
      <c r="R582" s="123"/>
      <c r="S582" s="123"/>
      <c r="T582" s="123"/>
      <c r="U582" s="123"/>
      <c r="V582" s="123"/>
      <c r="W582" s="123"/>
      <c r="X582" s="123"/>
      <c r="Y582" s="123"/>
      <c r="Z582" s="123"/>
    </row>
    <row r="583" spans="2:26" s="235" customFormat="1" ht="13.8">
      <c r="B583" s="307"/>
      <c r="C583" s="307"/>
      <c r="D583" s="307"/>
      <c r="E583" s="307"/>
      <c r="F583" s="307"/>
      <c r="M583" s="123"/>
      <c r="N583" s="123"/>
      <c r="O583" s="123"/>
      <c r="P583" s="123"/>
      <c r="Q583" s="123"/>
      <c r="R583" s="123"/>
      <c r="S583" s="123"/>
      <c r="T583" s="123"/>
      <c r="U583" s="123"/>
      <c r="V583" s="123"/>
      <c r="W583" s="123"/>
      <c r="X583" s="123"/>
      <c r="Y583" s="123"/>
      <c r="Z583" s="123"/>
    </row>
    <row r="584" spans="2:26" s="235" customFormat="1" ht="13.8">
      <c r="B584" s="307"/>
      <c r="C584" s="307"/>
      <c r="D584" s="307"/>
      <c r="E584" s="307"/>
      <c r="F584" s="307"/>
      <c r="M584" s="123"/>
      <c r="N584" s="123"/>
      <c r="O584" s="123"/>
      <c r="P584" s="123"/>
      <c r="Q584" s="123"/>
      <c r="R584" s="123"/>
      <c r="S584" s="123"/>
      <c r="T584" s="123"/>
      <c r="U584" s="123"/>
      <c r="V584" s="123"/>
      <c r="W584" s="123"/>
      <c r="X584" s="123"/>
      <c r="Y584" s="123"/>
      <c r="Z584" s="123"/>
    </row>
    <row r="585" spans="2:26" s="235" customFormat="1" ht="13.8">
      <c r="B585" s="307"/>
      <c r="C585" s="307"/>
      <c r="D585" s="307"/>
      <c r="E585" s="307"/>
      <c r="F585" s="307"/>
      <c r="M585" s="123"/>
      <c r="N585" s="123"/>
      <c r="O585" s="123"/>
      <c r="P585" s="123"/>
      <c r="Q585" s="123"/>
      <c r="R585" s="123"/>
      <c r="S585" s="123"/>
      <c r="T585" s="123"/>
      <c r="U585" s="123"/>
      <c r="V585" s="123"/>
      <c r="W585" s="123"/>
      <c r="X585" s="123"/>
      <c r="Y585" s="123"/>
      <c r="Z585" s="123"/>
    </row>
    <row r="586" spans="2:26" s="235" customFormat="1" ht="13.8">
      <c r="B586" s="307"/>
      <c r="C586" s="307"/>
      <c r="D586" s="307"/>
      <c r="E586" s="307"/>
      <c r="F586" s="307"/>
      <c r="M586" s="123"/>
      <c r="N586" s="123"/>
      <c r="O586" s="123"/>
      <c r="P586" s="123"/>
      <c r="Q586" s="123"/>
      <c r="R586" s="123"/>
      <c r="S586" s="123"/>
      <c r="T586" s="123"/>
      <c r="U586" s="123"/>
      <c r="V586" s="123"/>
      <c r="W586" s="123"/>
      <c r="X586" s="123"/>
      <c r="Y586" s="123"/>
      <c r="Z586" s="123"/>
    </row>
    <row r="587" spans="2:26" s="235" customFormat="1" ht="13.8">
      <c r="B587" s="307"/>
      <c r="C587" s="307"/>
      <c r="D587" s="307"/>
      <c r="E587" s="307"/>
      <c r="F587" s="307"/>
      <c r="M587" s="123"/>
      <c r="N587" s="123"/>
      <c r="O587" s="123"/>
      <c r="P587" s="123"/>
      <c r="Q587" s="123"/>
      <c r="R587" s="123"/>
      <c r="S587" s="123"/>
      <c r="T587" s="123"/>
      <c r="U587" s="123"/>
      <c r="V587" s="123"/>
      <c r="W587" s="123"/>
      <c r="X587" s="123"/>
      <c r="Y587" s="123"/>
      <c r="Z587" s="123"/>
    </row>
    <row r="588" spans="2:26" s="235" customFormat="1" ht="13.8">
      <c r="B588" s="307"/>
      <c r="C588" s="307"/>
      <c r="D588" s="307"/>
      <c r="E588" s="307"/>
      <c r="F588" s="307"/>
      <c r="M588" s="123"/>
      <c r="N588" s="123"/>
      <c r="O588" s="123"/>
      <c r="P588" s="123"/>
      <c r="Q588" s="123"/>
      <c r="R588" s="123"/>
      <c r="S588" s="123"/>
      <c r="T588" s="123"/>
      <c r="U588" s="123"/>
      <c r="V588" s="123"/>
      <c r="W588" s="123"/>
      <c r="X588" s="123"/>
      <c r="Y588" s="123"/>
      <c r="Z588" s="123"/>
    </row>
    <row r="589" spans="2:26" s="235" customFormat="1" ht="13.8">
      <c r="B589" s="307"/>
      <c r="C589" s="307"/>
      <c r="D589" s="307"/>
      <c r="E589" s="307"/>
      <c r="F589" s="307"/>
      <c r="M589" s="123"/>
      <c r="N589" s="123"/>
      <c r="O589" s="123"/>
      <c r="P589" s="123"/>
      <c r="Q589" s="123"/>
      <c r="R589" s="123"/>
      <c r="S589" s="123"/>
      <c r="T589" s="123"/>
      <c r="U589" s="123"/>
      <c r="V589" s="123"/>
      <c r="W589" s="123"/>
      <c r="X589" s="123"/>
      <c r="Y589" s="123"/>
      <c r="Z589" s="123"/>
    </row>
    <row r="590" spans="2:26" s="235" customFormat="1" ht="13.8">
      <c r="B590" s="307"/>
      <c r="C590" s="307"/>
      <c r="D590" s="307"/>
      <c r="E590" s="307"/>
      <c r="F590" s="307"/>
      <c r="M590" s="123"/>
      <c r="N590" s="123"/>
      <c r="O590" s="123"/>
      <c r="P590" s="123"/>
      <c r="Q590" s="123"/>
      <c r="R590" s="123"/>
      <c r="S590" s="123"/>
      <c r="T590" s="123"/>
      <c r="U590" s="123"/>
      <c r="V590" s="123"/>
      <c r="W590" s="123"/>
      <c r="X590" s="123"/>
      <c r="Y590" s="123"/>
      <c r="Z590" s="123"/>
    </row>
    <row r="591" spans="2:26" s="235" customFormat="1" ht="13.8">
      <c r="B591" s="307"/>
      <c r="C591" s="307"/>
      <c r="D591" s="307"/>
      <c r="E591" s="307"/>
      <c r="F591" s="307"/>
      <c r="M591" s="123"/>
      <c r="N591" s="123"/>
      <c r="O591" s="123"/>
      <c r="P591" s="123"/>
      <c r="Q591" s="123"/>
      <c r="R591" s="123"/>
      <c r="S591" s="123"/>
      <c r="T591" s="123"/>
      <c r="U591" s="123"/>
      <c r="V591" s="123"/>
      <c r="W591" s="123"/>
      <c r="X591" s="123"/>
      <c r="Y591" s="123"/>
      <c r="Z591" s="123"/>
    </row>
    <row r="592" spans="2:26" s="235" customFormat="1" ht="13.8">
      <c r="B592" s="307"/>
      <c r="C592" s="307"/>
      <c r="D592" s="307"/>
      <c r="E592" s="307"/>
      <c r="F592" s="307"/>
      <c r="M592" s="123"/>
      <c r="N592" s="123"/>
      <c r="O592" s="123"/>
      <c r="P592" s="123"/>
      <c r="Q592" s="123"/>
      <c r="R592" s="123"/>
      <c r="S592" s="123"/>
      <c r="T592" s="123"/>
      <c r="U592" s="123"/>
      <c r="V592" s="123"/>
      <c r="W592" s="123"/>
      <c r="X592" s="123"/>
      <c r="Y592" s="123"/>
      <c r="Z592" s="123"/>
    </row>
    <row r="593" spans="2:26" s="235" customFormat="1" ht="13.8">
      <c r="B593" s="307"/>
      <c r="C593" s="307"/>
      <c r="D593" s="307"/>
      <c r="E593" s="307"/>
      <c r="F593" s="307"/>
      <c r="M593" s="123"/>
      <c r="N593" s="123"/>
      <c r="O593" s="123"/>
      <c r="P593" s="123"/>
      <c r="Q593" s="123"/>
      <c r="R593" s="123"/>
      <c r="S593" s="123"/>
      <c r="T593" s="123"/>
      <c r="U593" s="123"/>
      <c r="V593" s="123"/>
      <c r="W593" s="123"/>
      <c r="X593" s="123"/>
      <c r="Y593" s="123"/>
      <c r="Z593" s="123"/>
    </row>
    <row r="594" spans="2:26" s="235" customFormat="1" ht="13.8">
      <c r="B594" s="307"/>
      <c r="C594" s="307"/>
      <c r="D594" s="307"/>
      <c r="E594" s="307"/>
      <c r="F594" s="307"/>
      <c r="M594" s="123"/>
      <c r="N594" s="123"/>
      <c r="O594" s="123"/>
      <c r="P594" s="123"/>
      <c r="Q594" s="123"/>
      <c r="R594" s="123"/>
      <c r="S594" s="123"/>
      <c r="T594" s="123"/>
      <c r="U594" s="123"/>
      <c r="V594" s="123"/>
      <c r="W594" s="123"/>
      <c r="X594" s="123"/>
      <c r="Y594" s="123"/>
      <c r="Z594" s="123"/>
    </row>
    <row r="595" spans="2:26" s="235" customFormat="1" ht="13.8">
      <c r="B595" s="307"/>
      <c r="C595" s="307"/>
      <c r="D595" s="307"/>
      <c r="E595" s="307"/>
      <c r="F595" s="307"/>
      <c r="M595" s="123"/>
      <c r="N595" s="123"/>
      <c r="O595" s="123"/>
      <c r="P595" s="123"/>
      <c r="Q595" s="123"/>
      <c r="R595" s="123"/>
      <c r="S595" s="123"/>
      <c r="T595" s="123"/>
      <c r="U595" s="123"/>
      <c r="V595" s="123"/>
      <c r="W595" s="123"/>
      <c r="X595" s="123"/>
      <c r="Y595" s="123"/>
      <c r="Z595" s="123"/>
    </row>
    <row r="596" spans="2:26" s="235" customFormat="1" ht="13.8">
      <c r="B596" s="307"/>
      <c r="C596" s="307"/>
      <c r="D596" s="307"/>
      <c r="E596" s="307"/>
      <c r="F596" s="307"/>
      <c r="M596" s="123"/>
      <c r="N596" s="123"/>
      <c r="O596" s="123"/>
      <c r="P596" s="123"/>
      <c r="Q596" s="123"/>
      <c r="R596" s="123"/>
      <c r="S596" s="123"/>
      <c r="T596" s="123"/>
      <c r="U596" s="123"/>
      <c r="V596" s="123"/>
      <c r="W596" s="123"/>
      <c r="X596" s="123"/>
      <c r="Y596" s="123"/>
      <c r="Z596" s="123"/>
    </row>
    <row r="597" spans="2:26" s="235" customFormat="1" ht="13.8">
      <c r="B597" s="307"/>
      <c r="C597" s="307"/>
      <c r="D597" s="307"/>
      <c r="E597" s="307"/>
      <c r="F597" s="307"/>
      <c r="M597" s="123"/>
      <c r="N597" s="123"/>
      <c r="O597" s="123"/>
      <c r="P597" s="123"/>
      <c r="Q597" s="123"/>
      <c r="R597" s="123"/>
      <c r="S597" s="123"/>
      <c r="T597" s="123"/>
      <c r="U597" s="123"/>
      <c r="V597" s="123"/>
      <c r="W597" s="123"/>
      <c r="X597" s="123"/>
      <c r="Y597" s="123"/>
      <c r="Z597" s="123"/>
    </row>
    <row r="598" spans="2:26" s="235" customFormat="1" ht="13.8">
      <c r="B598" s="307"/>
      <c r="C598" s="307"/>
      <c r="D598" s="307"/>
      <c r="E598" s="307"/>
      <c r="F598" s="307"/>
      <c r="M598" s="123"/>
      <c r="N598" s="123"/>
      <c r="O598" s="123"/>
      <c r="P598" s="123"/>
      <c r="Q598" s="123"/>
      <c r="R598" s="123"/>
      <c r="S598" s="123"/>
      <c r="T598" s="123"/>
      <c r="U598" s="123"/>
      <c r="V598" s="123"/>
      <c r="W598" s="123"/>
      <c r="X598" s="123"/>
      <c r="Y598" s="123"/>
      <c r="Z598" s="123"/>
    </row>
    <row r="599" spans="2:26" s="235" customFormat="1" ht="13.8">
      <c r="B599" s="307"/>
      <c r="C599" s="307"/>
      <c r="D599" s="307"/>
      <c r="E599" s="307"/>
      <c r="F599" s="307"/>
      <c r="M599" s="123"/>
      <c r="N599" s="123"/>
      <c r="O599" s="123"/>
      <c r="P599" s="123"/>
      <c r="Q599" s="123"/>
      <c r="R599" s="123"/>
      <c r="S599" s="123"/>
      <c r="T599" s="123"/>
      <c r="U599" s="123"/>
      <c r="V599" s="123"/>
      <c r="W599" s="123"/>
      <c r="X599" s="123"/>
      <c r="Y599" s="123"/>
      <c r="Z599" s="123"/>
    </row>
    <row r="600" spans="2:26" s="235" customFormat="1" ht="13.8">
      <c r="B600" s="307"/>
      <c r="C600" s="307"/>
      <c r="D600" s="307"/>
      <c r="E600" s="307"/>
      <c r="F600" s="307"/>
      <c r="M600" s="123"/>
      <c r="N600" s="123"/>
      <c r="O600" s="123"/>
      <c r="P600" s="123"/>
      <c r="Q600" s="123"/>
      <c r="R600" s="123"/>
      <c r="S600" s="123"/>
      <c r="T600" s="123"/>
      <c r="U600" s="123"/>
      <c r="V600" s="123"/>
      <c r="W600" s="123"/>
      <c r="X600" s="123"/>
      <c r="Y600" s="123"/>
      <c r="Z600" s="123"/>
    </row>
    <row r="601" spans="2:26" s="235" customFormat="1" ht="13.8">
      <c r="B601" s="307"/>
      <c r="C601" s="307"/>
      <c r="D601" s="307"/>
      <c r="E601" s="307"/>
      <c r="F601" s="307"/>
      <c r="M601" s="123"/>
      <c r="N601" s="123"/>
      <c r="O601" s="123"/>
      <c r="P601" s="123"/>
      <c r="Q601" s="123"/>
      <c r="R601" s="123"/>
      <c r="S601" s="123"/>
      <c r="T601" s="123"/>
      <c r="U601" s="123"/>
      <c r="V601" s="123"/>
      <c r="W601" s="123"/>
      <c r="X601" s="123"/>
      <c r="Y601" s="123"/>
      <c r="Z601" s="123"/>
    </row>
    <row r="602" spans="2:26" s="235" customFormat="1" ht="13.8">
      <c r="B602" s="307"/>
      <c r="C602" s="307"/>
      <c r="D602" s="307"/>
      <c r="E602" s="307"/>
      <c r="F602" s="307"/>
      <c r="M602" s="123"/>
      <c r="N602" s="123"/>
      <c r="O602" s="123"/>
      <c r="P602" s="123"/>
      <c r="Q602" s="123"/>
      <c r="R602" s="123"/>
      <c r="S602" s="123"/>
      <c r="T602" s="123"/>
      <c r="U602" s="123"/>
      <c r="V602" s="123"/>
      <c r="W602" s="123"/>
      <c r="X602" s="123"/>
      <c r="Y602" s="123"/>
      <c r="Z602" s="123"/>
    </row>
    <row r="603" spans="2:26" s="235" customFormat="1" ht="13.8">
      <c r="B603" s="307"/>
      <c r="C603" s="307"/>
      <c r="D603" s="307"/>
      <c r="E603" s="307"/>
      <c r="F603" s="307"/>
      <c r="M603" s="123"/>
      <c r="N603" s="123"/>
      <c r="O603" s="123"/>
      <c r="P603" s="123"/>
      <c r="Q603" s="123"/>
      <c r="R603" s="123"/>
      <c r="S603" s="123"/>
      <c r="T603" s="123"/>
      <c r="U603" s="123"/>
      <c r="V603" s="123"/>
      <c r="W603" s="123"/>
      <c r="X603" s="123"/>
      <c r="Y603" s="123"/>
      <c r="Z603" s="123"/>
    </row>
    <row r="604" spans="2:26" s="235" customFormat="1" ht="13.8">
      <c r="B604" s="307"/>
      <c r="C604" s="307"/>
      <c r="D604" s="307"/>
      <c r="E604" s="307"/>
      <c r="F604" s="307"/>
      <c r="M604" s="123"/>
      <c r="N604" s="123"/>
      <c r="O604" s="123"/>
      <c r="P604" s="123"/>
      <c r="Q604" s="123"/>
      <c r="R604" s="123"/>
      <c r="S604" s="123"/>
      <c r="T604" s="123"/>
      <c r="U604" s="123"/>
      <c r="V604" s="123"/>
      <c r="W604" s="123"/>
      <c r="X604" s="123"/>
      <c r="Y604" s="123"/>
      <c r="Z604" s="123"/>
    </row>
    <row r="605" spans="2:26" s="235" customFormat="1" ht="13.8">
      <c r="B605" s="307"/>
      <c r="C605" s="307"/>
      <c r="D605" s="307"/>
      <c r="E605" s="307"/>
      <c r="F605" s="307"/>
      <c r="M605" s="123"/>
      <c r="N605" s="123"/>
      <c r="O605" s="123"/>
      <c r="P605" s="123"/>
      <c r="Q605" s="123"/>
      <c r="R605" s="123"/>
      <c r="S605" s="123"/>
      <c r="T605" s="123"/>
      <c r="U605" s="123"/>
      <c r="V605" s="123"/>
      <c r="W605" s="123"/>
      <c r="X605" s="123"/>
      <c r="Y605" s="123"/>
      <c r="Z605" s="123"/>
    </row>
    <row r="606" spans="2:26" s="235" customFormat="1" ht="13.8">
      <c r="B606" s="307"/>
      <c r="C606" s="307"/>
      <c r="D606" s="307"/>
      <c r="E606" s="307"/>
      <c r="F606" s="307"/>
      <c r="M606" s="123"/>
      <c r="N606" s="123"/>
      <c r="O606" s="123"/>
      <c r="P606" s="123"/>
      <c r="Q606" s="123"/>
      <c r="R606" s="123"/>
      <c r="S606" s="123"/>
      <c r="T606" s="123"/>
      <c r="U606" s="123"/>
      <c r="V606" s="123"/>
      <c r="W606" s="123"/>
      <c r="X606" s="123"/>
      <c r="Y606" s="123"/>
      <c r="Z606" s="123"/>
    </row>
    <row r="607" spans="2:26" s="235" customFormat="1" ht="13.8">
      <c r="B607" s="307"/>
      <c r="C607" s="307"/>
      <c r="D607" s="307"/>
      <c r="E607" s="307"/>
      <c r="F607" s="307"/>
      <c r="M607" s="123"/>
      <c r="N607" s="123"/>
      <c r="O607" s="123"/>
      <c r="P607" s="123"/>
      <c r="Q607" s="123"/>
      <c r="R607" s="123"/>
      <c r="S607" s="123"/>
      <c r="T607" s="123"/>
      <c r="U607" s="123"/>
      <c r="V607" s="123"/>
      <c r="W607" s="123"/>
      <c r="X607" s="123"/>
      <c r="Y607" s="123"/>
      <c r="Z607" s="123"/>
    </row>
    <row r="608" spans="2:26" s="235" customFormat="1" ht="13.8">
      <c r="B608" s="307"/>
      <c r="C608" s="307"/>
      <c r="D608" s="307"/>
      <c r="E608" s="307"/>
      <c r="F608" s="307"/>
      <c r="M608" s="123"/>
      <c r="N608" s="123"/>
      <c r="O608" s="123"/>
      <c r="P608" s="123"/>
      <c r="Q608" s="123"/>
      <c r="R608" s="123"/>
      <c r="S608" s="123"/>
      <c r="T608" s="123"/>
      <c r="U608" s="123"/>
      <c r="V608" s="123"/>
      <c r="W608" s="123"/>
      <c r="X608" s="123"/>
      <c r="Y608" s="123"/>
      <c r="Z608" s="123"/>
    </row>
    <row r="609" spans="2:26" s="235" customFormat="1" ht="13.8">
      <c r="B609" s="307"/>
      <c r="C609" s="307"/>
      <c r="D609" s="307"/>
      <c r="E609" s="307"/>
      <c r="F609" s="307"/>
      <c r="M609" s="123"/>
      <c r="N609" s="123"/>
      <c r="O609" s="123"/>
      <c r="P609" s="123"/>
      <c r="Q609" s="123"/>
      <c r="R609" s="123"/>
      <c r="S609" s="123"/>
      <c r="T609" s="123"/>
      <c r="U609" s="123"/>
      <c r="V609" s="123"/>
      <c r="W609" s="123"/>
      <c r="X609" s="123"/>
      <c r="Y609" s="123"/>
      <c r="Z609" s="123"/>
    </row>
    <row r="610" spans="2:26" s="235" customFormat="1" ht="13.8">
      <c r="B610" s="307"/>
      <c r="C610" s="307"/>
      <c r="D610" s="307"/>
      <c r="E610" s="307"/>
      <c r="F610" s="307"/>
      <c r="M610" s="123"/>
      <c r="N610" s="123"/>
      <c r="O610" s="123"/>
      <c r="P610" s="123"/>
      <c r="Q610" s="123"/>
      <c r="R610" s="123"/>
      <c r="S610" s="123"/>
      <c r="T610" s="123"/>
      <c r="U610" s="123"/>
      <c r="V610" s="123"/>
      <c r="W610" s="123"/>
      <c r="X610" s="123"/>
      <c r="Y610" s="123"/>
      <c r="Z610" s="123"/>
    </row>
    <row r="611" spans="2:26" s="235" customFormat="1" ht="13.8">
      <c r="B611" s="307"/>
      <c r="C611" s="307"/>
      <c r="D611" s="307"/>
      <c r="E611" s="307"/>
      <c r="F611" s="307"/>
      <c r="M611" s="123"/>
      <c r="N611" s="123"/>
      <c r="O611" s="123"/>
      <c r="P611" s="123"/>
      <c r="Q611" s="123"/>
      <c r="R611" s="123"/>
      <c r="S611" s="123"/>
      <c r="T611" s="123"/>
      <c r="U611" s="123"/>
      <c r="V611" s="123"/>
      <c r="W611" s="123"/>
      <c r="X611" s="123"/>
      <c r="Y611" s="123"/>
      <c r="Z611" s="123"/>
    </row>
    <row r="612" spans="2:26" s="235" customFormat="1" ht="13.8">
      <c r="B612" s="307"/>
      <c r="C612" s="307"/>
      <c r="D612" s="307"/>
      <c r="E612" s="307"/>
      <c r="F612" s="307"/>
      <c r="M612" s="123"/>
      <c r="N612" s="123"/>
      <c r="O612" s="123"/>
      <c r="P612" s="123"/>
      <c r="Q612" s="123"/>
      <c r="R612" s="123"/>
      <c r="S612" s="123"/>
      <c r="T612" s="123"/>
      <c r="U612" s="123"/>
      <c r="V612" s="123"/>
      <c r="W612" s="123"/>
      <c r="X612" s="123"/>
      <c r="Y612" s="123"/>
      <c r="Z612" s="123"/>
    </row>
    <row r="613" spans="2:26" s="235" customFormat="1" ht="13.8">
      <c r="B613" s="307"/>
      <c r="C613" s="307"/>
      <c r="D613" s="307"/>
      <c r="E613" s="307"/>
      <c r="F613" s="307"/>
      <c r="M613" s="123"/>
      <c r="N613" s="123"/>
      <c r="O613" s="123"/>
      <c r="P613" s="123"/>
      <c r="Q613" s="123"/>
      <c r="R613" s="123"/>
      <c r="S613" s="123"/>
      <c r="T613" s="123"/>
      <c r="U613" s="123"/>
      <c r="V613" s="123"/>
      <c r="W613" s="123"/>
      <c r="X613" s="123"/>
      <c r="Y613" s="123"/>
      <c r="Z613" s="123"/>
    </row>
    <row r="614" spans="2:26" s="235" customFormat="1" ht="13.8">
      <c r="B614" s="307"/>
      <c r="C614" s="307"/>
      <c r="D614" s="307"/>
      <c r="E614" s="307"/>
      <c r="F614" s="307"/>
      <c r="M614" s="123"/>
      <c r="N614" s="123"/>
      <c r="O614" s="123"/>
      <c r="P614" s="123"/>
      <c r="Q614" s="123"/>
      <c r="R614" s="123"/>
      <c r="S614" s="123"/>
      <c r="T614" s="123"/>
      <c r="U614" s="123"/>
      <c r="V614" s="123"/>
      <c r="W614" s="123"/>
      <c r="X614" s="123"/>
      <c r="Y614" s="123"/>
      <c r="Z614" s="123"/>
    </row>
    <row r="615" spans="2:26" s="235" customFormat="1" ht="13.8">
      <c r="B615" s="307"/>
      <c r="C615" s="307"/>
      <c r="D615" s="307"/>
      <c r="E615" s="307"/>
      <c r="F615" s="307"/>
      <c r="M615" s="123"/>
      <c r="N615" s="123"/>
      <c r="O615" s="123"/>
      <c r="P615" s="123"/>
      <c r="Q615" s="123"/>
      <c r="R615" s="123"/>
      <c r="S615" s="123"/>
      <c r="T615" s="123"/>
      <c r="U615" s="123"/>
      <c r="V615" s="123"/>
      <c r="W615" s="123"/>
      <c r="X615" s="123"/>
      <c r="Y615" s="123"/>
      <c r="Z615" s="123"/>
    </row>
    <row r="616" spans="2:26" s="235" customFormat="1" ht="13.8">
      <c r="B616" s="307"/>
      <c r="C616" s="307"/>
      <c r="D616" s="307"/>
      <c r="E616" s="307"/>
      <c r="F616" s="307"/>
      <c r="M616" s="123"/>
      <c r="N616" s="123"/>
      <c r="O616" s="123"/>
      <c r="P616" s="123"/>
      <c r="Q616" s="123"/>
      <c r="R616" s="123"/>
      <c r="S616" s="123"/>
      <c r="T616" s="123"/>
      <c r="U616" s="123"/>
      <c r="V616" s="123"/>
      <c r="W616" s="123"/>
      <c r="X616" s="123"/>
      <c r="Y616" s="123"/>
      <c r="Z616" s="123"/>
    </row>
    <row r="617" spans="2:26" s="235" customFormat="1" ht="13.8">
      <c r="B617" s="307"/>
      <c r="C617" s="307"/>
      <c r="D617" s="307"/>
      <c r="E617" s="307"/>
      <c r="F617" s="307"/>
      <c r="M617" s="123"/>
      <c r="N617" s="123"/>
      <c r="O617" s="123"/>
      <c r="P617" s="123"/>
      <c r="Q617" s="123"/>
      <c r="R617" s="123"/>
      <c r="S617" s="123"/>
      <c r="T617" s="123"/>
      <c r="U617" s="123"/>
      <c r="V617" s="123"/>
      <c r="W617" s="123"/>
      <c r="X617" s="123"/>
      <c r="Y617" s="123"/>
      <c r="Z617" s="123"/>
    </row>
    <row r="618" spans="2:26" s="235" customFormat="1" ht="13.8">
      <c r="B618" s="307"/>
      <c r="C618" s="307"/>
      <c r="D618" s="307"/>
      <c r="E618" s="307"/>
      <c r="F618" s="307"/>
      <c r="M618" s="123"/>
      <c r="N618" s="123"/>
      <c r="O618" s="123"/>
      <c r="P618" s="123"/>
      <c r="Q618" s="123"/>
      <c r="R618" s="123"/>
      <c r="S618" s="123"/>
      <c r="T618" s="123"/>
      <c r="U618" s="123"/>
      <c r="V618" s="123"/>
      <c r="W618" s="123"/>
      <c r="X618" s="123"/>
      <c r="Y618" s="123"/>
      <c r="Z618" s="123"/>
    </row>
    <row r="619" spans="2:26" s="235" customFormat="1" ht="13.8">
      <c r="B619" s="307"/>
      <c r="C619" s="307"/>
      <c r="D619" s="307"/>
      <c r="E619" s="307"/>
      <c r="F619" s="307"/>
      <c r="M619" s="123"/>
      <c r="N619" s="123"/>
      <c r="O619" s="123"/>
      <c r="P619" s="123"/>
      <c r="Q619" s="123"/>
      <c r="R619" s="123"/>
      <c r="S619" s="123"/>
      <c r="T619" s="123"/>
      <c r="U619" s="123"/>
      <c r="V619" s="123"/>
      <c r="W619" s="123"/>
      <c r="X619" s="123"/>
      <c r="Y619" s="123"/>
      <c r="Z619" s="123"/>
    </row>
    <row r="620" spans="2:26" s="235" customFormat="1" ht="13.8">
      <c r="B620" s="307"/>
      <c r="C620" s="307"/>
      <c r="D620" s="307"/>
      <c r="E620" s="307"/>
      <c r="F620" s="307"/>
      <c r="M620" s="123"/>
      <c r="N620" s="123"/>
      <c r="O620" s="123"/>
      <c r="P620" s="123"/>
      <c r="Q620" s="123"/>
      <c r="R620" s="123"/>
      <c r="S620" s="123"/>
      <c r="T620" s="123"/>
      <c r="U620" s="123"/>
      <c r="V620" s="123"/>
      <c r="W620" s="123"/>
      <c r="X620" s="123"/>
      <c r="Y620" s="123"/>
      <c r="Z620" s="123"/>
    </row>
    <row r="621" spans="2:26" s="235" customFormat="1" ht="13.8">
      <c r="B621" s="307"/>
      <c r="C621" s="307"/>
      <c r="D621" s="307"/>
      <c r="E621" s="307"/>
      <c r="F621" s="307"/>
      <c r="M621" s="123"/>
      <c r="N621" s="123"/>
      <c r="O621" s="123"/>
      <c r="P621" s="123"/>
      <c r="Q621" s="123"/>
      <c r="R621" s="123"/>
      <c r="S621" s="123"/>
      <c r="T621" s="123"/>
      <c r="U621" s="123"/>
      <c r="V621" s="123"/>
      <c r="W621" s="123"/>
      <c r="X621" s="123"/>
      <c r="Y621" s="123"/>
      <c r="Z621" s="123"/>
    </row>
    <row r="622" spans="2:26" s="235" customFormat="1" ht="13.8">
      <c r="B622" s="307"/>
      <c r="C622" s="307"/>
      <c r="D622" s="307"/>
      <c r="E622" s="307"/>
      <c r="F622" s="307"/>
      <c r="M622" s="123"/>
      <c r="N622" s="123"/>
      <c r="O622" s="123"/>
      <c r="P622" s="123"/>
      <c r="Q622" s="123"/>
      <c r="R622" s="123"/>
      <c r="S622" s="123"/>
      <c r="T622" s="123"/>
      <c r="U622" s="123"/>
      <c r="V622" s="123"/>
      <c r="W622" s="123"/>
      <c r="X622" s="123"/>
      <c r="Y622" s="123"/>
      <c r="Z622" s="123"/>
    </row>
    <row r="623" spans="2:26" s="235" customFormat="1" ht="13.8">
      <c r="B623" s="307"/>
      <c r="C623" s="307"/>
      <c r="D623" s="307"/>
      <c r="E623" s="307"/>
      <c r="F623" s="307"/>
      <c r="M623" s="123"/>
      <c r="N623" s="123"/>
      <c r="O623" s="123"/>
      <c r="P623" s="123"/>
      <c r="Q623" s="123"/>
      <c r="R623" s="123"/>
      <c r="S623" s="123"/>
      <c r="T623" s="123"/>
      <c r="U623" s="123"/>
      <c r="V623" s="123"/>
      <c r="W623" s="123"/>
      <c r="X623" s="123"/>
      <c r="Y623" s="123"/>
      <c r="Z623" s="123"/>
    </row>
    <row r="624" spans="2:26" s="235" customFormat="1" ht="13.8">
      <c r="B624" s="307"/>
      <c r="C624" s="307"/>
      <c r="D624" s="307"/>
      <c r="E624" s="307"/>
      <c r="F624" s="307"/>
      <c r="M624" s="123"/>
      <c r="N624" s="123"/>
      <c r="O624" s="123"/>
      <c r="P624" s="123"/>
      <c r="Q624" s="123"/>
      <c r="R624" s="123"/>
      <c r="S624" s="123"/>
      <c r="T624" s="123"/>
      <c r="U624" s="123"/>
      <c r="V624" s="123"/>
      <c r="W624" s="123"/>
      <c r="X624" s="123"/>
      <c r="Y624" s="123"/>
      <c r="Z624" s="123"/>
    </row>
    <row r="625" spans="2:26" s="235" customFormat="1" ht="13.8">
      <c r="B625" s="307"/>
      <c r="C625" s="307"/>
      <c r="D625" s="307"/>
      <c r="E625" s="307"/>
      <c r="F625" s="307"/>
      <c r="M625" s="123"/>
      <c r="N625" s="123"/>
      <c r="O625" s="123"/>
      <c r="P625" s="123"/>
      <c r="Q625" s="123"/>
      <c r="R625" s="123"/>
      <c r="S625" s="123"/>
      <c r="T625" s="123"/>
      <c r="U625" s="123"/>
      <c r="V625" s="123"/>
      <c r="W625" s="123"/>
      <c r="X625" s="123"/>
      <c r="Y625" s="123"/>
      <c r="Z625" s="123"/>
    </row>
    <row r="626" spans="2:26" s="235" customFormat="1" ht="13.8">
      <c r="B626" s="307"/>
      <c r="C626" s="307"/>
      <c r="D626" s="307"/>
      <c r="E626" s="307"/>
      <c r="F626" s="307"/>
      <c r="M626" s="123"/>
      <c r="N626" s="123"/>
      <c r="O626" s="123"/>
      <c r="P626" s="123"/>
      <c r="Q626" s="123"/>
      <c r="R626" s="123"/>
      <c r="S626" s="123"/>
      <c r="T626" s="123"/>
      <c r="U626" s="123"/>
      <c r="V626" s="123"/>
      <c r="W626" s="123"/>
      <c r="X626" s="123"/>
      <c r="Y626" s="123"/>
      <c r="Z626" s="123"/>
    </row>
    <row r="627" spans="2:26" s="235" customFormat="1" ht="13.8">
      <c r="B627" s="307"/>
      <c r="C627" s="307"/>
      <c r="D627" s="307"/>
      <c r="E627" s="307"/>
      <c r="F627" s="307"/>
      <c r="M627" s="123"/>
      <c r="N627" s="123"/>
      <c r="O627" s="123"/>
      <c r="P627" s="123"/>
      <c r="Q627" s="123"/>
      <c r="R627" s="123"/>
      <c r="S627" s="123"/>
      <c r="T627" s="123"/>
      <c r="U627" s="123"/>
      <c r="V627" s="123"/>
      <c r="W627" s="123"/>
      <c r="X627" s="123"/>
      <c r="Y627" s="123"/>
      <c r="Z627" s="123"/>
    </row>
    <row r="628" spans="2:26" s="235" customFormat="1" ht="13.8">
      <c r="B628" s="307"/>
      <c r="C628" s="307"/>
      <c r="D628" s="307"/>
      <c r="E628" s="307"/>
      <c r="F628" s="307"/>
      <c r="M628" s="123"/>
      <c r="N628" s="123"/>
      <c r="O628" s="123"/>
      <c r="P628" s="123"/>
      <c r="Q628" s="123"/>
      <c r="R628" s="123"/>
      <c r="S628" s="123"/>
      <c r="T628" s="123"/>
      <c r="U628" s="123"/>
      <c r="V628" s="123"/>
      <c r="W628" s="123"/>
      <c r="X628" s="123"/>
      <c r="Y628" s="123"/>
      <c r="Z628" s="123"/>
    </row>
    <row r="629" spans="2:26" s="235" customFormat="1" ht="13.8">
      <c r="B629" s="307"/>
      <c r="C629" s="307"/>
      <c r="D629" s="307"/>
      <c r="E629" s="307"/>
      <c r="F629" s="307"/>
      <c r="M629" s="123"/>
      <c r="N629" s="123"/>
      <c r="O629" s="123"/>
      <c r="P629" s="123"/>
      <c r="Q629" s="123"/>
      <c r="R629" s="123"/>
      <c r="S629" s="123"/>
      <c r="T629" s="123"/>
      <c r="U629" s="123"/>
      <c r="V629" s="123"/>
      <c r="W629" s="123"/>
      <c r="X629" s="123"/>
      <c r="Y629" s="123"/>
      <c r="Z629" s="123"/>
    </row>
    <row r="630" spans="2:26" s="235" customFormat="1" ht="13.8">
      <c r="B630" s="307"/>
      <c r="C630" s="307"/>
      <c r="D630" s="307"/>
      <c r="E630" s="307"/>
      <c r="F630" s="307"/>
      <c r="M630" s="123"/>
      <c r="N630" s="123"/>
      <c r="O630" s="123"/>
      <c r="P630" s="123"/>
      <c r="Q630" s="123"/>
      <c r="R630" s="123"/>
      <c r="S630" s="123"/>
      <c r="T630" s="123"/>
      <c r="U630" s="123"/>
      <c r="V630" s="123"/>
      <c r="W630" s="123"/>
      <c r="X630" s="123"/>
      <c r="Y630" s="123"/>
      <c r="Z630" s="123"/>
    </row>
    <row r="631" spans="2:26" s="235" customFormat="1" ht="13.8">
      <c r="B631" s="307"/>
      <c r="C631" s="307"/>
      <c r="D631" s="307"/>
      <c r="E631" s="307"/>
      <c r="F631" s="307"/>
      <c r="M631" s="123"/>
      <c r="N631" s="123"/>
      <c r="O631" s="123"/>
      <c r="P631" s="123"/>
      <c r="Q631" s="123"/>
      <c r="R631" s="123"/>
      <c r="S631" s="123"/>
      <c r="T631" s="123"/>
      <c r="U631" s="123"/>
      <c r="V631" s="123"/>
      <c r="W631" s="123"/>
      <c r="X631" s="123"/>
      <c r="Y631" s="123"/>
      <c r="Z631" s="123"/>
    </row>
    <row r="632" spans="2:26" s="235" customFormat="1" ht="13.8">
      <c r="B632" s="307"/>
      <c r="C632" s="307"/>
      <c r="D632" s="307"/>
      <c r="E632" s="307"/>
      <c r="F632" s="307"/>
      <c r="M632" s="123"/>
      <c r="N632" s="123"/>
      <c r="O632" s="123"/>
      <c r="P632" s="123"/>
      <c r="Q632" s="123"/>
      <c r="R632" s="123"/>
      <c r="S632" s="123"/>
      <c r="T632" s="123"/>
      <c r="U632" s="123"/>
      <c r="V632" s="123"/>
      <c r="W632" s="123"/>
      <c r="X632" s="123"/>
      <c r="Y632" s="123"/>
      <c r="Z632" s="123"/>
    </row>
    <row r="633" spans="2:26" s="235" customFormat="1" ht="13.8">
      <c r="B633" s="307"/>
      <c r="C633" s="307"/>
      <c r="D633" s="307"/>
      <c r="E633" s="307"/>
      <c r="F633" s="307"/>
      <c r="M633" s="123"/>
      <c r="N633" s="123"/>
      <c r="O633" s="123"/>
      <c r="P633" s="123"/>
      <c r="Q633" s="123"/>
      <c r="R633" s="123"/>
      <c r="S633" s="123"/>
      <c r="T633" s="123"/>
      <c r="U633" s="123"/>
      <c r="V633" s="123"/>
      <c r="W633" s="123"/>
      <c r="X633" s="123"/>
      <c r="Y633" s="123"/>
      <c r="Z633" s="123"/>
    </row>
    <row r="634" spans="2:26" s="235" customFormat="1" ht="13.8">
      <c r="B634" s="307"/>
      <c r="C634" s="307"/>
      <c r="D634" s="307"/>
      <c r="E634" s="307"/>
      <c r="F634" s="307"/>
      <c r="M634" s="123"/>
      <c r="N634" s="123"/>
      <c r="O634" s="123"/>
      <c r="P634" s="123"/>
      <c r="Q634" s="123"/>
      <c r="R634" s="123"/>
      <c r="S634" s="123"/>
      <c r="T634" s="123"/>
      <c r="U634" s="123"/>
      <c r="V634" s="123"/>
      <c r="W634" s="123"/>
      <c r="X634" s="123"/>
      <c r="Y634" s="123"/>
      <c r="Z634" s="123"/>
    </row>
    <row r="635" spans="2:26" s="235" customFormat="1" ht="13.8">
      <c r="B635" s="307"/>
      <c r="C635" s="307"/>
      <c r="D635" s="307"/>
      <c r="E635" s="307"/>
      <c r="F635" s="307"/>
      <c r="M635" s="123"/>
      <c r="N635" s="123"/>
      <c r="O635" s="123"/>
      <c r="P635" s="123"/>
      <c r="Q635" s="123"/>
      <c r="R635" s="123"/>
      <c r="S635" s="123"/>
      <c r="T635" s="123"/>
      <c r="U635" s="123"/>
      <c r="V635" s="123"/>
      <c r="W635" s="123"/>
      <c r="X635" s="123"/>
      <c r="Y635" s="123"/>
      <c r="Z635" s="123"/>
    </row>
    <row r="636" spans="2:26" s="235" customFormat="1" ht="13.8">
      <c r="B636" s="307"/>
      <c r="C636" s="307"/>
      <c r="D636" s="307"/>
      <c r="E636" s="307"/>
      <c r="F636" s="307"/>
      <c r="M636" s="123"/>
      <c r="N636" s="123"/>
      <c r="O636" s="123"/>
      <c r="P636" s="123"/>
      <c r="Q636" s="123"/>
      <c r="R636" s="123"/>
      <c r="S636" s="123"/>
      <c r="T636" s="123"/>
      <c r="U636" s="123"/>
      <c r="V636" s="123"/>
      <c r="W636" s="123"/>
      <c r="X636" s="123"/>
      <c r="Y636" s="123"/>
      <c r="Z636" s="123"/>
    </row>
    <row r="637" spans="2:26" s="235" customFormat="1" ht="13.8">
      <c r="B637" s="307"/>
      <c r="C637" s="307"/>
      <c r="D637" s="307"/>
      <c r="E637" s="307"/>
      <c r="F637" s="307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123"/>
    </row>
    <row r="638" spans="2:26" s="235" customFormat="1" ht="13.8">
      <c r="B638" s="307"/>
      <c r="C638" s="307"/>
      <c r="D638" s="307"/>
      <c r="E638" s="307"/>
      <c r="F638" s="307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123"/>
    </row>
    <row r="639" spans="2:26" s="235" customFormat="1" ht="13.8">
      <c r="B639" s="307"/>
      <c r="C639" s="307"/>
      <c r="D639" s="307"/>
      <c r="E639" s="307"/>
      <c r="F639" s="307"/>
      <c r="M639" s="123"/>
      <c r="N639" s="123"/>
      <c r="O639" s="123"/>
      <c r="P639" s="123"/>
      <c r="Q639" s="123"/>
      <c r="R639" s="123"/>
      <c r="S639" s="123"/>
      <c r="T639" s="123"/>
      <c r="U639" s="123"/>
      <c r="V639" s="123"/>
      <c r="W639" s="123"/>
      <c r="X639" s="123"/>
      <c r="Y639" s="123"/>
      <c r="Z639" s="123"/>
    </row>
    <row r="640" spans="2:26" s="235" customFormat="1" ht="13.8">
      <c r="B640" s="307"/>
      <c r="C640" s="307"/>
      <c r="D640" s="307"/>
      <c r="E640" s="307"/>
      <c r="F640" s="307"/>
      <c r="M640" s="123"/>
      <c r="N640" s="123"/>
      <c r="O640" s="123"/>
      <c r="P640" s="123"/>
      <c r="Q640" s="123"/>
      <c r="R640" s="123"/>
      <c r="S640" s="123"/>
      <c r="T640" s="123"/>
      <c r="U640" s="123"/>
      <c r="V640" s="123"/>
      <c r="W640" s="123"/>
      <c r="X640" s="123"/>
      <c r="Y640" s="123"/>
      <c r="Z640" s="123"/>
    </row>
    <row r="641" spans="2:26" s="235" customFormat="1" ht="13.8">
      <c r="B641" s="307"/>
      <c r="C641" s="307"/>
      <c r="D641" s="307"/>
      <c r="E641" s="307"/>
      <c r="F641" s="307"/>
      <c r="M641" s="123"/>
      <c r="N641" s="123"/>
      <c r="O641" s="123"/>
      <c r="P641" s="123"/>
      <c r="Q641" s="123"/>
      <c r="R641" s="123"/>
      <c r="S641" s="123"/>
      <c r="T641" s="123"/>
      <c r="U641" s="123"/>
      <c r="V641" s="123"/>
      <c r="W641" s="123"/>
      <c r="X641" s="123"/>
      <c r="Y641" s="123"/>
      <c r="Z641" s="123"/>
    </row>
    <row r="642" spans="2:26" s="235" customFormat="1" ht="13.8">
      <c r="B642" s="307"/>
      <c r="C642" s="307"/>
      <c r="D642" s="307"/>
      <c r="E642" s="307"/>
      <c r="F642" s="307"/>
      <c r="M642" s="123"/>
      <c r="N642" s="123"/>
      <c r="O642" s="123"/>
      <c r="P642" s="123"/>
      <c r="Q642" s="123"/>
      <c r="R642" s="123"/>
      <c r="S642" s="123"/>
      <c r="T642" s="123"/>
      <c r="U642" s="123"/>
      <c r="V642" s="123"/>
      <c r="W642" s="123"/>
      <c r="X642" s="123"/>
      <c r="Y642" s="123"/>
      <c r="Z642" s="123"/>
    </row>
    <row r="643" spans="2:26" s="235" customFormat="1" ht="13.8">
      <c r="B643" s="307"/>
      <c r="C643" s="307"/>
      <c r="D643" s="307"/>
      <c r="E643" s="307"/>
      <c r="F643" s="307"/>
      <c r="M643" s="123"/>
      <c r="N643" s="123"/>
      <c r="O643" s="123"/>
      <c r="P643" s="123"/>
      <c r="Q643" s="123"/>
      <c r="R643" s="123"/>
      <c r="S643" s="123"/>
      <c r="T643" s="123"/>
      <c r="U643" s="123"/>
      <c r="V643" s="123"/>
      <c r="W643" s="123"/>
      <c r="X643" s="123"/>
      <c r="Y643" s="123"/>
      <c r="Z643" s="123"/>
    </row>
    <row r="644" spans="2:26" s="235" customFormat="1" ht="13.8">
      <c r="B644" s="307"/>
      <c r="C644" s="307"/>
      <c r="D644" s="307"/>
      <c r="E644" s="307"/>
      <c r="F644" s="307"/>
      <c r="M644" s="123"/>
      <c r="N644" s="123"/>
      <c r="O644" s="123"/>
      <c r="P644" s="123"/>
      <c r="Q644" s="123"/>
      <c r="R644" s="123"/>
      <c r="S644" s="123"/>
      <c r="T644" s="123"/>
      <c r="U644" s="123"/>
      <c r="V644" s="123"/>
      <c r="W644" s="123"/>
      <c r="X644" s="123"/>
      <c r="Y644" s="123"/>
      <c r="Z644" s="123"/>
    </row>
    <row r="645" spans="2:26" s="235" customFormat="1" ht="13.8">
      <c r="B645" s="307"/>
      <c r="C645" s="307"/>
      <c r="D645" s="307"/>
      <c r="E645" s="307"/>
      <c r="F645" s="307"/>
      <c r="M645" s="123"/>
      <c r="N645" s="123"/>
      <c r="O645" s="123"/>
      <c r="P645" s="123"/>
      <c r="Q645" s="123"/>
      <c r="R645" s="123"/>
      <c r="S645" s="123"/>
      <c r="T645" s="123"/>
      <c r="U645" s="123"/>
      <c r="V645" s="123"/>
      <c r="W645" s="123"/>
      <c r="X645" s="123"/>
      <c r="Y645" s="123"/>
      <c r="Z645" s="123"/>
    </row>
    <row r="646" spans="2:26" s="235" customFormat="1" ht="13.8">
      <c r="B646" s="307"/>
      <c r="C646" s="307"/>
      <c r="D646" s="307"/>
      <c r="E646" s="307"/>
      <c r="F646" s="307"/>
      <c r="M646" s="123"/>
      <c r="N646" s="123"/>
      <c r="O646" s="123"/>
      <c r="P646" s="123"/>
      <c r="Q646" s="123"/>
      <c r="R646" s="123"/>
      <c r="S646" s="123"/>
      <c r="T646" s="123"/>
      <c r="U646" s="123"/>
      <c r="V646" s="123"/>
      <c r="W646" s="123"/>
      <c r="X646" s="123"/>
      <c r="Y646" s="123"/>
      <c r="Z646" s="123"/>
    </row>
    <row r="647" spans="2:26" s="235" customFormat="1" ht="13.8">
      <c r="B647" s="307"/>
      <c r="C647" s="307"/>
      <c r="D647" s="307"/>
      <c r="E647" s="307"/>
      <c r="F647" s="307"/>
      <c r="M647" s="123"/>
      <c r="N647" s="123"/>
      <c r="O647" s="123"/>
      <c r="P647" s="123"/>
      <c r="Q647" s="123"/>
      <c r="R647" s="123"/>
      <c r="S647" s="123"/>
      <c r="T647" s="123"/>
      <c r="U647" s="123"/>
      <c r="V647" s="123"/>
      <c r="W647" s="123"/>
      <c r="X647" s="123"/>
      <c r="Y647" s="123"/>
      <c r="Z647" s="123"/>
    </row>
    <row r="648" spans="2:26" s="235" customFormat="1" ht="13.8">
      <c r="B648" s="307"/>
      <c r="C648" s="307"/>
      <c r="D648" s="307"/>
      <c r="E648" s="307"/>
      <c r="F648" s="307"/>
      <c r="M648" s="123"/>
      <c r="N648" s="123"/>
      <c r="O648" s="123"/>
      <c r="P648" s="123"/>
      <c r="Q648" s="123"/>
      <c r="R648" s="123"/>
      <c r="S648" s="123"/>
      <c r="T648" s="123"/>
      <c r="U648" s="123"/>
      <c r="V648" s="123"/>
      <c r="W648" s="123"/>
      <c r="X648" s="123"/>
      <c r="Y648" s="123"/>
      <c r="Z648" s="123"/>
    </row>
    <row r="649" spans="2:26" s="235" customFormat="1" ht="13.8">
      <c r="B649" s="307"/>
      <c r="C649" s="307"/>
      <c r="D649" s="307"/>
      <c r="E649" s="307"/>
      <c r="F649" s="307"/>
      <c r="M649" s="123"/>
      <c r="N649" s="123"/>
      <c r="O649" s="123"/>
      <c r="P649" s="123"/>
      <c r="Q649" s="123"/>
      <c r="R649" s="123"/>
      <c r="S649" s="123"/>
      <c r="T649" s="123"/>
      <c r="U649" s="123"/>
      <c r="V649" s="123"/>
      <c r="W649" s="123"/>
      <c r="X649" s="123"/>
      <c r="Y649" s="123"/>
      <c r="Z649" s="123"/>
    </row>
    <row r="650" spans="2:26" s="235" customFormat="1" ht="13.8">
      <c r="B650" s="307"/>
      <c r="C650" s="307"/>
      <c r="D650" s="307"/>
      <c r="E650" s="307"/>
      <c r="F650" s="307"/>
      <c r="M650" s="123"/>
      <c r="N650" s="123"/>
      <c r="O650" s="123"/>
      <c r="P650" s="123"/>
      <c r="Q650" s="123"/>
      <c r="R650" s="123"/>
      <c r="S650" s="123"/>
      <c r="T650" s="123"/>
      <c r="U650" s="123"/>
      <c r="V650" s="123"/>
      <c r="W650" s="123"/>
      <c r="X650" s="123"/>
      <c r="Y650" s="123"/>
      <c r="Z650" s="123"/>
    </row>
    <row r="651" spans="2:26" s="235" customFormat="1" ht="13.8">
      <c r="B651" s="307"/>
      <c r="C651" s="307"/>
      <c r="D651" s="307"/>
      <c r="E651" s="307"/>
      <c r="F651" s="307"/>
      <c r="M651" s="123"/>
      <c r="N651" s="123"/>
      <c r="O651" s="123"/>
      <c r="P651" s="123"/>
      <c r="Q651" s="123"/>
      <c r="R651" s="123"/>
      <c r="S651" s="123"/>
      <c r="T651" s="123"/>
      <c r="U651" s="123"/>
      <c r="V651" s="123"/>
      <c r="W651" s="123"/>
      <c r="X651" s="123"/>
      <c r="Y651" s="123"/>
      <c r="Z651" s="123"/>
    </row>
    <row r="652" spans="2:26" s="235" customFormat="1" ht="13.8">
      <c r="B652" s="307"/>
      <c r="C652" s="307"/>
      <c r="D652" s="307"/>
      <c r="E652" s="307"/>
      <c r="F652" s="307"/>
      <c r="M652" s="123"/>
      <c r="N652" s="123"/>
      <c r="O652" s="123"/>
      <c r="P652" s="123"/>
      <c r="Q652" s="123"/>
      <c r="R652" s="123"/>
      <c r="S652" s="123"/>
      <c r="T652" s="123"/>
      <c r="U652" s="123"/>
      <c r="V652" s="123"/>
      <c r="W652" s="123"/>
      <c r="X652" s="123"/>
      <c r="Y652" s="123"/>
      <c r="Z652" s="123"/>
    </row>
    <row r="653" spans="2:26" s="235" customFormat="1" ht="13.8">
      <c r="B653" s="307"/>
      <c r="C653" s="307"/>
      <c r="D653" s="307"/>
      <c r="E653" s="307"/>
      <c r="F653" s="307"/>
      <c r="M653" s="123"/>
      <c r="N653" s="123"/>
      <c r="O653" s="123"/>
      <c r="P653" s="123"/>
      <c r="Q653" s="123"/>
      <c r="R653" s="123"/>
      <c r="S653" s="123"/>
      <c r="T653" s="123"/>
      <c r="U653" s="123"/>
      <c r="V653" s="123"/>
      <c r="W653" s="123"/>
      <c r="X653" s="123"/>
      <c r="Y653" s="123"/>
      <c r="Z653" s="123"/>
    </row>
    <row r="654" spans="2:26" s="235" customFormat="1" ht="13.8">
      <c r="B654" s="307"/>
      <c r="C654" s="307"/>
      <c r="D654" s="307"/>
      <c r="E654" s="307"/>
      <c r="F654" s="307"/>
      <c r="M654" s="123"/>
      <c r="N654" s="123"/>
      <c r="O654" s="123"/>
      <c r="P654" s="123"/>
      <c r="Q654" s="123"/>
      <c r="R654" s="123"/>
      <c r="S654" s="123"/>
      <c r="T654" s="123"/>
      <c r="U654" s="123"/>
      <c r="V654" s="123"/>
      <c r="W654" s="123"/>
      <c r="X654" s="123"/>
      <c r="Y654" s="123"/>
      <c r="Z654" s="123"/>
    </row>
    <row r="655" spans="2:26" s="235" customFormat="1" ht="13.8">
      <c r="B655" s="307"/>
      <c r="C655" s="307"/>
      <c r="D655" s="307"/>
      <c r="E655" s="307"/>
      <c r="F655" s="307"/>
      <c r="M655" s="123"/>
      <c r="N655" s="123"/>
      <c r="O655" s="123"/>
      <c r="P655" s="123"/>
      <c r="Q655" s="123"/>
      <c r="R655" s="123"/>
      <c r="S655" s="123"/>
      <c r="T655" s="123"/>
      <c r="U655" s="123"/>
      <c r="V655" s="123"/>
      <c r="W655" s="123"/>
      <c r="X655" s="123"/>
      <c r="Y655" s="123"/>
      <c r="Z655" s="123"/>
    </row>
    <row r="656" spans="2:26" s="235" customFormat="1" ht="13.8">
      <c r="B656" s="307"/>
      <c r="C656" s="307"/>
      <c r="D656" s="307"/>
      <c r="E656" s="307"/>
      <c r="F656" s="307"/>
      <c r="M656" s="123"/>
      <c r="N656" s="123"/>
      <c r="O656" s="123"/>
      <c r="P656" s="123"/>
      <c r="Q656" s="123"/>
      <c r="R656" s="123"/>
      <c r="S656" s="123"/>
      <c r="T656" s="123"/>
      <c r="U656" s="123"/>
      <c r="V656" s="123"/>
      <c r="W656" s="123"/>
      <c r="X656" s="123"/>
      <c r="Y656" s="123"/>
      <c r="Z656" s="123"/>
    </row>
    <row r="657" spans="2:26" s="235" customFormat="1" ht="13.8">
      <c r="B657" s="307"/>
      <c r="C657" s="307"/>
      <c r="D657" s="307"/>
      <c r="E657" s="307"/>
      <c r="F657" s="307"/>
      <c r="M657" s="123"/>
      <c r="N657" s="123"/>
      <c r="O657" s="123"/>
      <c r="P657" s="123"/>
      <c r="Q657" s="123"/>
      <c r="R657" s="123"/>
      <c r="S657" s="123"/>
      <c r="T657" s="123"/>
      <c r="U657" s="123"/>
      <c r="V657" s="123"/>
      <c r="W657" s="123"/>
      <c r="X657" s="123"/>
      <c r="Y657" s="123"/>
      <c r="Z657" s="123"/>
    </row>
    <row r="658" spans="2:26" s="235" customFormat="1" ht="13.8">
      <c r="B658" s="307"/>
      <c r="C658" s="307"/>
      <c r="D658" s="307"/>
      <c r="E658" s="307"/>
      <c r="F658" s="307"/>
      <c r="M658" s="123"/>
      <c r="N658" s="123"/>
      <c r="O658" s="123"/>
      <c r="P658" s="123"/>
      <c r="Q658" s="123"/>
      <c r="R658" s="123"/>
      <c r="S658" s="123"/>
      <c r="T658" s="123"/>
      <c r="U658" s="123"/>
      <c r="V658" s="123"/>
      <c r="W658" s="123"/>
      <c r="X658" s="123"/>
      <c r="Y658" s="123"/>
      <c r="Z658" s="123"/>
    </row>
    <row r="659" spans="2:26" s="235" customFormat="1" ht="13.8">
      <c r="B659" s="307"/>
      <c r="C659" s="307"/>
      <c r="D659" s="307"/>
      <c r="E659" s="307"/>
      <c r="F659" s="307"/>
      <c r="M659" s="123"/>
      <c r="N659" s="123"/>
      <c r="O659" s="123"/>
      <c r="P659" s="123"/>
      <c r="Q659" s="123"/>
      <c r="R659" s="123"/>
      <c r="S659" s="123"/>
      <c r="T659" s="123"/>
      <c r="U659" s="123"/>
      <c r="V659" s="123"/>
      <c r="W659" s="123"/>
      <c r="X659" s="123"/>
      <c r="Y659" s="123"/>
      <c r="Z659" s="123"/>
    </row>
    <row r="660" spans="2:26" s="235" customFormat="1" ht="13.8">
      <c r="B660" s="307"/>
      <c r="C660" s="307"/>
      <c r="D660" s="307"/>
      <c r="E660" s="307"/>
      <c r="F660" s="307"/>
      <c r="M660" s="123"/>
      <c r="N660" s="123"/>
      <c r="O660" s="123"/>
      <c r="P660" s="123"/>
      <c r="Q660" s="123"/>
      <c r="R660" s="123"/>
      <c r="S660" s="123"/>
      <c r="T660" s="123"/>
      <c r="U660" s="123"/>
      <c r="V660" s="123"/>
      <c r="W660" s="123"/>
      <c r="X660" s="123"/>
      <c r="Y660" s="123"/>
      <c r="Z660" s="123"/>
    </row>
    <row r="661" spans="2:26" s="235" customFormat="1" ht="13.8">
      <c r="B661" s="307"/>
      <c r="C661" s="307"/>
      <c r="D661" s="307"/>
      <c r="E661" s="307"/>
      <c r="F661" s="307"/>
      <c r="M661" s="123"/>
      <c r="N661" s="123"/>
      <c r="O661" s="123"/>
      <c r="P661" s="123"/>
      <c r="Q661" s="123"/>
      <c r="R661" s="123"/>
      <c r="S661" s="123"/>
      <c r="T661" s="123"/>
      <c r="U661" s="123"/>
      <c r="V661" s="123"/>
      <c r="W661" s="123"/>
      <c r="X661" s="123"/>
      <c r="Y661" s="123"/>
      <c r="Z661" s="123"/>
    </row>
    <row r="662" spans="2:26" s="235" customFormat="1" ht="13.8">
      <c r="B662" s="307"/>
      <c r="C662" s="307"/>
      <c r="D662" s="307"/>
      <c r="E662" s="307"/>
      <c r="F662" s="307"/>
      <c r="M662" s="123"/>
      <c r="N662" s="123"/>
      <c r="O662" s="123"/>
      <c r="P662" s="123"/>
      <c r="Q662" s="123"/>
      <c r="R662" s="123"/>
      <c r="S662" s="123"/>
      <c r="T662" s="123"/>
      <c r="U662" s="123"/>
      <c r="V662" s="123"/>
      <c r="W662" s="123"/>
      <c r="X662" s="123"/>
      <c r="Y662" s="123"/>
      <c r="Z662" s="123"/>
    </row>
    <row r="663" spans="2:26" s="235" customFormat="1" ht="13.8">
      <c r="B663" s="307"/>
      <c r="C663" s="307"/>
      <c r="D663" s="307"/>
      <c r="E663" s="307"/>
      <c r="F663" s="307"/>
      <c r="M663" s="123"/>
      <c r="N663" s="123"/>
      <c r="O663" s="123"/>
      <c r="P663" s="123"/>
      <c r="Q663" s="123"/>
      <c r="R663" s="123"/>
      <c r="S663" s="123"/>
      <c r="T663" s="123"/>
      <c r="U663" s="123"/>
      <c r="V663" s="123"/>
      <c r="W663" s="123"/>
      <c r="X663" s="123"/>
      <c r="Y663" s="123"/>
      <c r="Z663" s="123"/>
    </row>
    <row r="664" spans="2:26" s="235" customFormat="1" ht="13.8">
      <c r="B664" s="307"/>
      <c r="C664" s="307"/>
      <c r="D664" s="307"/>
      <c r="E664" s="307"/>
      <c r="F664" s="307"/>
      <c r="M664" s="123"/>
      <c r="N664" s="123"/>
      <c r="O664" s="123"/>
      <c r="P664" s="123"/>
      <c r="Q664" s="123"/>
      <c r="R664" s="123"/>
      <c r="S664" s="123"/>
      <c r="T664" s="123"/>
      <c r="U664" s="123"/>
      <c r="V664" s="123"/>
      <c r="W664" s="123"/>
      <c r="X664" s="123"/>
      <c r="Y664" s="123"/>
      <c r="Z664" s="123"/>
    </row>
    <row r="665" spans="2:26" s="235" customFormat="1" ht="13.8">
      <c r="B665" s="307"/>
      <c r="C665" s="307"/>
      <c r="D665" s="307"/>
      <c r="E665" s="307"/>
      <c r="F665" s="307"/>
      <c r="M665" s="123"/>
      <c r="N665" s="123"/>
      <c r="O665" s="123"/>
      <c r="P665" s="123"/>
      <c r="Q665" s="123"/>
      <c r="R665" s="123"/>
      <c r="S665" s="123"/>
      <c r="T665" s="123"/>
      <c r="U665" s="123"/>
      <c r="V665" s="123"/>
      <c r="W665" s="123"/>
      <c r="X665" s="123"/>
      <c r="Y665" s="123"/>
      <c r="Z665" s="123"/>
    </row>
    <row r="666" spans="2:26" s="235" customFormat="1" ht="13.8">
      <c r="B666" s="307"/>
      <c r="C666" s="307"/>
      <c r="D666" s="307"/>
      <c r="E666" s="307"/>
      <c r="F666" s="307"/>
      <c r="M666" s="123"/>
      <c r="N666" s="123"/>
      <c r="O666" s="123"/>
      <c r="P666" s="123"/>
      <c r="Q666" s="123"/>
      <c r="R666" s="123"/>
      <c r="S666" s="123"/>
      <c r="T666" s="123"/>
      <c r="U666" s="123"/>
      <c r="V666" s="123"/>
      <c r="W666" s="123"/>
      <c r="X666" s="123"/>
      <c r="Y666" s="123"/>
      <c r="Z666" s="123"/>
    </row>
    <row r="667" spans="2:26" s="235" customFormat="1" ht="13.8">
      <c r="B667" s="307"/>
      <c r="C667" s="307"/>
      <c r="D667" s="307"/>
      <c r="E667" s="307"/>
      <c r="F667" s="307"/>
      <c r="M667" s="123"/>
      <c r="N667" s="123"/>
      <c r="O667" s="123"/>
      <c r="P667" s="123"/>
      <c r="Q667" s="123"/>
      <c r="R667" s="123"/>
      <c r="S667" s="123"/>
      <c r="T667" s="123"/>
      <c r="U667" s="123"/>
      <c r="V667" s="123"/>
      <c r="W667" s="123"/>
      <c r="X667" s="123"/>
      <c r="Y667" s="123"/>
      <c r="Z667" s="123"/>
    </row>
    <row r="668" spans="2:26" s="235" customFormat="1" ht="13.8">
      <c r="B668" s="307"/>
      <c r="C668" s="307"/>
      <c r="D668" s="307"/>
      <c r="E668" s="307"/>
      <c r="F668" s="307"/>
      <c r="M668" s="123"/>
      <c r="N668" s="123"/>
      <c r="O668" s="123"/>
      <c r="P668" s="123"/>
      <c r="Q668" s="123"/>
      <c r="R668" s="123"/>
      <c r="S668" s="123"/>
      <c r="T668" s="123"/>
      <c r="U668" s="123"/>
      <c r="V668" s="123"/>
      <c r="W668" s="123"/>
      <c r="X668" s="123"/>
      <c r="Y668" s="123"/>
      <c r="Z668" s="123"/>
    </row>
    <row r="669" spans="2:26" s="235" customFormat="1" ht="13.8">
      <c r="B669" s="307"/>
      <c r="C669" s="307"/>
      <c r="D669" s="307"/>
      <c r="E669" s="307"/>
      <c r="F669" s="307"/>
      <c r="M669" s="123"/>
      <c r="N669" s="123"/>
      <c r="O669" s="123"/>
      <c r="P669" s="123"/>
      <c r="Q669" s="123"/>
      <c r="R669" s="123"/>
      <c r="S669" s="123"/>
      <c r="T669" s="123"/>
      <c r="U669" s="123"/>
      <c r="V669" s="123"/>
      <c r="W669" s="123"/>
      <c r="X669" s="123"/>
      <c r="Y669" s="123"/>
      <c r="Z669" s="123"/>
    </row>
    <row r="670" spans="2:26" s="235" customFormat="1" ht="13.8">
      <c r="B670" s="307"/>
      <c r="C670" s="307"/>
      <c r="D670" s="307"/>
      <c r="E670" s="307"/>
      <c r="F670" s="307"/>
      <c r="M670" s="123"/>
      <c r="N670" s="123"/>
      <c r="O670" s="123"/>
      <c r="P670" s="123"/>
      <c r="Q670" s="123"/>
      <c r="R670" s="123"/>
      <c r="S670" s="123"/>
      <c r="T670" s="123"/>
      <c r="U670" s="123"/>
      <c r="V670" s="123"/>
      <c r="W670" s="123"/>
      <c r="X670" s="123"/>
      <c r="Y670" s="123"/>
      <c r="Z670" s="123"/>
    </row>
    <row r="671" spans="2:26" s="235" customFormat="1" ht="13.8">
      <c r="B671" s="307"/>
      <c r="C671" s="307"/>
      <c r="D671" s="307"/>
      <c r="E671" s="307"/>
      <c r="F671" s="307"/>
      <c r="M671" s="123"/>
      <c r="N671" s="123"/>
      <c r="O671" s="123"/>
      <c r="P671" s="123"/>
      <c r="Q671" s="123"/>
      <c r="R671" s="123"/>
      <c r="S671" s="123"/>
      <c r="T671" s="123"/>
      <c r="U671" s="123"/>
      <c r="V671" s="123"/>
      <c r="W671" s="123"/>
      <c r="X671" s="123"/>
      <c r="Y671" s="123"/>
      <c r="Z671" s="123"/>
    </row>
    <row r="672" spans="2:26" s="235" customFormat="1" ht="13.8">
      <c r="B672" s="307"/>
      <c r="C672" s="307"/>
      <c r="D672" s="307"/>
      <c r="E672" s="307"/>
      <c r="F672" s="307"/>
      <c r="M672" s="123"/>
      <c r="N672" s="123"/>
      <c r="O672" s="123"/>
      <c r="P672" s="123"/>
      <c r="Q672" s="123"/>
      <c r="R672" s="123"/>
      <c r="S672" s="123"/>
      <c r="T672" s="123"/>
      <c r="U672" s="123"/>
      <c r="V672" s="123"/>
      <c r="W672" s="123"/>
      <c r="X672" s="123"/>
      <c r="Y672" s="123"/>
      <c r="Z672" s="123"/>
    </row>
    <row r="673" spans="2:26" s="235" customFormat="1" ht="13.8">
      <c r="B673" s="307"/>
      <c r="C673" s="307"/>
      <c r="D673" s="307"/>
      <c r="E673" s="307"/>
      <c r="F673" s="307"/>
      <c r="M673" s="123"/>
      <c r="N673" s="123"/>
      <c r="O673" s="123"/>
      <c r="P673" s="123"/>
      <c r="Q673" s="123"/>
      <c r="R673" s="123"/>
      <c r="S673" s="123"/>
      <c r="T673" s="123"/>
      <c r="U673" s="123"/>
      <c r="V673" s="123"/>
      <c r="W673" s="123"/>
      <c r="X673" s="123"/>
      <c r="Y673" s="123"/>
      <c r="Z673" s="123"/>
    </row>
    <row r="674" spans="2:26" s="235" customFormat="1" ht="13.8">
      <c r="B674" s="307"/>
      <c r="C674" s="307"/>
      <c r="D674" s="307"/>
      <c r="E674" s="307"/>
      <c r="F674" s="307"/>
      <c r="M674" s="123"/>
      <c r="N674" s="123"/>
      <c r="O674" s="123"/>
      <c r="P674" s="123"/>
      <c r="Q674" s="123"/>
      <c r="R674" s="123"/>
      <c r="S674" s="123"/>
      <c r="T674" s="123"/>
      <c r="U674" s="123"/>
      <c r="V674" s="123"/>
      <c r="W674" s="123"/>
      <c r="X674" s="123"/>
      <c r="Y674" s="123"/>
      <c r="Z674" s="123"/>
    </row>
    <row r="675" spans="2:26" s="235" customFormat="1" ht="13.8">
      <c r="B675" s="307"/>
      <c r="C675" s="307"/>
      <c r="D675" s="307"/>
      <c r="E675" s="307"/>
      <c r="F675" s="307"/>
      <c r="M675" s="123"/>
      <c r="N675" s="123"/>
      <c r="O675" s="123"/>
      <c r="P675" s="123"/>
      <c r="Q675" s="123"/>
      <c r="R675" s="123"/>
      <c r="S675" s="123"/>
      <c r="T675" s="123"/>
      <c r="U675" s="123"/>
      <c r="V675" s="123"/>
      <c r="W675" s="123"/>
      <c r="X675" s="123"/>
      <c r="Y675" s="123"/>
      <c r="Z675" s="123"/>
    </row>
    <row r="676" spans="2:26" s="235" customFormat="1" ht="13.8">
      <c r="B676" s="307"/>
      <c r="C676" s="307"/>
      <c r="D676" s="307"/>
      <c r="E676" s="307"/>
      <c r="F676" s="307"/>
      <c r="M676" s="123"/>
      <c r="N676" s="123"/>
      <c r="O676" s="123"/>
      <c r="P676" s="123"/>
      <c r="Q676" s="123"/>
      <c r="R676" s="123"/>
      <c r="S676" s="123"/>
      <c r="T676" s="123"/>
      <c r="U676" s="123"/>
      <c r="V676" s="123"/>
      <c r="W676" s="123"/>
      <c r="X676" s="123"/>
      <c r="Y676" s="123"/>
      <c r="Z676" s="123"/>
    </row>
    <row r="677" spans="2:26" s="235" customFormat="1" ht="13.8">
      <c r="B677" s="307"/>
      <c r="C677" s="307"/>
      <c r="D677" s="307"/>
      <c r="E677" s="307"/>
      <c r="F677" s="307"/>
      <c r="M677" s="123"/>
      <c r="N677" s="123"/>
      <c r="O677" s="123"/>
      <c r="P677" s="123"/>
      <c r="Q677" s="123"/>
      <c r="R677" s="123"/>
      <c r="S677" s="123"/>
      <c r="T677" s="123"/>
      <c r="U677" s="123"/>
      <c r="V677" s="123"/>
      <c r="W677" s="123"/>
      <c r="X677" s="123"/>
      <c r="Y677" s="123"/>
      <c r="Z677" s="123"/>
    </row>
    <row r="678" spans="2:26" s="235" customFormat="1" ht="13.8">
      <c r="B678" s="307"/>
      <c r="C678" s="307"/>
      <c r="D678" s="307"/>
      <c r="E678" s="307"/>
      <c r="F678" s="307"/>
      <c r="M678" s="123"/>
      <c r="N678" s="123"/>
      <c r="O678" s="123"/>
      <c r="P678" s="123"/>
      <c r="Q678" s="123"/>
      <c r="R678" s="123"/>
      <c r="S678" s="123"/>
      <c r="T678" s="123"/>
      <c r="U678" s="123"/>
      <c r="V678" s="123"/>
      <c r="W678" s="123"/>
      <c r="X678" s="123"/>
      <c r="Y678" s="123"/>
      <c r="Z678" s="123"/>
    </row>
    <row r="679" spans="2:26" s="235" customFormat="1" ht="13.8">
      <c r="B679" s="307"/>
      <c r="C679" s="307"/>
      <c r="D679" s="307"/>
      <c r="E679" s="307"/>
      <c r="F679" s="307"/>
      <c r="M679" s="123"/>
      <c r="N679" s="123"/>
      <c r="O679" s="123"/>
      <c r="P679" s="123"/>
      <c r="Q679" s="123"/>
      <c r="R679" s="123"/>
      <c r="S679" s="123"/>
      <c r="T679" s="123"/>
      <c r="U679" s="123"/>
      <c r="V679" s="123"/>
      <c r="W679" s="123"/>
      <c r="X679" s="123"/>
      <c r="Y679" s="123"/>
      <c r="Z679" s="123"/>
    </row>
    <row r="680" spans="2:26" s="235" customFormat="1" ht="13.8">
      <c r="B680" s="307"/>
      <c r="C680" s="307"/>
      <c r="D680" s="307"/>
      <c r="E680" s="307"/>
      <c r="F680" s="307"/>
      <c r="M680" s="123"/>
      <c r="N680" s="123"/>
      <c r="O680" s="123"/>
      <c r="P680" s="123"/>
      <c r="Q680" s="123"/>
      <c r="R680" s="123"/>
      <c r="S680" s="123"/>
      <c r="T680" s="123"/>
      <c r="U680" s="123"/>
      <c r="V680" s="123"/>
      <c r="W680" s="123"/>
      <c r="X680" s="123"/>
      <c r="Y680" s="123"/>
      <c r="Z680" s="123"/>
    </row>
    <row r="681" spans="2:26" s="235" customFormat="1" ht="13.8">
      <c r="B681" s="307"/>
      <c r="C681" s="307"/>
      <c r="D681" s="307"/>
      <c r="E681" s="307"/>
      <c r="F681" s="307"/>
      <c r="M681" s="123"/>
      <c r="N681" s="123"/>
      <c r="O681" s="123"/>
      <c r="P681" s="123"/>
      <c r="Q681" s="123"/>
      <c r="R681" s="123"/>
      <c r="S681" s="123"/>
      <c r="T681" s="123"/>
      <c r="U681" s="123"/>
      <c r="V681" s="123"/>
      <c r="W681" s="123"/>
      <c r="X681" s="123"/>
      <c r="Y681" s="123"/>
      <c r="Z681" s="123"/>
    </row>
    <row r="682" spans="2:26" s="235" customFormat="1" ht="13.8">
      <c r="B682" s="307"/>
      <c r="C682" s="307"/>
      <c r="D682" s="307"/>
      <c r="E682" s="307"/>
      <c r="F682" s="307"/>
      <c r="M682" s="123"/>
      <c r="N682" s="123"/>
      <c r="O682" s="123"/>
      <c r="P682" s="123"/>
      <c r="Q682" s="123"/>
      <c r="R682" s="123"/>
      <c r="S682" s="123"/>
      <c r="T682" s="123"/>
      <c r="U682" s="123"/>
      <c r="V682" s="123"/>
      <c r="W682" s="123"/>
      <c r="X682" s="123"/>
      <c r="Y682" s="123"/>
      <c r="Z682" s="123"/>
    </row>
    <row r="683" spans="2:26" s="235" customFormat="1" ht="13.8">
      <c r="B683" s="307"/>
      <c r="C683" s="307"/>
      <c r="D683" s="307"/>
      <c r="E683" s="307"/>
      <c r="F683" s="307"/>
      <c r="M683" s="123"/>
      <c r="N683" s="123"/>
      <c r="O683" s="123"/>
      <c r="P683" s="123"/>
      <c r="Q683" s="123"/>
      <c r="R683" s="123"/>
      <c r="S683" s="123"/>
      <c r="T683" s="123"/>
      <c r="U683" s="123"/>
      <c r="V683" s="123"/>
      <c r="W683" s="123"/>
      <c r="X683" s="123"/>
      <c r="Y683" s="123"/>
      <c r="Z683" s="123"/>
    </row>
    <row r="684" spans="2:26" s="235" customFormat="1" ht="13.8">
      <c r="B684" s="307"/>
      <c r="C684" s="307"/>
      <c r="D684" s="307"/>
      <c r="E684" s="307"/>
      <c r="F684" s="307"/>
      <c r="M684" s="123"/>
      <c r="N684" s="123"/>
      <c r="O684" s="123"/>
      <c r="P684" s="123"/>
      <c r="Q684" s="123"/>
      <c r="R684" s="123"/>
      <c r="S684" s="123"/>
      <c r="T684" s="123"/>
      <c r="U684" s="123"/>
      <c r="V684" s="123"/>
      <c r="W684" s="123"/>
      <c r="X684" s="123"/>
      <c r="Y684" s="123"/>
      <c r="Z684" s="123"/>
    </row>
    <row r="685" spans="2:26" s="235" customFormat="1" ht="13.8">
      <c r="B685" s="307"/>
      <c r="C685" s="307"/>
      <c r="D685" s="307"/>
      <c r="E685" s="307"/>
      <c r="F685" s="307"/>
      <c r="M685" s="123"/>
      <c r="N685" s="123"/>
      <c r="O685" s="123"/>
      <c r="P685" s="123"/>
      <c r="Q685" s="123"/>
      <c r="R685" s="123"/>
      <c r="S685" s="123"/>
      <c r="T685" s="123"/>
      <c r="U685" s="123"/>
      <c r="V685" s="123"/>
      <c r="W685" s="123"/>
      <c r="X685" s="123"/>
      <c r="Y685" s="123"/>
      <c r="Z685" s="123"/>
    </row>
    <row r="686" spans="2:26" s="235" customFormat="1" ht="13.8">
      <c r="B686" s="307"/>
      <c r="C686" s="307"/>
      <c r="D686" s="307"/>
      <c r="E686" s="307"/>
      <c r="F686" s="307"/>
      <c r="M686" s="123"/>
      <c r="N686" s="123"/>
      <c r="O686" s="123"/>
      <c r="P686" s="123"/>
      <c r="Q686" s="123"/>
      <c r="R686" s="123"/>
      <c r="S686" s="123"/>
      <c r="T686" s="123"/>
      <c r="U686" s="123"/>
      <c r="V686" s="123"/>
      <c r="W686" s="123"/>
      <c r="X686" s="123"/>
      <c r="Y686" s="123"/>
      <c r="Z686" s="123"/>
    </row>
    <row r="687" spans="2:26" s="235" customFormat="1" ht="13.8">
      <c r="B687" s="307"/>
      <c r="C687" s="307"/>
      <c r="D687" s="307"/>
      <c r="E687" s="307"/>
      <c r="F687" s="307"/>
      <c r="M687" s="123"/>
      <c r="N687" s="123"/>
      <c r="O687" s="123"/>
      <c r="P687" s="123"/>
      <c r="Q687" s="123"/>
      <c r="R687" s="123"/>
      <c r="S687" s="123"/>
      <c r="T687" s="123"/>
      <c r="U687" s="123"/>
      <c r="V687" s="123"/>
      <c r="W687" s="123"/>
      <c r="X687" s="123"/>
      <c r="Y687" s="123"/>
      <c r="Z687" s="123"/>
    </row>
    <row r="688" spans="2:26" s="235" customFormat="1" ht="13.8">
      <c r="B688" s="307"/>
      <c r="C688" s="307"/>
      <c r="D688" s="307"/>
      <c r="E688" s="307"/>
      <c r="F688" s="307"/>
      <c r="M688" s="123"/>
      <c r="N688" s="123"/>
      <c r="O688" s="123"/>
      <c r="P688" s="123"/>
      <c r="Q688" s="123"/>
      <c r="R688" s="123"/>
      <c r="S688" s="123"/>
      <c r="T688" s="123"/>
      <c r="U688" s="123"/>
      <c r="V688" s="123"/>
      <c r="W688" s="123"/>
      <c r="X688" s="123"/>
      <c r="Y688" s="123"/>
      <c r="Z688" s="123"/>
    </row>
    <row r="689" spans="2:26" s="235" customFormat="1" ht="13.8">
      <c r="B689" s="307"/>
      <c r="C689" s="307"/>
      <c r="D689" s="307"/>
      <c r="E689" s="307"/>
      <c r="F689" s="307"/>
      <c r="M689" s="123"/>
      <c r="N689" s="123"/>
      <c r="O689" s="123"/>
      <c r="P689" s="123"/>
      <c r="Q689" s="123"/>
      <c r="R689" s="123"/>
      <c r="S689" s="123"/>
      <c r="T689" s="123"/>
      <c r="U689" s="123"/>
      <c r="V689" s="123"/>
      <c r="W689" s="123"/>
      <c r="X689" s="123"/>
      <c r="Y689" s="123"/>
      <c r="Z689" s="123"/>
    </row>
    <row r="690" spans="2:26" s="235" customFormat="1" ht="13.8">
      <c r="B690" s="307"/>
      <c r="C690" s="307"/>
      <c r="D690" s="307"/>
      <c r="E690" s="307"/>
      <c r="F690" s="307"/>
      <c r="M690" s="123"/>
      <c r="N690" s="123"/>
      <c r="O690" s="123"/>
      <c r="P690" s="123"/>
      <c r="Q690" s="123"/>
      <c r="R690" s="123"/>
      <c r="S690" s="123"/>
      <c r="T690" s="123"/>
      <c r="U690" s="123"/>
      <c r="V690" s="123"/>
      <c r="W690" s="123"/>
      <c r="X690" s="123"/>
      <c r="Y690" s="123"/>
      <c r="Z690" s="123"/>
    </row>
    <row r="691" spans="2:26" s="235" customFormat="1" ht="13.8">
      <c r="B691" s="307"/>
      <c r="C691" s="307"/>
      <c r="D691" s="307"/>
      <c r="E691" s="307"/>
      <c r="F691" s="307"/>
      <c r="M691" s="123"/>
      <c r="N691" s="123"/>
      <c r="O691" s="123"/>
      <c r="P691" s="123"/>
      <c r="Q691" s="123"/>
      <c r="R691" s="123"/>
      <c r="S691" s="123"/>
      <c r="T691" s="123"/>
      <c r="U691" s="123"/>
      <c r="V691" s="123"/>
      <c r="W691" s="123"/>
      <c r="X691" s="123"/>
      <c r="Y691" s="123"/>
      <c r="Z691" s="123"/>
    </row>
    <row r="692" spans="2:26" s="235" customFormat="1" ht="13.8">
      <c r="B692" s="307"/>
      <c r="C692" s="307"/>
      <c r="D692" s="307"/>
      <c r="E692" s="307"/>
      <c r="F692" s="307"/>
      <c r="M692" s="123"/>
      <c r="N692" s="123"/>
      <c r="O692" s="123"/>
      <c r="P692" s="123"/>
      <c r="Q692" s="123"/>
      <c r="R692" s="123"/>
      <c r="S692" s="123"/>
      <c r="T692" s="123"/>
      <c r="U692" s="123"/>
      <c r="V692" s="123"/>
      <c r="W692" s="123"/>
      <c r="X692" s="123"/>
      <c r="Y692" s="123"/>
      <c r="Z692" s="123"/>
    </row>
    <row r="693" spans="2:26" s="235" customFormat="1" ht="13.8">
      <c r="B693" s="307"/>
      <c r="C693" s="307"/>
      <c r="D693" s="307"/>
      <c r="E693" s="307"/>
      <c r="F693" s="307"/>
      <c r="M693" s="123"/>
      <c r="N693" s="123"/>
      <c r="O693" s="123"/>
      <c r="P693" s="123"/>
      <c r="Q693" s="123"/>
      <c r="R693" s="123"/>
      <c r="S693" s="123"/>
      <c r="T693" s="123"/>
      <c r="U693" s="123"/>
      <c r="V693" s="123"/>
      <c r="W693" s="123"/>
      <c r="X693" s="123"/>
      <c r="Y693" s="123"/>
      <c r="Z693" s="123"/>
    </row>
    <row r="694" spans="2:26" s="235" customFormat="1" ht="13.8">
      <c r="B694" s="307"/>
      <c r="C694" s="307"/>
      <c r="D694" s="307"/>
      <c r="E694" s="307"/>
      <c r="F694" s="307"/>
      <c r="M694" s="123"/>
      <c r="N694" s="123"/>
      <c r="O694" s="123"/>
      <c r="P694" s="123"/>
      <c r="Q694" s="123"/>
      <c r="R694" s="123"/>
      <c r="S694" s="123"/>
      <c r="T694" s="123"/>
      <c r="U694" s="123"/>
      <c r="V694" s="123"/>
      <c r="W694" s="123"/>
      <c r="X694" s="123"/>
      <c r="Y694" s="123"/>
      <c r="Z694" s="123"/>
    </row>
    <row r="695" spans="2:26" s="235" customFormat="1" ht="13.8">
      <c r="B695" s="307"/>
      <c r="C695" s="307"/>
      <c r="D695" s="307"/>
      <c r="E695" s="307"/>
      <c r="F695" s="307"/>
      <c r="M695" s="123"/>
      <c r="N695" s="123"/>
      <c r="O695" s="123"/>
      <c r="P695" s="123"/>
      <c r="Q695" s="123"/>
      <c r="R695" s="123"/>
      <c r="S695" s="123"/>
      <c r="T695" s="123"/>
      <c r="U695" s="123"/>
      <c r="V695" s="123"/>
      <c r="W695" s="123"/>
      <c r="X695" s="123"/>
      <c r="Y695" s="123"/>
      <c r="Z695" s="123"/>
    </row>
    <row r="696" spans="2:26" s="235" customFormat="1" ht="13.8">
      <c r="B696" s="307"/>
      <c r="C696" s="307"/>
      <c r="D696" s="307"/>
      <c r="E696" s="307"/>
      <c r="F696" s="307"/>
      <c r="M696" s="123"/>
      <c r="N696" s="123"/>
      <c r="O696" s="123"/>
      <c r="P696" s="123"/>
      <c r="Q696" s="123"/>
      <c r="R696" s="123"/>
      <c r="S696" s="123"/>
      <c r="T696" s="123"/>
      <c r="U696" s="123"/>
      <c r="V696" s="123"/>
      <c r="W696" s="123"/>
      <c r="X696" s="123"/>
      <c r="Y696" s="123"/>
      <c r="Z696" s="123"/>
    </row>
    <row r="697" spans="2:26" s="235" customFormat="1" ht="13.8">
      <c r="B697" s="307"/>
      <c r="C697" s="307"/>
      <c r="D697" s="307"/>
      <c r="E697" s="307"/>
      <c r="F697" s="307"/>
      <c r="M697" s="123"/>
      <c r="N697" s="123"/>
      <c r="O697" s="123"/>
      <c r="P697" s="123"/>
      <c r="Q697" s="123"/>
      <c r="R697" s="123"/>
      <c r="S697" s="123"/>
      <c r="T697" s="123"/>
      <c r="U697" s="123"/>
      <c r="V697" s="123"/>
      <c r="W697" s="123"/>
      <c r="X697" s="123"/>
      <c r="Y697" s="123"/>
      <c r="Z697" s="123"/>
    </row>
    <row r="698" spans="2:26" s="235" customFormat="1" ht="13.8">
      <c r="B698" s="307"/>
      <c r="C698" s="307"/>
      <c r="D698" s="307"/>
      <c r="E698" s="307"/>
      <c r="F698" s="307"/>
      <c r="M698" s="123"/>
      <c r="N698" s="123"/>
      <c r="O698" s="123"/>
      <c r="P698" s="123"/>
      <c r="Q698" s="123"/>
      <c r="R698" s="123"/>
      <c r="S698" s="123"/>
      <c r="T698" s="123"/>
      <c r="U698" s="123"/>
      <c r="V698" s="123"/>
      <c r="W698" s="123"/>
      <c r="X698" s="123"/>
      <c r="Y698" s="123"/>
      <c r="Z698" s="123"/>
    </row>
    <row r="699" spans="2:26" s="235" customFormat="1" ht="13.8">
      <c r="B699" s="307"/>
      <c r="C699" s="307"/>
      <c r="D699" s="307"/>
      <c r="E699" s="307"/>
      <c r="F699" s="307"/>
      <c r="M699" s="123"/>
      <c r="N699" s="123"/>
      <c r="O699" s="123"/>
      <c r="P699" s="123"/>
      <c r="Q699" s="123"/>
      <c r="R699" s="123"/>
      <c r="S699" s="123"/>
      <c r="T699" s="123"/>
      <c r="U699" s="123"/>
      <c r="V699" s="123"/>
      <c r="W699" s="123"/>
      <c r="X699" s="123"/>
      <c r="Y699" s="123"/>
      <c r="Z699" s="123"/>
    </row>
    <row r="700" spans="2:26" s="235" customFormat="1" ht="13.8">
      <c r="B700" s="307"/>
      <c r="C700" s="307"/>
      <c r="D700" s="307"/>
      <c r="E700" s="307"/>
      <c r="F700" s="307"/>
      <c r="M700" s="123"/>
      <c r="N700" s="123"/>
      <c r="O700" s="123"/>
      <c r="P700" s="123"/>
      <c r="Q700" s="123"/>
      <c r="R700" s="123"/>
      <c r="S700" s="123"/>
      <c r="T700" s="123"/>
      <c r="U700" s="123"/>
      <c r="V700" s="123"/>
      <c r="W700" s="123"/>
      <c r="X700" s="123"/>
      <c r="Y700" s="123"/>
      <c r="Z700" s="123"/>
    </row>
    <row r="701" spans="2:26" s="235" customFormat="1" ht="13.8">
      <c r="B701" s="307"/>
      <c r="C701" s="307"/>
      <c r="D701" s="307"/>
      <c r="E701" s="307"/>
      <c r="F701" s="307"/>
      <c r="M701" s="123"/>
      <c r="N701" s="123"/>
      <c r="O701" s="123"/>
      <c r="P701" s="123"/>
      <c r="Q701" s="123"/>
      <c r="R701" s="123"/>
      <c r="S701" s="123"/>
      <c r="T701" s="123"/>
      <c r="U701" s="123"/>
      <c r="V701" s="123"/>
      <c r="W701" s="123"/>
      <c r="X701" s="123"/>
      <c r="Y701" s="123"/>
      <c r="Z701" s="123"/>
    </row>
    <row r="702" spans="2:26" s="235" customFormat="1" ht="13.8">
      <c r="B702" s="307"/>
      <c r="C702" s="307"/>
      <c r="D702" s="307"/>
      <c r="E702" s="307"/>
      <c r="F702" s="307"/>
      <c r="M702" s="123"/>
      <c r="N702" s="123"/>
      <c r="O702" s="123"/>
      <c r="P702" s="123"/>
      <c r="Q702" s="123"/>
      <c r="R702" s="123"/>
      <c r="S702" s="123"/>
      <c r="T702" s="123"/>
      <c r="U702" s="123"/>
      <c r="V702" s="123"/>
      <c r="W702" s="123"/>
      <c r="X702" s="123"/>
      <c r="Y702" s="123"/>
      <c r="Z702" s="123"/>
    </row>
    <row r="703" spans="2:26" s="235" customFormat="1" ht="13.8">
      <c r="B703" s="307"/>
      <c r="C703" s="307"/>
      <c r="D703" s="307"/>
      <c r="E703" s="307"/>
      <c r="F703" s="307"/>
      <c r="M703" s="123"/>
      <c r="N703" s="123"/>
      <c r="O703" s="123"/>
      <c r="P703" s="123"/>
      <c r="Q703" s="123"/>
      <c r="R703" s="123"/>
      <c r="S703" s="123"/>
      <c r="T703" s="123"/>
      <c r="U703" s="123"/>
      <c r="V703" s="123"/>
      <c r="W703" s="123"/>
      <c r="X703" s="123"/>
      <c r="Y703" s="123"/>
      <c r="Z703" s="123"/>
    </row>
    <row r="704" spans="2:26" s="235" customFormat="1" ht="13.8">
      <c r="B704" s="307"/>
      <c r="C704" s="307"/>
      <c r="D704" s="307"/>
      <c r="E704" s="307"/>
      <c r="F704" s="307"/>
      <c r="M704" s="123"/>
      <c r="N704" s="123"/>
      <c r="O704" s="123"/>
      <c r="P704" s="123"/>
      <c r="Q704" s="123"/>
      <c r="R704" s="123"/>
      <c r="S704" s="123"/>
      <c r="T704" s="123"/>
      <c r="U704" s="123"/>
      <c r="V704" s="123"/>
      <c r="W704" s="123"/>
      <c r="X704" s="123"/>
      <c r="Y704" s="123"/>
      <c r="Z704" s="123"/>
    </row>
    <row r="705" spans="2:26" s="235" customFormat="1" ht="13.8">
      <c r="B705" s="307"/>
      <c r="C705" s="307"/>
      <c r="D705" s="307"/>
      <c r="E705" s="307"/>
      <c r="F705" s="307"/>
      <c r="M705" s="123"/>
      <c r="N705" s="123"/>
      <c r="O705" s="123"/>
      <c r="P705" s="123"/>
      <c r="Q705" s="123"/>
      <c r="R705" s="123"/>
      <c r="S705" s="123"/>
      <c r="T705" s="123"/>
      <c r="U705" s="123"/>
      <c r="V705" s="123"/>
      <c r="W705" s="123"/>
      <c r="X705" s="123"/>
      <c r="Y705" s="123"/>
      <c r="Z705" s="123"/>
    </row>
    <row r="706" spans="2:26" s="235" customFormat="1" ht="13.8">
      <c r="B706" s="307"/>
      <c r="C706" s="307"/>
      <c r="D706" s="307"/>
      <c r="E706" s="307"/>
      <c r="F706" s="307"/>
      <c r="M706" s="123"/>
      <c r="N706" s="123"/>
      <c r="O706" s="123"/>
      <c r="P706" s="123"/>
      <c r="Q706" s="123"/>
      <c r="R706" s="123"/>
      <c r="S706" s="123"/>
      <c r="T706" s="123"/>
      <c r="U706" s="123"/>
      <c r="V706" s="123"/>
      <c r="W706" s="123"/>
      <c r="X706" s="123"/>
      <c r="Y706" s="123"/>
      <c r="Z706" s="123"/>
    </row>
    <row r="707" spans="2:26" s="235" customFormat="1" ht="13.8">
      <c r="B707" s="307"/>
      <c r="C707" s="307"/>
      <c r="D707" s="307"/>
      <c r="E707" s="307"/>
      <c r="F707" s="307"/>
      <c r="M707" s="123"/>
      <c r="N707" s="123"/>
      <c r="O707" s="123"/>
      <c r="P707" s="123"/>
      <c r="Q707" s="123"/>
      <c r="R707" s="123"/>
      <c r="S707" s="123"/>
      <c r="T707" s="123"/>
      <c r="U707" s="123"/>
      <c r="V707" s="123"/>
      <c r="W707" s="123"/>
      <c r="X707" s="123"/>
      <c r="Y707" s="123"/>
      <c r="Z707" s="123"/>
    </row>
    <row r="708" spans="2:26" s="235" customFormat="1" ht="13.8">
      <c r="B708" s="307"/>
      <c r="C708" s="307"/>
      <c r="D708" s="307"/>
      <c r="E708" s="307"/>
      <c r="F708" s="307"/>
      <c r="M708" s="123"/>
      <c r="N708" s="123"/>
      <c r="O708" s="123"/>
      <c r="P708" s="123"/>
      <c r="Q708" s="123"/>
      <c r="R708" s="123"/>
      <c r="S708" s="123"/>
      <c r="T708" s="123"/>
      <c r="U708" s="123"/>
      <c r="V708" s="123"/>
      <c r="W708" s="123"/>
      <c r="X708" s="123"/>
      <c r="Y708" s="123"/>
      <c r="Z708" s="123"/>
    </row>
    <row r="709" spans="2:26" s="235" customFormat="1" ht="13.8">
      <c r="B709" s="307"/>
      <c r="C709" s="307"/>
      <c r="D709" s="307"/>
      <c r="E709" s="307"/>
      <c r="F709" s="307"/>
      <c r="M709" s="123"/>
      <c r="N709" s="123"/>
      <c r="O709" s="123"/>
      <c r="P709" s="123"/>
      <c r="Q709" s="123"/>
      <c r="R709" s="123"/>
      <c r="S709" s="123"/>
      <c r="T709" s="123"/>
      <c r="U709" s="123"/>
      <c r="V709" s="123"/>
      <c r="W709" s="123"/>
      <c r="X709" s="123"/>
      <c r="Y709" s="123"/>
      <c r="Z709" s="123"/>
    </row>
    <row r="710" spans="2:26" s="235" customFormat="1" ht="13.8">
      <c r="B710" s="307"/>
      <c r="C710" s="307"/>
      <c r="D710" s="307"/>
      <c r="E710" s="307"/>
      <c r="F710" s="307"/>
      <c r="M710" s="123"/>
      <c r="N710" s="123"/>
      <c r="O710" s="123"/>
      <c r="P710" s="123"/>
      <c r="Q710" s="123"/>
      <c r="R710" s="123"/>
      <c r="S710" s="123"/>
      <c r="T710" s="123"/>
      <c r="U710" s="123"/>
      <c r="V710" s="123"/>
      <c r="W710" s="123"/>
      <c r="X710" s="123"/>
      <c r="Y710" s="123"/>
      <c r="Z710" s="123"/>
    </row>
    <row r="711" spans="2:26" s="235" customFormat="1" ht="13.8">
      <c r="B711" s="307"/>
      <c r="C711" s="307"/>
      <c r="D711" s="307"/>
      <c r="E711" s="307"/>
      <c r="F711" s="307"/>
      <c r="M711" s="123"/>
      <c r="N711" s="123"/>
      <c r="O711" s="123"/>
      <c r="P711" s="123"/>
      <c r="Q711" s="123"/>
      <c r="R711" s="123"/>
      <c r="S711" s="123"/>
      <c r="T711" s="123"/>
      <c r="U711" s="123"/>
      <c r="V711" s="123"/>
      <c r="W711" s="123"/>
      <c r="X711" s="123"/>
      <c r="Y711" s="123"/>
      <c r="Z711" s="123"/>
    </row>
    <row r="712" spans="2:26" s="235" customFormat="1" ht="13.8">
      <c r="B712" s="307"/>
      <c r="C712" s="307"/>
      <c r="D712" s="307"/>
      <c r="E712" s="307"/>
      <c r="F712" s="307"/>
      <c r="M712" s="123"/>
      <c r="N712" s="123"/>
      <c r="O712" s="123"/>
      <c r="P712" s="123"/>
      <c r="Q712" s="123"/>
      <c r="R712" s="123"/>
      <c r="S712" s="123"/>
      <c r="T712" s="123"/>
      <c r="U712" s="123"/>
      <c r="V712" s="123"/>
      <c r="W712" s="123"/>
      <c r="X712" s="123"/>
      <c r="Y712" s="123"/>
      <c r="Z712" s="123"/>
    </row>
    <row r="713" spans="2:26" s="235" customFormat="1" ht="13.8">
      <c r="B713" s="307"/>
      <c r="C713" s="307"/>
      <c r="D713" s="307"/>
      <c r="E713" s="307"/>
      <c r="F713" s="307"/>
      <c r="M713" s="123"/>
      <c r="N713" s="123"/>
      <c r="O713" s="123"/>
      <c r="P713" s="123"/>
      <c r="Q713" s="123"/>
      <c r="R713" s="123"/>
      <c r="S713" s="123"/>
      <c r="T713" s="123"/>
      <c r="U713" s="123"/>
      <c r="V713" s="123"/>
      <c r="W713" s="123"/>
      <c r="X713" s="123"/>
      <c r="Y713" s="123"/>
      <c r="Z713" s="123"/>
    </row>
    <row r="714" spans="2:26" s="235" customFormat="1" ht="13.8">
      <c r="B714" s="307"/>
      <c r="C714" s="307"/>
      <c r="D714" s="307"/>
      <c r="E714" s="307"/>
      <c r="F714" s="307"/>
      <c r="M714" s="123"/>
      <c r="N714" s="123"/>
      <c r="O714" s="123"/>
      <c r="P714" s="123"/>
      <c r="Q714" s="123"/>
      <c r="R714" s="123"/>
      <c r="S714" s="123"/>
      <c r="T714" s="123"/>
      <c r="U714" s="123"/>
      <c r="V714" s="123"/>
      <c r="W714" s="123"/>
      <c r="X714" s="123"/>
      <c r="Y714" s="123"/>
      <c r="Z714" s="123"/>
    </row>
    <row r="715" spans="2:26" s="235" customFormat="1" ht="13.8">
      <c r="B715" s="307"/>
      <c r="C715" s="307"/>
      <c r="D715" s="307"/>
      <c r="E715" s="307"/>
      <c r="F715" s="307"/>
      <c r="M715" s="123"/>
      <c r="N715" s="123"/>
      <c r="O715" s="123"/>
      <c r="P715" s="123"/>
      <c r="Q715" s="123"/>
      <c r="R715" s="123"/>
      <c r="S715" s="123"/>
      <c r="T715" s="123"/>
      <c r="U715" s="123"/>
      <c r="V715" s="123"/>
      <c r="W715" s="123"/>
      <c r="X715" s="123"/>
      <c r="Y715" s="123"/>
      <c r="Z715" s="123"/>
    </row>
    <row r="716" spans="2:26" s="235" customFormat="1" ht="13.8">
      <c r="B716" s="307"/>
      <c r="C716" s="307"/>
      <c r="D716" s="307"/>
      <c r="E716" s="307"/>
      <c r="F716" s="307"/>
      <c r="M716" s="123"/>
      <c r="N716" s="123"/>
      <c r="O716" s="123"/>
      <c r="P716" s="123"/>
      <c r="Q716" s="123"/>
      <c r="R716" s="123"/>
      <c r="S716" s="123"/>
      <c r="T716" s="123"/>
      <c r="U716" s="123"/>
      <c r="V716" s="123"/>
      <c r="W716" s="123"/>
      <c r="X716" s="123"/>
      <c r="Y716" s="123"/>
      <c r="Z716" s="123"/>
    </row>
    <row r="717" spans="2:26" s="235" customFormat="1" ht="13.8">
      <c r="B717" s="307"/>
      <c r="C717" s="307"/>
      <c r="D717" s="307"/>
      <c r="E717" s="307"/>
      <c r="F717" s="307"/>
      <c r="M717" s="123"/>
      <c r="N717" s="123"/>
      <c r="O717" s="123"/>
      <c r="P717" s="123"/>
      <c r="Q717" s="123"/>
      <c r="R717" s="123"/>
      <c r="S717" s="123"/>
      <c r="T717" s="123"/>
      <c r="U717" s="123"/>
      <c r="V717" s="123"/>
      <c r="W717" s="123"/>
      <c r="X717" s="123"/>
      <c r="Y717" s="123"/>
      <c r="Z717" s="123"/>
    </row>
    <row r="718" spans="2:26" s="235" customFormat="1" ht="13.8">
      <c r="B718" s="307"/>
      <c r="C718" s="307"/>
      <c r="D718" s="307"/>
      <c r="E718" s="307"/>
      <c r="F718" s="307"/>
      <c r="M718" s="123"/>
      <c r="N718" s="123"/>
      <c r="O718" s="123"/>
      <c r="P718" s="123"/>
      <c r="Q718" s="123"/>
      <c r="R718" s="123"/>
      <c r="S718" s="123"/>
      <c r="T718" s="123"/>
      <c r="U718" s="123"/>
      <c r="V718" s="123"/>
      <c r="W718" s="123"/>
      <c r="X718" s="123"/>
      <c r="Y718" s="123"/>
      <c r="Z718" s="123"/>
    </row>
    <row r="719" spans="2:26" s="235" customFormat="1" ht="13.8">
      <c r="B719" s="307"/>
      <c r="C719" s="307"/>
      <c r="D719" s="307"/>
      <c r="E719" s="307"/>
      <c r="F719" s="307"/>
      <c r="M719" s="123"/>
      <c r="N719" s="123"/>
      <c r="O719" s="123"/>
      <c r="P719" s="123"/>
      <c r="Q719" s="123"/>
      <c r="R719" s="123"/>
      <c r="S719" s="123"/>
      <c r="T719" s="123"/>
      <c r="U719" s="123"/>
      <c r="V719" s="123"/>
      <c r="W719" s="123"/>
      <c r="X719" s="123"/>
      <c r="Y719" s="123"/>
      <c r="Z719" s="123"/>
    </row>
    <row r="720" spans="2:26" s="235" customFormat="1" ht="13.8">
      <c r="B720" s="307"/>
      <c r="C720" s="307"/>
      <c r="D720" s="307"/>
      <c r="E720" s="307"/>
      <c r="F720" s="307"/>
      <c r="M720" s="123"/>
      <c r="N720" s="123"/>
      <c r="O720" s="123"/>
      <c r="P720" s="123"/>
      <c r="Q720" s="123"/>
      <c r="R720" s="123"/>
      <c r="S720" s="123"/>
      <c r="T720" s="123"/>
      <c r="U720" s="123"/>
      <c r="V720" s="123"/>
      <c r="W720" s="123"/>
      <c r="X720" s="123"/>
      <c r="Y720" s="123"/>
      <c r="Z720" s="123"/>
    </row>
    <row r="721" spans="2:26" s="235" customFormat="1" ht="13.8">
      <c r="B721" s="307"/>
      <c r="C721" s="307"/>
      <c r="D721" s="307"/>
      <c r="E721" s="307"/>
      <c r="F721" s="307"/>
      <c r="M721" s="123"/>
      <c r="N721" s="123"/>
      <c r="O721" s="123"/>
      <c r="P721" s="123"/>
      <c r="Q721" s="123"/>
      <c r="R721" s="123"/>
      <c r="S721" s="123"/>
      <c r="T721" s="123"/>
      <c r="U721" s="123"/>
      <c r="V721" s="123"/>
      <c r="W721" s="123"/>
      <c r="X721" s="123"/>
      <c r="Y721" s="123"/>
      <c r="Z721" s="123"/>
    </row>
    <row r="722" spans="2:26" s="235" customFormat="1" ht="13.8">
      <c r="B722" s="307"/>
      <c r="C722" s="307"/>
      <c r="D722" s="307"/>
      <c r="E722" s="307"/>
      <c r="F722" s="307"/>
      <c r="M722" s="123"/>
      <c r="N722" s="123"/>
      <c r="O722" s="123"/>
      <c r="P722" s="123"/>
      <c r="Q722" s="123"/>
      <c r="R722" s="123"/>
      <c r="S722" s="123"/>
      <c r="T722" s="123"/>
      <c r="U722" s="123"/>
      <c r="V722" s="123"/>
      <c r="W722" s="123"/>
      <c r="X722" s="123"/>
      <c r="Y722" s="123"/>
      <c r="Z722" s="123"/>
    </row>
    <row r="723" spans="2:26" s="235" customFormat="1" ht="13.8">
      <c r="B723" s="307"/>
      <c r="C723" s="307"/>
      <c r="D723" s="307"/>
      <c r="E723" s="307"/>
      <c r="F723" s="307"/>
      <c r="M723" s="123"/>
      <c r="N723" s="123"/>
      <c r="O723" s="123"/>
      <c r="P723" s="123"/>
      <c r="Q723" s="123"/>
      <c r="R723" s="123"/>
      <c r="S723" s="123"/>
      <c r="T723" s="123"/>
      <c r="U723" s="123"/>
      <c r="V723" s="123"/>
      <c r="W723" s="123"/>
      <c r="X723" s="123"/>
      <c r="Y723" s="123"/>
      <c r="Z723" s="123"/>
    </row>
    <row r="724" spans="2:26" s="235" customFormat="1" ht="13.8">
      <c r="B724" s="307"/>
      <c r="C724" s="307"/>
      <c r="D724" s="307"/>
      <c r="E724" s="307"/>
      <c r="F724" s="307"/>
      <c r="M724" s="123"/>
      <c r="N724" s="123"/>
      <c r="O724" s="123"/>
      <c r="P724" s="123"/>
      <c r="Q724" s="123"/>
      <c r="R724" s="123"/>
      <c r="S724" s="123"/>
      <c r="T724" s="123"/>
      <c r="U724" s="123"/>
      <c r="V724" s="123"/>
      <c r="W724" s="123"/>
      <c r="X724" s="123"/>
      <c r="Y724" s="123"/>
      <c r="Z724" s="123"/>
    </row>
    <row r="725" spans="2:26" s="235" customFormat="1" ht="13.8">
      <c r="B725" s="307"/>
      <c r="C725" s="307"/>
      <c r="D725" s="307"/>
      <c r="E725" s="307"/>
      <c r="F725" s="307"/>
      <c r="M725" s="123"/>
      <c r="N725" s="123"/>
      <c r="O725" s="123"/>
      <c r="P725" s="123"/>
      <c r="Q725" s="123"/>
      <c r="R725" s="123"/>
      <c r="S725" s="123"/>
      <c r="T725" s="123"/>
      <c r="U725" s="123"/>
      <c r="V725" s="123"/>
      <c r="W725" s="123"/>
      <c r="X725" s="123"/>
      <c r="Y725" s="123"/>
      <c r="Z725" s="123"/>
    </row>
    <row r="726" spans="2:26" s="235" customFormat="1" ht="13.8">
      <c r="B726" s="307"/>
      <c r="C726" s="307"/>
      <c r="D726" s="307"/>
      <c r="E726" s="307"/>
      <c r="F726" s="307"/>
      <c r="M726" s="123"/>
      <c r="N726" s="123"/>
      <c r="O726" s="123"/>
      <c r="P726" s="123"/>
      <c r="Q726" s="123"/>
      <c r="R726" s="123"/>
      <c r="S726" s="123"/>
      <c r="T726" s="123"/>
      <c r="U726" s="123"/>
      <c r="V726" s="123"/>
      <c r="W726" s="123"/>
      <c r="X726" s="123"/>
      <c r="Y726" s="123"/>
      <c r="Z726" s="123"/>
    </row>
    <row r="727" spans="2:26" s="235" customFormat="1" ht="13.8">
      <c r="B727" s="307"/>
      <c r="C727" s="307"/>
      <c r="D727" s="307"/>
      <c r="E727" s="307"/>
      <c r="F727" s="307"/>
      <c r="M727" s="123"/>
      <c r="N727" s="123"/>
      <c r="O727" s="123"/>
      <c r="P727" s="123"/>
      <c r="Q727" s="123"/>
      <c r="R727" s="123"/>
      <c r="S727" s="123"/>
      <c r="T727" s="123"/>
      <c r="U727" s="123"/>
      <c r="V727" s="123"/>
      <c r="W727" s="123"/>
      <c r="X727" s="123"/>
      <c r="Y727" s="123"/>
      <c r="Z727" s="123"/>
    </row>
    <row r="728" spans="2:26" s="235" customFormat="1" ht="13.8">
      <c r="B728" s="307"/>
      <c r="C728" s="307"/>
      <c r="D728" s="307"/>
      <c r="E728" s="307"/>
      <c r="F728" s="307"/>
      <c r="M728" s="123"/>
      <c r="N728" s="123"/>
      <c r="O728" s="123"/>
      <c r="P728" s="123"/>
      <c r="Q728" s="123"/>
      <c r="R728" s="123"/>
      <c r="S728" s="123"/>
      <c r="T728" s="123"/>
      <c r="U728" s="123"/>
      <c r="V728" s="123"/>
      <c r="W728" s="123"/>
      <c r="X728" s="123"/>
      <c r="Y728" s="123"/>
      <c r="Z728" s="123"/>
    </row>
    <row r="729" spans="2:26" s="235" customFormat="1" ht="13.8">
      <c r="B729" s="307"/>
      <c r="C729" s="307"/>
      <c r="D729" s="307"/>
      <c r="E729" s="307"/>
      <c r="F729" s="307"/>
      <c r="M729" s="123"/>
      <c r="N729" s="123"/>
      <c r="O729" s="123"/>
      <c r="P729" s="123"/>
      <c r="Q729" s="123"/>
      <c r="R729" s="123"/>
      <c r="S729" s="123"/>
      <c r="T729" s="123"/>
      <c r="U729" s="123"/>
      <c r="V729" s="123"/>
      <c r="W729" s="123"/>
      <c r="X729" s="123"/>
      <c r="Y729" s="123"/>
      <c r="Z729" s="123"/>
    </row>
    <row r="730" spans="2:26" s="235" customFormat="1" ht="13.8">
      <c r="B730" s="307"/>
      <c r="C730" s="307"/>
      <c r="D730" s="307"/>
      <c r="E730" s="307"/>
      <c r="F730" s="307"/>
      <c r="M730" s="123"/>
      <c r="N730" s="123"/>
      <c r="O730" s="123"/>
      <c r="P730" s="123"/>
      <c r="Q730" s="123"/>
      <c r="R730" s="123"/>
      <c r="S730" s="123"/>
      <c r="T730" s="123"/>
      <c r="U730" s="123"/>
      <c r="V730" s="123"/>
      <c r="W730" s="123"/>
      <c r="X730" s="123"/>
      <c r="Y730" s="123"/>
      <c r="Z730" s="123"/>
    </row>
    <row r="731" spans="2:26" s="235" customFormat="1" ht="13.8">
      <c r="B731" s="307"/>
      <c r="C731" s="307"/>
      <c r="D731" s="307"/>
      <c r="E731" s="307"/>
      <c r="F731" s="307"/>
      <c r="M731" s="123"/>
      <c r="N731" s="123"/>
      <c r="O731" s="123"/>
      <c r="P731" s="123"/>
      <c r="Q731" s="123"/>
      <c r="R731" s="123"/>
      <c r="S731" s="123"/>
      <c r="T731" s="123"/>
      <c r="U731" s="123"/>
      <c r="V731" s="123"/>
      <c r="W731" s="123"/>
      <c r="X731" s="123"/>
      <c r="Y731" s="123"/>
      <c r="Z731" s="123"/>
    </row>
    <row r="732" spans="2:26" s="235" customFormat="1" ht="13.8">
      <c r="B732" s="307"/>
      <c r="C732" s="307"/>
      <c r="D732" s="307"/>
      <c r="E732" s="307"/>
      <c r="F732" s="307"/>
      <c r="M732" s="123"/>
      <c r="N732" s="123"/>
      <c r="O732" s="123"/>
      <c r="P732" s="123"/>
      <c r="Q732" s="123"/>
      <c r="R732" s="123"/>
      <c r="S732" s="123"/>
      <c r="T732" s="123"/>
      <c r="U732" s="123"/>
      <c r="V732" s="123"/>
      <c r="W732" s="123"/>
      <c r="X732" s="123"/>
      <c r="Y732" s="123"/>
      <c r="Z732" s="123"/>
    </row>
    <row r="733" spans="2:26" s="235" customFormat="1" ht="13.8">
      <c r="B733" s="307"/>
      <c r="C733" s="307"/>
      <c r="D733" s="307"/>
      <c r="E733" s="307"/>
      <c r="F733" s="307"/>
      <c r="M733" s="123"/>
      <c r="N733" s="123"/>
      <c r="O733" s="123"/>
      <c r="P733" s="123"/>
      <c r="Q733" s="123"/>
      <c r="R733" s="123"/>
      <c r="S733" s="123"/>
      <c r="T733" s="123"/>
      <c r="U733" s="123"/>
      <c r="V733" s="123"/>
      <c r="W733" s="123"/>
      <c r="X733" s="123"/>
      <c r="Y733" s="123"/>
      <c r="Z733" s="123"/>
    </row>
    <row r="734" spans="2:26" s="235" customFormat="1" ht="13.8">
      <c r="B734" s="307"/>
      <c r="C734" s="307"/>
      <c r="D734" s="307"/>
      <c r="E734" s="307"/>
      <c r="F734" s="307"/>
      <c r="M734" s="123"/>
      <c r="N734" s="123"/>
      <c r="O734" s="123"/>
      <c r="P734" s="123"/>
      <c r="Q734" s="123"/>
      <c r="R734" s="123"/>
      <c r="S734" s="123"/>
      <c r="T734" s="123"/>
      <c r="U734" s="123"/>
      <c r="V734" s="123"/>
      <c r="W734" s="123"/>
      <c r="X734" s="123"/>
      <c r="Y734" s="123"/>
      <c r="Z734" s="123"/>
    </row>
    <row r="735" spans="2:26" s="235" customFormat="1" ht="13.8">
      <c r="B735" s="307"/>
      <c r="C735" s="307"/>
      <c r="D735" s="307"/>
      <c r="E735" s="307"/>
      <c r="F735" s="307"/>
      <c r="M735" s="123"/>
      <c r="N735" s="123"/>
      <c r="O735" s="123"/>
      <c r="P735" s="123"/>
      <c r="Q735" s="123"/>
      <c r="R735" s="123"/>
      <c r="S735" s="123"/>
      <c r="T735" s="123"/>
      <c r="U735" s="123"/>
      <c r="V735" s="123"/>
      <c r="W735" s="123"/>
      <c r="X735" s="123"/>
      <c r="Y735" s="123"/>
      <c r="Z735" s="123"/>
    </row>
    <row r="736" spans="2:26" s="235" customFormat="1" ht="13.8">
      <c r="B736" s="307"/>
      <c r="C736" s="307"/>
      <c r="D736" s="307"/>
      <c r="E736" s="307"/>
      <c r="F736" s="307"/>
      <c r="M736" s="123"/>
      <c r="N736" s="123"/>
      <c r="O736" s="123"/>
      <c r="P736" s="123"/>
      <c r="Q736" s="123"/>
      <c r="R736" s="123"/>
      <c r="S736" s="123"/>
      <c r="T736" s="123"/>
      <c r="U736" s="123"/>
      <c r="V736" s="123"/>
      <c r="W736" s="123"/>
      <c r="X736" s="123"/>
      <c r="Y736" s="123"/>
      <c r="Z736" s="123"/>
    </row>
    <row r="737" spans="2:26" s="235" customFormat="1" ht="13.8">
      <c r="B737" s="307"/>
      <c r="C737" s="307"/>
      <c r="D737" s="307"/>
      <c r="E737" s="307"/>
      <c r="F737" s="307"/>
      <c r="M737" s="123"/>
      <c r="N737" s="123"/>
      <c r="O737" s="123"/>
      <c r="P737" s="123"/>
      <c r="Q737" s="123"/>
      <c r="R737" s="123"/>
      <c r="S737" s="123"/>
      <c r="T737" s="123"/>
      <c r="U737" s="123"/>
      <c r="V737" s="123"/>
      <c r="W737" s="123"/>
      <c r="X737" s="123"/>
      <c r="Y737" s="123"/>
      <c r="Z737" s="123"/>
    </row>
    <row r="738" spans="2:26" s="235" customFormat="1" ht="13.8">
      <c r="B738" s="307"/>
      <c r="C738" s="307"/>
      <c r="D738" s="307"/>
      <c r="E738" s="307"/>
      <c r="F738" s="307"/>
      <c r="M738" s="123"/>
      <c r="N738" s="123"/>
      <c r="O738" s="123"/>
      <c r="P738" s="123"/>
      <c r="Q738" s="123"/>
      <c r="R738" s="123"/>
      <c r="S738" s="123"/>
      <c r="T738" s="123"/>
      <c r="U738" s="123"/>
      <c r="V738" s="123"/>
      <c r="W738" s="123"/>
      <c r="X738" s="123"/>
      <c r="Y738" s="123"/>
      <c r="Z738" s="123"/>
    </row>
    <row r="739" spans="2:26" s="235" customFormat="1" ht="13.8">
      <c r="B739" s="307"/>
      <c r="C739" s="307"/>
      <c r="D739" s="307"/>
      <c r="E739" s="307"/>
      <c r="F739" s="307"/>
      <c r="M739" s="123"/>
      <c r="N739" s="123"/>
      <c r="O739" s="123"/>
      <c r="P739" s="123"/>
      <c r="Q739" s="123"/>
      <c r="R739" s="123"/>
      <c r="S739" s="123"/>
      <c r="T739" s="123"/>
      <c r="U739" s="123"/>
      <c r="V739" s="123"/>
      <c r="W739" s="123"/>
      <c r="X739" s="123"/>
      <c r="Y739" s="123"/>
      <c r="Z739" s="123"/>
    </row>
    <row r="740" spans="2:26" s="235" customFormat="1" ht="13.8">
      <c r="B740" s="307"/>
      <c r="C740" s="307"/>
      <c r="D740" s="307"/>
      <c r="E740" s="307"/>
      <c r="F740" s="307"/>
      <c r="M740" s="123"/>
      <c r="N740" s="123"/>
      <c r="O740" s="123"/>
      <c r="P740" s="123"/>
      <c r="Q740" s="123"/>
      <c r="R740" s="123"/>
      <c r="S740" s="123"/>
      <c r="T740" s="123"/>
      <c r="U740" s="123"/>
      <c r="V740" s="123"/>
      <c r="W740" s="123"/>
      <c r="X740" s="123"/>
      <c r="Y740" s="123"/>
      <c r="Z740" s="123"/>
    </row>
    <row r="741" spans="2:26" s="235" customFormat="1" ht="13.8">
      <c r="B741" s="307"/>
      <c r="C741" s="307"/>
      <c r="D741" s="307"/>
      <c r="E741" s="307"/>
      <c r="F741" s="307"/>
      <c r="M741" s="123"/>
      <c r="N741" s="123"/>
      <c r="O741" s="123"/>
      <c r="P741" s="123"/>
      <c r="Q741" s="123"/>
      <c r="R741" s="123"/>
      <c r="S741" s="123"/>
      <c r="T741" s="123"/>
      <c r="U741" s="123"/>
      <c r="V741" s="123"/>
      <c r="W741" s="123"/>
      <c r="X741" s="123"/>
      <c r="Y741" s="123"/>
      <c r="Z741" s="123"/>
    </row>
    <row r="742" spans="2:26" s="235" customFormat="1" ht="13.8">
      <c r="B742" s="307"/>
      <c r="C742" s="307"/>
      <c r="D742" s="307"/>
      <c r="E742" s="307"/>
      <c r="F742" s="307"/>
      <c r="M742" s="123"/>
      <c r="N742" s="123"/>
      <c r="O742" s="123"/>
      <c r="P742" s="123"/>
      <c r="Q742" s="123"/>
      <c r="R742" s="123"/>
      <c r="S742" s="123"/>
      <c r="T742" s="123"/>
      <c r="U742" s="123"/>
      <c r="V742" s="123"/>
      <c r="W742" s="123"/>
      <c r="X742" s="123"/>
      <c r="Y742" s="123"/>
      <c r="Z742" s="123"/>
    </row>
    <row r="743" spans="2:26" s="235" customFormat="1" ht="13.8">
      <c r="B743" s="307"/>
      <c r="C743" s="307"/>
      <c r="D743" s="307"/>
      <c r="E743" s="307"/>
      <c r="F743" s="307"/>
      <c r="M743" s="123"/>
      <c r="N743" s="123"/>
      <c r="O743" s="123"/>
      <c r="P743" s="123"/>
      <c r="Q743" s="123"/>
      <c r="R743" s="123"/>
      <c r="S743" s="123"/>
      <c r="T743" s="123"/>
      <c r="U743" s="123"/>
      <c r="V743" s="123"/>
      <c r="W743" s="123"/>
      <c r="X743" s="123"/>
      <c r="Y743" s="123"/>
      <c r="Z743" s="123"/>
    </row>
    <row r="744" spans="2:26" s="235" customFormat="1" ht="13.8">
      <c r="B744" s="307"/>
      <c r="C744" s="307"/>
      <c r="D744" s="307"/>
      <c r="E744" s="307"/>
      <c r="F744" s="307"/>
      <c r="M744" s="123"/>
      <c r="N744" s="123"/>
      <c r="O744" s="123"/>
      <c r="P744" s="123"/>
      <c r="Q744" s="123"/>
      <c r="R744" s="123"/>
      <c r="S744" s="123"/>
      <c r="T744" s="123"/>
      <c r="U744" s="123"/>
      <c r="V744" s="123"/>
      <c r="W744" s="123"/>
      <c r="X744" s="123"/>
      <c r="Y744" s="123"/>
      <c r="Z744" s="123"/>
    </row>
    <row r="745" spans="2:26" s="235" customFormat="1" ht="13.8">
      <c r="B745" s="307"/>
      <c r="C745" s="307"/>
      <c r="D745" s="307"/>
      <c r="E745" s="307"/>
      <c r="F745" s="307"/>
      <c r="M745" s="123"/>
      <c r="N745" s="123"/>
      <c r="O745" s="123"/>
      <c r="P745" s="123"/>
      <c r="Q745" s="123"/>
      <c r="R745" s="123"/>
      <c r="S745" s="123"/>
      <c r="T745" s="123"/>
      <c r="U745" s="123"/>
      <c r="V745" s="123"/>
      <c r="W745" s="123"/>
      <c r="X745" s="123"/>
      <c r="Y745" s="123"/>
      <c r="Z745" s="123"/>
    </row>
    <row r="746" spans="2:26" s="235" customFormat="1" ht="13.8">
      <c r="B746" s="307"/>
      <c r="C746" s="307"/>
      <c r="D746" s="307"/>
      <c r="E746" s="307"/>
      <c r="F746" s="307"/>
      <c r="M746" s="123"/>
      <c r="N746" s="123"/>
      <c r="O746" s="123"/>
      <c r="P746" s="123"/>
      <c r="Q746" s="123"/>
      <c r="R746" s="123"/>
      <c r="S746" s="123"/>
      <c r="T746" s="123"/>
      <c r="U746" s="123"/>
      <c r="V746" s="123"/>
      <c r="W746" s="123"/>
      <c r="X746" s="123"/>
      <c r="Y746" s="123"/>
      <c r="Z746" s="123"/>
    </row>
    <row r="747" spans="2:26" s="235" customFormat="1" ht="13.8">
      <c r="B747" s="307"/>
      <c r="C747" s="307"/>
      <c r="D747" s="307"/>
      <c r="E747" s="307"/>
      <c r="F747" s="307"/>
      <c r="M747" s="123"/>
      <c r="N747" s="123"/>
      <c r="O747" s="123"/>
      <c r="P747" s="123"/>
      <c r="Q747" s="123"/>
      <c r="R747" s="123"/>
      <c r="S747" s="123"/>
      <c r="T747" s="123"/>
      <c r="U747" s="123"/>
      <c r="V747" s="123"/>
      <c r="W747" s="123"/>
      <c r="X747" s="123"/>
      <c r="Y747" s="123"/>
      <c r="Z747" s="123"/>
    </row>
    <row r="748" spans="2:26" s="235" customFormat="1" ht="13.8">
      <c r="B748" s="307"/>
      <c r="C748" s="307"/>
      <c r="D748" s="307"/>
      <c r="E748" s="307"/>
      <c r="F748" s="307"/>
      <c r="M748" s="123"/>
      <c r="N748" s="123"/>
      <c r="O748" s="123"/>
      <c r="P748" s="123"/>
      <c r="Q748" s="123"/>
      <c r="R748" s="123"/>
      <c r="S748" s="123"/>
      <c r="T748" s="123"/>
      <c r="U748" s="123"/>
      <c r="V748" s="123"/>
      <c r="W748" s="123"/>
      <c r="X748" s="123"/>
      <c r="Y748" s="123"/>
      <c r="Z748" s="123"/>
    </row>
    <row r="749" spans="2:26" s="235" customFormat="1" ht="13.8">
      <c r="B749" s="307"/>
      <c r="C749" s="307"/>
      <c r="D749" s="307"/>
      <c r="E749" s="307"/>
      <c r="F749" s="307"/>
      <c r="M749" s="123"/>
      <c r="N749" s="123"/>
      <c r="O749" s="123"/>
      <c r="P749" s="123"/>
      <c r="Q749" s="123"/>
      <c r="R749" s="123"/>
      <c r="S749" s="123"/>
      <c r="T749" s="123"/>
      <c r="U749" s="123"/>
      <c r="V749" s="123"/>
      <c r="W749" s="123"/>
      <c r="X749" s="123"/>
      <c r="Y749" s="123"/>
      <c r="Z749" s="123"/>
    </row>
    <row r="750" spans="2:26" s="235" customFormat="1" ht="13.8">
      <c r="B750" s="307"/>
      <c r="C750" s="307"/>
      <c r="D750" s="307"/>
      <c r="E750" s="307"/>
      <c r="F750" s="307"/>
      <c r="M750" s="123"/>
      <c r="N750" s="123"/>
      <c r="O750" s="123"/>
      <c r="P750" s="123"/>
      <c r="Q750" s="123"/>
      <c r="R750" s="123"/>
      <c r="S750" s="123"/>
      <c r="T750" s="123"/>
      <c r="U750" s="123"/>
      <c r="V750" s="123"/>
      <c r="W750" s="123"/>
      <c r="X750" s="123"/>
      <c r="Y750" s="123"/>
      <c r="Z750" s="123"/>
    </row>
    <row r="751" spans="2:26" s="235" customFormat="1" ht="13.8">
      <c r="B751" s="307"/>
      <c r="C751" s="307"/>
      <c r="D751" s="307"/>
      <c r="E751" s="307"/>
      <c r="F751" s="307"/>
      <c r="M751" s="123"/>
      <c r="N751" s="123"/>
      <c r="O751" s="123"/>
      <c r="P751" s="123"/>
      <c r="Q751" s="123"/>
      <c r="R751" s="123"/>
      <c r="S751" s="123"/>
      <c r="T751" s="123"/>
      <c r="U751" s="123"/>
      <c r="V751" s="123"/>
      <c r="W751" s="123"/>
      <c r="X751" s="123"/>
      <c r="Y751" s="123"/>
      <c r="Z751" s="123"/>
    </row>
    <row r="752" spans="2:26" s="235" customFormat="1" ht="13.8">
      <c r="B752" s="307"/>
      <c r="C752" s="307"/>
      <c r="D752" s="307"/>
      <c r="E752" s="307"/>
      <c r="F752" s="307"/>
      <c r="M752" s="123"/>
      <c r="N752" s="123"/>
      <c r="O752" s="123"/>
      <c r="P752" s="123"/>
      <c r="Q752" s="123"/>
      <c r="R752" s="123"/>
      <c r="S752" s="123"/>
      <c r="T752" s="123"/>
      <c r="U752" s="123"/>
      <c r="V752" s="123"/>
      <c r="W752" s="123"/>
      <c r="X752" s="123"/>
      <c r="Y752" s="123"/>
      <c r="Z752" s="123"/>
    </row>
    <row r="753" spans="2:26" s="235" customFormat="1" ht="13.8">
      <c r="B753" s="307"/>
      <c r="C753" s="307"/>
      <c r="D753" s="307"/>
      <c r="E753" s="307"/>
      <c r="F753" s="307"/>
      <c r="M753" s="123"/>
      <c r="N753" s="123"/>
      <c r="O753" s="123"/>
      <c r="P753" s="123"/>
      <c r="Q753" s="123"/>
      <c r="R753" s="123"/>
      <c r="S753" s="123"/>
      <c r="T753" s="123"/>
      <c r="U753" s="123"/>
      <c r="V753" s="123"/>
      <c r="W753" s="123"/>
      <c r="X753" s="123"/>
      <c r="Y753" s="123"/>
      <c r="Z753" s="123"/>
    </row>
    <row r="754" spans="2:26" s="235" customFormat="1" ht="13.8">
      <c r="B754" s="307"/>
      <c r="C754" s="307"/>
      <c r="D754" s="307"/>
      <c r="E754" s="307"/>
      <c r="F754" s="307"/>
      <c r="M754" s="123"/>
      <c r="N754" s="123"/>
      <c r="O754" s="123"/>
      <c r="P754" s="123"/>
      <c r="Q754" s="123"/>
      <c r="R754" s="123"/>
      <c r="S754" s="123"/>
      <c r="T754" s="123"/>
      <c r="U754" s="123"/>
      <c r="V754" s="123"/>
      <c r="W754" s="123"/>
      <c r="X754" s="123"/>
      <c r="Y754" s="123"/>
      <c r="Z754" s="123"/>
    </row>
    <row r="755" spans="2:26" s="235" customFormat="1" ht="13.8">
      <c r="B755" s="307"/>
      <c r="C755" s="307"/>
      <c r="D755" s="307"/>
      <c r="E755" s="307"/>
      <c r="F755" s="307"/>
      <c r="M755" s="123"/>
      <c r="N755" s="123"/>
      <c r="O755" s="123"/>
      <c r="P755" s="123"/>
      <c r="Q755" s="123"/>
      <c r="R755" s="123"/>
      <c r="S755" s="123"/>
      <c r="T755" s="123"/>
      <c r="U755" s="123"/>
      <c r="V755" s="123"/>
      <c r="W755" s="123"/>
      <c r="X755" s="123"/>
      <c r="Y755" s="123"/>
      <c r="Z755" s="123"/>
    </row>
    <row r="756" spans="2:26" s="235" customFormat="1" ht="13.8">
      <c r="B756" s="307"/>
      <c r="C756" s="307"/>
      <c r="D756" s="307"/>
      <c r="E756" s="307"/>
      <c r="F756" s="307"/>
      <c r="M756" s="123"/>
      <c r="N756" s="123"/>
      <c r="O756" s="123"/>
      <c r="P756" s="123"/>
      <c r="Q756" s="123"/>
      <c r="R756" s="123"/>
      <c r="S756" s="123"/>
      <c r="T756" s="123"/>
      <c r="U756" s="123"/>
      <c r="V756" s="123"/>
      <c r="W756" s="123"/>
      <c r="X756" s="123"/>
      <c r="Y756" s="123"/>
      <c r="Z756" s="123"/>
    </row>
    <row r="757" spans="2:26" s="235" customFormat="1" ht="13.8">
      <c r="B757" s="307"/>
      <c r="C757" s="307"/>
      <c r="D757" s="307"/>
      <c r="E757" s="307"/>
      <c r="F757" s="307"/>
      <c r="M757" s="123"/>
      <c r="N757" s="123"/>
      <c r="O757" s="123"/>
      <c r="P757" s="123"/>
      <c r="Q757" s="123"/>
      <c r="R757" s="123"/>
      <c r="S757" s="123"/>
      <c r="T757" s="123"/>
      <c r="U757" s="123"/>
      <c r="V757" s="123"/>
      <c r="W757" s="123"/>
      <c r="X757" s="123"/>
      <c r="Y757" s="123"/>
      <c r="Z757" s="123"/>
    </row>
    <row r="758" spans="2:26" s="235" customFormat="1" ht="13.8">
      <c r="B758" s="307"/>
      <c r="C758" s="307"/>
      <c r="D758" s="307"/>
      <c r="E758" s="307"/>
      <c r="F758" s="307"/>
      <c r="M758" s="123"/>
      <c r="N758" s="123"/>
      <c r="O758" s="123"/>
      <c r="P758" s="123"/>
      <c r="Q758" s="123"/>
      <c r="R758" s="123"/>
      <c r="S758" s="123"/>
      <c r="T758" s="123"/>
      <c r="U758" s="123"/>
      <c r="V758" s="123"/>
      <c r="W758" s="123"/>
      <c r="X758" s="123"/>
      <c r="Y758" s="123"/>
      <c r="Z758" s="123"/>
    </row>
    <row r="759" spans="2:26" s="235" customFormat="1" ht="13.8">
      <c r="B759" s="307"/>
      <c r="C759" s="307"/>
      <c r="D759" s="307"/>
      <c r="E759" s="307"/>
      <c r="F759" s="307"/>
      <c r="M759" s="123"/>
      <c r="N759" s="123"/>
      <c r="O759" s="123"/>
      <c r="P759" s="123"/>
      <c r="Q759" s="123"/>
      <c r="R759" s="123"/>
      <c r="S759" s="123"/>
      <c r="T759" s="123"/>
      <c r="U759" s="123"/>
      <c r="V759" s="123"/>
      <c r="W759" s="123"/>
      <c r="X759" s="123"/>
      <c r="Y759" s="123"/>
      <c r="Z759" s="123"/>
    </row>
    <row r="760" spans="2:26" s="235" customFormat="1" ht="13.8">
      <c r="B760" s="307"/>
      <c r="C760" s="307"/>
      <c r="D760" s="307"/>
      <c r="E760" s="307"/>
      <c r="F760" s="307"/>
      <c r="M760" s="123"/>
      <c r="N760" s="123"/>
      <c r="O760" s="123"/>
      <c r="P760" s="123"/>
      <c r="Q760" s="123"/>
      <c r="R760" s="123"/>
      <c r="S760" s="123"/>
      <c r="T760" s="123"/>
      <c r="U760" s="123"/>
      <c r="V760" s="123"/>
      <c r="W760" s="123"/>
      <c r="X760" s="123"/>
      <c r="Y760" s="123"/>
      <c r="Z760" s="123"/>
    </row>
    <row r="761" spans="2:26" s="235" customFormat="1" ht="13.8">
      <c r="B761" s="307"/>
      <c r="C761" s="307"/>
      <c r="D761" s="307"/>
      <c r="E761" s="307"/>
      <c r="F761" s="307"/>
      <c r="M761" s="123"/>
      <c r="N761" s="123"/>
      <c r="O761" s="123"/>
      <c r="P761" s="123"/>
      <c r="Q761" s="123"/>
      <c r="R761" s="123"/>
      <c r="S761" s="123"/>
      <c r="T761" s="123"/>
      <c r="U761" s="123"/>
      <c r="V761" s="123"/>
      <c r="W761" s="123"/>
      <c r="X761" s="123"/>
      <c r="Y761" s="123"/>
      <c r="Z761" s="123"/>
    </row>
    <row r="762" spans="2:26" s="235" customFormat="1" ht="13.8">
      <c r="B762" s="307"/>
      <c r="C762" s="307"/>
      <c r="D762" s="307"/>
      <c r="E762" s="307"/>
      <c r="F762" s="307"/>
      <c r="M762" s="123"/>
      <c r="N762" s="123"/>
      <c r="O762" s="123"/>
      <c r="P762" s="123"/>
      <c r="Q762" s="123"/>
      <c r="R762" s="123"/>
      <c r="S762" s="123"/>
      <c r="T762" s="123"/>
      <c r="U762" s="123"/>
      <c r="V762" s="123"/>
      <c r="W762" s="123"/>
      <c r="X762" s="123"/>
      <c r="Y762" s="123"/>
      <c r="Z762" s="123"/>
    </row>
    <row r="763" spans="2:26" s="235" customFormat="1" ht="13.8">
      <c r="B763" s="307"/>
      <c r="C763" s="307"/>
      <c r="D763" s="307"/>
      <c r="E763" s="307"/>
      <c r="F763" s="307"/>
      <c r="M763" s="123"/>
      <c r="N763" s="123"/>
      <c r="O763" s="123"/>
      <c r="P763" s="123"/>
      <c r="Q763" s="123"/>
      <c r="R763" s="123"/>
      <c r="S763" s="123"/>
      <c r="T763" s="123"/>
      <c r="U763" s="123"/>
      <c r="V763" s="123"/>
      <c r="W763" s="123"/>
      <c r="X763" s="123"/>
      <c r="Y763" s="123"/>
      <c r="Z763" s="123"/>
    </row>
    <row r="764" spans="2:26" s="235" customFormat="1" ht="13.8">
      <c r="B764" s="307"/>
      <c r="C764" s="307"/>
      <c r="D764" s="307"/>
      <c r="E764" s="307"/>
      <c r="F764" s="307"/>
      <c r="M764" s="123"/>
      <c r="N764" s="123"/>
      <c r="O764" s="123"/>
      <c r="P764" s="123"/>
      <c r="Q764" s="123"/>
      <c r="R764" s="123"/>
      <c r="S764" s="123"/>
      <c r="T764" s="123"/>
      <c r="U764" s="123"/>
      <c r="V764" s="123"/>
      <c r="W764" s="123"/>
      <c r="X764" s="123"/>
      <c r="Y764" s="123"/>
      <c r="Z764" s="123"/>
    </row>
    <row r="765" spans="2:26" s="235" customFormat="1" ht="13.8">
      <c r="B765" s="307"/>
      <c r="C765" s="307"/>
      <c r="D765" s="307"/>
      <c r="E765" s="307"/>
      <c r="F765" s="307"/>
      <c r="M765" s="123"/>
      <c r="N765" s="123"/>
      <c r="O765" s="123"/>
      <c r="P765" s="123"/>
      <c r="Q765" s="123"/>
      <c r="R765" s="123"/>
      <c r="S765" s="123"/>
      <c r="T765" s="123"/>
      <c r="U765" s="123"/>
      <c r="V765" s="123"/>
      <c r="W765" s="123"/>
      <c r="X765" s="123"/>
      <c r="Y765" s="123"/>
      <c r="Z765" s="123"/>
    </row>
    <row r="766" spans="2:26" s="235" customFormat="1" ht="13.8">
      <c r="B766" s="307"/>
      <c r="C766" s="307"/>
      <c r="D766" s="307"/>
      <c r="E766" s="307"/>
      <c r="F766" s="307"/>
      <c r="M766" s="123"/>
      <c r="N766" s="123"/>
      <c r="O766" s="123"/>
      <c r="P766" s="123"/>
      <c r="Q766" s="123"/>
      <c r="R766" s="123"/>
      <c r="S766" s="123"/>
      <c r="T766" s="123"/>
      <c r="U766" s="123"/>
      <c r="V766" s="123"/>
      <c r="W766" s="123"/>
      <c r="X766" s="123"/>
      <c r="Y766" s="123"/>
      <c r="Z766" s="123"/>
    </row>
    <row r="767" spans="2:26" s="235" customFormat="1" ht="13.8">
      <c r="B767" s="307"/>
      <c r="C767" s="307"/>
      <c r="D767" s="307"/>
      <c r="E767" s="307"/>
      <c r="F767" s="307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123"/>
    </row>
    <row r="768" spans="2:26" s="235" customFormat="1" ht="13.8">
      <c r="B768" s="307"/>
      <c r="C768" s="307"/>
      <c r="D768" s="307"/>
      <c r="E768" s="307"/>
      <c r="F768" s="307"/>
      <c r="M768" s="123"/>
      <c r="N768" s="123"/>
      <c r="O768" s="123"/>
      <c r="P768" s="123"/>
      <c r="Q768" s="123"/>
      <c r="R768" s="123"/>
      <c r="S768" s="123"/>
      <c r="T768" s="123"/>
      <c r="U768" s="123"/>
      <c r="V768" s="123"/>
      <c r="W768" s="123"/>
      <c r="X768" s="123"/>
      <c r="Y768" s="123"/>
      <c r="Z768" s="123"/>
    </row>
    <row r="769" spans="2:26" s="235" customFormat="1" ht="13.8">
      <c r="B769" s="307"/>
      <c r="C769" s="307"/>
      <c r="D769" s="307"/>
      <c r="E769" s="307"/>
      <c r="F769" s="307"/>
      <c r="M769" s="123"/>
      <c r="N769" s="123"/>
      <c r="O769" s="123"/>
      <c r="P769" s="123"/>
      <c r="Q769" s="123"/>
      <c r="R769" s="123"/>
      <c r="S769" s="123"/>
      <c r="T769" s="123"/>
      <c r="U769" s="123"/>
      <c r="V769" s="123"/>
      <c r="W769" s="123"/>
      <c r="X769" s="123"/>
      <c r="Y769" s="123"/>
      <c r="Z769" s="123"/>
    </row>
    <row r="770" spans="2:26" s="235" customFormat="1" ht="13.8">
      <c r="B770" s="307"/>
      <c r="C770" s="307"/>
      <c r="D770" s="307"/>
      <c r="E770" s="307"/>
      <c r="F770" s="307"/>
      <c r="M770" s="123"/>
      <c r="N770" s="123"/>
      <c r="O770" s="123"/>
      <c r="P770" s="123"/>
      <c r="Q770" s="123"/>
      <c r="R770" s="123"/>
      <c r="S770" s="123"/>
      <c r="T770" s="123"/>
      <c r="U770" s="123"/>
      <c r="V770" s="123"/>
      <c r="W770" s="123"/>
      <c r="X770" s="123"/>
      <c r="Y770" s="123"/>
      <c r="Z770" s="123"/>
    </row>
    <row r="771" spans="2:26" s="235" customFormat="1" ht="13.8">
      <c r="B771" s="307"/>
      <c r="C771" s="307"/>
      <c r="D771" s="307"/>
      <c r="E771" s="307"/>
      <c r="F771" s="307"/>
      <c r="M771" s="123"/>
      <c r="N771" s="123"/>
      <c r="O771" s="123"/>
      <c r="P771" s="123"/>
      <c r="Q771" s="123"/>
      <c r="R771" s="123"/>
      <c r="S771" s="123"/>
      <c r="T771" s="123"/>
      <c r="U771" s="123"/>
      <c r="V771" s="123"/>
      <c r="W771" s="123"/>
      <c r="X771" s="123"/>
      <c r="Y771" s="123"/>
      <c r="Z771" s="123"/>
    </row>
    <row r="772" spans="2:26" s="235" customFormat="1" ht="13.8">
      <c r="B772" s="307"/>
      <c r="C772" s="307"/>
      <c r="D772" s="307"/>
      <c r="E772" s="307"/>
      <c r="F772" s="307"/>
      <c r="M772" s="123"/>
      <c r="N772" s="123"/>
      <c r="O772" s="123"/>
      <c r="P772" s="123"/>
      <c r="Q772" s="123"/>
      <c r="R772" s="123"/>
      <c r="S772" s="123"/>
      <c r="T772" s="123"/>
      <c r="U772" s="123"/>
      <c r="V772" s="123"/>
      <c r="W772" s="123"/>
      <c r="X772" s="123"/>
      <c r="Y772" s="123"/>
      <c r="Z772" s="123"/>
    </row>
    <row r="773" spans="2:26" s="235" customFormat="1" ht="13.8">
      <c r="B773" s="307"/>
      <c r="C773" s="307"/>
      <c r="D773" s="307"/>
      <c r="E773" s="307"/>
      <c r="F773" s="307"/>
      <c r="M773" s="123"/>
      <c r="N773" s="123"/>
      <c r="O773" s="123"/>
      <c r="P773" s="123"/>
      <c r="Q773" s="123"/>
      <c r="R773" s="123"/>
      <c r="S773" s="123"/>
      <c r="T773" s="123"/>
      <c r="U773" s="123"/>
      <c r="V773" s="123"/>
      <c r="W773" s="123"/>
      <c r="X773" s="123"/>
      <c r="Y773" s="123"/>
      <c r="Z773" s="123"/>
    </row>
    <row r="774" spans="2:26" s="235" customFormat="1" ht="13.8">
      <c r="B774" s="307"/>
      <c r="C774" s="307"/>
      <c r="D774" s="307"/>
      <c r="E774" s="307"/>
      <c r="F774" s="307"/>
      <c r="M774" s="123"/>
      <c r="N774" s="123"/>
      <c r="O774" s="123"/>
      <c r="P774" s="123"/>
      <c r="Q774" s="123"/>
      <c r="R774" s="123"/>
      <c r="S774" s="123"/>
      <c r="T774" s="123"/>
      <c r="U774" s="123"/>
      <c r="V774" s="123"/>
      <c r="W774" s="123"/>
      <c r="X774" s="123"/>
      <c r="Y774" s="123"/>
      <c r="Z774" s="123"/>
    </row>
    <row r="775" spans="2:26" s="235" customFormat="1" ht="13.8">
      <c r="B775" s="307"/>
      <c r="C775" s="307"/>
      <c r="D775" s="307"/>
      <c r="E775" s="307"/>
      <c r="F775" s="307"/>
      <c r="M775" s="123"/>
      <c r="N775" s="123"/>
      <c r="O775" s="123"/>
      <c r="P775" s="123"/>
      <c r="Q775" s="123"/>
      <c r="R775" s="123"/>
      <c r="S775" s="123"/>
      <c r="T775" s="123"/>
      <c r="U775" s="123"/>
      <c r="V775" s="123"/>
      <c r="W775" s="123"/>
      <c r="X775" s="123"/>
      <c r="Y775" s="123"/>
      <c r="Z775" s="123"/>
    </row>
    <row r="776" spans="2:26" s="235" customFormat="1" ht="13.8">
      <c r="B776" s="307"/>
      <c r="C776" s="307"/>
      <c r="D776" s="307"/>
      <c r="E776" s="307"/>
      <c r="F776" s="307"/>
      <c r="M776" s="123"/>
      <c r="N776" s="123"/>
      <c r="O776" s="123"/>
      <c r="P776" s="123"/>
      <c r="Q776" s="123"/>
      <c r="R776" s="123"/>
      <c r="S776" s="123"/>
      <c r="T776" s="123"/>
      <c r="U776" s="123"/>
      <c r="V776" s="123"/>
      <c r="W776" s="123"/>
      <c r="X776" s="123"/>
      <c r="Y776" s="123"/>
      <c r="Z776" s="123"/>
    </row>
    <row r="777" spans="2:26" s="235" customFormat="1" ht="13.8">
      <c r="B777" s="307"/>
      <c r="C777" s="307"/>
      <c r="D777" s="307"/>
      <c r="E777" s="307"/>
      <c r="F777" s="307"/>
      <c r="M777" s="123"/>
      <c r="N777" s="123"/>
      <c r="O777" s="123"/>
      <c r="P777" s="123"/>
      <c r="Q777" s="123"/>
      <c r="R777" s="123"/>
      <c r="S777" s="123"/>
      <c r="T777" s="123"/>
      <c r="U777" s="123"/>
      <c r="V777" s="123"/>
      <c r="W777" s="123"/>
      <c r="X777" s="123"/>
      <c r="Y777" s="123"/>
      <c r="Z777" s="123"/>
    </row>
    <row r="778" spans="2:26" s="235" customFormat="1" ht="13.8">
      <c r="B778" s="307"/>
      <c r="C778" s="307"/>
      <c r="D778" s="307"/>
      <c r="E778" s="307"/>
      <c r="F778" s="307"/>
      <c r="M778" s="123"/>
      <c r="N778" s="123"/>
      <c r="O778" s="123"/>
      <c r="P778" s="123"/>
      <c r="Q778" s="123"/>
      <c r="R778" s="123"/>
      <c r="S778" s="123"/>
      <c r="T778" s="123"/>
      <c r="U778" s="123"/>
      <c r="V778" s="123"/>
      <c r="W778" s="123"/>
      <c r="X778" s="123"/>
      <c r="Y778" s="123"/>
      <c r="Z778" s="123"/>
    </row>
    <row r="779" spans="2:26" s="235" customFormat="1" ht="13.8">
      <c r="B779" s="307"/>
      <c r="C779" s="307"/>
      <c r="D779" s="307"/>
      <c r="E779" s="307"/>
      <c r="F779" s="307"/>
      <c r="M779" s="123"/>
      <c r="N779" s="123"/>
      <c r="O779" s="123"/>
      <c r="P779" s="123"/>
      <c r="Q779" s="123"/>
      <c r="R779" s="123"/>
      <c r="S779" s="123"/>
      <c r="T779" s="123"/>
      <c r="U779" s="123"/>
      <c r="V779" s="123"/>
      <c r="W779" s="123"/>
      <c r="X779" s="123"/>
      <c r="Y779" s="123"/>
      <c r="Z779" s="123"/>
    </row>
    <row r="780" spans="2:26" s="235" customFormat="1" ht="13.8">
      <c r="B780" s="307"/>
      <c r="C780" s="307"/>
      <c r="D780" s="307"/>
      <c r="E780" s="307"/>
      <c r="F780" s="307"/>
      <c r="M780" s="123"/>
      <c r="N780" s="123"/>
      <c r="O780" s="123"/>
      <c r="P780" s="123"/>
      <c r="Q780" s="123"/>
      <c r="R780" s="123"/>
      <c r="S780" s="123"/>
      <c r="T780" s="123"/>
      <c r="U780" s="123"/>
      <c r="V780" s="123"/>
      <c r="W780" s="123"/>
      <c r="X780" s="123"/>
      <c r="Y780" s="123"/>
      <c r="Z780" s="123"/>
    </row>
    <row r="781" spans="2:26" s="235" customFormat="1" ht="13.8">
      <c r="B781" s="307"/>
      <c r="C781" s="307"/>
      <c r="D781" s="307"/>
      <c r="E781" s="307"/>
      <c r="F781" s="307"/>
      <c r="M781" s="123"/>
      <c r="N781" s="123"/>
      <c r="O781" s="123"/>
      <c r="P781" s="123"/>
      <c r="Q781" s="123"/>
      <c r="R781" s="123"/>
      <c r="S781" s="123"/>
      <c r="T781" s="123"/>
      <c r="U781" s="123"/>
      <c r="V781" s="123"/>
      <c r="W781" s="123"/>
      <c r="X781" s="123"/>
      <c r="Y781" s="123"/>
      <c r="Z781" s="123"/>
    </row>
    <row r="782" spans="2:26" s="235" customFormat="1" ht="13.8">
      <c r="B782" s="307"/>
      <c r="C782" s="307"/>
      <c r="D782" s="307"/>
      <c r="E782" s="307"/>
      <c r="F782" s="307"/>
      <c r="M782" s="123"/>
      <c r="N782" s="123"/>
      <c r="O782" s="123"/>
      <c r="P782" s="123"/>
      <c r="Q782" s="123"/>
      <c r="R782" s="123"/>
      <c r="S782" s="123"/>
      <c r="T782" s="123"/>
      <c r="U782" s="123"/>
      <c r="V782" s="123"/>
      <c r="W782" s="123"/>
      <c r="X782" s="123"/>
      <c r="Y782" s="123"/>
      <c r="Z782" s="123"/>
    </row>
    <row r="783" spans="2:26" s="235" customFormat="1" ht="13.8">
      <c r="B783" s="307"/>
      <c r="C783" s="307"/>
      <c r="D783" s="307"/>
      <c r="E783" s="307"/>
      <c r="F783" s="307"/>
      <c r="M783" s="123"/>
      <c r="N783" s="123"/>
      <c r="O783" s="123"/>
      <c r="P783" s="123"/>
      <c r="Q783" s="123"/>
      <c r="R783" s="123"/>
      <c r="S783" s="123"/>
      <c r="T783" s="123"/>
      <c r="U783" s="123"/>
      <c r="V783" s="123"/>
      <c r="W783" s="123"/>
      <c r="X783" s="123"/>
      <c r="Y783" s="123"/>
      <c r="Z783" s="123"/>
    </row>
    <row r="784" spans="2:26" s="235" customFormat="1" ht="13.8">
      <c r="B784" s="307"/>
      <c r="C784" s="307"/>
      <c r="D784" s="307"/>
      <c r="E784" s="307"/>
      <c r="F784" s="307"/>
      <c r="M784" s="123"/>
      <c r="N784" s="123"/>
      <c r="O784" s="123"/>
      <c r="P784" s="123"/>
      <c r="Q784" s="123"/>
      <c r="R784" s="123"/>
      <c r="S784" s="123"/>
      <c r="T784" s="123"/>
      <c r="U784" s="123"/>
      <c r="V784" s="123"/>
      <c r="W784" s="123"/>
      <c r="X784" s="123"/>
      <c r="Y784" s="123"/>
      <c r="Z784" s="123"/>
    </row>
    <row r="785" spans="2:26" s="235" customFormat="1" ht="13.8">
      <c r="B785" s="307"/>
      <c r="C785" s="307"/>
      <c r="D785" s="307"/>
      <c r="E785" s="307"/>
      <c r="F785" s="307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  <c r="Z785" s="123"/>
    </row>
    <row r="786" spans="2:26" s="235" customFormat="1" ht="13.8">
      <c r="B786" s="307"/>
      <c r="C786" s="307"/>
      <c r="D786" s="307"/>
      <c r="E786" s="307"/>
      <c r="F786" s="307"/>
      <c r="M786" s="123"/>
      <c r="N786" s="123"/>
      <c r="O786" s="123"/>
      <c r="P786" s="123"/>
      <c r="Q786" s="123"/>
      <c r="R786" s="123"/>
      <c r="S786" s="123"/>
      <c r="T786" s="123"/>
      <c r="U786" s="123"/>
      <c r="V786" s="123"/>
      <c r="W786" s="123"/>
      <c r="X786" s="123"/>
      <c r="Y786" s="123"/>
      <c r="Z786" s="123"/>
    </row>
    <row r="787" spans="2:26" s="235" customFormat="1" ht="13.8">
      <c r="B787" s="307"/>
      <c r="C787" s="307"/>
      <c r="D787" s="307"/>
      <c r="E787" s="307"/>
      <c r="F787" s="307"/>
      <c r="M787" s="123"/>
      <c r="N787" s="123"/>
      <c r="O787" s="123"/>
      <c r="P787" s="123"/>
      <c r="Q787" s="123"/>
      <c r="R787" s="123"/>
      <c r="S787" s="123"/>
      <c r="T787" s="123"/>
      <c r="U787" s="123"/>
      <c r="V787" s="123"/>
      <c r="W787" s="123"/>
      <c r="X787" s="123"/>
      <c r="Y787" s="123"/>
      <c r="Z787" s="123"/>
    </row>
    <row r="788" spans="2:26" s="235" customFormat="1" ht="13.8">
      <c r="B788" s="307"/>
      <c r="C788" s="307"/>
      <c r="D788" s="307"/>
      <c r="E788" s="307"/>
      <c r="F788" s="307"/>
      <c r="M788" s="123"/>
      <c r="N788" s="123"/>
      <c r="O788" s="123"/>
      <c r="P788" s="123"/>
      <c r="Q788" s="123"/>
      <c r="R788" s="123"/>
      <c r="S788" s="123"/>
      <c r="T788" s="123"/>
      <c r="U788" s="123"/>
      <c r="V788" s="123"/>
      <c r="W788" s="123"/>
      <c r="X788" s="123"/>
      <c r="Y788" s="123"/>
      <c r="Z788" s="123"/>
    </row>
    <row r="789" spans="2:26" s="235" customFormat="1" ht="13.8">
      <c r="B789" s="307"/>
      <c r="C789" s="307"/>
      <c r="D789" s="307"/>
      <c r="E789" s="307"/>
      <c r="F789" s="307"/>
      <c r="M789" s="123"/>
      <c r="N789" s="123"/>
      <c r="O789" s="123"/>
      <c r="P789" s="123"/>
      <c r="Q789" s="123"/>
      <c r="R789" s="123"/>
      <c r="S789" s="123"/>
      <c r="T789" s="123"/>
      <c r="U789" s="123"/>
      <c r="V789" s="123"/>
      <c r="W789" s="123"/>
      <c r="X789" s="123"/>
      <c r="Y789" s="123"/>
      <c r="Z789" s="123"/>
    </row>
    <row r="790" spans="2:26" s="235" customFormat="1" ht="13.8">
      <c r="B790" s="307"/>
      <c r="C790" s="307"/>
      <c r="D790" s="307"/>
      <c r="E790" s="307"/>
      <c r="F790" s="307"/>
      <c r="M790" s="123"/>
      <c r="N790" s="123"/>
      <c r="O790" s="123"/>
      <c r="P790" s="123"/>
      <c r="Q790" s="123"/>
      <c r="R790" s="123"/>
      <c r="S790" s="123"/>
      <c r="T790" s="123"/>
      <c r="U790" s="123"/>
      <c r="V790" s="123"/>
      <c r="W790" s="123"/>
      <c r="X790" s="123"/>
      <c r="Y790" s="123"/>
      <c r="Z790" s="123"/>
    </row>
    <row r="791" spans="2:26" s="235" customFormat="1" ht="13.8">
      <c r="B791" s="307"/>
      <c r="C791" s="307"/>
      <c r="D791" s="307"/>
      <c r="E791" s="307"/>
      <c r="F791" s="307"/>
      <c r="M791" s="123"/>
      <c r="N791" s="123"/>
      <c r="O791" s="123"/>
      <c r="P791" s="123"/>
      <c r="Q791" s="123"/>
      <c r="R791" s="123"/>
      <c r="S791" s="123"/>
      <c r="T791" s="123"/>
      <c r="U791" s="123"/>
      <c r="V791" s="123"/>
      <c r="W791" s="123"/>
      <c r="X791" s="123"/>
      <c r="Y791" s="123"/>
      <c r="Z791" s="123"/>
    </row>
    <row r="792" spans="2:26" s="235" customFormat="1" ht="13.8">
      <c r="B792" s="307"/>
      <c r="C792" s="307"/>
      <c r="D792" s="307"/>
      <c r="E792" s="307"/>
      <c r="F792" s="307"/>
      <c r="M792" s="123"/>
      <c r="N792" s="123"/>
      <c r="O792" s="123"/>
      <c r="P792" s="123"/>
      <c r="Q792" s="123"/>
      <c r="R792" s="123"/>
      <c r="S792" s="123"/>
      <c r="T792" s="123"/>
      <c r="U792" s="123"/>
      <c r="V792" s="123"/>
      <c r="W792" s="123"/>
      <c r="X792" s="123"/>
      <c r="Y792" s="123"/>
      <c r="Z792" s="123"/>
    </row>
    <row r="793" spans="2:26" s="235" customFormat="1" ht="13.8">
      <c r="B793" s="307"/>
      <c r="C793" s="307"/>
      <c r="D793" s="307"/>
      <c r="E793" s="307"/>
      <c r="F793" s="307"/>
      <c r="M793" s="123"/>
      <c r="N793" s="123"/>
      <c r="O793" s="123"/>
      <c r="P793" s="123"/>
      <c r="Q793" s="123"/>
      <c r="R793" s="123"/>
      <c r="S793" s="123"/>
      <c r="T793" s="123"/>
      <c r="U793" s="123"/>
      <c r="V793" s="123"/>
      <c r="W793" s="123"/>
      <c r="X793" s="123"/>
      <c r="Y793" s="123"/>
      <c r="Z793" s="123"/>
    </row>
    <row r="794" spans="2:26" s="235" customFormat="1" ht="13.8">
      <c r="B794" s="307"/>
      <c r="C794" s="307"/>
      <c r="D794" s="307"/>
      <c r="E794" s="307"/>
      <c r="F794" s="307"/>
      <c r="M794" s="123"/>
      <c r="N794" s="123"/>
      <c r="O794" s="123"/>
      <c r="P794" s="123"/>
      <c r="Q794" s="123"/>
      <c r="R794" s="123"/>
      <c r="S794" s="123"/>
      <c r="T794" s="123"/>
      <c r="U794" s="123"/>
      <c r="V794" s="123"/>
      <c r="W794" s="123"/>
      <c r="X794" s="123"/>
      <c r="Y794" s="123"/>
      <c r="Z794" s="123"/>
    </row>
    <row r="795" spans="2:26" s="235" customFormat="1" ht="13.8">
      <c r="B795" s="307"/>
      <c r="C795" s="307"/>
      <c r="D795" s="307"/>
      <c r="E795" s="307"/>
      <c r="F795" s="307"/>
      <c r="M795" s="123"/>
      <c r="N795" s="123"/>
      <c r="O795" s="123"/>
      <c r="P795" s="123"/>
      <c r="Q795" s="123"/>
      <c r="R795" s="123"/>
      <c r="S795" s="123"/>
      <c r="T795" s="123"/>
      <c r="U795" s="123"/>
      <c r="V795" s="123"/>
      <c r="W795" s="123"/>
      <c r="X795" s="123"/>
      <c r="Y795" s="123"/>
      <c r="Z795" s="123"/>
    </row>
    <row r="796" spans="2:26" s="235" customFormat="1" ht="13.8">
      <c r="B796" s="307"/>
      <c r="C796" s="307"/>
      <c r="D796" s="307"/>
      <c r="E796" s="307"/>
      <c r="F796" s="307"/>
      <c r="M796" s="123"/>
      <c r="N796" s="123"/>
      <c r="O796" s="123"/>
      <c r="P796" s="123"/>
      <c r="Q796" s="123"/>
      <c r="R796" s="123"/>
      <c r="S796" s="123"/>
      <c r="T796" s="123"/>
      <c r="U796" s="123"/>
      <c r="V796" s="123"/>
      <c r="W796" s="123"/>
      <c r="X796" s="123"/>
      <c r="Y796" s="123"/>
      <c r="Z796" s="123"/>
    </row>
    <row r="797" spans="2:26" s="235" customFormat="1" ht="13.8">
      <c r="B797" s="307"/>
      <c r="C797" s="307"/>
      <c r="D797" s="307"/>
      <c r="E797" s="307"/>
      <c r="F797" s="307"/>
      <c r="M797" s="123"/>
      <c r="N797" s="123"/>
      <c r="O797" s="123"/>
      <c r="P797" s="123"/>
      <c r="Q797" s="123"/>
      <c r="R797" s="123"/>
      <c r="S797" s="123"/>
      <c r="T797" s="123"/>
      <c r="U797" s="123"/>
      <c r="V797" s="123"/>
      <c r="W797" s="123"/>
      <c r="X797" s="123"/>
      <c r="Y797" s="123"/>
      <c r="Z797" s="123"/>
    </row>
    <row r="798" spans="2:26" s="235" customFormat="1" ht="13.8">
      <c r="B798" s="307"/>
      <c r="C798" s="307"/>
      <c r="D798" s="307"/>
      <c r="E798" s="307"/>
      <c r="F798" s="307"/>
      <c r="M798" s="123"/>
      <c r="N798" s="123"/>
      <c r="O798" s="123"/>
      <c r="P798" s="123"/>
      <c r="Q798" s="123"/>
      <c r="R798" s="123"/>
      <c r="S798" s="123"/>
      <c r="T798" s="123"/>
      <c r="U798" s="123"/>
      <c r="V798" s="123"/>
      <c r="W798" s="123"/>
      <c r="X798" s="123"/>
      <c r="Y798" s="123"/>
      <c r="Z798" s="123"/>
    </row>
    <row r="799" spans="2:26" s="235" customFormat="1" ht="13.8">
      <c r="B799" s="307"/>
      <c r="C799" s="307"/>
      <c r="D799" s="307"/>
      <c r="E799" s="307"/>
      <c r="F799" s="307"/>
      <c r="M799" s="123"/>
      <c r="N799" s="123"/>
      <c r="O799" s="123"/>
      <c r="P799" s="123"/>
      <c r="Q799" s="123"/>
      <c r="R799" s="123"/>
      <c r="S799" s="123"/>
      <c r="T799" s="123"/>
      <c r="U799" s="123"/>
      <c r="V799" s="123"/>
      <c r="W799" s="123"/>
      <c r="X799" s="123"/>
      <c r="Y799" s="123"/>
      <c r="Z799" s="123"/>
    </row>
    <row r="800" spans="2:26" s="235" customFormat="1" ht="13.8">
      <c r="B800" s="307"/>
      <c r="C800" s="307"/>
      <c r="D800" s="307"/>
      <c r="E800" s="307"/>
      <c r="F800" s="307"/>
      <c r="M800" s="123"/>
      <c r="N800" s="123"/>
      <c r="O800" s="123"/>
      <c r="P800" s="123"/>
      <c r="Q800" s="123"/>
      <c r="R800" s="123"/>
      <c r="S800" s="123"/>
      <c r="T800" s="123"/>
      <c r="U800" s="123"/>
      <c r="V800" s="123"/>
      <c r="W800" s="123"/>
      <c r="X800" s="123"/>
      <c r="Y800" s="123"/>
      <c r="Z800" s="123"/>
    </row>
    <row r="801" spans="2:26" s="235" customFormat="1" ht="13.8">
      <c r="B801" s="307"/>
      <c r="C801" s="307"/>
      <c r="D801" s="307"/>
      <c r="E801" s="307"/>
      <c r="F801" s="307"/>
      <c r="M801" s="123"/>
      <c r="N801" s="123"/>
      <c r="O801" s="123"/>
      <c r="P801" s="123"/>
      <c r="Q801" s="123"/>
      <c r="R801" s="123"/>
      <c r="S801" s="123"/>
      <c r="T801" s="123"/>
      <c r="U801" s="123"/>
      <c r="V801" s="123"/>
      <c r="W801" s="123"/>
      <c r="X801" s="123"/>
      <c r="Y801" s="123"/>
      <c r="Z801" s="123"/>
    </row>
    <row r="802" spans="2:26" s="235" customFormat="1" ht="13.8">
      <c r="B802" s="307"/>
      <c r="C802" s="307"/>
      <c r="D802" s="307"/>
      <c r="E802" s="307"/>
      <c r="F802" s="307"/>
      <c r="M802" s="123"/>
      <c r="N802" s="123"/>
      <c r="O802" s="123"/>
      <c r="P802" s="123"/>
      <c r="Q802" s="123"/>
      <c r="R802" s="123"/>
      <c r="S802" s="123"/>
      <c r="T802" s="123"/>
      <c r="U802" s="123"/>
      <c r="V802" s="123"/>
      <c r="W802" s="123"/>
      <c r="X802" s="123"/>
      <c r="Y802" s="123"/>
      <c r="Z802" s="123"/>
    </row>
    <row r="803" spans="2:26" s="235" customFormat="1" ht="13.8">
      <c r="B803" s="307"/>
      <c r="C803" s="307"/>
      <c r="D803" s="307"/>
      <c r="E803" s="307"/>
      <c r="F803" s="307"/>
      <c r="M803" s="123"/>
      <c r="N803" s="123"/>
      <c r="O803" s="123"/>
      <c r="P803" s="123"/>
      <c r="Q803" s="123"/>
      <c r="R803" s="123"/>
      <c r="S803" s="123"/>
      <c r="T803" s="123"/>
      <c r="U803" s="123"/>
      <c r="V803" s="123"/>
      <c r="W803" s="123"/>
      <c r="X803" s="123"/>
      <c r="Y803" s="123"/>
      <c r="Z803" s="123"/>
    </row>
    <row r="804" spans="2:26" s="235" customFormat="1" ht="13.8">
      <c r="B804" s="307"/>
      <c r="C804" s="307"/>
      <c r="D804" s="307"/>
      <c r="E804" s="307"/>
      <c r="F804" s="307"/>
      <c r="M804" s="123"/>
      <c r="N804" s="123"/>
      <c r="O804" s="123"/>
      <c r="P804" s="123"/>
      <c r="Q804" s="123"/>
      <c r="R804" s="123"/>
      <c r="S804" s="123"/>
      <c r="T804" s="123"/>
      <c r="U804" s="123"/>
      <c r="V804" s="123"/>
      <c r="W804" s="123"/>
      <c r="X804" s="123"/>
      <c r="Y804" s="123"/>
      <c r="Z804" s="123"/>
    </row>
    <row r="805" spans="2:26" s="235" customFormat="1" ht="13.8">
      <c r="B805" s="307"/>
      <c r="C805" s="307"/>
      <c r="D805" s="307"/>
      <c r="E805" s="307"/>
      <c r="F805" s="307"/>
      <c r="M805" s="123"/>
      <c r="N805" s="123"/>
      <c r="O805" s="123"/>
      <c r="P805" s="123"/>
      <c r="Q805" s="123"/>
      <c r="R805" s="123"/>
      <c r="S805" s="123"/>
      <c r="T805" s="123"/>
      <c r="U805" s="123"/>
      <c r="V805" s="123"/>
      <c r="W805" s="123"/>
      <c r="X805" s="123"/>
      <c r="Y805" s="123"/>
      <c r="Z805" s="123"/>
    </row>
    <row r="806" spans="2:26" s="235" customFormat="1" ht="13.8">
      <c r="B806" s="307"/>
      <c r="C806" s="307"/>
      <c r="D806" s="307"/>
      <c r="E806" s="307"/>
      <c r="F806" s="307"/>
      <c r="M806" s="123"/>
      <c r="N806" s="123"/>
      <c r="O806" s="123"/>
      <c r="P806" s="123"/>
      <c r="Q806" s="123"/>
      <c r="R806" s="123"/>
      <c r="S806" s="123"/>
      <c r="T806" s="123"/>
      <c r="U806" s="123"/>
      <c r="V806" s="123"/>
      <c r="W806" s="123"/>
      <c r="X806" s="123"/>
      <c r="Y806" s="123"/>
      <c r="Z806" s="123"/>
    </row>
    <row r="807" spans="2:26" s="235" customFormat="1" ht="13.8">
      <c r="B807" s="307"/>
      <c r="C807" s="307"/>
      <c r="D807" s="307"/>
      <c r="E807" s="307"/>
      <c r="F807" s="307"/>
      <c r="M807" s="123"/>
      <c r="N807" s="123"/>
      <c r="O807" s="123"/>
      <c r="P807" s="123"/>
      <c r="Q807" s="123"/>
      <c r="R807" s="123"/>
      <c r="S807" s="123"/>
      <c r="T807" s="123"/>
      <c r="U807" s="123"/>
      <c r="V807" s="123"/>
      <c r="W807" s="123"/>
      <c r="X807" s="123"/>
      <c r="Y807" s="123"/>
      <c r="Z807" s="123"/>
    </row>
    <row r="808" spans="2:26" s="235" customFormat="1" ht="13.8">
      <c r="B808" s="307"/>
      <c r="C808" s="307"/>
      <c r="D808" s="307"/>
      <c r="E808" s="307"/>
      <c r="F808" s="307"/>
      <c r="M808" s="123"/>
      <c r="N808" s="123"/>
      <c r="O808" s="123"/>
      <c r="P808" s="123"/>
      <c r="Q808" s="123"/>
      <c r="R808" s="123"/>
      <c r="S808" s="123"/>
      <c r="T808" s="123"/>
      <c r="U808" s="123"/>
      <c r="V808" s="123"/>
      <c r="W808" s="123"/>
      <c r="X808" s="123"/>
      <c r="Y808" s="123"/>
      <c r="Z808" s="123"/>
    </row>
    <row r="809" spans="2:26" s="235" customFormat="1" ht="13.8">
      <c r="B809" s="307"/>
      <c r="C809" s="307"/>
      <c r="D809" s="307"/>
      <c r="E809" s="307"/>
      <c r="F809" s="307"/>
      <c r="M809" s="123"/>
      <c r="N809" s="123"/>
      <c r="O809" s="123"/>
      <c r="P809" s="123"/>
      <c r="Q809" s="123"/>
      <c r="R809" s="123"/>
      <c r="S809" s="123"/>
      <c r="T809" s="123"/>
      <c r="U809" s="123"/>
      <c r="V809" s="123"/>
      <c r="W809" s="123"/>
      <c r="X809" s="123"/>
      <c r="Y809" s="123"/>
      <c r="Z809" s="123"/>
    </row>
    <row r="810" spans="2:26" s="235" customFormat="1" ht="13.8">
      <c r="B810" s="307"/>
      <c r="C810" s="307"/>
      <c r="D810" s="307"/>
      <c r="E810" s="307"/>
      <c r="F810" s="307"/>
      <c r="M810" s="123"/>
      <c r="N810" s="123"/>
      <c r="O810" s="123"/>
      <c r="P810" s="123"/>
      <c r="Q810" s="123"/>
      <c r="R810" s="123"/>
      <c r="S810" s="123"/>
      <c r="T810" s="123"/>
      <c r="U810" s="123"/>
      <c r="V810" s="123"/>
      <c r="W810" s="123"/>
      <c r="X810" s="123"/>
      <c r="Y810" s="123"/>
      <c r="Z810" s="123"/>
    </row>
    <row r="811" spans="2:26" s="235" customFormat="1" ht="13.8">
      <c r="B811" s="307"/>
      <c r="C811" s="307"/>
      <c r="D811" s="307"/>
      <c r="E811" s="307"/>
      <c r="F811" s="307"/>
      <c r="M811" s="123"/>
      <c r="N811" s="123"/>
      <c r="O811" s="123"/>
      <c r="P811" s="123"/>
      <c r="Q811" s="123"/>
      <c r="R811" s="123"/>
      <c r="S811" s="123"/>
      <c r="T811" s="123"/>
      <c r="U811" s="123"/>
      <c r="V811" s="123"/>
      <c r="W811" s="123"/>
      <c r="X811" s="123"/>
      <c r="Y811" s="123"/>
      <c r="Z811" s="123"/>
    </row>
    <row r="812" spans="2:26" s="235" customFormat="1" ht="13.8">
      <c r="B812" s="307"/>
      <c r="C812" s="307"/>
      <c r="D812" s="307"/>
      <c r="E812" s="307"/>
      <c r="F812" s="307"/>
      <c r="M812" s="123"/>
      <c r="N812" s="123"/>
      <c r="O812" s="123"/>
      <c r="P812" s="123"/>
      <c r="Q812" s="123"/>
      <c r="R812" s="123"/>
      <c r="S812" s="123"/>
      <c r="T812" s="123"/>
      <c r="U812" s="123"/>
      <c r="V812" s="123"/>
      <c r="W812" s="123"/>
      <c r="X812" s="123"/>
      <c r="Y812" s="123"/>
      <c r="Z812" s="123"/>
    </row>
    <row r="813" spans="2:26" s="235" customFormat="1" ht="13.8">
      <c r="B813" s="307"/>
      <c r="C813" s="307"/>
      <c r="D813" s="307"/>
      <c r="E813" s="307"/>
      <c r="F813" s="307"/>
      <c r="M813" s="123"/>
      <c r="N813" s="123"/>
      <c r="O813" s="123"/>
      <c r="P813" s="123"/>
      <c r="Q813" s="123"/>
      <c r="R813" s="123"/>
      <c r="S813" s="123"/>
      <c r="T813" s="123"/>
      <c r="U813" s="123"/>
      <c r="V813" s="123"/>
      <c r="W813" s="123"/>
      <c r="X813" s="123"/>
      <c r="Y813" s="123"/>
      <c r="Z813" s="123"/>
    </row>
    <row r="814" spans="2:26" s="235" customFormat="1" ht="13.8">
      <c r="B814" s="307"/>
      <c r="C814" s="307"/>
      <c r="D814" s="307"/>
      <c r="E814" s="307"/>
      <c r="F814" s="307"/>
      <c r="M814" s="123"/>
      <c r="N814" s="123"/>
      <c r="O814" s="123"/>
      <c r="P814" s="123"/>
      <c r="Q814" s="123"/>
      <c r="R814" s="123"/>
      <c r="S814" s="123"/>
      <c r="T814" s="123"/>
      <c r="U814" s="123"/>
      <c r="V814" s="123"/>
      <c r="W814" s="123"/>
      <c r="X814" s="123"/>
      <c r="Y814" s="123"/>
      <c r="Z814" s="123"/>
    </row>
    <row r="815" spans="2:26" s="235" customFormat="1" ht="13.8">
      <c r="B815" s="307"/>
      <c r="C815" s="307"/>
      <c r="D815" s="307"/>
      <c r="E815" s="307"/>
      <c r="F815" s="307"/>
      <c r="M815" s="123"/>
      <c r="N815" s="123"/>
      <c r="O815" s="123"/>
      <c r="P815" s="123"/>
      <c r="Q815" s="123"/>
      <c r="R815" s="123"/>
      <c r="S815" s="123"/>
      <c r="T815" s="123"/>
      <c r="U815" s="123"/>
      <c r="V815" s="123"/>
      <c r="W815" s="123"/>
      <c r="X815" s="123"/>
      <c r="Y815" s="123"/>
      <c r="Z815" s="123"/>
    </row>
    <row r="816" spans="2:26" s="235" customFormat="1" ht="13.8">
      <c r="B816" s="307"/>
      <c r="C816" s="307"/>
      <c r="D816" s="307"/>
      <c r="E816" s="307"/>
      <c r="F816" s="307"/>
      <c r="M816" s="123"/>
      <c r="N816" s="123"/>
      <c r="O816" s="123"/>
      <c r="P816" s="123"/>
      <c r="Q816" s="123"/>
      <c r="R816" s="123"/>
      <c r="S816" s="123"/>
      <c r="T816" s="123"/>
      <c r="U816" s="123"/>
      <c r="V816" s="123"/>
      <c r="W816" s="123"/>
      <c r="X816" s="123"/>
      <c r="Y816" s="123"/>
      <c r="Z816" s="123"/>
    </row>
    <row r="817" spans="2:26" s="235" customFormat="1" ht="13.8">
      <c r="B817" s="307"/>
      <c r="C817" s="307"/>
      <c r="D817" s="307"/>
      <c r="E817" s="307"/>
      <c r="F817" s="307"/>
      <c r="M817" s="123"/>
      <c r="N817" s="123"/>
      <c r="O817" s="123"/>
      <c r="P817" s="123"/>
      <c r="Q817" s="123"/>
      <c r="R817" s="123"/>
      <c r="S817" s="123"/>
      <c r="T817" s="123"/>
      <c r="U817" s="123"/>
      <c r="V817" s="123"/>
      <c r="W817" s="123"/>
      <c r="X817" s="123"/>
      <c r="Y817" s="123"/>
      <c r="Z817" s="123"/>
    </row>
    <row r="818" spans="2:26" s="235" customFormat="1" ht="13.8">
      <c r="B818" s="307"/>
      <c r="C818" s="307"/>
      <c r="D818" s="307"/>
      <c r="E818" s="307"/>
      <c r="F818" s="307"/>
      <c r="M818" s="123"/>
      <c r="N818" s="123"/>
      <c r="O818" s="123"/>
      <c r="P818" s="123"/>
      <c r="Q818" s="123"/>
      <c r="R818" s="123"/>
      <c r="S818" s="123"/>
      <c r="T818" s="123"/>
      <c r="U818" s="123"/>
      <c r="V818" s="123"/>
      <c r="W818" s="123"/>
      <c r="X818" s="123"/>
      <c r="Y818" s="123"/>
      <c r="Z818" s="123"/>
    </row>
    <row r="819" spans="2:26" s="235" customFormat="1" ht="13.8">
      <c r="B819" s="307"/>
      <c r="C819" s="307"/>
      <c r="D819" s="307"/>
      <c r="E819" s="307"/>
      <c r="F819" s="307"/>
      <c r="M819" s="123"/>
      <c r="N819" s="123"/>
      <c r="O819" s="123"/>
      <c r="P819" s="123"/>
      <c r="Q819" s="123"/>
      <c r="R819" s="123"/>
      <c r="S819" s="123"/>
      <c r="T819" s="123"/>
      <c r="U819" s="123"/>
      <c r="V819" s="123"/>
      <c r="W819" s="123"/>
      <c r="X819" s="123"/>
      <c r="Y819" s="123"/>
      <c r="Z819" s="123"/>
    </row>
    <row r="820" spans="2:26" s="235" customFormat="1" ht="13.8">
      <c r="B820" s="307"/>
      <c r="C820" s="307"/>
      <c r="D820" s="307"/>
      <c r="E820" s="307"/>
      <c r="F820" s="307"/>
      <c r="M820" s="123"/>
      <c r="N820" s="123"/>
      <c r="O820" s="123"/>
      <c r="P820" s="123"/>
      <c r="Q820" s="123"/>
      <c r="R820" s="123"/>
      <c r="S820" s="123"/>
      <c r="T820" s="123"/>
      <c r="U820" s="123"/>
      <c r="V820" s="123"/>
      <c r="W820" s="123"/>
      <c r="X820" s="123"/>
      <c r="Y820" s="123"/>
      <c r="Z820" s="123"/>
    </row>
    <row r="821" spans="2:26" s="235" customFormat="1" ht="13.8">
      <c r="B821" s="307"/>
      <c r="C821" s="307"/>
      <c r="D821" s="307"/>
      <c r="E821" s="307"/>
      <c r="F821" s="307"/>
      <c r="M821" s="123"/>
      <c r="N821" s="123"/>
      <c r="O821" s="123"/>
      <c r="P821" s="123"/>
      <c r="Q821" s="123"/>
      <c r="R821" s="123"/>
      <c r="S821" s="123"/>
      <c r="T821" s="123"/>
      <c r="U821" s="123"/>
      <c r="V821" s="123"/>
      <c r="W821" s="123"/>
      <c r="X821" s="123"/>
      <c r="Y821" s="123"/>
      <c r="Z821" s="123"/>
    </row>
    <row r="822" spans="2:26" s="235" customFormat="1" ht="13.8">
      <c r="B822" s="307"/>
      <c r="C822" s="307"/>
      <c r="D822" s="307"/>
      <c r="E822" s="307"/>
      <c r="F822" s="307"/>
      <c r="M822" s="123"/>
      <c r="N822" s="123"/>
      <c r="O822" s="123"/>
      <c r="P822" s="123"/>
      <c r="Q822" s="123"/>
      <c r="R822" s="123"/>
      <c r="S822" s="123"/>
      <c r="T822" s="123"/>
      <c r="U822" s="123"/>
      <c r="V822" s="123"/>
      <c r="W822" s="123"/>
      <c r="X822" s="123"/>
      <c r="Y822" s="123"/>
      <c r="Z822" s="123"/>
    </row>
    <row r="823" spans="2:26" s="235" customFormat="1" ht="13.8">
      <c r="B823" s="307"/>
      <c r="C823" s="307"/>
      <c r="D823" s="307"/>
      <c r="E823" s="307"/>
      <c r="F823" s="307"/>
      <c r="M823" s="123"/>
      <c r="N823" s="123"/>
      <c r="O823" s="123"/>
      <c r="P823" s="123"/>
      <c r="Q823" s="123"/>
      <c r="R823" s="123"/>
      <c r="S823" s="123"/>
      <c r="T823" s="123"/>
      <c r="U823" s="123"/>
      <c r="V823" s="123"/>
      <c r="W823" s="123"/>
      <c r="X823" s="123"/>
      <c r="Y823" s="123"/>
      <c r="Z823" s="123"/>
    </row>
    <row r="824" spans="2:26" s="235" customFormat="1" ht="13.8">
      <c r="B824" s="307"/>
      <c r="C824" s="307"/>
      <c r="D824" s="307"/>
      <c r="E824" s="307"/>
      <c r="F824" s="307"/>
      <c r="M824" s="123"/>
      <c r="N824" s="123"/>
      <c r="O824" s="123"/>
      <c r="P824" s="123"/>
      <c r="Q824" s="123"/>
      <c r="R824" s="123"/>
      <c r="S824" s="123"/>
      <c r="T824" s="123"/>
      <c r="U824" s="123"/>
      <c r="V824" s="123"/>
      <c r="W824" s="123"/>
      <c r="X824" s="123"/>
      <c r="Y824" s="123"/>
      <c r="Z824" s="123"/>
    </row>
    <row r="825" spans="2:26" s="235" customFormat="1" ht="13.8">
      <c r="B825" s="307"/>
      <c r="C825" s="307"/>
      <c r="D825" s="307"/>
      <c r="E825" s="307"/>
      <c r="F825" s="307"/>
      <c r="M825" s="123"/>
      <c r="N825" s="123"/>
      <c r="O825" s="123"/>
      <c r="P825" s="123"/>
      <c r="Q825" s="123"/>
      <c r="R825" s="123"/>
      <c r="S825" s="123"/>
      <c r="T825" s="123"/>
      <c r="U825" s="123"/>
      <c r="V825" s="123"/>
      <c r="W825" s="123"/>
      <c r="X825" s="123"/>
      <c r="Y825" s="123"/>
      <c r="Z825" s="123"/>
    </row>
    <row r="826" spans="2:26" s="235" customFormat="1" ht="13.8">
      <c r="B826" s="307"/>
      <c r="C826" s="307"/>
      <c r="D826" s="307"/>
      <c r="E826" s="307"/>
      <c r="F826" s="307"/>
      <c r="M826" s="123"/>
      <c r="N826" s="123"/>
      <c r="O826" s="123"/>
      <c r="P826" s="123"/>
      <c r="Q826" s="123"/>
      <c r="R826" s="123"/>
      <c r="S826" s="123"/>
      <c r="T826" s="123"/>
      <c r="U826" s="123"/>
      <c r="V826" s="123"/>
      <c r="W826" s="123"/>
      <c r="X826" s="123"/>
      <c r="Y826" s="123"/>
      <c r="Z826" s="123"/>
    </row>
    <row r="827" spans="2:26" s="235" customFormat="1" ht="13.8">
      <c r="B827" s="307"/>
      <c r="C827" s="307"/>
      <c r="D827" s="307"/>
      <c r="E827" s="307"/>
      <c r="F827" s="307"/>
      <c r="M827" s="123"/>
      <c r="N827" s="123"/>
      <c r="O827" s="123"/>
      <c r="P827" s="123"/>
      <c r="Q827" s="123"/>
      <c r="R827" s="123"/>
      <c r="S827" s="123"/>
      <c r="T827" s="123"/>
      <c r="U827" s="123"/>
      <c r="V827" s="123"/>
      <c r="W827" s="123"/>
      <c r="X827" s="123"/>
      <c r="Y827" s="123"/>
      <c r="Z827" s="123"/>
    </row>
    <row r="828" spans="2:26" s="235" customFormat="1" ht="13.8">
      <c r="B828" s="307"/>
      <c r="C828" s="307"/>
      <c r="D828" s="307"/>
      <c r="E828" s="307"/>
      <c r="F828" s="307"/>
      <c r="M828" s="123"/>
      <c r="N828" s="123"/>
      <c r="O828" s="123"/>
      <c r="P828" s="123"/>
      <c r="Q828" s="123"/>
      <c r="R828" s="123"/>
      <c r="S828" s="123"/>
      <c r="T828" s="123"/>
      <c r="U828" s="123"/>
      <c r="V828" s="123"/>
      <c r="W828" s="123"/>
      <c r="X828" s="123"/>
      <c r="Y828" s="123"/>
      <c r="Z828" s="123"/>
    </row>
    <row r="829" spans="2:26" s="235" customFormat="1" ht="13.8">
      <c r="B829" s="307"/>
      <c r="C829" s="307"/>
      <c r="D829" s="307"/>
      <c r="E829" s="307"/>
      <c r="F829" s="307"/>
      <c r="M829" s="123"/>
      <c r="N829" s="123"/>
      <c r="O829" s="123"/>
      <c r="P829" s="123"/>
      <c r="Q829" s="123"/>
      <c r="R829" s="123"/>
      <c r="S829" s="123"/>
      <c r="T829" s="123"/>
      <c r="U829" s="123"/>
      <c r="V829" s="123"/>
      <c r="W829" s="123"/>
      <c r="X829" s="123"/>
      <c r="Y829" s="123"/>
      <c r="Z829" s="123"/>
    </row>
    <row r="830" spans="2:26" s="235" customFormat="1" ht="13.8">
      <c r="B830" s="307"/>
      <c r="C830" s="307"/>
      <c r="D830" s="307"/>
      <c r="E830" s="307"/>
      <c r="F830" s="307"/>
      <c r="M830" s="123"/>
      <c r="N830" s="123"/>
      <c r="O830" s="123"/>
      <c r="P830" s="123"/>
      <c r="Q830" s="123"/>
      <c r="R830" s="123"/>
      <c r="S830" s="123"/>
      <c r="T830" s="123"/>
      <c r="U830" s="123"/>
      <c r="V830" s="123"/>
      <c r="W830" s="123"/>
      <c r="X830" s="123"/>
      <c r="Y830" s="123"/>
      <c r="Z830" s="123"/>
    </row>
    <row r="831" spans="2:26" s="235" customFormat="1" ht="13.8">
      <c r="B831" s="307"/>
      <c r="C831" s="307"/>
      <c r="D831" s="307"/>
      <c r="E831" s="307"/>
      <c r="F831" s="307"/>
      <c r="M831" s="123"/>
      <c r="N831" s="123"/>
      <c r="O831" s="123"/>
      <c r="P831" s="123"/>
      <c r="Q831" s="123"/>
      <c r="R831" s="123"/>
      <c r="S831" s="123"/>
      <c r="T831" s="123"/>
      <c r="U831" s="123"/>
      <c r="V831" s="123"/>
      <c r="W831" s="123"/>
      <c r="X831" s="123"/>
      <c r="Y831" s="123"/>
      <c r="Z831" s="123"/>
    </row>
    <row r="832" spans="2:26" s="235" customFormat="1" ht="13.8">
      <c r="B832" s="307"/>
      <c r="C832" s="307"/>
      <c r="D832" s="307"/>
      <c r="E832" s="307"/>
      <c r="F832" s="307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123"/>
    </row>
    <row r="833" spans="2:26" s="235" customFormat="1" ht="13.8">
      <c r="B833" s="307"/>
      <c r="C833" s="307"/>
      <c r="D833" s="307"/>
      <c r="E833" s="307"/>
      <c r="F833" s="307"/>
      <c r="M833" s="123"/>
      <c r="N833" s="123"/>
      <c r="O833" s="123"/>
      <c r="P833" s="123"/>
      <c r="Q833" s="123"/>
      <c r="R833" s="123"/>
      <c r="S833" s="123"/>
      <c r="T833" s="123"/>
      <c r="U833" s="123"/>
      <c r="V833" s="123"/>
      <c r="W833" s="123"/>
      <c r="X833" s="123"/>
      <c r="Y833" s="123"/>
      <c r="Z833" s="123"/>
    </row>
    <row r="834" spans="2:26" s="235" customFormat="1" ht="13.8">
      <c r="B834" s="307"/>
      <c r="C834" s="307"/>
      <c r="D834" s="307"/>
      <c r="E834" s="307"/>
      <c r="F834" s="307"/>
      <c r="M834" s="123"/>
      <c r="N834" s="123"/>
      <c r="O834" s="123"/>
      <c r="P834" s="123"/>
      <c r="Q834" s="123"/>
      <c r="R834" s="123"/>
      <c r="S834" s="123"/>
      <c r="T834" s="123"/>
      <c r="U834" s="123"/>
      <c r="V834" s="123"/>
      <c r="W834" s="123"/>
      <c r="X834" s="123"/>
      <c r="Y834" s="123"/>
      <c r="Z834" s="123"/>
    </row>
    <row r="835" spans="2:26" s="235" customFormat="1" ht="13.8">
      <c r="B835" s="307"/>
      <c r="C835" s="307"/>
      <c r="D835" s="307"/>
      <c r="E835" s="307"/>
      <c r="F835" s="307"/>
      <c r="M835" s="123"/>
      <c r="N835" s="123"/>
      <c r="O835" s="123"/>
      <c r="P835" s="123"/>
      <c r="Q835" s="123"/>
      <c r="R835" s="123"/>
      <c r="S835" s="123"/>
      <c r="T835" s="123"/>
      <c r="U835" s="123"/>
      <c r="V835" s="123"/>
      <c r="W835" s="123"/>
      <c r="X835" s="123"/>
      <c r="Y835" s="123"/>
      <c r="Z835" s="123"/>
    </row>
    <row r="836" spans="2:26" s="235" customFormat="1" ht="13.8">
      <c r="B836" s="307"/>
      <c r="C836" s="307"/>
      <c r="D836" s="307"/>
      <c r="E836" s="307"/>
      <c r="F836" s="307"/>
      <c r="M836" s="123"/>
      <c r="N836" s="123"/>
      <c r="O836" s="123"/>
      <c r="P836" s="123"/>
      <c r="Q836" s="123"/>
      <c r="R836" s="123"/>
      <c r="S836" s="123"/>
      <c r="T836" s="123"/>
      <c r="U836" s="123"/>
      <c r="V836" s="123"/>
      <c r="W836" s="123"/>
      <c r="X836" s="123"/>
      <c r="Y836" s="123"/>
      <c r="Z836" s="123"/>
    </row>
    <row r="837" spans="2:26" s="235" customFormat="1" ht="13.8">
      <c r="B837" s="307"/>
      <c r="C837" s="307"/>
      <c r="D837" s="307"/>
      <c r="E837" s="307"/>
      <c r="F837" s="307"/>
      <c r="M837" s="123"/>
      <c r="N837" s="123"/>
      <c r="O837" s="123"/>
      <c r="P837" s="123"/>
      <c r="Q837" s="123"/>
      <c r="R837" s="123"/>
      <c r="S837" s="123"/>
      <c r="T837" s="123"/>
      <c r="U837" s="123"/>
      <c r="V837" s="123"/>
      <c r="W837" s="123"/>
      <c r="X837" s="123"/>
      <c r="Y837" s="123"/>
      <c r="Z837" s="123"/>
    </row>
    <row r="838" spans="2:26" s="235" customFormat="1" ht="13.8">
      <c r="B838" s="307"/>
      <c r="C838" s="307"/>
      <c r="D838" s="307"/>
      <c r="E838" s="307"/>
      <c r="F838" s="307"/>
      <c r="M838" s="123"/>
      <c r="N838" s="123"/>
      <c r="O838" s="123"/>
      <c r="P838" s="123"/>
      <c r="Q838" s="123"/>
      <c r="R838" s="123"/>
      <c r="S838" s="123"/>
      <c r="T838" s="123"/>
      <c r="U838" s="123"/>
      <c r="V838" s="123"/>
      <c r="W838" s="123"/>
      <c r="X838" s="123"/>
      <c r="Y838" s="123"/>
      <c r="Z838" s="123"/>
    </row>
    <row r="839" spans="2:26" s="235" customFormat="1" ht="13.8">
      <c r="B839" s="307"/>
      <c r="C839" s="307"/>
      <c r="D839" s="307"/>
      <c r="E839" s="307"/>
      <c r="F839" s="307"/>
      <c r="M839" s="123"/>
      <c r="N839" s="123"/>
      <c r="O839" s="123"/>
      <c r="P839" s="123"/>
      <c r="Q839" s="123"/>
      <c r="R839" s="123"/>
      <c r="S839" s="123"/>
      <c r="T839" s="123"/>
      <c r="U839" s="123"/>
      <c r="V839" s="123"/>
      <c r="W839" s="123"/>
      <c r="X839" s="123"/>
      <c r="Y839" s="123"/>
      <c r="Z839" s="123"/>
    </row>
    <row r="840" spans="2:26" s="235" customFormat="1" ht="13.8">
      <c r="B840" s="307"/>
      <c r="C840" s="307"/>
      <c r="D840" s="307"/>
      <c r="E840" s="307"/>
      <c r="F840" s="307"/>
      <c r="M840" s="123"/>
      <c r="N840" s="123"/>
      <c r="O840" s="123"/>
      <c r="P840" s="123"/>
      <c r="Q840" s="123"/>
      <c r="R840" s="123"/>
      <c r="S840" s="123"/>
      <c r="T840" s="123"/>
      <c r="U840" s="123"/>
      <c r="V840" s="123"/>
      <c r="W840" s="123"/>
      <c r="X840" s="123"/>
      <c r="Y840" s="123"/>
      <c r="Z840" s="123"/>
    </row>
    <row r="841" spans="2:26" s="235" customFormat="1" ht="13.8">
      <c r="B841" s="307"/>
      <c r="C841" s="307"/>
      <c r="D841" s="307"/>
      <c r="E841" s="307"/>
      <c r="F841" s="307"/>
      <c r="M841" s="123"/>
      <c r="N841" s="123"/>
      <c r="O841" s="123"/>
      <c r="P841" s="123"/>
      <c r="Q841" s="123"/>
      <c r="R841" s="123"/>
      <c r="S841" s="123"/>
      <c r="T841" s="123"/>
      <c r="U841" s="123"/>
      <c r="V841" s="123"/>
      <c r="W841" s="123"/>
      <c r="X841" s="123"/>
      <c r="Y841" s="123"/>
      <c r="Z841" s="123"/>
    </row>
    <row r="842" spans="2:26" s="235" customFormat="1" ht="13.8">
      <c r="B842" s="307"/>
      <c r="C842" s="307"/>
      <c r="D842" s="307"/>
      <c r="E842" s="307"/>
      <c r="F842" s="307"/>
      <c r="M842" s="123"/>
      <c r="N842" s="123"/>
      <c r="O842" s="123"/>
      <c r="P842" s="123"/>
      <c r="Q842" s="123"/>
      <c r="R842" s="123"/>
      <c r="S842" s="123"/>
      <c r="T842" s="123"/>
      <c r="U842" s="123"/>
      <c r="V842" s="123"/>
      <c r="W842" s="123"/>
      <c r="X842" s="123"/>
      <c r="Y842" s="123"/>
      <c r="Z842" s="123"/>
    </row>
    <row r="843" spans="2:26" s="235" customFormat="1" ht="13.8">
      <c r="B843" s="307"/>
      <c r="C843" s="307"/>
      <c r="D843" s="307"/>
      <c r="E843" s="307"/>
      <c r="F843" s="307"/>
      <c r="M843" s="123"/>
      <c r="N843" s="123"/>
      <c r="O843" s="123"/>
      <c r="P843" s="123"/>
      <c r="Q843" s="123"/>
      <c r="R843" s="123"/>
      <c r="S843" s="123"/>
      <c r="T843" s="123"/>
      <c r="U843" s="123"/>
      <c r="V843" s="123"/>
      <c r="W843" s="123"/>
      <c r="X843" s="123"/>
      <c r="Y843" s="123"/>
      <c r="Z843" s="123"/>
    </row>
    <row r="844" spans="2:26" s="235" customFormat="1" ht="13.8">
      <c r="B844" s="307"/>
      <c r="C844" s="307"/>
      <c r="D844" s="307"/>
      <c r="E844" s="307"/>
      <c r="F844" s="307"/>
      <c r="M844" s="123"/>
      <c r="N844" s="123"/>
      <c r="O844" s="123"/>
      <c r="P844" s="123"/>
      <c r="Q844" s="123"/>
      <c r="R844" s="123"/>
      <c r="S844" s="123"/>
      <c r="T844" s="123"/>
      <c r="U844" s="123"/>
      <c r="V844" s="123"/>
      <c r="W844" s="123"/>
      <c r="X844" s="123"/>
      <c r="Y844" s="123"/>
      <c r="Z844" s="123"/>
    </row>
    <row r="845" spans="2:26" s="235" customFormat="1" ht="13.8">
      <c r="B845" s="307"/>
      <c r="C845" s="307"/>
      <c r="D845" s="307"/>
      <c r="E845" s="307"/>
      <c r="F845" s="307"/>
      <c r="M845" s="123"/>
      <c r="N845" s="123"/>
      <c r="O845" s="123"/>
      <c r="P845" s="123"/>
      <c r="Q845" s="123"/>
      <c r="R845" s="123"/>
      <c r="S845" s="123"/>
      <c r="T845" s="123"/>
      <c r="U845" s="123"/>
      <c r="V845" s="123"/>
      <c r="W845" s="123"/>
      <c r="X845" s="123"/>
      <c r="Y845" s="123"/>
      <c r="Z845" s="123"/>
    </row>
    <row r="846" spans="2:26" s="235" customFormat="1" ht="13.8">
      <c r="B846" s="307"/>
      <c r="C846" s="307"/>
      <c r="D846" s="307"/>
      <c r="E846" s="307"/>
      <c r="F846" s="307"/>
      <c r="M846" s="123"/>
      <c r="N846" s="123"/>
      <c r="O846" s="123"/>
      <c r="P846" s="123"/>
      <c r="Q846" s="123"/>
      <c r="R846" s="123"/>
      <c r="S846" s="123"/>
      <c r="T846" s="123"/>
      <c r="U846" s="123"/>
      <c r="V846" s="123"/>
      <c r="W846" s="123"/>
      <c r="X846" s="123"/>
      <c r="Y846" s="123"/>
      <c r="Z846" s="123"/>
    </row>
    <row r="847" spans="2:26" s="235" customFormat="1" ht="13.8">
      <c r="B847" s="307"/>
      <c r="C847" s="307"/>
      <c r="D847" s="307"/>
      <c r="E847" s="307"/>
      <c r="F847" s="307"/>
      <c r="M847" s="123"/>
      <c r="N847" s="123"/>
      <c r="O847" s="123"/>
      <c r="P847" s="123"/>
      <c r="Q847" s="123"/>
      <c r="R847" s="123"/>
      <c r="S847" s="123"/>
      <c r="T847" s="123"/>
      <c r="U847" s="123"/>
      <c r="V847" s="123"/>
      <c r="W847" s="123"/>
      <c r="X847" s="123"/>
      <c r="Y847" s="123"/>
      <c r="Z847" s="123"/>
    </row>
    <row r="848" spans="2:26" s="235" customFormat="1" ht="13.8">
      <c r="B848" s="307"/>
      <c r="C848" s="307"/>
      <c r="D848" s="307"/>
      <c r="E848" s="307"/>
      <c r="F848" s="307"/>
      <c r="M848" s="123"/>
      <c r="N848" s="123"/>
      <c r="O848" s="123"/>
      <c r="P848" s="123"/>
      <c r="Q848" s="123"/>
      <c r="R848" s="123"/>
      <c r="S848" s="123"/>
      <c r="T848" s="123"/>
      <c r="U848" s="123"/>
      <c r="V848" s="123"/>
      <c r="W848" s="123"/>
      <c r="X848" s="123"/>
      <c r="Y848" s="123"/>
      <c r="Z848" s="123"/>
    </row>
    <row r="849" spans="2:26" s="235" customFormat="1" ht="13.8">
      <c r="B849" s="307"/>
      <c r="C849" s="307"/>
      <c r="D849" s="307"/>
      <c r="E849" s="307"/>
      <c r="F849" s="307"/>
      <c r="M849" s="123"/>
      <c r="N849" s="123"/>
      <c r="O849" s="123"/>
      <c r="P849" s="123"/>
      <c r="Q849" s="123"/>
      <c r="R849" s="123"/>
      <c r="S849" s="123"/>
      <c r="T849" s="123"/>
      <c r="U849" s="123"/>
      <c r="V849" s="123"/>
      <c r="W849" s="123"/>
      <c r="X849" s="123"/>
      <c r="Y849" s="123"/>
      <c r="Z849" s="123"/>
    </row>
    <row r="850" spans="2:26" s="235" customFormat="1" ht="13.8">
      <c r="B850" s="307"/>
      <c r="C850" s="307"/>
      <c r="D850" s="307"/>
      <c r="E850" s="307"/>
      <c r="F850" s="307"/>
      <c r="M850" s="123"/>
      <c r="N850" s="123"/>
      <c r="O850" s="123"/>
      <c r="P850" s="123"/>
      <c r="Q850" s="123"/>
      <c r="R850" s="123"/>
      <c r="S850" s="123"/>
      <c r="T850" s="123"/>
      <c r="U850" s="123"/>
      <c r="V850" s="123"/>
      <c r="W850" s="123"/>
      <c r="X850" s="123"/>
      <c r="Y850" s="123"/>
      <c r="Z850" s="123"/>
    </row>
    <row r="851" spans="2:26" s="235" customFormat="1" ht="13.8">
      <c r="B851" s="307"/>
      <c r="C851" s="307"/>
      <c r="D851" s="307"/>
      <c r="E851" s="307"/>
      <c r="F851" s="307"/>
      <c r="M851" s="123"/>
      <c r="N851" s="123"/>
      <c r="O851" s="123"/>
      <c r="P851" s="123"/>
      <c r="Q851" s="123"/>
      <c r="R851" s="123"/>
      <c r="S851" s="123"/>
      <c r="T851" s="123"/>
      <c r="U851" s="123"/>
      <c r="V851" s="123"/>
      <c r="W851" s="123"/>
      <c r="X851" s="123"/>
      <c r="Y851" s="123"/>
      <c r="Z851" s="123"/>
    </row>
    <row r="852" spans="2:26" s="235" customFormat="1" ht="13.8">
      <c r="B852" s="307"/>
      <c r="C852" s="307"/>
      <c r="D852" s="307"/>
      <c r="E852" s="307"/>
      <c r="F852" s="307"/>
      <c r="M852" s="123"/>
      <c r="N852" s="123"/>
      <c r="O852" s="123"/>
      <c r="P852" s="123"/>
      <c r="Q852" s="123"/>
      <c r="R852" s="123"/>
      <c r="S852" s="123"/>
      <c r="T852" s="123"/>
      <c r="U852" s="123"/>
      <c r="V852" s="123"/>
      <c r="W852" s="123"/>
      <c r="X852" s="123"/>
      <c r="Y852" s="123"/>
      <c r="Z852" s="123"/>
    </row>
    <row r="853" spans="2:26" s="235" customFormat="1" ht="13.8">
      <c r="B853" s="307"/>
      <c r="C853" s="307"/>
      <c r="D853" s="307"/>
      <c r="E853" s="307"/>
      <c r="F853" s="307"/>
      <c r="M853" s="123"/>
      <c r="N853" s="123"/>
      <c r="O853" s="123"/>
      <c r="P853" s="123"/>
      <c r="Q853" s="123"/>
      <c r="R853" s="123"/>
      <c r="S853" s="123"/>
      <c r="T853" s="123"/>
      <c r="U853" s="123"/>
      <c r="V853" s="123"/>
      <c r="W853" s="123"/>
      <c r="X853" s="123"/>
      <c r="Y853" s="123"/>
      <c r="Z853" s="123"/>
    </row>
    <row r="854" spans="2:26" s="235" customFormat="1" ht="13.8">
      <c r="B854" s="307"/>
      <c r="C854" s="307"/>
      <c r="D854" s="307"/>
      <c r="E854" s="307"/>
      <c r="F854" s="307"/>
      <c r="M854" s="123"/>
      <c r="N854" s="123"/>
      <c r="O854" s="123"/>
      <c r="P854" s="123"/>
      <c r="Q854" s="123"/>
      <c r="R854" s="123"/>
      <c r="S854" s="123"/>
      <c r="T854" s="123"/>
      <c r="U854" s="123"/>
      <c r="V854" s="123"/>
      <c r="W854" s="123"/>
      <c r="X854" s="123"/>
      <c r="Y854" s="123"/>
      <c r="Z854" s="123"/>
    </row>
    <row r="855" spans="2:26" s="235" customFormat="1" ht="13.8">
      <c r="B855" s="307"/>
      <c r="C855" s="307"/>
      <c r="D855" s="307"/>
      <c r="E855" s="307"/>
      <c r="F855" s="307"/>
      <c r="M855" s="123"/>
      <c r="N855" s="123"/>
      <c r="O855" s="123"/>
      <c r="P855" s="123"/>
      <c r="Q855" s="123"/>
      <c r="R855" s="123"/>
      <c r="S855" s="123"/>
      <c r="T855" s="123"/>
      <c r="U855" s="123"/>
      <c r="V855" s="123"/>
      <c r="W855" s="123"/>
      <c r="X855" s="123"/>
      <c r="Y855" s="123"/>
      <c r="Z855" s="123"/>
    </row>
    <row r="856" spans="2:26" s="235" customFormat="1" ht="13.8">
      <c r="B856" s="307"/>
      <c r="C856" s="307"/>
      <c r="D856" s="307"/>
      <c r="E856" s="307"/>
      <c r="F856" s="307"/>
      <c r="M856" s="123"/>
      <c r="N856" s="123"/>
      <c r="O856" s="123"/>
      <c r="P856" s="123"/>
      <c r="Q856" s="123"/>
      <c r="R856" s="123"/>
      <c r="S856" s="123"/>
      <c r="T856" s="123"/>
      <c r="U856" s="123"/>
      <c r="V856" s="123"/>
      <c r="W856" s="123"/>
      <c r="X856" s="123"/>
      <c r="Y856" s="123"/>
      <c r="Z856" s="123"/>
    </row>
    <row r="857" spans="2:26" s="235" customFormat="1" ht="13.8">
      <c r="B857" s="307"/>
      <c r="C857" s="307"/>
      <c r="D857" s="307"/>
      <c r="E857" s="307"/>
      <c r="F857" s="307"/>
      <c r="M857" s="123"/>
      <c r="N857" s="123"/>
      <c r="O857" s="123"/>
      <c r="P857" s="123"/>
      <c r="Q857" s="123"/>
      <c r="R857" s="123"/>
      <c r="S857" s="123"/>
      <c r="T857" s="123"/>
      <c r="U857" s="123"/>
      <c r="V857" s="123"/>
      <c r="W857" s="123"/>
      <c r="X857" s="123"/>
      <c r="Y857" s="123"/>
      <c r="Z857" s="123"/>
    </row>
    <row r="858" spans="2:26" s="235" customFormat="1" ht="13.8">
      <c r="B858" s="307"/>
      <c r="C858" s="307"/>
      <c r="D858" s="307"/>
      <c r="E858" s="307"/>
      <c r="F858" s="307"/>
      <c r="M858" s="123"/>
      <c r="N858" s="123"/>
      <c r="O858" s="123"/>
      <c r="P858" s="123"/>
      <c r="Q858" s="123"/>
      <c r="R858" s="123"/>
      <c r="S858" s="123"/>
      <c r="T858" s="123"/>
      <c r="U858" s="123"/>
      <c r="V858" s="123"/>
      <c r="W858" s="123"/>
      <c r="X858" s="123"/>
      <c r="Y858" s="123"/>
      <c r="Z858" s="123"/>
    </row>
    <row r="859" spans="2:26" s="235" customFormat="1" ht="13.8">
      <c r="B859" s="307"/>
      <c r="C859" s="307"/>
      <c r="D859" s="307"/>
      <c r="E859" s="307"/>
      <c r="F859" s="307"/>
      <c r="M859" s="123"/>
      <c r="N859" s="123"/>
      <c r="O859" s="123"/>
      <c r="P859" s="123"/>
      <c r="Q859" s="123"/>
      <c r="R859" s="123"/>
      <c r="S859" s="123"/>
      <c r="T859" s="123"/>
      <c r="U859" s="123"/>
      <c r="V859" s="123"/>
      <c r="W859" s="123"/>
      <c r="X859" s="123"/>
      <c r="Y859" s="123"/>
      <c r="Z859" s="123"/>
    </row>
    <row r="860" spans="2:26" s="235" customFormat="1" ht="13.8">
      <c r="B860" s="307"/>
      <c r="C860" s="307"/>
      <c r="D860" s="307"/>
      <c r="E860" s="307"/>
      <c r="F860" s="307"/>
      <c r="M860" s="123"/>
      <c r="N860" s="123"/>
      <c r="O860" s="123"/>
      <c r="P860" s="123"/>
      <c r="Q860" s="123"/>
      <c r="R860" s="123"/>
      <c r="S860" s="123"/>
      <c r="T860" s="123"/>
      <c r="U860" s="123"/>
      <c r="V860" s="123"/>
      <c r="W860" s="123"/>
      <c r="X860" s="123"/>
      <c r="Y860" s="123"/>
      <c r="Z860" s="123"/>
    </row>
    <row r="861" spans="2:26" s="235" customFormat="1" ht="13.8">
      <c r="B861" s="307"/>
      <c r="C861" s="307"/>
      <c r="D861" s="307"/>
      <c r="E861" s="307"/>
      <c r="F861" s="307"/>
      <c r="M861" s="123"/>
      <c r="N861" s="123"/>
      <c r="O861" s="123"/>
      <c r="P861" s="123"/>
      <c r="Q861" s="123"/>
      <c r="R861" s="123"/>
      <c r="S861" s="123"/>
      <c r="T861" s="123"/>
      <c r="U861" s="123"/>
      <c r="V861" s="123"/>
      <c r="W861" s="123"/>
      <c r="X861" s="123"/>
      <c r="Y861" s="123"/>
      <c r="Z861" s="123"/>
    </row>
    <row r="862" spans="2:26" s="235" customFormat="1" ht="13.8">
      <c r="B862" s="307"/>
      <c r="C862" s="307"/>
      <c r="D862" s="307"/>
      <c r="E862" s="307"/>
      <c r="F862" s="307"/>
      <c r="M862" s="123"/>
      <c r="N862" s="123"/>
      <c r="O862" s="123"/>
      <c r="P862" s="123"/>
      <c r="Q862" s="123"/>
      <c r="R862" s="123"/>
      <c r="S862" s="123"/>
      <c r="T862" s="123"/>
      <c r="U862" s="123"/>
      <c r="V862" s="123"/>
      <c r="W862" s="123"/>
      <c r="X862" s="123"/>
      <c r="Y862" s="123"/>
      <c r="Z862" s="123"/>
    </row>
    <row r="863" spans="2:26" s="235" customFormat="1" ht="13.8">
      <c r="B863" s="307"/>
      <c r="C863" s="307"/>
      <c r="D863" s="307"/>
      <c r="E863" s="307"/>
      <c r="F863" s="307"/>
      <c r="M863" s="123"/>
      <c r="N863" s="123"/>
      <c r="O863" s="123"/>
      <c r="P863" s="123"/>
      <c r="Q863" s="123"/>
      <c r="R863" s="123"/>
      <c r="S863" s="123"/>
      <c r="T863" s="123"/>
      <c r="U863" s="123"/>
      <c r="V863" s="123"/>
      <c r="W863" s="123"/>
      <c r="X863" s="123"/>
      <c r="Y863" s="123"/>
      <c r="Z863" s="123"/>
    </row>
    <row r="864" spans="2:26" s="235" customFormat="1" ht="13.8">
      <c r="B864" s="307"/>
      <c r="C864" s="307"/>
      <c r="D864" s="307"/>
      <c r="E864" s="307"/>
      <c r="F864" s="307"/>
      <c r="M864" s="123"/>
      <c r="N864" s="123"/>
      <c r="O864" s="123"/>
      <c r="P864" s="123"/>
      <c r="Q864" s="123"/>
      <c r="R864" s="123"/>
      <c r="S864" s="123"/>
      <c r="T864" s="123"/>
      <c r="U864" s="123"/>
      <c r="V864" s="123"/>
      <c r="W864" s="123"/>
      <c r="X864" s="123"/>
      <c r="Y864" s="123"/>
      <c r="Z864" s="123"/>
    </row>
    <row r="865" spans="2:26" s="235" customFormat="1" ht="13.8">
      <c r="B865" s="307"/>
      <c r="C865" s="307"/>
      <c r="D865" s="307"/>
      <c r="E865" s="307"/>
      <c r="F865" s="307"/>
      <c r="M865" s="123"/>
      <c r="N865" s="123"/>
      <c r="O865" s="123"/>
      <c r="P865" s="123"/>
      <c r="Q865" s="123"/>
      <c r="R865" s="123"/>
      <c r="S865" s="123"/>
      <c r="T865" s="123"/>
      <c r="U865" s="123"/>
      <c r="V865" s="123"/>
      <c r="W865" s="123"/>
      <c r="X865" s="123"/>
      <c r="Y865" s="123"/>
      <c r="Z865" s="123"/>
    </row>
    <row r="866" spans="2:26" s="235" customFormat="1" ht="13.8">
      <c r="B866" s="307"/>
      <c r="C866" s="307"/>
      <c r="D866" s="307"/>
      <c r="E866" s="307"/>
      <c r="F866" s="307"/>
      <c r="M866" s="123"/>
      <c r="N866" s="123"/>
      <c r="O866" s="123"/>
      <c r="P866" s="123"/>
      <c r="Q866" s="123"/>
      <c r="R866" s="123"/>
      <c r="S866" s="123"/>
      <c r="T866" s="123"/>
      <c r="U866" s="123"/>
      <c r="V866" s="123"/>
      <c r="W866" s="123"/>
      <c r="X866" s="123"/>
      <c r="Y866" s="123"/>
      <c r="Z866" s="123"/>
    </row>
    <row r="867" spans="2:26" s="235" customFormat="1" ht="13.8">
      <c r="B867" s="307"/>
      <c r="C867" s="307"/>
      <c r="D867" s="307"/>
      <c r="E867" s="307"/>
      <c r="F867" s="307"/>
      <c r="M867" s="123"/>
      <c r="N867" s="123"/>
      <c r="O867" s="123"/>
      <c r="P867" s="123"/>
      <c r="Q867" s="123"/>
      <c r="R867" s="123"/>
      <c r="S867" s="123"/>
      <c r="T867" s="123"/>
      <c r="U867" s="123"/>
      <c r="V867" s="123"/>
      <c r="W867" s="123"/>
      <c r="X867" s="123"/>
      <c r="Y867" s="123"/>
      <c r="Z867" s="123"/>
    </row>
    <row r="868" spans="2:26" s="235" customFormat="1" ht="13.8">
      <c r="B868" s="307"/>
      <c r="C868" s="307"/>
      <c r="D868" s="307"/>
      <c r="E868" s="307"/>
      <c r="F868" s="307"/>
      <c r="M868" s="123"/>
      <c r="N868" s="123"/>
      <c r="O868" s="123"/>
      <c r="P868" s="123"/>
      <c r="Q868" s="123"/>
      <c r="R868" s="123"/>
      <c r="S868" s="123"/>
      <c r="T868" s="123"/>
      <c r="U868" s="123"/>
      <c r="V868" s="123"/>
      <c r="W868" s="123"/>
      <c r="X868" s="123"/>
      <c r="Y868" s="123"/>
      <c r="Z868" s="123"/>
    </row>
    <row r="869" spans="2:26" s="235" customFormat="1" ht="13.8">
      <c r="B869" s="307"/>
      <c r="C869" s="307"/>
      <c r="D869" s="307"/>
      <c r="E869" s="307"/>
      <c r="F869" s="307"/>
      <c r="M869" s="123"/>
      <c r="N869" s="123"/>
      <c r="O869" s="123"/>
      <c r="P869" s="123"/>
      <c r="Q869" s="123"/>
      <c r="R869" s="123"/>
      <c r="S869" s="123"/>
      <c r="T869" s="123"/>
      <c r="U869" s="123"/>
      <c r="V869" s="123"/>
      <c r="W869" s="123"/>
      <c r="X869" s="123"/>
      <c r="Y869" s="123"/>
      <c r="Z869" s="123"/>
    </row>
    <row r="870" spans="2:26" s="235" customFormat="1" ht="13.8">
      <c r="B870" s="307"/>
      <c r="C870" s="307"/>
      <c r="D870" s="307"/>
      <c r="E870" s="307"/>
      <c r="F870" s="307"/>
      <c r="M870" s="123"/>
      <c r="N870" s="123"/>
      <c r="O870" s="123"/>
      <c r="P870" s="123"/>
      <c r="Q870" s="123"/>
      <c r="R870" s="123"/>
      <c r="S870" s="123"/>
      <c r="T870" s="123"/>
      <c r="U870" s="123"/>
      <c r="V870" s="123"/>
      <c r="W870" s="123"/>
      <c r="X870" s="123"/>
      <c r="Y870" s="123"/>
      <c r="Z870" s="123"/>
    </row>
    <row r="871" spans="2:26" s="235" customFormat="1" ht="13.8">
      <c r="B871" s="307"/>
      <c r="C871" s="307"/>
      <c r="D871" s="307"/>
      <c r="E871" s="307"/>
      <c r="F871" s="307"/>
      <c r="M871" s="123"/>
      <c r="N871" s="123"/>
      <c r="O871" s="123"/>
      <c r="P871" s="123"/>
      <c r="Q871" s="123"/>
      <c r="R871" s="123"/>
      <c r="S871" s="123"/>
      <c r="T871" s="123"/>
      <c r="U871" s="123"/>
      <c r="V871" s="123"/>
      <c r="W871" s="123"/>
      <c r="X871" s="123"/>
      <c r="Y871" s="123"/>
      <c r="Z871" s="123"/>
    </row>
    <row r="872" spans="2:26" s="235" customFormat="1" ht="13.8">
      <c r="B872" s="307"/>
      <c r="C872" s="307"/>
      <c r="D872" s="307"/>
      <c r="E872" s="307"/>
      <c r="F872" s="307"/>
      <c r="M872" s="123"/>
      <c r="N872" s="123"/>
      <c r="O872" s="123"/>
      <c r="P872" s="123"/>
      <c r="Q872" s="123"/>
      <c r="R872" s="123"/>
      <c r="S872" s="123"/>
      <c r="T872" s="123"/>
      <c r="U872" s="123"/>
      <c r="V872" s="123"/>
      <c r="W872" s="123"/>
      <c r="X872" s="123"/>
      <c r="Y872" s="123"/>
      <c r="Z872" s="123"/>
    </row>
    <row r="873" spans="2:26" s="235" customFormat="1" ht="13.8">
      <c r="B873" s="307"/>
      <c r="C873" s="307"/>
      <c r="D873" s="307"/>
      <c r="E873" s="307"/>
      <c r="F873" s="307"/>
      <c r="M873" s="123"/>
      <c r="N873" s="123"/>
      <c r="O873" s="123"/>
      <c r="P873" s="123"/>
      <c r="Q873" s="123"/>
      <c r="R873" s="123"/>
      <c r="S873" s="123"/>
      <c r="T873" s="123"/>
      <c r="U873" s="123"/>
      <c r="V873" s="123"/>
      <c r="W873" s="123"/>
      <c r="X873" s="123"/>
      <c r="Y873" s="123"/>
      <c r="Z873" s="123"/>
    </row>
    <row r="874" spans="2:26" s="235" customFormat="1" ht="13.8">
      <c r="B874" s="307"/>
      <c r="C874" s="307"/>
      <c r="D874" s="307"/>
      <c r="E874" s="307"/>
      <c r="F874" s="307"/>
      <c r="M874" s="123"/>
      <c r="N874" s="123"/>
      <c r="O874" s="123"/>
      <c r="P874" s="123"/>
      <c r="Q874" s="123"/>
      <c r="R874" s="123"/>
      <c r="S874" s="123"/>
      <c r="T874" s="123"/>
      <c r="U874" s="123"/>
      <c r="V874" s="123"/>
      <c r="W874" s="123"/>
      <c r="X874" s="123"/>
      <c r="Y874" s="123"/>
      <c r="Z874" s="123"/>
    </row>
    <row r="875" spans="2:26" s="235" customFormat="1" ht="13.8">
      <c r="B875" s="307"/>
      <c r="C875" s="307"/>
      <c r="D875" s="307"/>
      <c r="E875" s="307"/>
      <c r="F875" s="307"/>
      <c r="M875" s="123"/>
      <c r="N875" s="123"/>
      <c r="O875" s="123"/>
      <c r="P875" s="123"/>
      <c r="Q875" s="123"/>
      <c r="R875" s="123"/>
      <c r="S875" s="123"/>
      <c r="T875" s="123"/>
      <c r="U875" s="123"/>
      <c r="V875" s="123"/>
      <c r="W875" s="123"/>
      <c r="X875" s="123"/>
      <c r="Y875" s="123"/>
      <c r="Z875" s="123"/>
    </row>
    <row r="876" spans="2:26" s="235" customFormat="1" ht="13.8">
      <c r="B876" s="307"/>
      <c r="C876" s="307"/>
      <c r="D876" s="307"/>
      <c r="E876" s="307"/>
      <c r="F876" s="307"/>
      <c r="M876" s="123"/>
      <c r="N876" s="123"/>
      <c r="O876" s="123"/>
      <c r="P876" s="123"/>
      <c r="Q876" s="123"/>
      <c r="R876" s="123"/>
      <c r="S876" s="123"/>
      <c r="T876" s="123"/>
      <c r="U876" s="123"/>
      <c r="V876" s="123"/>
      <c r="W876" s="123"/>
      <c r="X876" s="123"/>
      <c r="Y876" s="123"/>
      <c r="Z876" s="123"/>
    </row>
    <row r="877" spans="2:26" s="235" customFormat="1" ht="13.8">
      <c r="B877" s="307"/>
      <c r="C877" s="307"/>
      <c r="D877" s="307"/>
      <c r="E877" s="307"/>
      <c r="F877" s="307"/>
      <c r="M877" s="123"/>
      <c r="N877" s="123"/>
      <c r="O877" s="123"/>
      <c r="P877" s="123"/>
      <c r="Q877" s="123"/>
      <c r="R877" s="123"/>
      <c r="S877" s="123"/>
      <c r="T877" s="123"/>
      <c r="U877" s="123"/>
      <c r="V877" s="123"/>
      <c r="W877" s="123"/>
      <c r="X877" s="123"/>
      <c r="Y877" s="123"/>
      <c r="Z877" s="123"/>
    </row>
    <row r="878" spans="2:26" s="235" customFormat="1" ht="13.8">
      <c r="B878" s="307"/>
      <c r="C878" s="307"/>
      <c r="D878" s="307"/>
      <c r="E878" s="307"/>
      <c r="F878" s="307"/>
      <c r="M878" s="123"/>
      <c r="N878" s="123"/>
      <c r="O878" s="123"/>
      <c r="P878" s="123"/>
      <c r="Q878" s="123"/>
      <c r="R878" s="123"/>
      <c r="S878" s="123"/>
      <c r="T878" s="123"/>
      <c r="U878" s="123"/>
      <c r="V878" s="123"/>
      <c r="W878" s="123"/>
      <c r="X878" s="123"/>
      <c r="Y878" s="123"/>
      <c r="Z878" s="123"/>
    </row>
    <row r="879" spans="2:26" s="235" customFormat="1" ht="13.8">
      <c r="B879" s="307"/>
      <c r="C879" s="307"/>
      <c r="D879" s="307"/>
      <c r="E879" s="307"/>
      <c r="F879" s="307"/>
      <c r="M879" s="123"/>
      <c r="N879" s="123"/>
      <c r="O879" s="123"/>
      <c r="P879" s="123"/>
      <c r="Q879" s="123"/>
      <c r="R879" s="123"/>
      <c r="S879" s="123"/>
      <c r="T879" s="123"/>
      <c r="U879" s="123"/>
      <c r="V879" s="123"/>
      <c r="W879" s="123"/>
      <c r="X879" s="123"/>
      <c r="Y879" s="123"/>
      <c r="Z879" s="123"/>
    </row>
    <row r="880" spans="2:26" s="235" customFormat="1" ht="13.8">
      <c r="B880" s="307"/>
      <c r="C880" s="307"/>
      <c r="D880" s="307"/>
      <c r="E880" s="307"/>
      <c r="F880" s="307"/>
      <c r="M880" s="123"/>
      <c r="N880" s="123"/>
      <c r="O880" s="123"/>
      <c r="P880" s="123"/>
      <c r="Q880" s="123"/>
      <c r="R880" s="123"/>
      <c r="S880" s="123"/>
      <c r="T880" s="123"/>
      <c r="U880" s="123"/>
      <c r="V880" s="123"/>
      <c r="W880" s="123"/>
      <c r="X880" s="123"/>
      <c r="Y880" s="123"/>
      <c r="Z880" s="123"/>
    </row>
    <row r="881" spans="2:26" s="235" customFormat="1" ht="13.8">
      <c r="B881" s="307"/>
      <c r="C881" s="307"/>
      <c r="D881" s="307"/>
      <c r="E881" s="307"/>
      <c r="F881" s="307"/>
      <c r="M881" s="123"/>
      <c r="N881" s="123"/>
      <c r="O881" s="123"/>
      <c r="P881" s="123"/>
      <c r="Q881" s="123"/>
      <c r="R881" s="123"/>
      <c r="S881" s="123"/>
      <c r="T881" s="123"/>
      <c r="U881" s="123"/>
      <c r="V881" s="123"/>
      <c r="W881" s="123"/>
      <c r="X881" s="123"/>
      <c r="Y881" s="123"/>
      <c r="Z881" s="123"/>
    </row>
    <row r="882" spans="2:26" s="235" customFormat="1" ht="13.8">
      <c r="B882" s="307"/>
      <c r="C882" s="307"/>
      <c r="D882" s="307"/>
      <c r="E882" s="307"/>
      <c r="F882" s="307"/>
      <c r="M882" s="123"/>
      <c r="N882" s="123"/>
      <c r="O882" s="123"/>
      <c r="P882" s="123"/>
      <c r="Q882" s="123"/>
      <c r="R882" s="123"/>
      <c r="S882" s="123"/>
      <c r="T882" s="123"/>
      <c r="U882" s="123"/>
      <c r="V882" s="123"/>
      <c r="W882" s="123"/>
      <c r="X882" s="123"/>
      <c r="Y882" s="123"/>
      <c r="Z882" s="123"/>
    </row>
    <row r="883" spans="2:26" s="235" customFormat="1" ht="13.8">
      <c r="B883" s="307"/>
      <c r="C883" s="307"/>
      <c r="D883" s="307"/>
      <c r="E883" s="307"/>
      <c r="F883" s="307"/>
      <c r="M883" s="123"/>
      <c r="N883" s="123"/>
      <c r="O883" s="123"/>
      <c r="P883" s="123"/>
      <c r="Q883" s="123"/>
      <c r="R883" s="123"/>
      <c r="S883" s="123"/>
      <c r="T883" s="123"/>
      <c r="U883" s="123"/>
      <c r="V883" s="123"/>
      <c r="W883" s="123"/>
      <c r="X883" s="123"/>
      <c r="Y883" s="123"/>
      <c r="Z883" s="123"/>
    </row>
    <row r="884" spans="2:26" s="235" customFormat="1" ht="13.8">
      <c r="B884" s="307"/>
      <c r="C884" s="307"/>
      <c r="D884" s="307"/>
      <c r="E884" s="307"/>
      <c r="F884" s="307"/>
      <c r="M884" s="123"/>
      <c r="N884" s="123"/>
      <c r="O884" s="123"/>
      <c r="P884" s="123"/>
      <c r="Q884" s="123"/>
      <c r="R884" s="123"/>
      <c r="S884" s="123"/>
      <c r="T884" s="123"/>
      <c r="U884" s="123"/>
      <c r="V884" s="123"/>
      <c r="W884" s="123"/>
      <c r="X884" s="123"/>
      <c r="Y884" s="123"/>
      <c r="Z884" s="123"/>
    </row>
    <row r="885" spans="2:26" s="235" customFormat="1" ht="13.8">
      <c r="B885" s="307"/>
      <c r="C885" s="307"/>
      <c r="D885" s="307"/>
      <c r="E885" s="307"/>
      <c r="F885" s="307"/>
      <c r="M885" s="123"/>
      <c r="N885" s="123"/>
      <c r="O885" s="123"/>
      <c r="P885" s="123"/>
      <c r="Q885" s="123"/>
      <c r="R885" s="123"/>
      <c r="S885" s="123"/>
      <c r="T885" s="123"/>
      <c r="U885" s="123"/>
      <c r="V885" s="123"/>
      <c r="W885" s="123"/>
      <c r="X885" s="123"/>
      <c r="Y885" s="123"/>
      <c r="Z885" s="123"/>
    </row>
    <row r="886" spans="2:26" s="235" customFormat="1" ht="13.8">
      <c r="B886" s="307"/>
      <c r="C886" s="307"/>
      <c r="D886" s="307"/>
      <c r="E886" s="307"/>
      <c r="F886" s="307"/>
      <c r="M886" s="123"/>
      <c r="N886" s="123"/>
      <c r="O886" s="123"/>
      <c r="P886" s="123"/>
      <c r="Q886" s="123"/>
      <c r="R886" s="123"/>
      <c r="S886" s="123"/>
      <c r="T886" s="123"/>
      <c r="U886" s="123"/>
      <c r="V886" s="123"/>
      <c r="W886" s="123"/>
      <c r="X886" s="123"/>
      <c r="Y886" s="123"/>
      <c r="Z886" s="123"/>
    </row>
    <row r="887" spans="2:26" s="235" customFormat="1" ht="13.8">
      <c r="B887" s="307"/>
      <c r="C887" s="307"/>
      <c r="D887" s="307"/>
      <c r="E887" s="307"/>
      <c r="F887" s="307"/>
      <c r="M887" s="123"/>
      <c r="N887" s="123"/>
      <c r="O887" s="123"/>
      <c r="P887" s="123"/>
      <c r="Q887" s="123"/>
      <c r="R887" s="123"/>
      <c r="S887" s="123"/>
      <c r="T887" s="123"/>
      <c r="U887" s="123"/>
      <c r="V887" s="123"/>
      <c r="W887" s="123"/>
      <c r="X887" s="123"/>
      <c r="Y887" s="123"/>
      <c r="Z887" s="123"/>
    </row>
    <row r="888" spans="2:26" s="235" customFormat="1" ht="13.8">
      <c r="B888" s="307"/>
      <c r="C888" s="307"/>
      <c r="D888" s="307"/>
      <c r="E888" s="307"/>
      <c r="F888" s="307"/>
      <c r="M888" s="123"/>
      <c r="N888" s="123"/>
      <c r="O888" s="123"/>
      <c r="P888" s="123"/>
      <c r="Q888" s="123"/>
      <c r="R888" s="123"/>
      <c r="S888" s="123"/>
      <c r="T888" s="123"/>
      <c r="U888" s="123"/>
      <c r="V888" s="123"/>
      <c r="W888" s="123"/>
      <c r="X888" s="123"/>
      <c r="Y888" s="123"/>
      <c r="Z888" s="123"/>
    </row>
    <row r="889" spans="2:26" s="235" customFormat="1" ht="13.8">
      <c r="B889" s="307"/>
      <c r="C889" s="307"/>
      <c r="D889" s="307"/>
      <c r="E889" s="307"/>
      <c r="F889" s="307"/>
      <c r="M889" s="123"/>
      <c r="N889" s="123"/>
      <c r="O889" s="123"/>
      <c r="P889" s="123"/>
      <c r="Q889" s="123"/>
      <c r="R889" s="123"/>
      <c r="S889" s="123"/>
      <c r="T889" s="123"/>
      <c r="U889" s="123"/>
      <c r="V889" s="123"/>
      <c r="W889" s="123"/>
      <c r="X889" s="123"/>
      <c r="Y889" s="123"/>
      <c r="Z889" s="123"/>
    </row>
    <row r="890" spans="2:26" s="235" customFormat="1" ht="13.8">
      <c r="B890" s="307"/>
      <c r="C890" s="307"/>
      <c r="D890" s="307"/>
      <c r="E890" s="307"/>
      <c r="F890" s="307"/>
      <c r="M890" s="123"/>
      <c r="N890" s="123"/>
      <c r="O890" s="123"/>
      <c r="P890" s="123"/>
      <c r="Q890" s="123"/>
      <c r="R890" s="123"/>
      <c r="S890" s="123"/>
      <c r="T890" s="123"/>
      <c r="U890" s="123"/>
      <c r="V890" s="123"/>
      <c r="W890" s="123"/>
      <c r="X890" s="123"/>
      <c r="Y890" s="123"/>
      <c r="Z890" s="123"/>
    </row>
    <row r="891" spans="2:26" s="235" customFormat="1" ht="13.8">
      <c r="B891" s="307"/>
      <c r="C891" s="307"/>
      <c r="D891" s="307"/>
      <c r="E891" s="307"/>
      <c r="F891" s="307"/>
      <c r="M891" s="123"/>
      <c r="N891" s="123"/>
      <c r="O891" s="123"/>
      <c r="P891" s="123"/>
      <c r="Q891" s="123"/>
      <c r="R891" s="123"/>
      <c r="S891" s="123"/>
      <c r="T891" s="123"/>
      <c r="U891" s="123"/>
      <c r="V891" s="123"/>
      <c r="W891" s="123"/>
      <c r="X891" s="123"/>
      <c r="Y891" s="123"/>
      <c r="Z891" s="123"/>
    </row>
    <row r="892" spans="2:26" s="235" customFormat="1" ht="13.8">
      <c r="B892" s="307"/>
      <c r="C892" s="307"/>
      <c r="D892" s="307"/>
      <c r="E892" s="307"/>
      <c r="F892" s="307"/>
      <c r="M892" s="123"/>
      <c r="N892" s="123"/>
      <c r="O892" s="123"/>
      <c r="P892" s="123"/>
      <c r="Q892" s="123"/>
      <c r="R892" s="123"/>
      <c r="S892" s="123"/>
      <c r="T892" s="123"/>
      <c r="U892" s="123"/>
      <c r="V892" s="123"/>
      <c r="W892" s="123"/>
      <c r="X892" s="123"/>
      <c r="Y892" s="123"/>
      <c r="Z892" s="123"/>
    </row>
    <row r="893" spans="2:26" s="235" customFormat="1" ht="13.8">
      <c r="B893" s="307"/>
      <c r="C893" s="307"/>
      <c r="D893" s="307"/>
      <c r="E893" s="307"/>
      <c r="F893" s="307"/>
      <c r="M893" s="123"/>
      <c r="N893" s="123"/>
      <c r="O893" s="123"/>
      <c r="P893" s="123"/>
      <c r="Q893" s="123"/>
      <c r="R893" s="123"/>
      <c r="S893" s="123"/>
      <c r="T893" s="123"/>
      <c r="U893" s="123"/>
      <c r="V893" s="123"/>
      <c r="W893" s="123"/>
      <c r="X893" s="123"/>
      <c r="Y893" s="123"/>
      <c r="Z893" s="123"/>
    </row>
    <row r="894" spans="2:26" s="235" customFormat="1" ht="13.8">
      <c r="B894" s="307"/>
      <c r="C894" s="307"/>
      <c r="D894" s="307"/>
      <c r="E894" s="307"/>
      <c r="F894" s="307"/>
      <c r="M894" s="123"/>
      <c r="N894" s="123"/>
      <c r="O894" s="123"/>
      <c r="P894" s="123"/>
      <c r="Q894" s="123"/>
      <c r="R894" s="123"/>
      <c r="S894" s="123"/>
      <c r="T894" s="123"/>
      <c r="U894" s="123"/>
      <c r="V894" s="123"/>
      <c r="W894" s="123"/>
      <c r="X894" s="123"/>
      <c r="Y894" s="123"/>
      <c r="Z894" s="123"/>
    </row>
    <row r="895" spans="2:26" s="235" customFormat="1" ht="13.8">
      <c r="B895" s="307"/>
      <c r="C895" s="307"/>
      <c r="D895" s="307"/>
      <c r="E895" s="307"/>
      <c r="F895" s="307"/>
      <c r="M895" s="123"/>
      <c r="N895" s="123"/>
      <c r="O895" s="123"/>
      <c r="P895" s="123"/>
      <c r="Q895" s="123"/>
      <c r="R895" s="123"/>
      <c r="S895" s="123"/>
      <c r="T895" s="123"/>
      <c r="U895" s="123"/>
      <c r="V895" s="123"/>
      <c r="W895" s="123"/>
      <c r="X895" s="123"/>
      <c r="Y895" s="123"/>
      <c r="Z895" s="123"/>
    </row>
    <row r="896" spans="2:26" s="235" customFormat="1" ht="13.8">
      <c r="B896" s="307"/>
      <c r="C896" s="307"/>
      <c r="D896" s="307"/>
      <c r="E896" s="307"/>
      <c r="F896" s="307"/>
      <c r="M896" s="123"/>
      <c r="N896" s="123"/>
      <c r="O896" s="123"/>
      <c r="P896" s="123"/>
      <c r="Q896" s="123"/>
      <c r="R896" s="123"/>
      <c r="S896" s="123"/>
      <c r="T896" s="123"/>
      <c r="U896" s="123"/>
      <c r="V896" s="123"/>
      <c r="W896" s="123"/>
      <c r="X896" s="123"/>
      <c r="Y896" s="123"/>
      <c r="Z896" s="123"/>
    </row>
    <row r="897" spans="2:26" s="235" customFormat="1" ht="13.8">
      <c r="B897" s="307"/>
      <c r="C897" s="307"/>
      <c r="D897" s="307"/>
      <c r="E897" s="307"/>
      <c r="F897" s="307"/>
      <c r="M897" s="123"/>
      <c r="N897" s="123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  <c r="Y897" s="123"/>
      <c r="Z897" s="123"/>
    </row>
    <row r="898" spans="2:26" s="235" customFormat="1" ht="13.8">
      <c r="B898" s="307"/>
      <c r="C898" s="307"/>
      <c r="D898" s="307"/>
      <c r="E898" s="307"/>
      <c r="F898" s="307"/>
      <c r="M898" s="123"/>
      <c r="N898" s="123"/>
      <c r="O898" s="123"/>
      <c r="P898" s="123"/>
      <c r="Q898" s="123"/>
      <c r="R898" s="123"/>
      <c r="S898" s="123"/>
      <c r="T898" s="123"/>
      <c r="U898" s="123"/>
      <c r="V898" s="123"/>
      <c r="W898" s="123"/>
      <c r="X898" s="123"/>
      <c r="Y898" s="123"/>
      <c r="Z898" s="123"/>
    </row>
    <row r="899" spans="2:26" s="235" customFormat="1" ht="13.8">
      <c r="B899" s="307"/>
      <c r="C899" s="307"/>
      <c r="D899" s="307"/>
      <c r="E899" s="307"/>
      <c r="F899" s="307"/>
      <c r="M899" s="123"/>
      <c r="N899" s="123"/>
      <c r="O899" s="123"/>
      <c r="P899" s="123"/>
      <c r="Q899" s="123"/>
      <c r="R899" s="123"/>
      <c r="S899" s="123"/>
      <c r="T899" s="123"/>
      <c r="U899" s="123"/>
      <c r="V899" s="123"/>
      <c r="W899" s="123"/>
      <c r="X899" s="123"/>
      <c r="Y899" s="123"/>
      <c r="Z899" s="123"/>
    </row>
    <row r="900" spans="2:26" s="235" customFormat="1" ht="13.8">
      <c r="B900" s="307"/>
      <c r="C900" s="307"/>
      <c r="D900" s="307"/>
      <c r="E900" s="307"/>
      <c r="F900" s="307"/>
      <c r="M900" s="123"/>
      <c r="N900" s="123"/>
      <c r="O900" s="123"/>
      <c r="P900" s="123"/>
      <c r="Q900" s="123"/>
      <c r="R900" s="123"/>
      <c r="S900" s="123"/>
      <c r="T900" s="123"/>
      <c r="U900" s="123"/>
      <c r="V900" s="123"/>
      <c r="W900" s="123"/>
      <c r="X900" s="123"/>
      <c r="Y900" s="123"/>
      <c r="Z900" s="123"/>
    </row>
    <row r="901" spans="2:26" s="235" customFormat="1" ht="13.8">
      <c r="B901" s="307"/>
      <c r="C901" s="307"/>
      <c r="D901" s="307"/>
      <c r="E901" s="307"/>
      <c r="F901" s="307"/>
      <c r="M901" s="123"/>
      <c r="N901" s="123"/>
      <c r="O901" s="123"/>
      <c r="P901" s="123"/>
      <c r="Q901" s="123"/>
      <c r="R901" s="123"/>
      <c r="S901" s="123"/>
      <c r="T901" s="123"/>
      <c r="U901" s="123"/>
      <c r="V901" s="123"/>
      <c r="W901" s="123"/>
      <c r="X901" s="123"/>
      <c r="Y901" s="123"/>
      <c r="Z901" s="123"/>
    </row>
    <row r="902" spans="2:26" s="235" customFormat="1" ht="13.8">
      <c r="B902" s="307"/>
      <c r="C902" s="307"/>
      <c r="D902" s="307"/>
      <c r="E902" s="307"/>
      <c r="F902" s="307"/>
      <c r="M902" s="123"/>
      <c r="N902" s="123"/>
      <c r="O902" s="123"/>
      <c r="P902" s="123"/>
      <c r="Q902" s="123"/>
      <c r="R902" s="123"/>
      <c r="S902" s="123"/>
      <c r="T902" s="123"/>
      <c r="U902" s="123"/>
      <c r="V902" s="123"/>
      <c r="W902" s="123"/>
      <c r="X902" s="123"/>
      <c r="Y902" s="123"/>
      <c r="Z902" s="123"/>
    </row>
    <row r="903" spans="2:26" s="235" customFormat="1" ht="13.8">
      <c r="B903" s="307"/>
      <c r="C903" s="307"/>
      <c r="D903" s="307"/>
      <c r="E903" s="307"/>
      <c r="F903" s="307"/>
      <c r="M903" s="123"/>
      <c r="N903" s="123"/>
      <c r="O903" s="123"/>
      <c r="P903" s="123"/>
      <c r="Q903" s="123"/>
      <c r="R903" s="123"/>
      <c r="S903" s="123"/>
      <c r="T903" s="123"/>
      <c r="U903" s="123"/>
      <c r="V903" s="123"/>
      <c r="W903" s="123"/>
      <c r="X903" s="123"/>
      <c r="Y903" s="123"/>
      <c r="Z903" s="123"/>
    </row>
    <row r="904" spans="2:26" s="235" customFormat="1" ht="13.8">
      <c r="B904" s="307"/>
      <c r="C904" s="307"/>
      <c r="D904" s="307"/>
      <c r="E904" s="307"/>
      <c r="F904" s="307"/>
      <c r="M904" s="123"/>
      <c r="N904" s="123"/>
      <c r="O904" s="123"/>
      <c r="P904" s="123"/>
      <c r="Q904" s="123"/>
      <c r="R904" s="123"/>
      <c r="S904" s="123"/>
      <c r="T904" s="123"/>
      <c r="U904" s="123"/>
      <c r="V904" s="123"/>
      <c r="W904" s="123"/>
      <c r="X904" s="123"/>
      <c r="Y904" s="123"/>
      <c r="Z904" s="123"/>
    </row>
    <row r="905" spans="2:26" s="235" customFormat="1" ht="13.8">
      <c r="B905" s="307"/>
      <c r="C905" s="307"/>
      <c r="D905" s="307"/>
      <c r="E905" s="307"/>
      <c r="F905" s="307"/>
      <c r="M905" s="123"/>
      <c r="N905" s="123"/>
      <c r="O905" s="123"/>
      <c r="P905" s="123"/>
      <c r="Q905" s="123"/>
      <c r="R905" s="123"/>
      <c r="S905" s="123"/>
      <c r="T905" s="123"/>
      <c r="U905" s="123"/>
      <c r="V905" s="123"/>
      <c r="W905" s="123"/>
      <c r="X905" s="123"/>
      <c r="Y905" s="123"/>
      <c r="Z905" s="123"/>
    </row>
    <row r="906" spans="2:26" s="235" customFormat="1" ht="13.8">
      <c r="B906" s="307"/>
      <c r="C906" s="307"/>
      <c r="D906" s="307"/>
      <c r="E906" s="307"/>
      <c r="F906" s="307"/>
      <c r="M906" s="123"/>
      <c r="N906" s="123"/>
      <c r="O906" s="123"/>
      <c r="P906" s="123"/>
      <c r="Q906" s="123"/>
      <c r="R906" s="123"/>
      <c r="S906" s="123"/>
      <c r="T906" s="123"/>
      <c r="U906" s="123"/>
      <c r="V906" s="123"/>
      <c r="W906" s="123"/>
      <c r="X906" s="123"/>
      <c r="Y906" s="123"/>
      <c r="Z906" s="123"/>
    </row>
    <row r="907" spans="2:26" s="235" customFormat="1" ht="13.8">
      <c r="B907" s="307"/>
      <c r="C907" s="307"/>
      <c r="D907" s="307"/>
      <c r="E907" s="307"/>
      <c r="F907" s="307"/>
      <c r="M907" s="123"/>
      <c r="N907" s="123"/>
      <c r="O907" s="123"/>
      <c r="P907" s="123"/>
      <c r="Q907" s="123"/>
      <c r="R907" s="123"/>
      <c r="S907" s="123"/>
      <c r="T907" s="123"/>
      <c r="U907" s="123"/>
      <c r="V907" s="123"/>
      <c r="W907" s="123"/>
      <c r="X907" s="123"/>
      <c r="Y907" s="123"/>
      <c r="Z907" s="123"/>
    </row>
    <row r="908" spans="2:26" s="235" customFormat="1" ht="13.8">
      <c r="B908" s="307"/>
      <c r="C908" s="307"/>
      <c r="D908" s="307"/>
      <c r="E908" s="307"/>
      <c r="F908" s="307"/>
      <c r="M908" s="123"/>
      <c r="N908" s="123"/>
      <c r="O908" s="123"/>
      <c r="P908" s="123"/>
      <c r="Q908" s="123"/>
      <c r="R908" s="123"/>
      <c r="S908" s="123"/>
      <c r="T908" s="123"/>
      <c r="U908" s="123"/>
      <c r="V908" s="123"/>
      <c r="W908" s="123"/>
      <c r="X908" s="123"/>
      <c r="Y908" s="123"/>
      <c r="Z908" s="123"/>
    </row>
    <row r="909" spans="2:26" s="235" customFormat="1" ht="13.8">
      <c r="B909" s="307"/>
      <c r="C909" s="307"/>
      <c r="D909" s="307"/>
      <c r="E909" s="307"/>
      <c r="F909" s="307"/>
      <c r="M909" s="123"/>
      <c r="N909" s="123"/>
      <c r="O909" s="123"/>
      <c r="P909" s="123"/>
      <c r="Q909" s="123"/>
      <c r="R909" s="123"/>
      <c r="S909" s="123"/>
      <c r="T909" s="123"/>
      <c r="U909" s="123"/>
      <c r="V909" s="123"/>
      <c r="W909" s="123"/>
      <c r="X909" s="123"/>
      <c r="Y909" s="123"/>
      <c r="Z909" s="123"/>
    </row>
    <row r="910" spans="2:26" s="235" customFormat="1" ht="13.8">
      <c r="B910" s="307"/>
      <c r="C910" s="307"/>
      <c r="D910" s="307"/>
      <c r="E910" s="307"/>
      <c r="F910" s="307"/>
      <c r="M910" s="123"/>
      <c r="N910" s="123"/>
      <c r="O910" s="123"/>
      <c r="P910" s="123"/>
      <c r="Q910" s="123"/>
      <c r="R910" s="123"/>
      <c r="S910" s="123"/>
      <c r="T910" s="123"/>
      <c r="U910" s="123"/>
      <c r="V910" s="123"/>
      <c r="W910" s="123"/>
      <c r="X910" s="123"/>
      <c r="Y910" s="123"/>
      <c r="Z910" s="123"/>
    </row>
    <row r="911" spans="2:26" s="235" customFormat="1" ht="13.8">
      <c r="B911" s="307"/>
      <c r="C911" s="307"/>
      <c r="D911" s="307"/>
      <c r="E911" s="307"/>
      <c r="F911" s="307"/>
      <c r="M911" s="123"/>
      <c r="N911" s="123"/>
      <c r="O911" s="123"/>
      <c r="P911" s="123"/>
      <c r="Q911" s="123"/>
      <c r="R911" s="123"/>
      <c r="S911" s="123"/>
      <c r="T911" s="123"/>
      <c r="U911" s="123"/>
      <c r="V911" s="123"/>
      <c r="W911" s="123"/>
      <c r="X911" s="123"/>
      <c r="Y911" s="123"/>
      <c r="Z911" s="123"/>
    </row>
    <row r="912" spans="2:26" s="235" customFormat="1" ht="13.8">
      <c r="B912" s="307"/>
      <c r="C912" s="307"/>
      <c r="D912" s="307"/>
      <c r="E912" s="307"/>
      <c r="F912" s="307"/>
      <c r="M912" s="123"/>
      <c r="N912" s="123"/>
      <c r="O912" s="123"/>
      <c r="P912" s="123"/>
      <c r="Q912" s="123"/>
      <c r="R912" s="123"/>
      <c r="S912" s="123"/>
      <c r="T912" s="123"/>
      <c r="U912" s="123"/>
      <c r="V912" s="123"/>
      <c r="W912" s="123"/>
      <c r="X912" s="123"/>
      <c r="Y912" s="123"/>
      <c r="Z912" s="123"/>
    </row>
    <row r="913" spans="2:26" s="235" customFormat="1" ht="13.8">
      <c r="B913" s="307"/>
      <c r="C913" s="307"/>
      <c r="D913" s="307"/>
      <c r="E913" s="307"/>
      <c r="F913" s="307"/>
      <c r="M913" s="123"/>
      <c r="N913" s="123"/>
      <c r="O913" s="123"/>
      <c r="P913" s="123"/>
      <c r="Q913" s="123"/>
      <c r="R913" s="123"/>
      <c r="S913" s="123"/>
      <c r="T913" s="123"/>
      <c r="U913" s="123"/>
      <c r="V913" s="123"/>
      <c r="W913" s="123"/>
      <c r="X913" s="123"/>
      <c r="Y913" s="123"/>
      <c r="Z913" s="123"/>
    </row>
    <row r="914" spans="2:26" s="235" customFormat="1" ht="13.8">
      <c r="B914" s="307"/>
      <c r="C914" s="307"/>
      <c r="D914" s="307"/>
      <c r="E914" s="307"/>
      <c r="F914" s="307"/>
      <c r="M914" s="123"/>
      <c r="N914" s="123"/>
      <c r="O914" s="123"/>
      <c r="P914" s="123"/>
      <c r="Q914" s="123"/>
      <c r="R914" s="123"/>
      <c r="S914" s="123"/>
      <c r="T914" s="123"/>
      <c r="U914" s="123"/>
      <c r="V914" s="123"/>
      <c r="W914" s="123"/>
      <c r="X914" s="123"/>
      <c r="Y914" s="123"/>
      <c r="Z914" s="123"/>
    </row>
    <row r="915" spans="2:26" s="235" customFormat="1" ht="13.8">
      <c r="B915" s="307"/>
      <c r="C915" s="307"/>
      <c r="D915" s="307"/>
      <c r="E915" s="307"/>
      <c r="F915" s="307"/>
      <c r="M915" s="123"/>
      <c r="N915" s="123"/>
      <c r="O915" s="123"/>
      <c r="P915" s="123"/>
      <c r="Q915" s="123"/>
      <c r="R915" s="123"/>
      <c r="S915" s="123"/>
      <c r="T915" s="123"/>
      <c r="U915" s="123"/>
      <c r="V915" s="123"/>
      <c r="W915" s="123"/>
      <c r="X915" s="123"/>
      <c r="Y915" s="123"/>
      <c r="Z915" s="123"/>
    </row>
    <row r="916" spans="2:26" s="235" customFormat="1" ht="13.8">
      <c r="B916" s="307"/>
      <c r="C916" s="307"/>
      <c r="D916" s="307"/>
      <c r="E916" s="307"/>
      <c r="F916" s="307"/>
      <c r="M916" s="123"/>
      <c r="N916" s="123"/>
      <c r="O916" s="123"/>
      <c r="P916" s="123"/>
      <c r="Q916" s="123"/>
      <c r="R916" s="123"/>
      <c r="S916" s="123"/>
      <c r="T916" s="123"/>
      <c r="U916" s="123"/>
      <c r="V916" s="123"/>
      <c r="W916" s="123"/>
      <c r="X916" s="123"/>
      <c r="Y916" s="123"/>
      <c r="Z916" s="123"/>
    </row>
    <row r="917" spans="2:26" s="235" customFormat="1" ht="13.8">
      <c r="B917" s="307"/>
      <c r="C917" s="307"/>
      <c r="D917" s="307"/>
      <c r="E917" s="307"/>
      <c r="F917" s="307"/>
      <c r="M917" s="123"/>
      <c r="N917" s="123"/>
      <c r="O917" s="123"/>
      <c r="P917" s="123"/>
      <c r="Q917" s="123"/>
      <c r="R917" s="123"/>
      <c r="S917" s="123"/>
      <c r="T917" s="123"/>
      <c r="U917" s="123"/>
      <c r="V917" s="123"/>
      <c r="W917" s="123"/>
      <c r="X917" s="123"/>
      <c r="Y917" s="123"/>
      <c r="Z917" s="123"/>
    </row>
    <row r="918" spans="2:26" s="235" customFormat="1" ht="13.8">
      <c r="B918" s="307"/>
      <c r="C918" s="307"/>
      <c r="D918" s="307"/>
      <c r="E918" s="307"/>
      <c r="F918" s="307"/>
      <c r="M918" s="123"/>
      <c r="N918" s="123"/>
      <c r="O918" s="123"/>
      <c r="P918" s="123"/>
      <c r="Q918" s="123"/>
      <c r="R918" s="123"/>
      <c r="S918" s="123"/>
      <c r="T918" s="123"/>
      <c r="U918" s="123"/>
      <c r="V918" s="123"/>
      <c r="W918" s="123"/>
      <c r="X918" s="123"/>
      <c r="Y918" s="123"/>
      <c r="Z918" s="123"/>
    </row>
    <row r="919" spans="2:26" s="235" customFormat="1" ht="13.8">
      <c r="B919" s="307"/>
      <c r="C919" s="307"/>
      <c r="D919" s="307"/>
      <c r="E919" s="307"/>
      <c r="F919" s="307"/>
      <c r="M919" s="123"/>
      <c r="N919" s="123"/>
      <c r="O919" s="123"/>
      <c r="P919" s="123"/>
      <c r="Q919" s="123"/>
      <c r="R919" s="123"/>
      <c r="S919" s="123"/>
      <c r="T919" s="123"/>
      <c r="U919" s="123"/>
      <c r="V919" s="123"/>
      <c r="W919" s="123"/>
      <c r="X919" s="123"/>
      <c r="Y919" s="123"/>
      <c r="Z919" s="123"/>
    </row>
    <row r="920" spans="2:26" s="235" customFormat="1" ht="13.8">
      <c r="B920" s="307"/>
      <c r="C920" s="307"/>
      <c r="D920" s="307"/>
      <c r="E920" s="307"/>
      <c r="F920" s="307"/>
      <c r="M920" s="123"/>
      <c r="N920" s="123"/>
      <c r="O920" s="123"/>
      <c r="P920" s="123"/>
      <c r="Q920" s="123"/>
      <c r="R920" s="123"/>
      <c r="S920" s="123"/>
      <c r="T920" s="123"/>
      <c r="U920" s="123"/>
      <c r="V920" s="123"/>
      <c r="W920" s="123"/>
      <c r="X920" s="123"/>
      <c r="Y920" s="123"/>
      <c r="Z920" s="123"/>
    </row>
    <row r="921" spans="2:26" s="235" customFormat="1" ht="13.8">
      <c r="B921" s="307"/>
      <c r="C921" s="307"/>
      <c r="D921" s="307"/>
      <c r="E921" s="307"/>
      <c r="F921" s="307"/>
      <c r="M921" s="123"/>
      <c r="N921" s="123"/>
      <c r="O921" s="123"/>
      <c r="P921" s="123"/>
      <c r="Q921" s="123"/>
      <c r="R921" s="123"/>
      <c r="S921" s="123"/>
      <c r="T921" s="123"/>
      <c r="U921" s="123"/>
      <c r="V921" s="123"/>
      <c r="W921" s="123"/>
      <c r="X921" s="123"/>
      <c r="Y921" s="123"/>
      <c r="Z921" s="123"/>
    </row>
    <row r="922" spans="2:26" s="235" customFormat="1" ht="13.8">
      <c r="B922" s="307"/>
      <c r="C922" s="307"/>
      <c r="D922" s="307"/>
      <c r="E922" s="307"/>
      <c r="F922" s="307"/>
      <c r="M922" s="123"/>
      <c r="N922" s="123"/>
      <c r="O922" s="123"/>
      <c r="P922" s="123"/>
      <c r="Q922" s="123"/>
      <c r="R922" s="123"/>
      <c r="S922" s="123"/>
      <c r="T922" s="123"/>
      <c r="U922" s="123"/>
      <c r="V922" s="123"/>
      <c r="W922" s="123"/>
      <c r="X922" s="123"/>
      <c r="Y922" s="123"/>
      <c r="Z922" s="123"/>
    </row>
    <row r="923" spans="2:26" s="235" customFormat="1" ht="13.8">
      <c r="B923" s="307"/>
      <c r="C923" s="307"/>
      <c r="D923" s="307"/>
      <c r="E923" s="307"/>
      <c r="F923" s="307"/>
      <c r="M923" s="123"/>
      <c r="N923" s="123"/>
      <c r="O923" s="123"/>
      <c r="P923" s="123"/>
      <c r="Q923" s="123"/>
      <c r="R923" s="123"/>
      <c r="S923" s="123"/>
      <c r="T923" s="123"/>
      <c r="U923" s="123"/>
      <c r="V923" s="123"/>
      <c r="W923" s="123"/>
      <c r="X923" s="123"/>
      <c r="Y923" s="123"/>
      <c r="Z923" s="123"/>
    </row>
    <row r="924" spans="2:26" s="235" customFormat="1" ht="13.8">
      <c r="B924" s="307"/>
      <c r="C924" s="307"/>
      <c r="D924" s="307"/>
      <c r="E924" s="307"/>
      <c r="F924" s="307"/>
      <c r="M924" s="123"/>
      <c r="N924" s="123"/>
      <c r="O924" s="123"/>
      <c r="P924" s="123"/>
      <c r="Q924" s="123"/>
      <c r="R924" s="123"/>
      <c r="S924" s="123"/>
      <c r="T924" s="123"/>
      <c r="U924" s="123"/>
      <c r="V924" s="123"/>
      <c r="W924" s="123"/>
      <c r="X924" s="123"/>
      <c r="Y924" s="123"/>
      <c r="Z924" s="123"/>
    </row>
    <row r="925" spans="2:26" s="235" customFormat="1" ht="13.8">
      <c r="B925" s="307"/>
      <c r="C925" s="307"/>
      <c r="D925" s="307"/>
      <c r="E925" s="307"/>
      <c r="F925" s="307"/>
      <c r="M925" s="123"/>
      <c r="N925" s="123"/>
      <c r="O925" s="123"/>
      <c r="P925" s="123"/>
      <c r="Q925" s="123"/>
      <c r="R925" s="123"/>
      <c r="S925" s="123"/>
      <c r="T925" s="123"/>
      <c r="U925" s="123"/>
      <c r="V925" s="123"/>
      <c r="W925" s="123"/>
      <c r="X925" s="123"/>
      <c r="Y925" s="123"/>
      <c r="Z925" s="123"/>
    </row>
    <row r="926" spans="2:26" s="235" customFormat="1" ht="13.8">
      <c r="B926" s="307"/>
      <c r="C926" s="307"/>
      <c r="D926" s="307"/>
      <c r="E926" s="307"/>
      <c r="F926" s="307"/>
      <c r="M926" s="123"/>
      <c r="N926" s="123"/>
      <c r="O926" s="123"/>
      <c r="P926" s="123"/>
      <c r="Q926" s="123"/>
      <c r="R926" s="123"/>
      <c r="S926" s="123"/>
      <c r="T926" s="123"/>
      <c r="U926" s="123"/>
      <c r="V926" s="123"/>
      <c r="W926" s="123"/>
      <c r="X926" s="123"/>
      <c r="Y926" s="123"/>
      <c r="Z926" s="123"/>
    </row>
    <row r="927" spans="2:26" s="235" customFormat="1" ht="13.8">
      <c r="B927" s="307"/>
      <c r="C927" s="307"/>
      <c r="D927" s="307"/>
      <c r="E927" s="307"/>
      <c r="F927" s="307"/>
      <c r="M927" s="123"/>
      <c r="N927" s="123"/>
      <c r="O927" s="123"/>
      <c r="P927" s="123"/>
      <c r="Q927" s="123"/>
      <c r="R927" s="123"/>
      <c r="S927" s="123"/>
      <c r="T927" s="123"/>
      <c r="U927" s="123"/>
      <c r="V927" s="123"/>
      <c r="W927" s="123"/>
      <c r="X927" s="123"/>
      <c r="Y927" s="123"/>
      <c r="Z927" s="123"/>
    </row>
    <row r="928" spans="2:26" s="235" customFormat="1" ht="13.8">
      <c r="B928" s="307"/>
      <c r="C928" s="307"/>
      <c r="D928" s="307"/>
      <c r="E928" s="307"/>
      <c r="F928" s="307"/>
      <c r="M928" s="123"/>
      <c r="N928" s="123"/>
      <c r="O928" s="123"/>
      <c r="P928" s="123"/>
      <c r="Q928" s="123"/>
      <c r="R928" s="123"/>
      <c r="S928" s="123"/>
      <c r="T928" s="123"/>
      <c r="U928" s="123"/>
      <c r="V928" s="123"/>
      <c r="W928" s="123"/>
      <c r="X928" s="123"/>
      <c r="Y928" s="123"/>
      <c r="Z928" s="123"/>
    </row>
    <row r="929" spans="2:26" s="235" customFormat="1" ht="13.8">
      <c r="B929" s="307"/>
      <c r="C929" s="307"/>
      <c r="D929" s="307"/>
      <c r="E929" s="307"/>
      <c r="F929" s="307"/>
      <c r="M929" s="123"/>
      <c r="N929" s="123"/>
      <c r="O929" s="123"/>
      <c r="P929" s="123"/>
      <c r="Q929" s="123"/>
      <c r="R929" s="123"/>
      <c r="S929" s="123"/>
      <c r="T929" s="123"/>
      <c r="U929" s="123"/>
      <c r="V929" s="123"/>
      <c r="W929" s="123"/>
      <c r="X929" s="123"/>
      <c r="Y929" s="123"/>
      <c r="Z929" s="123"/>
    </row>
    <row r="930" spans="2:26" s="235" customFormat="1" ht="13.8">
      <c r="B930" s="307"/>
      <c r="C930" s="307"/>
      <c r="D930" s="307"/>
      <c r="E930" s="307"/>
      <c r="F930" s="307"/>
      <c r="M930" s="123"/>
      <c r="N930" s="123"/>
      <c r="O930" s="123"/>
      <c r="P930" s="123"/>
      <c r="Q930" s="123"/>
      <c r="R930" s="123"/>
      <c r="S930" s="123"/>
      <c r="T930" s="123"/>
      <c r="U930" s="123"/>
      <c r="V930" s="123"/>
      <c r="W930" s="123"/>
      <c r="X930" s="123"/>
      <c r="Y930" s="123"/>
      <c r="Z930" s="123"/>
    </row>
    <row r="931" spans="2:26" s="235" customFormat="1" ht="13.8">
      <c r="B931" s="307"/>
      <c r="C931" s="307"/>
      <c r="D931" s="307"/>
      <c r="E931" s="307"/>
      <c r="F931" s="307"/>
      <c r="M931" s="123"/>
      <c r="N931" s="123"/>
      <c r="O931" s="123"/>
      <c r="P931" s="123"/>
      <c r="Q931" s="123"/>
      <c r="R931" s="123"/>
      <c r="S931" s="123"/>
      <c r="T931" s="123"/>
      <c r="U931" s="123"/>
      <c r="V931" s="123"/>
      <c r="W931" s="123"/>
      <c r="X931" s="123"/>
      <c r="Y931" s="123"/>
      <c r="Z931" s="123"/>
    </row>
    <row r="932" spans="2:26" s="235" customFormat="1" ht="13.8">
      <c r="B932" s="307"/>
      <c r="C932" s="307"/>
      <c r="D932" s="307"/>
      <c r="E932" s="307"/>
      <c r="F932" s="307"/>
      <c r="M932" s="123"/>
      <c r="N932" s="123"/>
      <c r="O932" s="123"/>
      <c r="P932" s="123"/>
      <c r="Q932" s="123"/>
      <c r="R932" s="123"/>
      <c r="S932" s="123"/>
      <c r="T932" s="123"/>
      <c r="U932" s="123"/>
      <c r="V932" s="123"/>
      <c r="W932" s="123"/>
      <c r="X932" s="123"/>
      <c r="Y932" s="123"/>
      <c r="Z932" s="123"/>
    </row>
    <row r="933" spans="2:26" s="235" customFormat="1" ht="13.8">
      <c r="B933" s="307"/>
      <c r="C933" s="307"/>
      <c r="D933" s="307"/>
      <c r="E933" s="307"/>
      <c r="F933" s="307"/>
      <c r="M933" s="123"/>
      <c r="N933" s="123"/>
      <c r="O933" s="123"/>
      <c r="P933" s="123"/>
      <c r="Q933" s="123"/>
      <c r="R933" s="123"/>
      <c r="S933" s="123"/>
      <c r="T933" s="123"/>
      <c r="U933" s="123"/>
      <c r="V933" s="123"/>
      <c r="W933" s="123"/>
      <c r="X933" s="123"/>
      <c r="Y933" s="123"/>
      <c r="Z933" s="123"/>
    </row>
    <row r="934" spans="2:26" s="235" customFormat="1" ht="13.8">
      <c r="B934" s="307"/>
      <c r="C934" s="307"/>
      <c r="D934" s="307"/>
      <c r="E934" s="307"/>
      <c r="F934" s="307"/>
      <c r="M934" s="123"/>
      <c r="N934" s="123"/>
      <c r="O934" s="123"/>
      <c r="P934" s="123"/>
      <c r="Q934" s="123"/>
      <c r="R934" s="123"/>
      <c r="S934" s="123"/>
      <c r="T934" s="123"/>
      <c r="U934" s="123"/>
      <c r="V934" s="123"/>
      <c r="W934" s="123"/>
      <c r="X934" s="123"/>
      <c r="Y934" s="123"/>
      <c r="Z934" s="123"/>
    </row>
    <row r="935" spans="2:26" s="235" customFormat="1" ht="13.8">
      <c r="B935" s="307"/>
      <c r="C935" s="307"/>
      <c r="D935" s="307"/>
      <c r="E935" s="307"/>
      <c r="F935" s="307"/>
      <c r="M935" s="123"/>
      <c r="N935" s="123"/>
      <c r="O935" s="123"/>
      <c r="P935" s="123"/>
      <c r="Q935" s="123"/>
      <c r="R935" s="123"/>
      <c r="S935" s="123"/>
      <c r="T935" s="123"/>
      <c r="U935" s="123"/>
      <c r="V935" s="123"/>
      <c r="W935" s="123"/>
      <c r="X935" s="123"/>
      <c r="Y935" s="123"/>
      <c r="Z935" s="123"/>
    </row>
    <row r="936" spans="2:26" s="235" customFormat="1" ht="13.8">
      <c r="B936" s="307"/>
      <c r="C936" s="307"/>
      <c r="D936" s="307"/>
      <c r="E936" s="307"/>
      <c r="F936" s="307"/>
      <c r="M936" s="123"/>
      <c r="N936" s="123"/>
      <c r="O936" s="123"/>
      <c r="P936" s="123"/>
      <c r="Q936" s="123"/>
      <c r="R936" s="123"/>
      <c r="S936" s="123"/>
      <c r="T936" s="123"/>
      <c r="U936" s="123"/>
      <c r="V936" s="123"/>
      <c r="W936" s="123"/>
      <c r="X936" s="123"/>
      <c r="Y936" s="123"/>
      <c r="Z936" s="123"/>
    </row>
    <row r="937" spans="2:26" s="235" customFormat="1" ht="13.8">
      <c r="B937" s="307"/>
      <c r="C937" s="307"/>
      <c r="D937" s="307"/>
      <c r="E937" s="307"/>
      <c r="F937" s="307"/>
      <c r="M937" s="123"/>
      <c r="N937" s="123"/>
      <c r="O937" s="123"/>
      <c r="P937" s="123"/>
      <c r="Q937" s="123"/>
      <c r="R937" s="123"/>
      <c r="S937" s="123"/>
      <c r="T937" s="123"/>
      <c r="U937" s="123"/>
      <c r="V937" s="123"/>
      <c r="W937" s="123"/>
      <c r="X937" s="123"/>
      <c r="Y937" s="123"/>
      <c r="Z937" s="123"/>
    </row>
    <row r="938" spans="2:26" s="235" customFormat="1" ht="13.8">
      <c r="B938" s="307"/>
      <c r="C938" s="307"/>
      <c r="D938" s="307"/>
      <c r="E938" s="307"/>
      <c r="F938" s="307"/>
      <c r="M938" s="123"/>
      <c r="N938" s="123"/>
      <c r="O938" s="123"/>
      <c r="P938" s="123"/>
      <c r="Q938" s="123"/>
      <c r="R938" s="123"/>
      <c r="S938" s="123"/>
      <c r="T938" s="123"/>
      <c r="U938" s="123"/>
      <c r="V938" s="123"/>
      <c r="W938" s="123"/>
      <c r="X938" s="123"/>
      <c r="Y938" s="123"/>
      <c r="Z938" s="123"/>
    </row>
    <row r="939" spans="2:26" s="235" customFormat="1" ht="13.8">
      <c r="B939" s="307"/>
      <c r="C939" s="307"/>
      <c r="D939" s="307"/>
      <c r="E939" s="307"/>
      <c r="F939" s="307"/>
      <c r="M939" s="123"/>
      <c r="N939" s="123"/>
      <c r="O939" s="123"/>
      <c r="P939" s="123"/>
      <c r="Q939" s="123"/>
      <c r="R939" s="123"/>
      <c r="S939" s="123"/>
      <c r="T939" s="123"/>
      <c r="U939" s="123"/>
      <c r="V939" s="123"/>
      <c r="W939" s="123"/>
      <c r="X939" s="123"/>
      <c r="Y939" s="123"/>
      <c r="Z939" s="123"/>
    </row>
    <row r="940" spans="2:26" s="235" customFormat="1" ht="13.8">
      <c r="B940" s="307"/>
      <c r="C940" s="307"/>
      <c r="D940" s="307"/>
      <c r="E940" s="307"/>
      <c r="F940" s="307"/>
      <c r="M940" s="123"/>
      <c r="N940" s="123"/>
      <c r="O940" s="123"/>
      <c r="P940" s="123"/>
      <c r="Q940" s="123"/>
      <c r="R940" s="123"/>
      <c r="S940" s="123"/>
      <c r="T940" s="123"/>
      <c r="U940" s="123"/>
      <c r="V940" s="123"/>
      <c r="W940" s="123"/>
      <c r="X940" s="123"/>
      <c r="Y940" s="123"/>
      <c r="Z940" s="123"/>
    </row>
    <row r="941" spans="2:26" s="235" customFormat="1" ht="13.8">
      <c r="B941" s="307"/>
      <c r="C941" s="307"/>
      <c r="D941" s="307"/>
      <c r="E941" s="307"/>
      <c r="F941" s="307"/>
      <c r="M941" s="123"/>
      <c r="N941" s="123"/>
      <c r="O941" s="123"/>
      <c r="P941" s="123"/>
      <c r="Q941" s="123"/>
      <c r="R941" s="123"/>
      <c r="S941" s="123"/>
      <c r="T941" s="123"/>
      <c r="U941" s="123"/>
      <c r="V941" s="123"/>
      <c r="W941" s="123"/>
      <c r="X941" s="123"/>
      <c r="Y941" s="123"/>
      <c r="Z941" s="123"/>
    </row>
    <row r="942" spans="2:26" s="235" customFormat="1" ht="13.8">
      <c r="B942" s="307"/>
      <c r="C942" s="307"/>
      <c r="D942" s="307"/>
      <c r="E942" s="307"/>
      <c r="F942" s="307"/>
      <c r="M942" s="123"/>
      <c r="N942" s="123"/>
      <c r="O942" s="123"/>
      <c r="P942" s="123"/>
      <c r="Q942" s="123"/>
      <c r="R942" s="123"/>
      <c r="S942" s="123"/>
      <c r="T942" s="123"/>
      <c r="U942" s="123"/>
      <c r="V942" s="123"/>
      <c r="W942" s="123"/>
      <c r="X942" s="123"/>
      <c r="Y942" s="123"/>
      <c r="Z942" s="123"/>
    </row>
    <row r="943" spans="2:26" s="235" customFormat="1" ht="13.8">
      <c r="B943" s="307"/>
      <c r="C943" s="307"/>
      <c r="D943" s="307"/>
      <c r="E943" s="307"/>
      <c r="F943" s="307"/>
      <c r="M943" s="123"/>
      <c r="N943" s="123"/>
      <c r="O943" s="123"/>
      <c r="P943" s="123"/>
      <c r="Q943" s="123"/>
      <c r="R943" s="123"/>
      <c r="S943" s="123"/>
      <c r="T943" s="123"/>
      <c r="U943" s="123"/>
      <c r="V943" s="123"/>
      <c r="W943" s="123"/>
      <c r="X943" s="123"/>
      <c r="Y943" s="123"/>
      <c r="Z943" s="123"/>
    </row>
    <row r="944" spans="2:26" s="235" customFormat="1" ht="13.8">
      <c r="B944" s="307"/>
      <c r="C944" s="307"/>
      <c r="D944" s="307"/>
      <c r="E944" s="307"/>
      <c r="F944" s="307"/>
      <c r="M944" s="123"/>
      <c r="N944" s="123"/>
      <c r="O944" s="123"/>
      <c r="P944" s="123"/>
      <c r="Q944" s="123"/>
      <c r="R944" s="123"/>
      <c r="S944" s="123"/>
      <c r="T944" s="123"/>
      <c r="U944" s="123"/>
      <c r="V944" s="123"/>
      <c r="W944" s="123"/>
      <c r="X944" s="123"/>
      <c r="Y944" s="123"/>
      <c r="Z944" s="123"/>
    </row>
    <row r="945" spans="2:26" s="235" customFormat="1" ht="13.8">
      <c r="B945" s="307"/>
      <c r="C945" s="307"/>
      <c r="D945" s="307"/>
      <c r="E945" s="307"/>
      <c r="F945" s="307"/>
      <c r="M945" s="123"/>
      <c r="N945" s="123"/>
      <c r="O945" s="123"/>
      <c r="P945" s="123"/>
      <c r="Q945" s="123"/>
      <c r="R945" s="123"/>
      <c r="S945" s="123"/>
      <c r="T945" s="123"/>
      <c r="U945" s="123"/>
      <c r="V945" s="123"/>
      <c r="W945" s="123"/>
      <c r="X945" s="123"/>
      <c r="Y945" s="123"/>
      <c r="Z945" s="123"/>
    </row>
    <row r="946" spans="2:26" s="235" customFormat="1" ht="13.8">
      <c r="B946" s="307"/>
      <c r="C946" s="307"/>
      <c r="D946" s="307"/>
      <c r="E946" s="307"/>
      <c r="F946" s="307"/>
      <c r="M946" s="123"/>
      <c r="N946" s="123"/>
      <c r="O946" s="123"/>
      <c r="P946" s="123"/>
      <c r="Q946" s="123"/>
      <c r="R946" s="123"/>
      <c r="S946" s="123"/>
      <c r="T946" s="123"/>
      <c r="U946" s="123"/>
      <c r="V946" s="123"/>
      <c r="W946" s="123"/>
      <c r="X946" s="123"/>
      <c r="Y946" s="123"/>
      <c r="Z946" s="123"/>
    </row>
    <row r="947" spans="2:26" s="235" customFormat="1" ht="13.8">
      <c r="B947" s="307"/>
      <c r="C947" s="307"/>
      <c r="D947" s="307"/>
      <c r="E947" s="307"/>
      <c r="F947" s="307"/>
      <c r="M947" s="123"/>
      <c r="N947" s="123"/>
      <c r="O947" s="123"/>
      <c r="P947" s="123"/>
      <c r="Q947" s="123"/>
      <c r="R947" s="123"/>
      <c r="S947" s="123"/>
      <c r="T947" s="123"/>
      <c r="U947" s="123"/>
      <c r="V947" s="123"/>
      <c r="W947" s="123"/>
      <c r="X947" s="123"/>
      <c r="Y947" s="123"/>
      <c r="Z947" s="123"/>
    </row>
    <row r="948" spans="2:26" s="235" customFormat="1" ht="13.8">
      <c r="B948" s="307"/>
      <c r="C948" s="307"/>
      <c r="D948" s="307"/>
      <c r="E948" s="307"/>
      <c r="F948" s="307"/>
      <c r="M948" s="123"/>
      <c r="N948" s="123"/>
      <c r="O948" s="123"/>
      <c r="P948" s="123"/>
      <c r="Q948" s="123"/>
      <c r="R948" s="123"/>
      <c r="S948" s="123"/>
      <c r="T948" s="123"/>
      <c r="U948" s="123"/>
      <c r="V948" s="123"/>
      <c r="W948" s="123"/>
      <c r="X948" s="123"/>
      <c r="Y948" s="123"/>
      <c r="Z948" s="123"/>
    </row>
    <row r="949" spans="2:26" s="235" customFormat="1" ht="13.8">
      <c r="B949" s="307"/>
      <c r="C949" s="307"/>
      <c r="D949" s="307"/>
      <c r="E949" s="307"/>
      <c r="F949" s="307"/>
      <c r="M949" s="123"/>
      <c r="N949" s="123"/>
      <c r="O949" s="123"/>
      <c r="P949" s="123"/>
      <c r="Q949" s="123"/>
      <c r="R949" s="123"/>
      <c r="S949" s="123"/>
      <c r="T949" s="123"/>
      <c r="U949" s="123"/>
      <c r="V949" s="123"/>
      <c r="W949" s="123"/>
      <c r="X949" s="123"/>
      <c r="Y949" s="123"/>
      <c r="Z949" s="123"/>
    </row>
    <row r="950" spans="2:26" s="235" customFormat="1" ht="13.8">
      <c r="B950" s="307"/>
      <c r="C950" s="307"/>
      <c r="D950" s="307"/>
      <c r="E950" s="307"/>
      <c r="F950" s="307"/>
      <c r="M950" s="123"/>
      <c r="N950" s="123"/>
      <c r="O950" s="123"/>
      <c r="P950" s="123"/>
      <c r="Q950" s="123"/>
      <c r="R950" s="123"/>
      <c r="S950" s="123"/>
      <c r="T950" s="123"/>
      <c r="U950" s="123"/>
      <c r="V950" s="123"/>
      <c r="W950" s="123"/>
      <c r="X950" s="123"/>
      <c r="Y950" s="123"/>
      <c r="Z950" s="123"/>
    </row>
    <row r="951" spans="2:26" s="235" customFormat="1" ht="13.8">
      <c r="B951" s="307"/>
      <c r="C951" s="307"/>
      <c r="D951" s="307"/>
      <c r="E951" s="307"/>
      <c r="F951" s="307"/>
      <c r="M951" s="123"/>
      <c r="N951" s="123"/>
      <c r="O951" s="123"/>
      <c r="P951" s="123"/>
      <c r="Q951" s="123"/>
      <c r="R951" s="123"/>
      <c r="S951" s="123"/>
      <c r="T951" s="123"/>
      <c r="U951" s="123"/>
      <c r="V951" s="123"/>
      <c r="W951" s="123"/>
      <c r="X951" s="123"/>
      <c r="Y951" s="123"/>
      <c r="Z951" s="123"/>
    </row>
    <row r="952" spans="2:26" s="235" customFormat="1" ht="13.8">
      <c r="B952" s="307"/>
      <c r="C952" s="307"/>
      <c r="D952" s="307"/>
      <c r="E952" s="307"/>
      <c r="F952" s="307"/>
      <c r="M952" s="123"/>
      <c r="N952" s="123"/>
      <c r="O952" s="123"/>
      <c r="P952" s="123"/>
      <c r="Q952" s="123"/>
      <c r="R952" s="123"/>
      <c r="S952" s="123"/>
      <c r="T952" s="123"/>
      <c r="U952" s="123"/>
      <c r="V952" s="123"/>
      <c r="W952" s="123"/>
      <c r="X952" s="123"/>
      <c r="Y952" s="123"/>
      <c r="Z952" s="123"/>
    </row>
    <row r="953" spans="2:26" s="235" customFormat="1" ht="13.8">
      <c r="B953" s="307"/>
      <c r="C953" s="307"/>
      <c r="D953" s="307"/>
      <c r="E953" s="307"/>
      <c r="F953" s="307"/>
      <c r="M953" s="123"/>
      <c r="N953" s="123"/>
      <c r="O953" s="123"/>
      <c r="P953" s="123"/>
      <c r="Q953" s="123"/>
      <c r="R953" s="123"/>
      <c r="S953" s="123"/>
      <c r="T953" s="123"/>
      <c r="U953" s="123"/>
      <c r="V953" s="123"/>
      <c r="W953" s="123"/>
      <c r="X953" s="123"/>
      <c r="Y953" s="123"/>
      <c r="Z953" s="123"/>
    </row>
    <row r="954" spans="2:26" s="235" customFormat="1" ht="13.8">
      <c r="B954" s="307"/>
      <c r="C954" s="307"/>
      <c r="D954" s="307"/>
      <c r="E954" s="307"/>
      <c r="F954" s="307"/>
      <c r="M954" s="123"/>
      <c r="N954" s="123"/>
      <c r="O954" s="123"/>
      <c r="P954" s="123"/>
      <c r="Q954" s="123"/>
      <c r="R954" s="123"/>
      <c r="S954" s="123"/>
      <c r="T954" s="123"/>
      <c r="U954" s="123"/>
      <c r="V954" s="123"/>
      <c r="W954" s="123"/>
      <c r="X954" s="123"/>
      <c r="Y954" s="123"/>
      <c r="Z954" s="123"/>
    </row>
    <row r="955" spans="2:26" s="235" customFormat="1" ht="13.8">
      <c r="B955" s="307"/>
      <c r="C955" s="307"/>
      <c r="D955" s="307"/>
      <c r="E955" s="307"/>
      <c r="F955" s="307"/>
      <c r="M955" s="123"/>
      <c r="N955" s="123"/>
      <c r="O955" s="123"/>
      <c r="P955" s="123"/>
      <c r="Q955" s="123"/>
      <c r="R955" s="123"/>
      <c r="S955" s="123"/>
      <c r="T955" s="123"/>
      <c r="U955" s="123"/>
      <c r="V955" s="123"/>
      <c r="W955" s="123"/>
      <c r="X955" s="123"/>
      <c r="Y955" s="123"/>
      <c r="Z955" s="123"/>
    </row>
    <row r="956" spans="2:26" s="235" customFormat="1" ht="13.8">
      <c r="B956" s="307"/>
      <c r="C956" s="307"/>
      <c r="D956" s="307"/>
      <c r="E956" s="307"/>
      <c r="F956" s="307"/>
      <c r="M956" s="123"/>
      <c r="N956" s="123"/>
      <c r="O956" s="123"/>
      <c r="P956" s="123"/>
      <c r="Q956" s="123"/>
      <c r="R956" s="123"/>
      <c r="S956" s="123"/>
      <c r="T956" s="123"/>
      <c r="U956" s="123"/>
      <c r="V956" s="123"/>
      <c r="W956" s="123"/>
      <c r="X956" s="123"/>
      <c r="Y956" s="123"/>
      <c r="Z956" s="123"/>
    </row>
    <row r="957" spans="2:26" s="235" customFormat="1" ht="13.8">
      <c r="B957" s="307"/>
      <c r="C957" s="307"/>
      <c r="D957" s="307"/>
      <c r="E957" s="307"/>
      <c r="F957" s="307"/>
      <c r="M957" s="123"/>
      <c r="N957" s="123"/>
      <c r="O957" s="123"/>
      <c r="P957" s="123"/>
      <c r="Q957" s="123"/>
      <c r="R957" s="123"/>
      <c r="S957" s="123"/>
      <c r="T957" s="123"/>
      <c r="U957" s="123"/>
      <c r="V957" s="123"/>
      <c r="W957" s="123"/>
      <c r="X957" s="123"/>
      <c r="Y957" s="123"/>
      <c r="Z957" s="123"/>
    </row>
    <row r="958" spans="2:26" s="235" customFormat="1" ht="13.8">
      <c r="B958" s="307"/>
      <c r="C958" s="307"/>
      <c r="D958" s="307"/>
      <c r="E958" s="307"/>
      <c r="F958" s="307"/>
      <c r="M958" s="123"/>
      <c r="N958" s="123"/>
      <c r="O958" s="123"/>
      <c r="P958" s="123"/>
      <c r="Q958" s="123"/>
      <c r="R958" s="123"/>
      <c r="S958" s="123"/>
      <c r="T958" s="123"/>
      <c r="U958" s="123"/>
      <c r="V958" s="123"/>
      <c r="W958" s="123"/>
      <c r="X958" s="123"/>
      <c r="Y958" s="123"/>
      <c r="Z958" s="123"/>
    </row>
    <row r="959" spans="2:26" s="235" customFormat="1" ht="13.8">
      <c r="B959" s="307"/>
      <c r="C959" s="307"/>
      <c r="D959" s="307"/>
      <c r="E959" s="307"/>
      <c r="F959" s="307"/>
      <c r="M959" s="123"/>
      <c r="N959" s="123"/>
      <c r="O959" s="123"/>
      <c r="P959" s="123"/>
      <c r="Q959" s="123"/>
      <c r="R959" s="123"/>
      <c r="S959" s="123"/>
      <c r="T959" s="123"/>
      <c r="U959" s="123"/>
      <c r="V959" s="123"/>
      <c r="W959" s="123"/>
      <c r="X959" s="123"/>
      <c r="Y959" s="123"/>
      <c r="Z959" s="123"/>
    </row>
    <row r="960" spans="2:26" s="235" customFormat="1" ht="13.8">
      <c r="B960" s="307"/>
      <c r="C960" s="307"/>
      <c r="D960" s="307"/>
      <c r="E960" s="307"/>
      <c r="F960" s="307"/>
      <c r="M960" s="123"/>
      <c r="N960" s="123"/>
      <c r="O960" s="123"/>
      <c r="P960" s="123"/>
      <c r="Q960" s="123"/>
      <c r="R960" s="123"/>
      <c r="S960" s="123"/>
      <c r="T960" s="123"/>
      <c r="U960" s="123"/>
      <c r="V960" s="123"/>
      <c r="W960" s="123"/>
      <c r="X960" s="123"/>
      <c r="Y960" s="123"/>
      <c r="Z960" s="123"/>
    </row>
    <row r="961" spans="2:26" s="235" customFormat="1" ht="13.8">
      <c r="B961" s="307"/>
      <c r="C961" s="307"/>
      <c r="D961" s="307"/>
      <c r="E961" s="307"/>
      <c r="F961" s="307"/>
      <c r="M961" s="123"/>
      <c r="N961" s="123"/>
      <c r="O961" s="123"/>
      <c r="P961" s="123"/>
      <c r="Q961" s="123"/>
      <c r="R961" s="123"/>
      <c r="S961" s="123"/>
      <c r="T961" s="123"/>
      <c r="U961" s="123"/>
      <c r="V961" s="123"/>
      <c r="W961" s="123"/>
      <c r="X961" s="123"/>
      <c r="Y961" s="123"/>
      <c r="Z961" s="123"/>
    </row>
    <row r="962" spans="2:26" s="235" customFormat="1" ht="13.8">
      <c r="B962" s="307"/>
      <c r="C962" s="307"/>
      <c r="D962" s="307"/>
      <c r="E962" s="307"/>
      <c r="F962" s="307"/>
      <c r="M962" s="123"/>
      <c r="N962" s="123"/>
      <c r="O962" s="123"/>
      <c r="P962" s="123"/>
      <c r="Q962" s="123"/>
      <c r="R962" s="123"/>
      <c r="S962" s="123"/>
      <c r="T962" s="123"/>
      <c r="U962" s="123"/>
      <c r="V962" s="123"/>
      <c r="W962" s="123"/>
      <c r="X962" s="123"/>
      <c r="Y962" s="123"/>
      <c r="Z962" s="123"/>
    </row>
    <row r="963" spans="2:26" s="235" customFormat="1" ht="13.8">
      <c r="B963" s="307"/>
      <c r="C963" s="307"/>
      <c r="D963" s="307"/>
      <c r="E963" s="307"/>
      <c r="F963" s="307"/>
      <c r="M963" s="123"/>
      <c r="N963" s="123"/>
      <c r="O963" s="123"/>
      <c r="P963" s="123"/>
      <c r="Q963" s="123"/>
      <c r="R963" s="123"/>
      <c r="S963" s="123"/>
      <c r="T963" s="123"/>
      <c r="U963" s="123"/>
      <c r="V963" s="123"/>
      <c r="W963" s="123"/>
      <c r="X963" s="123"/>
      <c r="Y963" s="123"/>
      <c r="Z963" s="123"/>
    </row>
    <row r="964" spans="2:26" s="235" customFormat="1" ht="13.8">
      <c r="B964" s="307"/>
      <c r="C964" s="307"/>
      <c r="D964" s="307"/>
      <c r="E964" s="307"/>
      <c r="F964" s="307"/>
      <c r="M964" s="123"/>
      <c r="N964" s="123"/>
      <c r="O964" s="123"/>
      <c r="P964" s="123"/>
      <c r="Q964" s="123"/>
      <c r="R964" s="123"/>
      <c r="S964" s="123"/>
      <c r="T964" s="123"/>
      <c r="U964" s="123"/>
      <c r="V964" s="123"/>
      <c r="W964" s="123"/>
      <c r="X964" s="123"/>
      <c r="Y964" s="123"/>
      <c r="Z964" s="123"/>
    </row>
    <row r="965" spans="2:26" s="235" customFormat="1" ht="13.8">
      <c r="B965" s="307"/>
      <c r="C965" s="307"/>
      <c r="D965" s="307"/>
      <c r="E965" s="307"/>
      <c r="F965" s="307"/>
      <c r="M965" s="123"/>
      <c r="N965" s="123"/>
      <c r="O965" s="123"/>
      <c r="P965" s="123"/>
      <c r="Q965" s="123"/>
      <c r="R965" s="123"/>
      <c r="S965" s="123"/>
      <c r="T965" s="123"/>
      <c r="U965" s="123"/>
      <c r="V965" s="123"/>
      <c r="W965" s="123"/>
      <c r="X965" s="123"/>
      <c r="Y965" s="123"/>
      <c r="Z965" s="123"/>
    </row>
    <row r="966" spans="2:26" s="235" customFormat="1" ht="13.8">
      <c r="B966" s="307"/>
      <c r="C966" s="307"/>
      <c r="D966" s="307"/>
      <c r="E966" s="307"/>
      <c r="F966" s="307"/>
      <c r="M966" s="123"/>
      <c r="N966" s="123"/>
      <c r="O966" s="123"/>
      <c r="P966" s="123"/>
      <c r="Q966" s="123"/>
      <c r="R966" s="123"/>
      <c r="S966" s="123"/>
      <c r="T966" s="123"/>
      <c r="U966" s="123"/>
      <c r="V966" s="123"/>
      <c r="W966" s="123"/>
      <c r="X966" s="123"/>
      <c r="Y966" s="123"/>
      <c r="Z966" s="123"/>
    </row>
    <row r="967" spans="2:26" s="235" customFormat="1" ht="13.8">
      <c r="B967" s="307"/>
      <c r="C967" s="307"/>
      <c r="D967" s="307"/>
      <c r="E967" s="307"/>
      <c r="F967" s="307"/>
      <c r="M967" s="123"/>
      <c r="N967" s="123"/>
      <c r="O967" s="123"/>
      <c r="P967" s="123"/>
      <c r="Q967" s="123"/>
      <c r="R967" s="123"/>
      <c r="S967" s="123"/>
      <c r="T967" s="123"/>
      <c r="U967" s="123"/>
      <c r="V967" s="123"/>
      <c r="W967" s="123"/>
      <c r="X967" s="123"/>
      <c r="Y967" s="123"/>
      <c r="Z967" s="123"/>
    </row>
    <row r="968" spans="2:26" s="235" customFormat="1" ht="13.8">
      <c r="B968" s="307"/>
      <c r="C968" s="307"/>
      <c r="D968" s="307"/>
      <c r="E968" s="307"/>
      <c r="F968" s="307"/>
      <c r="M968" s="123"/>
      <c r="N968" s="123"/>
      <c r="O968" s="123"/>
      <c r="P968" s="123"/>
      <c r="Q968" s="123"/>
      <c r="R968" s="123"/>
      <c r="S968" s="123"/>
      <c r="T968" s="123"/>
      <c r="U968" s="123"/>
      <c r="V968" s="123"/>
      <c r="W968" s="123"/>
      <c r="X968" s="123"/>
      <c r="Y968" s="123"/>
      <c r="Z968" s="123"/>
    </row>
    <row r="969" spans="2:26" s="235" customFormat="1" ht="13.8">
      <c r="B969" s="307"/>
      <c r="C969" s="307"/>
      <c r="D969" s="307"/>
      <c r="E969" s="307"/>
      <c r="F969" s="307"/>
      <c r="M969" s="123"/>
      <c r="N969" s="123"/>
      <c r="O969" s="123"/>
      <c r="P969" s="123"/>
      <c r="Q969" s="123"/>
      <c r="R969" s="123"/>
      <c r="S969" s="123"/>
      <c r="T969" s="123"/>
      <c r="U969" s="123"/>
      <c r="V969" s="123"/>
      <c r="W969" s="123"/>
      <c r="X969" s="123"/>
      <c r="Y969" s="123"/>
      <c r="Z969" s="123"/>
    </row>
    <row r="970" spans="2:26" s="235" customFormat="1" ht="13.8">
      <c r="B970" s="307"/>
      <c r="C970" s="307"/>
      <c r="D970" s="307"/>
      <c r="E970" s="307"/>
      <c r="F970" s="307"/>
      <c r="M970" s="123"/>
      <c r="N970" s="123"/>
      <c r="O970" s="123"/>
      <c r="P970" s="123"/>
      <c r="Q970" s="123"/>
      <c r="R970" s="123"/>
      <c r="S970" s="123"/>
      <c r="T970" s="123"/>
      <c r="U970" s="123"/>
      <c r="V970" s="123"/>
      <c r="W970" s="123"/>
      <c r="X970" s="123"/>
      <c r="Y970" s="123"/>
      <c r="Z970" s="123"/>
    </row>
    <row r="971" spans="2:26" s="235" customFormat="1" ht="13.8">
      <c r="B971" s="307"/>
      <c r="C971" s="307"/>
      <c r="D971" s="307"/>
      <c r="E971" s="307"/>
      <c r="F971" s="307"/>
      <c r="M971" s="123"/>
      <c r="N971" s="123"/>
      <c r="O971" s="123"/>
      <c r="P971" s="123"/>
      <c r="Q971" s="123"/>
      <c r="R971" s="123"/>
      <c r="S971" s="123"/>
      <c r="T971" s="123"/>
      <c r="U971" s="123"/>
      <c r="V971" s="123"/>
      <c r="W971" s="123"/>
      <c r="X971" s="123"/>
      <c r="Y971" s="123"/>
      <c r="Z971" s="123"/>
    </row>
    <row r="972" spans="2:26" s="235" customFormat="1" ht="13.8">
      <c r="B972" s="307"/>
      <c r="C972" s="307"/>
      <c r="D972" s="307"/>
      <c r="E972" s="307"/>
      <c r="F972" s="307"/>
      <c r="M972" s="123"/>
      <c r="N972" s="123"/>
      <c r="O972" s="123"/>
      <c r="P972" s="123"/>
      <c r="Q972" s="123"/>
      <c r="R972" s="123"/>
      <c r="S972" s="123"/>
      <c r="T972" s="123"/>
      <c r="U972" s="123"/>
      <c r="V972" s="123"/>
      <c r="W972" s="123"/>
      <c r="X972" s="123"/>
      <c r="Y972" s="123"/>
      <c r="Z972" s="123"/>
    </row>
    <row r="973" spans="2:26" s="235" customFormat="1" ht="13.8">
      <c r="B973" s="307"/>
      <c r="C973" s="307"/>
      <c r="D973" s="307"/>
      <c r="E973" s="307"/>
      <c r="F973" s="307"/>
      <c r="M973" s="123"/>
      <c r="N973" s="123"/>
      <c r="O973" s="123"/>
      <c r="P973" s="123"/>
      <c r="Q973" s="123"/>
      <c r="R973" s="123"/>
      <c r="S973" s="123"/>
      <c r="T973" s="123"/>
      <c r="U973" s="123"/>
      <c r="V973" s="123"/>
      <c r="W973" s="123"/>
      <c r="X973" s="123"/>
      <c r="Y973" s="123"/>
      <c r="Z973" s="123"/>
    </row>
    <row r="974" spans="2:26" s="235" customFormat="1" ht="13.8">
      <c r="B974" s="307"/>
      <c r="C974" s="307"/>
      <c r="D974" s="307"/>
      <c r="E974" s="307"/>
      <c r="F974" s="307"/>
      <c r="M974" s="123"/>
      <c r="N974" s="123"/>
      <c r="O974" s="123"/>
      <c r="P974" s="123"/>
      <c r="Q974" s="123"/>
      <c r="R974" s="123"/>
      <c r="S974" s="123"/>
      <c r="T974" s="123"/>
      <c r="U974" s="123"/>
      <c r="V974" s="123"/>
      <c r="W974" s="123"/>
      <c r="X974" s="123"/>
      <c r="Y974" s="123"/>
      <c r="Z974" s="123"/>
    </row>
    <row r="975" spans="2:26" s="235" customFormat="1" ht="13.8">
      <c r="B975" s="307"/>
      <c r="C975" s="307"/>
      <c r="D975" s="307"/>
      <c r="E975" s="307"/>
      <c r="F975" s="307"/>
      <c r="M975" s="123"/>
      <c r="N975" s="123"/>
      <c r="O975" s="123"/>
      <c r="P975" s="123"/>
      <c r="Q975" s="123"/>
      <c r="R975" s="123"/>
      <c r="S975" s="123"/>
      <c r="T975" s="123"/>
      <c r="U975" s="123"/>
      <c r="V975" s="123"/>
      <c r="W975" s="123"/>
      <c r="X975" s="123"/>
      <c r="Y975" s="123"/>
      <c r="Z975" s="123"/>
    </row>
    <row r="976" spans="2:26" s="235" customFormat="1" ht="13.8">
      <c r="B976" s="307"/>
      <c r="C976" s="307"/>
      <c r="D976" s="307"/>
      <c r="E976" s="307"/>
      <c r="F976" s="307"/>
      <c r="M976" s="123"/>
      <c r="N976" s="123"/>
      <c r="O976" s="123"/>
      <c r="P976" s="123"/>
      <c r="Q976" s="123"/>
      <c r="R976" s="123"/>
      <c r="S976" s="123"/>
      <c r="T976" s="123"/>
      <c r="U976" s="123"/>
      <c r="V976" s="123"/>
      <c r="W976" s="123"/>
      <c r="X976" s="123"/>
      <c r="Y976" s="123"/>
      <c r="Z976" s="123"/>
    </row>
    <row r="977" spans="2:26" s="235" customFormat="1" ht="13.8">
      <c r="B977" s="307"/>
      <c r="C977" s="307"/>
      <c r="D977" s="307"/>
      <c r="E977" s="307"/>
      <c r="F977" s="307"/>
      <c r="M977" s="123"/>
      <c r="N977" s="123"/>
      <c r="O977" s="123"/>
      <c r="P977" s="123"/>
      <c r="Q977" s="123"/>
      <c r="R977" s="123"/>
      <c r="S977" s="123"/>
      <c r="T977" s="123"/>
      <c r="U977" s="123"/>
      <c r="V977" s="123"/>
      <c r="W977" s="123"/>
      <c r="X977" s="123"/>
      <c r="Y977" s="123"/>
      <c r="Z977" s="123"/>
    </row>
    <row r="978" spans="2:26" s="235" customFormat="1" ht="13.8">
      <c r="B978" s="307"/>
      <c r="C978" s="307"/>
      <c r="D978" s="307"/>
      <c r="E978" s="307"/>
      <c r="F978" s="307"/>
      <c r="M978" s="123"/>
      <c r="N978" s="123"/>
      <c r="O978" s="123"/>
      <c r="P978" s="123"/>
      <c r="Q978" s="123"/>
      <c r="R978" s="123"/>
      <c r="S978" s="123"/>
      <c r="T978" s="123"/>
      <c r="U978" s="123"/>
      <c r="V978" s="123"/>
      <c r="W978" s="123"/>
      <c r="X978" s="123"/>
      <c r="Y978" s="123"/>
      <c r="Z978" s="123"/>
    </row>
    <row r="979" spans="2:26" s="235" customFormat="1" ht="13.8">
      <c r="B979" s="307"/>
      <c r="C979" s="307"/>
      <c r="D979" s="307"/>
      <c r="E979" s="307"/>
      <c r="F979" s="307"/>
      <c r="M979" s="123"/>
      <c r="N979" s="123"/>
      <c r="O979" s="123"/>
      <c r="P979" s="123"/>
      <c r="Q979" s="123"/>
      <c r="R979" s="123"/>
      <c r="S979" s="123"/>
      <c r="T979" s="123"/>
      <c r="U979" s="123"/>
      <c r="V979" s="123"/>
      <c r="W979" s="123"/>
      <c r="X979" s="123"/>
      <c r="Y979" s="123"/>
      <c r="Z979" s="123"/>
    </row>
    <row r="980" spans="2:26" s="235" customFormat="1" ht="13.8">
      <c r="B980" s="307"/>
      <c r="C980" s="307"/>
      <c r="D980" s="307"/>
      <c r="E980" s="307"/>
      <c r="F980" s="307"/>
      <c r="M980" s="123"/>
      <c r="N980" s="123"/>
      <c r="O980" s="123"/>
      <c r="P980" s="123"/>
      <c r="Q980" s="123"/>
      <c r="R980" s="123"/>
      <c r="S980" s="123"/>
      <c r="T980" s="123"/>
      <c r="U980" s="123"/>
      <c r="V980" s="123"/>
      <c r="W980" s="123"/>
      <c r="X980" s="123"/>
      <c r="Y980" s="123"/>
      <c r="Z980" s="123"/>
    </row>
    <row r="981" spans="2:26" s="235" customFormat="1" ht="13.8">
      <c r="B981" s="307"/>
      <c r="C981" s="307"/>
      <c r="D981" s="307"/>
      <c r="E981" s="307"/>
      <c r="F981" s="307"/>
      <c r="M981" s="123"/>
      <c r="N981" s="123"/>
      <c r="O981" s="123"/>
      <c r="P981" s="123"/>
      <c r="Q981" s="123"/>
      <c r="R981" s="123"/>
      <c r="S981" s="123"/>
      <c r="T981" s="123"/>
      <c r="U981" s="123"/>
      <c r="V981" s="123"/>
      <c r="W981" s="123"/>
      <c r="X981" s="123"/>
      <c r="Y981" s="123"/>
      <c r="Z981" s="123"/>
    </row>
    <row r="982" spans="2:26" s="235" customFormat="1" ht="13.8">
      <c r="B982" s="307"/>
      <c r="C982" s="307"/>
      <c r="D982" s="307"/>
      <c r="E982" s="307"/>
      <c r="F982" s="307"/>
      <c r="M982" s="123"/>
      <c r="N982" s="123"/>
      <c r="O982" s="123"/>
      <c r="P982" s="123"/>
      <c r="Q982" s="123"/>
      <c r="R982" s="123"/>
      <c r="S982" s="123"/>
      <c r="T982" s="123"/>
      <c r="U982" s="123"/>
      <c r="V982" s="123"/>
      <c r="W982" s="123"/>
      <c r="X982" s="123"/>
      <c r="Y982" s="123"/>
      <c r="Z982" s="123"/>
    </row>
    <row r="983" spans="2:26" s="235" customFormat="1" ht="13.8">
      <c r="B983" s="307"/>
      <c r="C983" s="307"/>
      <c r="D983" s="307"/>
      <c r="E983" s="307"/>
      <c r="F983" s="307"/>
      <c r="M983" s="123"/>
      <c r="N983" s="123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  <c r="Y983" s="123"/>
      <c r="Z983" s="123"/>
    </row>
    <row r="984" spans="2:26" s="235" customFormat="1" ht="13.8">
      <c r="B984" s="307"/>
      <c r="C984" s="307"/>
      <c r="D984" s="307"/>
      <c r="E984" s="307"/>
      <c r="F984" s="307"/>
      <c r="M984" s="123"/>
      <c r="N984" s="123"/>
      <c r="O984" s="123"/>
      <c r="P984" s="123"/>
      <c r="Q984" s="123"/>
      <c r="R984" s="123"/>
      <c r="S984" s="123"/>
      <c r="T984" s="123"/>
      <c r="U984" s="123"/>
      <c r="V984" s="123"/>
      <c r="W984" s="123"/>
      <c r="X984" s="123"/>
      <c r="Y984" s="123"/>
      <c r="Z984" s="123"/>
    </row>
    <row r="985" spans="2:26" s="235" customFormat="1" ht="13.8">
      <c r="B985" s="307"/>
      <c r="C985" s="307"/>
      <c r="D985" s="307"/>
      <c r="E985" s="307"/>
      <c r="F985" s="307"/>
      <c r="M985" s="123"/>
      <c r="N985" s="123"/>
      <c r="O985" s="123"/>
      <c r="P985" s="123"/>
      <c r="Q985" s="123"/>
      <c r="R985" s="123"/>
      <c r="S985" s="123"/>
      <c r="T985" s="123"/>
      <c r="U985" s="123"/>
      <c r="V985" s="123"/>
      <c r="W985" s="123"/>
      <c r="X985" s="123"/>
      <c r="Y985" s="123"/>
      <c r="Z985" s="123"/>
    </row>
    <row r="986" spans="2:26" s="235" customFormat="1" ht="13.8">
      <c r="B986" s="307"/>
      <c r="C986" s="307"/>
      <c r="D986" s="307"/>
      <c r="E986" s="307"/>
      <c r="F986" s="307"/>
      <c r="M986" s="123"/>
      <c r="N986" s="123"/>
      <c r="O986" s="123"/>
      <c r="P986" s="123"/>
      <c r="Q986" s="123"/>
      <c r="R986" s="123"/>
      <c r="S986" s="123"/>
      <c r="T986" s="123"/>
      <c r="U986" s="123"/>
      <c r="V986" s="123"/>
      <c r="W986" s="123"/>
      <c r="X986" s="123"/>
      <c r="Y986" s="123"/>
      <c r="Z986" s="123"/>
    </row>
    <row r="987" spans="2:26" s="235" customFormat="1" ht="13.8">
      <c r="B987" s="307"/>
      <c r="C987" s="307"/>
      <c r="D987" s="307"/>
      <c r="E987" s="307"/>
      <c r="F987" s="307"/>
      <c r="M987" s="123"/>
      <c r="N987" s="123"/>
      <c r="O987" s="123"/>
      <c r="P987" s="123"/>
      <c r="Q987" s="123"/>
      <c r="R987" s="123"/>
      <c r="S987" s="123"/>
      <c r="T987" s="123"/>
      <c r="U987" s="123"/>
      <c r="V987" s="123"/>
      <c r="W987" s="123"/>
      <c r="X987" s="123"/>
      <c r="Y987" s="123"/>
      <c r="Z987" s="123"/>
    </row>
    <row r="988" spans="2:26" s="235" customFormat="1" ht="13.8">
      <c r="B988" s="307"/>
      <c r="C988" s="307"/>
      <c r="D988" s="307"/>
      <c r="E988" s="307"/>
      <c r="F988" s="307"/>
      <c r="M988" s="123"/>
      <c r="N988" s="123"/>
      <c r="O988" s="123"/>
      <c r="P988" s="123"/>
      <c r="Q988" s="123"/>
      <c r="R988" s="123"/>
      <c r="S988" s="123"/>
      <c r="T988" s="123"/>
      <c r="U988" s="123"/>
      <c r="V988" s="123"/>
      <c r="W988" s="123"/>
      <c r="X988" s="123"/>
      <c r="Y988" s="123"/>
      <c r="Z988" s="123"/>
    </row>
    <row r="989" spans="2:26" s="235" customFormat="1" ht="13.8">
      <c r="B989" s="307"/>
      <c r="C989" s="307"/>
      <c r="D989" s="307"/>
      <c r="E989" s="307"/>
      <c r="F989" s="307"/>
      <c r="M989" s="123"/>
      <c r="N989" s="123"/>
      <c r="O989" s="123"/>
      <c r="P989" s="123"/>
      <c r="Q989" s="123"/>
      <c r="R989" s="123"/>
      <c r="S989" s="123"/>
      <c r="T989" s="123"/>
      <c r="U989" s="123"/>
      <c r="V989" s="123"/>
      <c r="W989" s="123"/>
      <c r="X989" s="123"/>
      <c r="Y989" s="123"/>
      <c r="Z989" s="123"/>
    </row>
    <row r="990" spans="2:26" s="235" customFormat="1" ht="13.8">
      <c r="B990" s="307"/>
      <c r="C990" s="307"/>
      <c r="D990" s="307"/>
      <c r="E990" s="307"/>
      <c r="F990" s="307"/>
      <c r="M990" s="123"/>
      <c r="N990" s="123"/>
      <c r="O990" s="123"/>
      <c r="P990" s="123"/>
      <c r="Q990" s="123"/>
      <c r="R990" s="123"/>
      <c r="S990" s="123"/>
      <c r="T990" s="123"/>
      <c r="U990" s="123"/>
      <c r="V990" s="123"/>
      <c r="W990" s="123"/>
      <c r="X990" s="123"/>
      <c r="Y990" s="123"/>
      <c r="Z990" s="123"/>
    </row>
    <row r="991" spans="2:26" s="235" customFormat="1" ht="13.8">
      <c r="B991" s="307"/>
      <c r="C991" s="307"/>
      <c r="D991" s="307"/>
      <c r="E991" s="307"/>
      <c r="F991" s="307"/>
      <c r="M991" s="123"/>
      <c r="N991" s="123"/>
      <c r="O991" s="123"/>
      <c r="P991" s="123"/>
      <c r="Q991" s="123"/>
      <c r="R991" s="123"/>
      <c r="S991" s="123"/>
      <c r="T991" s="123"/>
      <c r="U991" s="123"/>
      <c r="V991" s="123"/>
      <c r="W991" s="123"/>
      <c r="X991" s="123"/>
      <c r="Y991" s="123"/>
      <c r="Z991" s="123"/>
    </row>
  </sheetData>
  <mergeCells count="1">
    <mergeCell ref="A1:F1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G999"/>
  <sheetViews>
    <sheetView workbookViewId="0">
      <selection activeCell="B3" sqref="B3"/>
    </sheetView>
  </sheetViews>
  <sheetFormatPr defaultColWidth="15.59765625" defaultRowHeight="15" customHeight="1"/>
  <cols>
    <col min="1" max="1" width="28.69921875" style="123" customWidth="1"/>
    <col min="2" max="2" width="12.5" style="123" customWidth="1"/>
    <col min="3" max="3" width="16.5" style="123" customWidth="1"/>
    <col min="4" max="6" width="12.5" style="123" customWidth="1"/>
    <col min="7" max="15" width="8" style="123" customWidth="1"/>
    <col min="16" max="24" width="15.3984375" style="123" customWidth="1"/>
    <col min="25" max="16384" width="15.59765625" style="123"/>
  </cols>
  <sheetData>
    <row r="1" spans="1:7" s="283" customFormat="1" ht="18.75" customHeight="1">
      <c r="A1" s="821" t="s">
        <v>371</v>
      </c>
      <c r="B1" s="822"/>
      <c r="C1" s="822"/>
      <c r="D1" s="822"/>
      <c r="E1" s="822"/>
      <c r="F1" s="822"/>
      <c r="G1" s="135"/>
    </row>
    <row r="2" spans="1:7" s="283" customFormat="1" ht="14.25" customHeight="1">
      <c r="A2" s="467" t="s">
        <v>357</v>
      </c>
      <c r="B2" s="468">
        <v>0.28000000000000003</v>
      </c>
      <c r="C2" s="284"/>
      <c r="D2" s="284"/>
      <c r="E2" s="284"/>
      <c r="F2" s="284"/>
      <c r="G2" s="284"/>
    </row>
    <row r="3" spans="1:7" s="283" customFormat="1" ht="14.25" customHeight="1">
      <c r="A3" s="469" t="s">
        <v>372</v>
      </c>
      <c r="B3" s="470">
        <v>0.2</v>
      </c>
      <c r="C3" s="284"/>
      <c r="D3" s="284"/>
      <c r="E3" s="284"/>
      <c r="F3" s="284"/>
      <c r="G3" s="284"/>
    </row>
    <row r="4" spans="1:7" ht="22.5" customHeight="1">
      <c r="A4" s="811" t="s">
        <v>373</v>
      </c>
      <c r="B4" s="809"/>
      <c r="C4" s="809"/>
      <c r="D4" s="809"/>
      <c r="E4" s="809"/>
      <c r="F4" s="809"/>
      <c r="G4" s="128"/>
    </row>
    <row r="5" spans="1:7" ht="13.5" customHeight="1" thickBot="1">
      <c r="A5" s="138" t="s">
        <v>217</v>
      </c>
      <c r="B5" s="127">
        <v>2024</v>
      </c>
      <c r="C5" s="126">
        <v>2025</v>
      </c>
      <c r="D5" s="127">
        <v>2026</v>
      </c>
      <c r="E5" s="126">
        <v>2027</v>
      </c>
      <c r="F5" s="127">
        <v>2028</v>
      </c>
      <c r="G5" s="128"/>
    </row>
    <row r="6" spans="1:7" s="493" customFormat="1" ht="43.5" customHeight="1">
      <c r="A6" s="490" t="s">
        <v>379</v>
      </c>
      <c r="B6" s="491">
        <f>30000000/План!$A$1</f>
        <v>333333.33333333331</v>
      </c>
      <c r="C6" s="491">
        <f>20000000/План!$A$1</f>
        <v>222222.22222222222</v>
      </c>
      <c r="D6" s="491">
        <v>0</v>
      </c>
      <c r="E6" s="491">
        <v>0</v>
      </c>
      <c r="F6" s="491">
        <v>0</v>
      </c>
      <c r="G6" s="492"/>
    </row>
    <row r="7" spans="1:7" ht="13.5" customHeight="1" thickBot="1">
      <c r="A7" s="412" t="s">
        <v>374</v>
      </c>
      <c r="B7" s="413">
        <v>0</v>
      </c>
      <c r="C7" s="413">
        <v>0</v>
      </c>
      <c r="D7" s="413">
        <v>0</v>
      </c>
      <c r="E7" s="413">
        <v>0</v>
      </c>
      <c r="F7" s="413">
        <v>0</v>
      </c>
      <c r="G7" s="128"/>
    </row>
    <row r="8" spans="1:7" s="493" customFormat="1" ht="14.4" customHeight="1" thickBot="1">
      <c r="A8" s="495" t="s">
        <v>406</v>
      </c>
      <c r="B8" s="494">
        <v>0</v>
      </c>
      <c r="C8" s="494"/>
      <c r="D8" s="494"/>
      <c r="E8" s="494"/>
      <c r="F8" s="494"/>
      <c r="G8" s="492"/>
    </row>
    <row r="9" spans="1:7" s="493" customFormat="1" ht="32.4" customHeight="1">
      <c r="A9" s="490" t="s">
        <v>375</v>
      </c>
      <c r="B9" s="491">
        <f>0/План!A1</f>
        <v>0</v>
      </c>
      <c r="C9" s="491">
        <v>0</v>
      </c>
      <c r="D9" s="491">
        <v>0</v>
      </c>
      <c r="E9" s="491">
        <v>0</v>
      </c>
      <c r="F9" s="491">
        <v>0</v>
      </c>
      <c r="G9" s="492"/>
    </row>
    <row r="10" spans="1:7" ht="14.25" customHeight="1" thickBot="1">
      <c r="A10" s="414" t="s">
        <v>376</v>
      </c>
      <c r="B10" s="415">
        <v>0</v>
      </c>
      <c r="C10" s="415">
        <f t="shared" ref="C10:F10" si="0">B10</f>
        <v>0</v>
      </c>
      <c r="D10" s="415">
        <f t="shared" si="0"/>
        <v>0</v>
      </c>
      <c r="E10" s="415">
        <f t="shared" si="0"/>
        <v>0</v>
      </c>
      <c r="F10" s="415">
        <f t="shared" si="0"/>
        <v>0</v>
      </c>
      <c r="G10" s="128"/>
    </row>
    <row r="11" spans="1:7" ht="12.75" customHeight="1">
      <c r="A11" s="122"/>
      <c r="B11" s="122"/>
      <c r="C11" s="122"/>
      <c r="D11" s="122"/>
      <c r="E11" s="122"/>
      <c r="F11" s="122"/>
      <c r="G11" s="122"/>
    </row>
    <row r="12" spans="1:7" ht="12.75" customHeight="1">
      <c r="A12" s="124"/>
      <c r="B12" s="122"/>
      <c r="C12" s="122"/>
      <c r="D12" s="122"/>
      <c r="E12" s="122"/>
      <c r="F12" s="122"/>
      <c r="G12" s="122"/>
    </row>
    <row r="13" spans="1:7" ht="12.75" customHeight="1">
      <c r="A13" s="130"/>
      <c r="B13" s="122"/>
      <c r="C13" s="122"/>
      <c r="D13" s="122"/>
      <c r="E13" s="122"/>
      <c r="F13" s="122"/>
      <c r="G13" s="122"/>
    </row>
    <row r="14" spans="1:7" ht="12.75" customHeight="1">
      <c r="A14" s="131"/>
      <c r="B14" s="122"/>
      <c r="C14" s="122"/>
      <c r="D14" s="122"/>
      <c r="E14" s="122"/>
      <c r="F14" s="122"/>
      <c r="G14" s="122"/>
    </row>
    <row r="15" spans="1:7" ht="12.75" customHeight="1">
      <c r="A15" s="122"/>
      <c r="B15" s="122"/>
      <c r="C15" s="122"/>
      <c r="D15" s="122"/>
      <c r="E15" s="122"/>
      <c r="F15" s="122"/>
      <c r="G15" s="122"/>
    </row>
    <row r="16" spans="1:7" ht="12.75" customHeight="1">
      <c r="A16" s="122"/>
      <c r="B16" s="122"/>
      <c r="C16" s="122"/>
      <c r="D16" s="122"/>
      <c r="E16" s="122"/>
      <c r="F16" s="122"/>
      <c r="G16" s="122"/>
    </row>
    <row r="17" spans="1:7" ht="12.75" customHeight="1">
      <c r="A17" s="122"/>
      <c r="B17" s="122"/>
      <c r="C17" s="122"/>
      <c r="D17" s="122"/>
      <c r="E17" s="122"/>
      <c r="F17" s="122"/>
      <c r="G17" s="122"/>
    </row>
    <row r="18" spans="1:7" ht="12.75" customHeight="1">
      <c r="A18" s="122"/>
      <c r="B18" s="122"/>
      <c r="C18" s="122"/>
      <c r="D18" s="122"/>
      <c r="E18" s="122"/>
      <c r="F18" s="122"/>
      <c r="G18" s="122"/>
    </row>
    <row r="19" spans="1:7" ht="12.75" customHeight="1">
      <c r="A19" s="122"/>
      <c r="B19" s="122"/>
      <c r="C19" s="122"/>
      <c r="D19" s="122"/>
      <c r="E19" s="122"/>
      <c r="F19" s="122"/>
      <c r="G19" s="122"/>
    </row>
    <row r="20" spans="1:7" ht="12.75" customHeight="1">
      <c r="A20" s="122"/>
      <c r="B20" s="122"/>
      <c r="C20" s="122"/>
      <c r="D20" s="122"/>
      <c r="E20" s="122"/>
      <c r="F20" s="122"/>
      <c r="G20" s="122"/>
    </row>
    <row r="21" spans="1:7" ht="13.2"/>
    <row r="22" spans="1:7" ht="13.2"/>
    <row r="23" spans="1:7" ht="13.2"/>
    <row r="24" spans="1:7" ht="13.2"/>
    <row r="25" spans="1:7" ht="13.2"/>
    <row r="26" spans="1:7" ht="13.2"/>
    <row r="27" spans="1:7" ht="13.2"/>
    <row r="28" spans="1:7" ht="13.2"/>
    <row r="29" spans="1:7" ht="13.2"/>
    <row r="30" spans="1:7" ht="13.2"/>
    <row r="31" spans="1:7" ht="13.2"/>
    <row r="32" spans="1:7" ht="13.2"/>
    <row r="33" ht="13.2"/>
    <row r="34" ht="13.2"/>
    <row r="35" ht="13.2"/>
    <row r="36" ht="13.2"/>
    <row r="37" ht="13.2"/>
    <row r="38" ht="13.2"/>
    <row r="39" ht="13.2"/>
    <row r="40" ht="13.2"/>
    <row r="41" ht="13.2"/>
    <row r="42" ht="13.2"/>
    <row r="43" ht="13.2"/>
    <row r="44" ht="13.2"/>
    <row r="45" ht="13.2"/>
    <row r="46" ht="13.2"/>
    <row r="47" ht="13.2"/>
    <row r="48" ht="13.2"/>
    <row r="49" ht="13.2"/>
    <row r="50" ht="13.2"/>
    <row r="51" ht="13.2"/>
    <row r="52" ht="13.2"/>
    <row r="53" ht="13.2"/>
    <row r="54" ht="13.2"/>
    <row r="55" ht="13.2"/>
    <row r="56" ht="13.2"/>
    <row r="57" ht="13.2"/>
    <row r="58" ht="13.2"/>
    <row r="59" ht="13.2"/>
    <row r="60" ht="13.2"/>
    <row r="61" ht="13.2"/>
    <row r="62" ht="13.2"/>
    <row r="63" ht="13.2"/>
    <row r="64" ht="13.2"/>
    <row r="65" ht="13.2"/>
    <row r="66" ht="13.2"/>
    <row r="67" ht="13.2"/>
    <row r="68" ht="13.2"/>
    <row r="69" ht="13.2"/>
    <row r="70" ht="13.2"/>
    <row r="71" ht="13.2"/>
    <row r="72" ht="13.2"/>
    <row r="73" ht="13.2"/>
    <row r="74" ht="13.2"/>
    <row r="75" ht="13.2"/>
    <row r="76" ht="13.2"/>
    <row r="77" ht="13.2"/>
    <row r="78" ht="13.2"/>
    <row r="79" ht="13.2"/>
    <row r="80" ht="13.2"/>
    <row r="81" ht="13.2"/>
    <row r="82" ht="13.2"/>
    <row r="83" ht="13.2"/>
    <row r="84" ht="13.2"/>
    <row r="85" ht="13.2"/>
    <row r="86" ht="13.2"/>
    <row r="87" ht="13.2"/>
    <row r="88" ht="13.2"/>
    <row r="89" ht="13.2"/>
    <row r="90" ht="13.2"/>
    <row r="91" ht="13.2"/>
    <row r="92" ht="13.2"/>
    <row r="93" ht="13.2"/>
    <row r="94" ht="13.2"/>
    <row r="95" ht="13.2"/>
    <row r="96" ht="13.2"/>
    <row r="97" ht="13.2"/>
    <row r="98" ht="13.2"/>
    <row r="99" ht="13.2"/>
    <row r="100" ht="13.2"/>
    <row r="101" ht="13.2"/>
    <row r="102" ht="13.2"/>
    <row r="103" ht="13.2"/>
    <row r="104" ht="13.2"/>
    <row r="105" ht="13.2"/>
    <row r="106" ht="13.2"/>
    <row r="107" ht="13.2"/>
    <row r="108" ht="13.2"/>
    <row r="109" ht="13.2"/>
    <row r="110" ht="13.2"/>
    <row r="111" ht="13.2"/>
    <row r="112" ht="13.2"/>
    <row r="113" ht="13.2"/>
    <row r="114" ht="13.2"/>
    <row r="115" ht="13.2"/>
    <row r="116" ht="13.2"/>
    <row r="117" ht="13.2"/>
    <row r="118" ht="13.2"/>
    <row r="119" ht="13.2"/>
    <row r="120" ht="13.2"/>
    <row r="121" ht="13.2"/>
    <row r="122" ht="13.2"/>
    <row r="123" ht="13.2"/>
    <row r="124" ht="13.2"/>
    <row r="125" ht="13.2"/>
    <row r="126" ht="13.2"/>
    <row r="127" ht="13.2"/>
    <row r="128" ht="13.2"/>
    <row r="129" ht="13.2"/>
    <row r="130" ht="13.2"/>
    <row r="131" ht="13.2"/>
    <row r="132" ht="13.2"/>
    <row r="133" ht="13.2"/>
    <row r="134" ht="13.2"/>
    <row r="135" ht="13.2"/>
    <row r="136" ht="13.2"/>
    <row r="137" ht="13.2"/>
    <row r="138" ht="13.2"/>
    <row r="139" ht="13.2"/>
    <row r="140" ht="13.2"/>
    <row r="141" ht="13.2"/>
    <row r="142" ht="13.2"/>
    <row r="143" ht="13.2"/>
    <row r="144" ht="13.2"/>
    <row r="145" ht="13.2"/>
    <row r="146" ht="13.2"/>
    <row r="147" ht="13.2"/>
    <row r="148" ht="13.2"/>
    <row r="149" ht="13.2"/>
    <row r="150" ht="13.2"/>
    <row r="151" ht="13.2"/>
    <row r="152" ht="13.2"/>
    <row r="153" ht="13.2"/>
    <row r="154" ht="13.2"/>
    <row r="155" ht="13.2"/>
    <row r="156" ht="13.2"/>
    <row r="157" ht="13.2"/>
    <row r="158" ht="13.2"/>
    <row r="159" ht="13.2"/>
    <row r="160" ht="13.2"/>
    <row r="161" ht="13.2"/>
    <row r="162" ht="13.2"/>
    <row r="163" ht="13.2"/>
    <row r="164" ht="13.2"/>
    <row r="165" ht="13.2"/>
    <row r="166" ht="13.2"/>
    <row r="167" ht="13.2"/>
    <row r="168" ht="13.2"/>
    <row r="169" ht="13.2"/>
    <row r="170" ht="13.2"/>
    <row r="171" ht="13.2"/>
    <row r="172" ht="13.2"/>
    <row r="173" ht="13.2"/>
    <row r="174" ht="13.2"/>
    <row r="175" ht="13.2"/>
    <row r="176" ht="13.2"/>
    <row r="177" ht="13.2"/>
    <row r="178" ht="13.2"/>
    <row r="179" ht="13.2"/>
    <row r="180" ht="13.2"/>
    <row r="181" ht="13.2"/>
    <row r="182" ht="13.2"/>
    <row r="183" ht="13.2"/>
    <row r="184" ht="13.2"/>
    <row r="185" ht="13.2"/>
    <row r="186" ht="13.2"/>
    <row r="187" ht="13.2"/>
    <row r="188" ht="13.2"/>
    <row r="189" ht="13.2"/>
    <row r="190" ht="13.2"/>
    <row r="191" ht="13.2"/>
    <row r="192" ht="13.2"/>
    <row r="193" ht="13.2"/>
    <row r="194" ht="13.2"/>
    <row r="195" ht="13.2"/>
    <row r="196" ht="13.2"/>
    <row r="197" ht="13.2"/>
    <row r="198" ht="13.2"/>
    <row r="199" ht="13.2"/>
    <row r="200" ht="13.2"/>
    <row r="201" ht="13.2"/>
    <row r="202" ht="13.2"/>
    <row r="203" ht="13.2"/>
    <row r="204" ht="13.2"/>
    <row r="205" ht="13.2"/>
    <row r="206" ht="13.2"/>
    <row r="207" ht="13.2"/>
    <row r="208" ht="13.2"/>
    <row r="209" ht="13.2"/>
    <row r="210" ht="13.2"/>
    <row r="211" ht="13.2"/>
    <row r="212" ht="13.2"/>
    <row r="213" ht="13.2"/>
    <row r="214" ht="13.2"/>
    <row r="215" ht="13.2"/>
    <row r="216" ht="13.2"/>
    <row r="217" ht="13.2"/>
    <row r="218" ht="13.2"/>
    <row r="219" ht="13.2"/>
    <row r="220" ht="13.2"/>
    <row r="221" ht="13.2"/>
    <row r="222" ht="13.2"/>
    <row r="223" ht="13.2"/>
    <row r="224" ht="13.2"/>
    <row r="225" ht="13.2"/>
    <row r="226" ht="13.2"/>
    <row r="227" ht="13.2"/>
    <row r="228" ht="13.2"/>
    <row r="229" ht="13.2"/>
    <row r="230" ht="13.2"/>
    <row r="231" ht="13.2"/>
    <row r="232" ht="13.2"/>
    <row r="233" ht="13.2"/>
    <row r="234" ht="13.2"/>
    <row r="235" ht="13.2"/>
    <row r="236" ht="13.2"/>
    <row r="237" ht="13.2"/>
    <row r="238" ht="13.2"/>
    <row r="239" ht="13.2"/>
    <row r="240" ht="13.2"/>
    <row r="241" ht="13.2"/>
    <row r="242" ht="13.2"/>
    <row r="243" ht="13.2"/>
    <row r="244" ht="13.2"/>
    <row r="245" ht="13.2"/>
    <row r="246" ht="13.2"/>
    <row r="247" ht="13.2"/>
    <row r="248" ht="13.2"/>
    <row r="249" ht="13.2"/>
    <row r="250" ht="13.2"/>
    <row r="251" ht="13.2"/>
    <row r="252" ht="13.2"/>
    <row r="253" ht="13.2"/>
    <row r="254" ht="13.2"/>
    <row r="255" ht="13.2"/>
    <row r="256" ht="13.2"/>
    <row r="257" ht="13.2"/>
    <row r="258" ht="13.2"/>
    <row r="259" ht="13.2"/>
    <row r="260" ht="13.2"/>
    <row r="261" ht="13.2"/>
    <row r="262" ht="13.2"/>
    <row r="263" ht="13.2"/>
    <row r="264" ht="13.2"/>
    <row r="265" ht="13.2"/>
    <row r="266" ht="13.2"/>
    <row r="267" ht="13.2"/>
    <row r="268" ht="13.2"/>
    <row r="269" ht="13.2"/>
    <row r="270" ht="13.2"/>
    <row r="271" ht="13.2"/>
    <row r="272" ht="13.2"/>
    <row r="273" ht="13.2"/>
    <row r="274" ht="13.2"/>
    <row r="275" ht="13.2"/>
    <row r="276" ht="13.2"/>
    <row r="277" ht="13.2"/>
    <row r="278" ht="13.2"/>
    <row r="279" ht="13.2"/>
    <row r="280" ht="13.2"/>
    <row r="281" ht="13.2"/>
    <row r="282" ht="13.2"/>
    <row r="283" ht="13.2"/>
    <row r="284" ht="13.2"/>
    <row r="285" ht="13.2"/>
    <row r="286" ht="13.2"/>
    <row r="287" ht="13.2"/>
    <row r="288" ht="13.2"/>
    <row r="289" ht="13.2"/>
    <row r="290" ht="13.2"/>
    <row r="291" ht="13.2"/>
    <row r="292" ht="13.2"/>
    <row r="293" ht="13.2"/>
    <row r="294" ht="13.2"/>
    <row r="295" ht="13.2"/>
    <row r="296" ht="13.2"/>
    <row r="297" ht="13.2"/>
    <row r="298" ht="13.2"/>
    <row r="299" ht="13.2"/>
    <row r="300" ht="13.2"/>
    <row r="301" ht="13.2"/>
    <row r="302" ht="13.2"/>
    <row r="303" ht="13.2"/>
    <row r="304" ht="13.2"/>
    <row r="305" ht="13.2"/>
    <row r="306" ht="13.2"/>
    <row r="307" ht="13.2"/>
    <row r="308" ht="13.2"/>
    <row r="309" ht="13.2"/>
    <row r="310" ht="13.2"/>
    <row r="311" ht="13.2"/>
    <row r="312" ht="13.2"/>
    <row r="313" ht="13.2"/>
    <row r="314" ht="13.2"/>
    <row r="315" ht="13.2"/>
    <row r="316" ht="13.2"/>
    <row r="317" ht="13.2"/>
    <row r="318" ht="13.2"/>
    <row r="319" ht="13.2"/>
    <row r="320" ht="13.2"/>
    <row r="321" ht="13.2"/>
    <row r="322" ht="13.2"/>
    <row r="323" ht="13.2"/>
    <row r="324" ht="13.2"/>
    <row r="325" ht="13.2"/>
    <row r="326" ht="13.2"/>
    <row r="327" ht="13.2"/>
    <row r="328" ht="13.2"/>
    <row r="329" ht="13.2"/>
    <row r="330" ht="13.2"/>
    <row r="331" ht="13.2"/>
    <row r="332" ht="13.2"/>
    <row r="333" ht="13.2"/>
    <row r="334" ht="13.2"/>
    <row r="335" ht="13.2"/>
    <row r="336" ht="13.2"/>
    <row r="337" ht="13.2"/>
    <row r="338" ht="13.2"/>
    <row r="339" ht="13.2"/>
    <row r="340" ht="13.2"/>
    <row r="341" ht="13.2"/>
    <row r="342" ht="13.2"/>
    <row r="343" ht="13.2"/>
    <row r="344" ht="13.2"/>
    <row r="345" ht="13.2"/>
    <row r="346" ht="13.2"/>
    <row r="347" ht="13.2"/>
    <row r="348" ht="13.2"/>
    <row r="349" ht="13.2"/>
    <row r="350" ht="13.2"/>
    <row r="351" ht="13.2"/>
    <row r="352" ht="13.2"/>
    <row r="353" ht="13.2"/>
    <row r="354" ht="13.2"/>
    <row r="355" ht="13.2"/>
    <row r="356" ht="13.2"/>
    <row r="357" ht="13.2"/>
    <row r="358" ht="13.2"/>
    <row r="359" ht="13.2"/>
    <row r="360" ht="13.2"/>
    <row r="361" ht="13.2"/>
    <row r="362" ht="13.2"/>
    <row r="363" ht="13.2"/>
    <row r="364" ht="13.2"/>
    <row r="365" ht="13.2"/>
    <row r="366" ht="13.2"/>
    <row r="367" ht="13.2"/>
    <row r="368" ht="13.2"/>
    <row r="369" ht="13.2"/>
    <row r="370" ht="13.2"/>
    <row r="371" ht="13.2"/>
    <row r="372" ht="13.2"/>
    <row r="373" ht="13.2"/>
    <row r="374" ht="13.2"/>
    <row r="375" ht="13.2"/>
    <row r="376" ht="13.2"/>
    <row r="377" ht="13.2"/>
    <row r="378" ht="13.2"/>
    <row r="379" ht="13.2"/>
    <row r="380" ht="13.2"/>
    <row r="381" ht="13.2"/>
    <row r="382" ht="13.2"/>
    <row r="383" ht="13.2"/>
    <row r="384" ht="13.2"/>
    <row r="385" ht="13.2"/>
    <row r="386" ht="13.2"/>
    <row r="387" ht="13.2"/>
    <row r="388" ht="13.2"/>
    <row r="389" ht="13.2"/>
    <row r="390" ht="13.2"/>
    <row r="391" ht="13.2"/>
    <row r="392" ht="13.2"/>
    <row r="393" ht="13.2"/>
    <row r="394" ht="13.2"/>
    <row r="395" ht="13.2"/>
    <row r="396" ht="13.2"/>
    <row r="397" ht="13.2"/>
    <row r="398" ht="13.2"/>
    <row r="399" ht="13.2"/>
    <row r="400" ht="13.2"/>
    <row r="401" ht="13.2"/>
    <row r="402" ht="13.2"/>
    <row r="403" ht="13.2"/>
    <row r="404" ht="13.2"/>
    <row r="405" ht="13.2"/>
    <row r="406" ht="13.2"/>
    <row r="407" ht="13.2"/>
    <row r="408" ht="13.2"/>
    <row r="409" ht="13.2"/>
    <row r="410" ht="13.2"/>
    <row r="411" ht="13.2"/>
    <row r="412" ht="13.2"/>
    <row r="413" ht="13.2"/>
    <row r="414" ht="13.2"/>
    <row r="415" ht="13.2"/>
    <row r="416" ht="13.2"/>
    <row r="417" ht="13.2"/>
    <row r="418" ht="13.2"/>
    <row r="419" ht="13.2"/>
    <row r="420" ht="13.2"/>
    <row r="421" ht="13.2"/>
    <row r="422" ht="13.2"/>
    <row r="423" ht="13.2"/>
    <row r="424" ht="13.2"/>
    <row r="425" ht="13.2"/>
    <row r="426" ht="13.2"/>
    <row r="427" ht="13.2"/>
    <row r="428" ht="13.2"/>
    <row r="429" ht="13.2"/>
    <row r="430" ht="13.2"/>
    <row r="431" ht="13.2"/>
    <row r="432" ht="13.2"/>
    <row r="433" ht="13.2"/>
    <row r="434" ht="13.2"/>
    <row r="435" ht="13.2"/>
    <row r="436" ht="13.2"/>
    <row r="437" ht="13.2"/>
    <row r="438" ht="13.2"/>
    <row r="439" ht="13.2"/>
    <row r="440" ht="13.2"/>
    <row r="441" ht="13.2"/>
    <row r="442" ht="13.2"/>
    <row r="443" ht="13.2"/>
    <row r="444" ht="13.2"/>
    <row r="445" ht="13.2"/>
    <row r="446" ht="13.2"/>
    <row r="447" ht="13.2"/>
    <row r="448" ht="13.2"/>
    <row r="449" ht="13.2"/>
    <row r="450" ht="13.2"/>
    <row r="451" ht="13.2"/>
    <row r="452" ht="13.2"/>
    <row r="453" ht="13.2"/>
    <row r="454" ht="13.2"/>
    <row r="455" ht="13.2"/>
    <row r="456" ht="13.2"/>
    <row r="457" ht="13.2"/>
    <row r="458" ht="13.2"/>
    <row r="459" ht="13.2"/>
    <row r="460" ht="13.2"/>
    <row r="461" ht="13.2"/>
    <row r="462" ht="13.2"/>
    <row r="463" ht="13.2"/>
    <row r="464" ht="13.2"/>
    <row r="465" ht="13.2"/>
    <row r="466" ht="13.2"/>
    <row r="467" ht="13.2"/>
    <row r="468" ht="13.2"/>
    <row r="469" ht="13.2"/>
    <row r="470" ht="13.2"/>
    <row r="471" ht="13.2"/>
    <row r="472" ht="13.2"/>
    <row r="473" ht="13.2"/>
    <row r="474" ht="13.2"/>
    <row r="475" ht="13.2"/>
    <row r="476" ht="13.2"/>
    <row r="477" ht="13.2"/>
    <row r="478" ht="13.2"/>
    <row r="479" ht="13.2"/>
    <row r="480" ht="13.2"/>
    <row r="481" ht="13.2"/>
    <row r="482" ht="13.2"/>
    <row r="483" ht="13.2"/>
    <row r="484" ht="13.2"/>
    <row r="485" ht="13.2"/>
    <row r="486" ht="13.2"/>
    <row r="487" ht="13.2"/>
    <row r="488" ht="13.2"/>
    <row r="489" ht="13.2"/>
    <row r="490" ht="13.2"/>
    <row r="491" ht="13.2"/>
    <row r="492" ht="13.2"/>
    <row r="493" ht="13.2"/>
    <row r="494" ht="13.2"/>
    <row r="495" ht="13.2"/>
    <row r="496" ht="13.2"/>
    <row r="497" ht="13.2"/>
    <row r="498" ht="13.2"/>
    <row r="499" ht="13.2"/>
    <row r="500" ht="13.2"/>
    <row r="501" ht="13.2"/>
    <row r="502" ht="13.2"/>
    <row r="503" ht="13.2"/>
    <row r="504" ht="13.2"/>
    <row r="505" ht="13.2"/>
    <row r="506" ht="13.2"/>
    <row r="507" ht="13.2"/>
    <row r="508" ht="13.2"/>
    <row r="509" ht="13.2"/>
    <row r="510" ht="13.2"/>
    <row r="511" ht="13.2"/>
    <row r="512" ht="13.2"/>
    <row r="513" ht="13.2"/>
    <row r="514" ht="13.2"/>
    <row r="515" ht="13.2"/>
    <row r="516" ht="13.2"/>
    <row r="517" ht="13.2"/>
    <row r="518" ht="13.2"/>
    <row r="519" ht="13.2"/>
    <row r="520" ht="13.2"/>
    <row r="521" ht="13.2"/>
    <row r="522" ht="13.2"/>
    <row r="523" ht="13.2"/>
    <row r="524" ht="13.2"/>
    <row r="525" ht="13.2"/>
    <row r="526" ht="13.2"/>
    <row r="527" ht="13.2"/>
    <row r="528" ht="13.2"/>
    <row r="529" ht="13.2"/>
    <row r="530" ht="13.2"/>
    <row r="531" ht="13.2"/>
    <row r="532" ht="13.2"/>
    <row r="533" ht="13.2"/>
    <row r="534" ht="13.2"/>
    <row r="535" ht="13.2"/>
    <row r="536" ht="13.2"/>
    <row r="537" ht="13.2"/>
    <row r="538" ht="13.2"/>
    <row r="539" ht="13.2"/>
    <row r="540" ht="13.2"/>
    <row r="541" ht="13.2"/>
    <row r="542" ht="13.2"/>
    <row r="543" ht="13.2"/>
    <row r="544" ht="13.2"/>
    <row r="545" ht="13.2"/>
    <row r="546" ht="13.2"/>
    <row r="547" ht="13.2"/>
    <row r="548" ht="13.2"/>
    <row r="549" ht="13.2"/>
    <row r="550" ht="13.2"/>
    <row r="551" ht="13.2"/>
    <row r="552" ht="13.2"/>
    <row r="553" ht="13.2"/>
    <row r="554" ht="13.2"/>
    <row r="555" ht="13.2"/>
    <row r="556" ht="13.2"/>
    <row r="557" ht="13.2"/>
    <row r="558" ht="13.2"/>
    <row r="559" ht="13.2"/>
    <row r="560" ht="13.2"/>
    <row r="561" ht="13.2"/>
    <row r="562" ht="13.2"/>
    <row r="563" ht="13.2"/>
    <row r="564" ht="13.2"/>
    <row r="565" ht="13.2"/>
    <row r="566" ht="13.2"/>
    <row r="567" ht="13.2"/>
    <row r="568" ht="13.2"/>
    <row r="569" ht="13.2"/>
    <row r="570" ht="13.2"/>
    <row r="571" ht="13.2"/>
    <row r="572" ht="13.2"/>
    <row r="573" ht="13.2"/>
    <row r="574" ht="13.2"/>
    <row r="575" ht="13.2"/>
    <row r="576" ht="13.2"/>
    <row r="577" ht="13.2"/>
    <row r="578" ht="13.2"/>
    <row r="579" ht="13.2"/>
    <row r="580" ht="13.2"/>
    <row r="581" ht="13.2"/>
    <row r="582" ht="13.2"/>
    <row r="583" ht="13.2"/>
    <row r="584" ht="13.2"/>
    <row r="585" ht="13.2"/>
    <row r="586" ht="13.2"/>
    <row r="587" ht="13.2"/>
    <row r="588" ht="13.2"/>
    <row r="589" ht="13.2"/>
    <row r="590" ht="13.2"/>
    <row r="591" ht="13.2"/>
    <row r="592" ht="13.2"/>
    <row r="593" ht="13.2"/>
    <row r="594" ht="13.2"/>
    <row r="595" ht="13.2"/>
    <row r="596" ht="13.2"/>
    <row r="597" ht="13.2"/>
    <row r="598" ht="13.2"/>
    <row r="599" ht="13.2"/>
    <row r="600" ht="13.2"/>
    <row r="601" ht="13.2"/>
    <row r="602" ht="13.2"/>
    <row r="603" ht="13.2"/>
    <row r="604" ht="13.2"/>
    <row r="605" ht="13.2"/>
    <row r="606" ht="13.2"/>
    <row r="607" ht="13.2"/>
    <row r="608" ht="13.2"/>
    <row r="609" ht="13.2"/>
    <row r="610" ht="13.2"/>
    <row r="611" ht="13.2"/>
    <row r="612" ht="13.2"/>
    <row r="613" ht="13.2"/>
    <row r="614" ht="13.2"/>
    <row r="615" ht="13.2"/>
    <row r="616" ht="13.2"/>
    <row r="617" ht="13.2"/>
    <row r="618" ht="13.2"/>
    <row r="619" ht="13.2"/>
    <row r="620" ht="13.2"/>
    <row r="621" ht="13.2"/>
    <row r="622" ht="13.2"/>
    <row r="623" ht="13.2"/>
    <row r="624" ht="13.2"/>
    <row r="625" ht="13.2"/>
    <row r="626" ht="13.2"/>
    <row r="627" ht="13.2"/>
    <row r="628" ht="13.2"/>
    <row r="629" ht="13.2"/>
    <row r="630" ht="13.2"/>
    <row r="631" ht="13.2"/>
    <row r="632" ht="13.2"/>
    <row r="633" ht="13.2"/>
    <row r="634" ht="13.2"/>
    <row r="635" ht="13.2"/>
    <row r="636" ht="13.2"/>
    <row r="637" ht="13.2"/>
    <row r="638" ht="13.2"/>
    <row r="639" ht="13.2"/>
    <row r="640" ht="13.2"/>
    <row r="641" ht="13.2"/>
    <row r="642" ht="13.2"/>
    <row r="643" ht="13.2"/>
    <row r="644" ht="13.2"/>
    <row r="645" ht="13.2"/>
    <row r="646" ht="13.2"/>
    <row r="647" ht="13.2"/>
    <row r="648" ht="13.2"/>
    <row r="649" ht="13.2"/>
    <row r="650" ht="13.2"/>
    <row r="651" ht="13.2"/>
    <row r="652" ht="13.2"/>
    <row r="653" ht="13.2"/>
    <row r="654" ht="13.2"/>
    <row r="655" ht="13.2"/>
    <row r="656" ht="13.2"/>
    <row r="657" ht="13.2"/>
    <row r="658" ht="13.2"/>
    <row r="659" ht="13.2"/>
    <row r="660" ht="13.2"/>
    <row r="661" ht="13.2"/>
    <row r="662" ht="13.2"/>
    <row r="663" ht="13.2"/>
    <row r="664" ht="13.2"/>
    <row r="665" ht="13.2"/>
    <row r="666" ht="13.2"/>
    <row r="667" ht="13.2"/>
    <row r="668" ht="13.2"/>
    <row r="669" ht="13.2"/>
    <row r="670" ht="13.2"/>
    <row r="671" ht="13.2"/>
    <row r="672" ht="13.2"/>
    <row r="673" ht="13.2"/>
    <row r="674" ht="13.2"/>
    <row r="675" ht="13.2"/>
    <row r="676" ht="13.2"/>
    <row r="677" ht="13.2"/>
    <row r="678" ht="13.2"/>
    <row r="679" ht="13.2"/>
    <row r="680" ht="13.2"/>
    <row r="681" ht="13.2"/>
    <row r="682" ht="13.2"/>
    <row r="683" ht="13.2"/>
    <row r="684" ht="13.2"/>
    <row r="685" ht="13.2"/>
    <row r="686" ht="13.2"/>
    <row r="687" ht="13.2"/>
    <row r="688" ht="13.2"/>
    <row r="689" ht="13.2"/>
    <row r="690" ht="13.2"/>
    <row r="691" ht="13.2"/>
    <row r="692" ht="13.2"/>
    <row r="693" ht="13.2"/>
    <row r="694" ht="13.2"/>
    <row r="695" ht="13.2"/>
    <row r="696" ht="13.2"/>
    <row r="697" ht="13.2"/>
    <row r="698" ht="13.2"/>
    <row r="699" ht="13.2"/>
    <row r="700" ht="13.2"/>
    <row r="701" ht="13.2"/>
    <row r="702" ht="13.2"/>
    <row r="703" ht="13.2"/>
    <row r="704" ht="13.2"/>
    <row r="705" ht="13.2"/>
    <row r="706" ht="13.2"/>
    <row r="707" ht="13.2"/>
    <row r="708" ht="13.2"/>
    <row r="709" ht="13.2"/>
    <row r="710" ht="13.2"/>
    <row r="711" ht="13.2"/>
    <row r="712" ht="13.2"/>
    <row r="713" ht="13.2"/>
    <row r="714" ht="13.2"/>
    <row r="715" ht="13.2"/>
    <row r="716" ht="13.2"/>
    <row r="717" ht="13.2"/>
    <row r="718" ht="13.2"/>
    <row r="719" ht="13.2"/>
    <row r="720" ht="13.2"/>
    <row r="721" ht="13.2"/>
    <row r="722" ht="13.2"/>
    <row r="723" ht="13.2"/>
    <row r="724" ht="13.2"/>
    <row r="725" ht="13.2"/>
    <row r="726" ht="13.2"/>
    <row r="727" ht="13.2"/>
    <row r="728" ht="13.2"/>
    <row r="729" ht="13.2"/>
    <row r="730" ht="13.2"/>
    <row r="731" ht="13.2"/>
    <row r="732" ht="13.2"/>
    <row r="733" ht="13.2"/>
    <row r="734" ht="13.2"/>
    <row r="735" ht="13.2"/>
    <row r="736" ht="13.2"/>
    <row r="737" ht="13.2"/>
    <row r="738" ht="13.2"/>
    <row r="739" ht="13.2"/>
    <row r="740" ht="13.2"/>
    <row r="741" ht="13.2"/>
    <row r="742" ht="13.2"/>
    <row r="743" ht="13.2"/>
    <row r="744" ht="13.2"/>
    <row r="745" ht="13.2"/>
    <row r="746" ht="13.2"/>
    <row r="747" ht="13.2"/>
    <row r="748" ht="13.2"/>
    <row r="749" ht="13.2"/>
    <row r="750" ht="13.2"/>
    <row r="751" ht="13.2"/>
    <row r="752" ht="13.2"/>
    <row r="753" ht="13.2"/>
    <row r="754" ht="13.2"/>
    <row r="755" ht="13.2"/>
    <row r="756" ht="13.2"/>
    <row r="757" ht="13.2"/>
    <row r="758" ht="13.2"/>
    <row r="759" ht="13.2"/>
    <row r="760" ht="13.2"/>
    <row r="761" ht="13.2"/>
    <row r="762" ht="13.2"/>
    <row r="763" ht="13.2"/>
    <row r="764" ht="13.2"/>
    <row r="765" ht="13.2"/>
    <row r="766" ht="13.2"/>
    <row r="767" ht="13.2"/>
    <row r="768" ht="13.2"/>
    <row r="769" ht="13.2"/>
    <row r="770" ht="13.2"/>
    <row r="771" ht="13.2"/>
    <row r="772" ht="13.2"/>
    <row r="773" ht="13.2"/>
    <row r="774" ht="13.2"/>
    <row r="775" ht="13.2"/>
    <row r="776" ht="13.2"/>
    <row r="777" ht="13.2"/>
    <row r="778" ht="13.2"/>
    <row r="779" ht="13.2"/>
    <row r="780" ht="13.2"/>
    <row r="781" ht="13.2"/>
    <row r="782" ht="13.2"/>
    <row r="783" ht="13.2"/>
    <row r="784" ht="13.2"/>
    <row r="785" ht="13.2"/>
    <row r="786" ht="13.2"/>
    <row r="787" ht="13.2"/>
    <row r="788" ht="13.2"/>
    <row r="789" ht="13.2"/>
    <row r="790" ht="13.2"/>
    <row r="791" ht="13.2"/>
    <row r="792" ht="13.2"/>
    <row r="793" ht="13.2"/>
    <row r="794" ht="13.2"/>
    <row r="795" ht="13.2"/>
    <row r="796" ht="13.2"/>
    <row r="797" ht="13.2"/>
    <row r="798" ht="13.2"/>
    <row r="799" ht="13.2"/>
    <row r="800" ht="13.2"/>
    <row r="801" ht="13.2"/>
    <row r="802" ht="13.2"/>
    <row r="803" ht="13.2"/>
    <row r="804" ht="13.2"/>
    <row r="805" ht="13.2"/>
    <row r="806" ht="13.2"/>
    <row r="807" ht="13.2"/>
    <row r="808" ht="13.2"/>
    <row r="809" ht="13.2"/>
    <row r="810" ht="13.2"/>
    <row r="811" ht="13.2"/>
    <row r="812" ht="13.2"/>
    <row r="813" ht="13.2"/>
    <row r="814" ht="13.2"/>
    <row r="815" ht="13.2"/>
    <row r="816" ht="13.2"/>
    <row r="817" ht="13.2"/>
    <row r="818" ht="13.2"/>
    <row r="819" ht="13.2"/>
    <row r="820" ht="13.2"/>
    <row r="821" ht="13.2"/>
    <row r="822" ht="13.2"/>
    <row r="823" ht="13.2"/>
    <row r="824" ht="13.2"/>
    <row r="825" ht="13.2"/>
    <row r="826" ht="13.2"/>
    <row r="827" ht="13.2"/>
    <row r="828" ht="13.2"/>
    <row r="829" ht="13.2"/>
    <row r="830" ht="13.2"/>
    <row r="831" ht="13.2"/>
    <row r="832" ht="13.2"/>
    <row r="833" ht="13.2"/>
    <row r="834" ht="13.2"/>
    <row r="835" ht="13.2"/>
    <row r="836" ht="13.2"/>
    <row r="837" ht="13.2"/>
    <row r="838" ht="13.2"/>
    <row r="839" ht="13.2"/>
    <row r="840" ht="13.2"/>
    <row r="841" ht="13.2"/>
    <row r="842" ht="13.2"/>
    <row r="843" ht="13.2"/>
    <row r="844" ht="13.2"/>
    <row r="845" ht="13.2"/>
    <row r="846" ht="13.2"/>
    <row r="847" ht="13.2"/>
    <row r="848" ht="13.2"/>
    <row r="849" ht="13.2"/>
    <row r="850" ht="13.2"/>
    <row r="851" ht="13.2"/>
    <row r="852" ht="13.2"/>
    <row r="853" ht="13.2"/>
    <row r="854" ht="13.2"/>
    <row r="855" ht="13.2"/>
    <row r="856" ht="13.2"/>
    <row r="857" ht="13.2"/>
    <row r="858" ht="13.2"/>
    <row r="859" ht="13.2"/>
    <row r="860" ht="13.2"/>
    <row r="861" ht="13.2"/>
    <row r="862" ht="13.2"/>
    <row r="863" ht="13.2"/>
    <row r="864" ht="13.2"/>
    <row r="865" ht="13.2"/>
    <row r="866" ht="13.2"/>
    <row r="867" ht="13.2"/>
    <row r="868" ht="13.2"/>
    <row r="869" ht="13.2"/>
    <row r="870" ht="13.2"/>
    <row r="871" ht="13.2"/>
    <row r="872" ht="13.2"/>
    <row r="873" ht="13.2"/>
    <row r="874" ht="13.2"/>
    <row r="875" ht="13.2"/>
    <row r="876" ht="13.2"/>
    <row r="877" ht="13.2"/>
    <row r="878" ht="13.2"/>
    <row r="879" ht="13.2"/>
    <row r="880" ht="13.2"/>
    <row r="881" ht="13.2"/>
    <row r="882" ht="13.2"/>
    <row r="883" ht="13.2"/>
    <row r="884" ht="13.2"/>
    <row r="885" ht="13.2"/>
    <row r="886" ht="13.2"/>
    <row r="887" ht="13.2"/>
    <row r="888" ht="13.2"/>
    <row r="889" ht="13.2"/>
    <row r="890" ht="13.2"/>
    <row r="891" ht="13.2"/>
    <row r="892" ht="13.2"/>
    <row r="893" ht="13.2"/>
    <row r="894" ht="13.2"/>
    <row r="895" ht="13.2"/>
    <row r="896" ht="13.2"/>
    <row r="897" ht="13.2"/>
    <row r="898" ht="13.2"/>
    <row r="899" ht="13.2"/>
    <row r="900" ht="13.2"/>
    <row r="901" ht="13.2"/>
    <row r="902" ht="13.2"/>
    <row r="903" ht="13.2"/>
    <row r="904" ht="13.2"/>
    <row r="905" ht="13.2"/>
    <row r="906" ht="13.2"/>
    <row r="907" ht="13.2"/>
    <row r="908" ht="13.2"/>
    <row r="909" ht="13.2"/>
    <row r="910" ht="13.2"/>
    <row r="911" ht="13.2"/>
    <row r="912" ht="13.2"/>
    <row r="913" ht="13.2"/>
    <row r="914" ht="13.2"/>
    <row r="915" ht="13.2"/>
    <row r="916" ht="13.2"/>
    <row r="917" ht="13.2"/>
    <row r="918" ht="13.2"/>
    <row r="919" ht="13.2"/>
    <row r="920" ht="13.2"/>
    <row r="921" ht="13.2"/>
    <row r="922" ht="13.2"/>
    <row r="923" ht="13.2"/>
    <row r="924" ht="13.2"/>
    <row r="925" ht="13.2"/>
    <row r="926" ht="13.2"/>
    <row r="927" ht="13.2"/>
    <row r="928" ht="13.2"/>
    <row r="929" ht="13.2"/>
    <row r="930" ht="13.2"/>
    <row r="931" ht="13.2"/>
    <row r="932" ht="13.2"/>
    <row r="933" ht="13.2"/>
    <row r="934" ht="13.2"/>
    <row r="935" ht="13.2"/>
    <row r="936" ht="13.2"/>
    <row r="937" ht="13.2"/>
    <row r="938" ht="13.2"/>
    <row r="939" ht="13.2"/>
    <row r="940" ht="13.2"/>
    <row r="941" ht="13.2"/>
    <row r="942" ht="13.2"/>
    <row r="943" ht="13.2"/>
    <row r="944" ht="13.2"/>
    <row r="945" ht="13.2"/>
    <row r="946" ht="13.2"/>
    <row r="947" ht="13.2"/>
    <row r="948" ht="13.2"/>
    <row r="949" ht="13.2"/>
    <row r="950" ht="13.2"/>
    <row r="951" ht="13.2"/>
    <row r="952" ht="13.2"/>
    <row r="953" ht="13.2"/>
    <row r="954" ht="13.2"/>
    <row r="955" ht="13.2"/>
    <row r="956" ht="13.2"/>
    <row r="957" ht="13.2"/>
    <row r="958" ht="13.2"/>
    <row r="959" ht="13.2"/>
    <row r="960" ht="13.2"/>
    <row r="961" ht="13.2"/>
    <row r="962" ht="13.2"/>
    <row r="963" ht="13.2"/>
    <row r="964" ht="13.2"/>
    <row r="965" ht="13.2"/>
    <row r="966" ht="13.2"/>
    <row r="967" ht="13.2"/>
    <row r="968" ht="13.2"/>
    <row r="969" ht="13.2"/>
    <row r="970" ht="13.2"/>
    <row r="971" ht="13.2"/>
    <row r="972" ht="13.2"/>
    <row r="973" ht="13.2"/>
    <row r="974" ht="13.2"/>
    <row r="975" ht="13.2"/>
    <row r="976" ht="13.2"/>
    <row r="977" ht="13.2"/>
    <row r="978" ht="13.2"/>
    <row r="979" ht="13.2"/>
    <row r="980" ht="13.2"/>
    <row r="981" ht="13.2"/>
    <row r="982" ht="13.2"/>
    <row r="983" ht="13.2"/>
    <row r="984" ht="13.2"/>
    <row r="985" ht="13.2"/>
    <row r="986" ht="13.2"/>
    <row r="987" ht="13.2"/>
    <row r="988" ht="13.2"/>
    <row r="989" ht="13.2"/>
    <row r="990" ht="13.2"/>
    <row r="991" ht="13.2"/>
    <row r="992" ht="13.2"/>
    <row r="993" ht="13.2"/>
    <row r="994" ht="13.2"/>
    <row r="995" ht="13.2"/>
    <row r="996" ht="13.2"/>
    <row r="997" ht="13.2"/>
    <row r="998" ht="13.2"/>
    <row r="999" ht="13.2"/>
  </sheetData>
  <mergeCells count="2">
    <mergeCell ref="A1:F1"/>
    <mergeCell ref="A4:F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1005"/>
  <sheetViews>
    <sheetView topLeftCell="A19" workbookViewId="0">
      <selection activeCell="B4" sqref="B4"/>
    </sheetView>
  </sheetViews>
  <sheetFormatPr defaultColWidth="11.3984375" defaultRowHeight="15.75" customHeight="1"/>
  <cols>
    <col min="1" max="1" width="30.3984375" style="90" customWidth="1"/>
    <col min="2" max="3" width="11.3984375" style="90"/>
    <col min="4" max="4" width="23.5" style="90" customWidth="1"/>
    <col min="5" max="5" width="9.8984375" style="90" customWidth="1"/>
    <col min="6" max="6" width="9.8984375" style="111" customWidth="1"/>
    <col min="7" max="7" width="30" style="90" customWidth="1"/>
    <col min="8" max="16384" width="11.3984375" style="90"/>
  </cols>
  <sheetData>
    <row r="1" spans="1:27" ht="64.2" customHeight="1">
      <c r="A1" s="812" t="s">
        <v>199</v>
      </c>
      <c r="B1" s="813"/>
      <c r="C1" s="813"/>
      <c r="D1" s="813"/>
      <c r="E1" s="70"/>
      <c r="F1" s="107" t="s">
        <v>198</v>
      </c>
      <c r="G1" s="106" t="s">
        <v>197</v>
      </c>
      <c r="H1" s="105"/>
      <c r="I1" s="105"/>
      <c r="J1" s="105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</row>
    <row r="2" spans="1:27" ht="28.8">
      <c r="A2" s="72" t="s">
        <v>90</v>
      </c>
      <c r="B2" s="73"/>
      <c r="C2" s="74"/>
      <c r="D2" s="75" t="s">
        <v>91</v>
      </c>
      <c r="E2" s="76"/>
      <c r="F2" s="108"/>
      <c r="G2" s="85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</row>
    <row r="3" spans="1:27" ht="27" customHeight="1">
      <c r="A3" s="77">
        <f>SUM(D19:D37)</f>
        <v>604.08000000000004</v>
      </c>
      <c r="B3" s="78">
        <f>A3*88</f>
        <v>53159.040000000001</v>
      </c>
      <c r="C3" s="79"/>
      <c r="D3" s="80"/>
      <c r="E3" s="76"/>
      <c r="F3" s="108">
        <v>2</v>
      </c>
      <c r="G3" s="87">
        <f>A3*F3*88</f>
        <v>106318.08</v>
      </c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</row>
    <row r="4" spans="1:27" ht="14.4">
      <c r="A4" s="81"/>
      <c r="B4" s="81"/>
      <c r="C4" s="82"/>
      <c r="D4" s="80"/>
      <c r="E4" s="76"/>
      <c r="F4" s="108"/>
      <c r="G4" s="85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</row>
    <row r="5" spans="1:27" ht="15.6" customHeight="1">
      <c r="A5" s="83" t="s">
        <v>92</v>
      </c>
      <c r="B5" s="73"/>
      <c r="C5" s="74"/>
      <c r="D5" s="80"/>
      <c r="E5" s="76"/>
      <c r="F5" s="108"/>
      <c r="G5" s="87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</row>
    <row r="6" spans="1:27" ht="28.2" customHeight="1">
      <c r="A6" s="77">
        <f>C19+C20+C21</f>
        <v>52.480000000000004</v>
      </c>
      <c r="B6" s="78"/>
      <c r="C6" s="79"/>
      <c r="D6" s="84">
        <f>A6/A3</f>
        <v>8.6875910475433721E-2</v>
      </c>
      <c r="E6" s="76"/>
      <c r="F6" s="108"/>
      <c r="G6" s="73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</row>
    <row r="7" spans="1:27" ht="15.75" customHeight="1">
      <c r="A7" s="83" t="s">
        <v>93</v>
      </c>
      <c r="B7" s="73"/>
      <c r="C7" s="74"/>
      <c r="D7" s="84"/>
      <c r="E7" s="76"/>
      <c r="F7" s="108"/>
      <c r="G7" s="87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</row>
    <row r="8" spans="1:27" ht="15.75" customHeight="1">
      <c r="A8" s="77">
        <f>C26+C27+C29+C28</f>
        <v>254.40571428571428</v>
      </c>
      <c r="B8" s="78"/>
      <c r="C8" s="79"/>
      <c r="D8" s="84">
        <f>A8/A3</f>
        <v>0.42114573282630491</v>
      </c>
      <c r="E8" s="76"/>
      <c r="F8" s="108"/>
      <c r="G8" s="7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</row>
    <row r="9" spans="1:27" ht="15.75" customHeight="1">
      <c r="A9" s="83" t="s">
        <v>94</v>
      </c>
      <c r="B9" s="73"/>
      <c r="C9" s="74"/>
      <c r="D9" s="84"/>
      <c r="E9" s="76"/>
      <c r="F9" s="108"/>
      <c r="G9" s="91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</row>
    <row r="10" spans="1:27" ht="15.75" customHeight="1">
      <c r="A10" s="77">
        <f>D23/2+D24/2+C25+C33+D32/2</f>
        <v>41.432142857142857</v>
      </c>
      <c r="B10" s="78"/>
      <c r="C10" s="79"/>
      <c r="D10" s="84">
        <f>A10/A3</f>
        <v>6.8587178613996255E-2</v>
      </c>
      <c r="E10" s="76"/>
      <c r="F10" s="108"/>
      <c r="G10" s="92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</row>
    <row r="11" spans="1:27" ht="15.75" customHeight="1">
      <c r="A11" s="83" t="s">
        <v>95</v>
      </c>
      <c r="B11" s="73"/>
      <c r="C11" s="74"/>
      <c r="D11" s="84"/>
      <c r="E11" s="76"/>
      <c r="F11" s="108"/>
      <c r="G11" s="74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</row>
    <row r="12" spans="1:27" ht="15.75" customHeight="1">
      <c r="A12" s="77">
        <f>C30+C31</f>
        <v>66.050000000000011</v>
      </c>
      <c r="B12" s="78"/>
      <c r="C12" s="79"/>
      <c r="D12" s="84">
        <f>A12/A3</f>
        <v>0.10933982254006093</v>
      </c>
      <c r="E12" s="76"/>
      <c r="F12" s="108"/>
      <c r="G12" s="91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</row>
    <row r="13" spans="1:27" ht="15.75" customHeight="1">
      <c r="A13" s="83" t="s">
        <v>96</v>
      </c>
      <c r="B13" s="73"/>
      <c r="C13" s="74"/>
      <c r="D13" s="84"/>
      <c r="E13" s="76"/>
      <c r="F13" s="108"/>
      <c r="G13" s="76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</row>
    <row r="14" spans="1:27" ht="15.75" customHeight="1">
      <c r="A14" s="77">
        <f>D23+D24+D25+D32+D33+D37</f>
        <v>142.8642857142857</v>
      </c>
      <c r="B14" s="78"/>
      <c r="C14" s="79"/>
      <c r="D14" s="84">
        <f>A14/A3</f>
        <v>0.23649894999716212</v>
      </c>
      <c r="E14" s="76"/>
      <c r="F14" s="108"/>
      <c r="G14" s="76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</row>
    <row r="15" spans="1:27" ht="15.75" customHeight="1">
      <c r="A15" s="83" t="s">
        <v>97</v>
      </c>
      <c r="B15" s="73"/>
      <c r="C15" s="74"/>
      <c r="D15" s="84"/>
      <c r="E15" s="76"/>
      <c r="F15" s="108"/>
      <c r="G15" s="76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</row>
    <row r="16" spans="1:27" ht="15.75" customHeight="1">
      <c r="A16" s="77">
        <f>D34</f>
        <v>10</v>
      </c>
      <c r="B16" s="78"/>
      <c r="C16" s="79"/>
      <c r="D16" s="84">
        <f>A16/A3</f>
        <v>1.6554098794861607E-2</v>
      </c>
      <c r="E16" s="76"/>
      <c r="F16" s="108"/>
      <c r="G16" s="76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</row>
    <row r="17" spans="1:27" ht="14.4">
      <c r="A17" s="76"/>
      <c r="B17" s="76"/>
      <c r="C17" s="82"/>
      <c r="D17" s="82"/>
      <c r="E17" s="76"/>
      <c r="F17" s="108"/>
      <c r="G17" s="76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</row>
    <row r="18" spans="1:27" ht="43.2">
      <c r="A18" s="76" t="s">
        <v>98</v>
      </c>
      <c r="B18" s="76" t="s">
        <v>99</v>
      </c>
      <c r="C18" s="82" t="s">
        <v>18</v>
      </c>
      <c r="D18" s="82" t="s">
        <v>100</v>
      </c>
      <c r="E18" s="82" t="s">
        <v>101</v>
      </c>
      <c r="F18" s="108"/>
      <c r="G18" s="88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</row>
    <row r="19" spans="1:27" ht="28.8">
      <c r="A19" s="85" t="s">
        <v>102</v>
      </c>
      <c r="B19" s="86">
        <v>2</v>
      </c>
      <c r="C19" s="87">
        <f>3314/100+31/100</f>
        <v>33.450000000000003</v>
      </c>
      <c r="D19" s="87">
        <f t="shared" ref="D19:D37" si="0">C19*B19</f>
        <v>66.900000000000006</v>
      </c>
      <c r="E19" s="88" t="s">
        <v>103</v>
      </c>
      <c r="F19" s="109"/>
      <c r="G19" s="76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</row>
    <row r="20" spans="1:27" ht="14.4">
      <c r="A20" s="85" t="s">
        <v>104</v>
      </c>
      <c r="B20" s="86">
        <v>2</v>
      </c>
      <c r="C20" s="87">
        <v>0.73</v>
      </c>
      <c r="D20" s="87">
        <f t="shared" si="0"/>
        <v>1.46</v>
      </c>
      <c r="E20" s="88" t="s">
        <v>103</v>
      </c>
      <c r="F20" s="109"/>
      <c r="G20" s="92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</row>
    <row r="21" spans="1:27" ht="14.4">
      <c r="A21" s="85" t="s">
        <v>105</v>
      </c>
      <c r="B21" s="86">
        <v>2</v>
      </c>
      <c r="C21" s="87">
        <v>18.3</v>
      </c>
      <c r="D21" s="87">
        <f t="shared" si="0"/>
        <v>36.6</v>
      </c>
      <c r="E21" s="88" t="s">
        <v>103</v>
      </c>
      <c r="F21" s="109"/>
      <c r="G21" s="76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</row>
    <row r="22" spans="1:27" ht="14.4">
      <c r="A22" s="85" t="s">
        <v>106</v>
      </c>
      <c r="B22" s="86">
        <v>1</v>
      </c>
      <c r="C22" s="87">
        <v>6.8</v>
      </c>
      <c r="D22" s="87">
        <f t="shared" si="0"/>
        <v>6.8</v>
      </c>
      <c r="E22" s="88" t="s">
        <v>107</v>
      </c>
      <c r="F22" s="109"/>
      <c r="G22" s="76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</row>
    <row r="23" spans="1:27" ht="14.4">
      <c r="A23" s="85" t="s">
        <v>119</v>
      </c>
      <c r="B23" s="86">
        <v>10</v>
      </c>
      <c r="C23" s="87">
        <f>958/400</f>
        <v>2.395</v>
      </c>
      <c r="D23" s="87">
        <f t="shared" si="0"/>
        <v>23.95</v>
      </c>
      <c r="E23" s="88" t="s">
        <v>109</v>
      </c>
      <c r="F23" s="109"/>
      <c r="G23" s="76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</row>
    <row r="24" spans="1:27" ht="14.4">
      <c r="A24" s="85" t="s">
        <v>110</v>
      </c>
      <c r="B24" s="86">
        <v>2</v>
      </c>
      <c r="C24" s="87">
        <f>230/100</f>
        <v>2.2999999999999998</v>
      </c>
      <c r="D24" s="87">
        <f t="shared" si="0"/>
        <v>4.5999999999999996</v>
      </c>
      <c r="E24" s="88" t="s">
        <v>109</v>
      </c>
      <c r="F24" s="109"/>
      <c r="G24" s="76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</row>
    <row r="25" spans="1:27" ht="14.4">
      <c r="A25" s="85" t="s">
        <v>111</v>
      </c>
      <c r="B25" s="86">
        <v>2</v>
      </c>
      <c r="C25" s="87">
        <v>10</v>
      </c>
      <c r="D25" s="87">
        <f t="shared" si="0"/>
        <v>20</v>
      </c>
      <c r="E25" s="88" t="s">
        <v>109</v>
      </c>
      <c r="F25" s="109"/>
      <c r="G25" s="76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</row>
    <row r="26" spans="1:27" ht="57.6">
      <c r="A26" s="85" t="s">
        <v>120</v>
      </c>
      <c r="B26" s="86">
        <v>1</v>
      </c>
      <c r="C26" s="87">
        <v>156.52000000000001</v>
      </c>
      <c r="D26" s="87">
        <f t="shared" si="0"/>
        <v>156.52000000000001</v>
      </c>
      <c r="E26" s="88" t="s">
        <v>113</v>
      </c>
      <c r="F26" s="109"/>
      <c r="G26" s="76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</row>
    <row r="27" spans="1:27" ht="14.4">
      <c r="A27" s="85" t="s">
        <v>114</v>
      </c>
      <c r="B27" s="86">
        <v>1</v>
      </c>
      <c r="C27" s="87">
        <v>63.94</v>
      </c>
      <c r="D27" s="87">
        <f t="shared" si="0"/>
        <v>63.94</v>
      </c>
      <c r="E27" s="88" t="s">
        <v>113</v>
      </c>
      <c r="F27" s="109"/>
      <c r="G27" s="76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</row>
    <row r="28" spans="1:27" ht="14.4">
      <c r="A28" s="85" t="s">
        <v>121</v>
      </c>
      <c r="B28" s="86">
        <v>1</v>
      </c>
      <c r="C28" s="87">
        <f>1000/70</f>
        <v>14.285714285714286</v>
      </c>
      <c r="D28" s="87">
        <f t="shared" si="0"/>
        <v>14.285714285714286</v>
      </c>
      <c r="E28" s="88" t="s">
        <v>113</v>
      </c>
      <c r="F28" s="109"/>
      <c r="G28" s="76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</row>
    <row r="29" spans="1:27" ht="14.4">
      <c r="A29" s="85" t="s">
        <v>122</v>
      </c>
      <c r="B29" s="86">
        <v>1</v>
      </c>
      <c r="C29" s="87">
        <v>19.66</v>
      </c>
      <c r="D29" s="87">
        <f t="shared" si="0"/>
        <v>19.66</v>
      </c>
      <c r="E29" s="88" t="s">
        <v>113</v>
      </c>
      <c r="F29" s="109"/>
      <c r="G29" s="76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</row>
    <row r="30" spans="1:27" ht="100.8">
      <c r="A30" s="85" t="s">
        <v>123</v>
      </c>
      <c r="B30" s="86">
        <v>1</v>
      </c>
      <c r="C30" s="87">
        <f>(1221+120)/30</f>
        <v>44.7</v>
      </c>
      <c r="D30" s="87">
        <f t="shared" si="0"/>
        <v>44.7</v>
      </c>
      <c r="E30" s="88" t="s">
        <v>124</v>
      </c>
      <c r="F30" s="109"/>
      <c r="G30" s="76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</row>
    <row r="31" spans="1:27" ht="14.4">
      <c r="A31" s="85" t="s">
        <v>125</v>
      </c>
      <c r="B31" s="86">
        <v>1</v>
      </c>
      <c r="C31" s="87">
        <f>19.35+2</f>
        <v>21.35</v>
      </c>
      <c r="D31" s="87">
        <f t="shared" si="0"/>
        <v>21.35</v>
      </c>
      <c r="E31" s="88" t="s">
        <v>124</v>
      </c>
      <c r="F31" s="109"/>
      <c r="G31" s="76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</row>
    <row r="32" spans="1:27" ht="28.8">
      <c r="A32" s="85" t="s">
        <v>115</v>
      </c>
      <c r="B32" s="86">
        <v>10</v>
      </c>
      <c r="C32" s="87">
        <v>2.86</v>
      </c>
      <c r="D32" s="87">
        <f t="shared" si="0"/>
        <v>28.599999999999998</v>
      </c>
      <c r="E32" s="88" t="s">
        <v>109</v>
      </c>
      <c r="F32" s="109"/>
      <c r="G32" s="76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</row>
    <row r="33" spans="1:27" ht="14.4">
      <c r="A33" s="85" t="s">
        <v>116</v>
      </c>
      <c r="B33" s="86">
        <v>2</v>
      </c>
      <c r="C33" s="87">
        <f>200/70</f>
        <v>2.8571428571428572</v>
      </c>
      <c r="D33" s="87">
        <f t="shared" si="0"/>
        <v>5.7142857142857144</v>
      </c>
      <c r="E33" s="88" t="s">
        <v>109</v>
      </c>
      <c r="F33" s="109"/>
      <c r="G33" s="76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</row>
    <row r="34" spans="1:27" ht="14.4">
      <c r="A34" s="85" t="s">
        <v>22</v>
      </c>
      <c r="B34" s="86">
        <v>1</v>
      </c>
      <c r="C34" s="87">
        <v>10</v>
      </c>
      <c r="D34" s="87">
        <f t="shared" si="0"/>
        <v>10</v>
      </c>
      <c r="E34" s="88" t="s">
        <v>117</v>
      </c>
      <c r="F34" s="109"/>
      <c r="G34" s="76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</row>
    <row r="35" spans="1:27" ht="28.8">
      <c r="A35" s="85" t="s">
        <v>118</v>
      </c>
      <c r="B35" s="86">
        <v>1</v>
      </c>
      <c r="C35" s="87">
        <f>120/30</f>
        <v>4</v>
      </c>
      <c r="D35" s="87">
        <f t="shared" si="0"/>
        <v>4</v>
      </c>
      <c r="E35" s="88" t="s">
        <v>117</v>
      </c>
      <c r="F35" s="109"/>
      <c r="G35" s="76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</row>
    <row r="36" spans="1:27" ht="14.4">
      <c r="A36" s="85" t="s">
        <v>23</v>
      </c>
      <c r="B36" s="86">
        <v>1</v>
      </c>
      <c r="C36" s="87">
        <v>15</v>
      </c>
      <c r="D36" s="87">
        <f t="shared" si="0"/>
        <v>15</v>
      </c>
      <c r="E36" s="88" t="s">
        <v>117</v>
      </c>
      <c r="F36" s="109"/>
      <c r="G36" s="76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</row>
    <row r="37" spans="1:27" ht="14.4">
      <c r="A37" s="85" t="s">
        <v>19</v>
      </c>
      <c r="B37" s="86">
        <v>2</v>
      </c>
      <c r="C37" s="87">
        <f>1800/60</f>
        <v>30</v>
      </c>
      <c r="D37" s="87">
        <f t="shared" si="0"/>
        <v>60</v>
      </c>
      <c r="E37" s="88" t="s">
        <v>107</v>
      </c>
      <c r="F37" s="109"/>
      <c r="G37" s="76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</row>
    <row r="38" spans="1:27" ht="15.75" customHeight="1">
      <c r="A38" s="89"/>
      <c r="B38" s="89"/>
      <c r="C38" s="89"/>
      <c r="D38" s="89"/>
      <c r="E38" s="89"/>
      <c r="F38" s="110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</row>
    <row r="39" spans="1:27" ht="15.75" customHeight="1">
      <c r="A39" s="89"/>
      <c r="B39" s="89"/>
      <c r="C39" s="89"/>
      <c r="D39" s="89"/>
      <c r="E39" s="89"/>
      <c r="F39" s="110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</row>
    <row r="40" spans="1:27" ht="15.75" customHeight="1">
      <c r="A40" s="89"/>
      <c r="B40" s="89"/>
      <c r="C40" s="89"/>
      <c r="D40" s="89"/>
      <c r="E40" s="89"/>
      <c r="F40" s="110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</row>
    <row r="41" spans="1:27" ht="15.75" customHeight="1">
      <c r="A41" s="89"/>
      <c r="B41" s="89"/>
      <c r="C41" s="89"/>
      <c r="D41" s="89"/>
      <c r="E41" s="89"/>
      <c r="F41" s="110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</row>
    <row r="42" spans="1:27" ht="15.75" customHeight="1">
      <c r="A42" s="89"/>
      <c r="B42" s="89"/>
      <c r="C42" s="89"/>
      <c r="D42" s="89"/>
      <c r="E42" s="89"/>
      <c r="F42" s="110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</row>
    <row r="43" spans="1:27" ht="15.75" customHeight="1">
      <c r="A43" s="89"/>
      <c r="B43" s="89"/>
      <c r="C43" s="89"/>
      <c r="D43" s="89"/>
      <c r="E43" s="89"/>
      <c r="F43" s="110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</row>
    <row r="44" spans="1:27" ht="15.75" customHeight="1">
      <c r="A44" s="89"/>
      <c r="B44" s="89"/>
      <c r="C44" s="89"/>
      <c r="D44" s="89"/>
      <c r="E44" s="89"/>
      <c r="F44" s="110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</row>
    <row r="45" spans="1:27" ht="15.75" customHeight="1">
      <c r="A45" s="89"/>
      <c r="B45" s="89"/>
      <c r="C45" s="89"/>
      <c r="D45" s="89"/>
      <c r="E45" s="89"/>
      <c r="F45" s="110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</row>
    <row r="46" spans="1:27" ht="15.75" customHeight="1">
      <c r="A46" s="89"/>
      <c r="B46" s="89"/>
      <c r="C46" s="89"/>
      <c r="D46" s="89"/>
      <c r="E46" s="89"/>
      <c r="F46" s="110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</row>
    <row r="47" spans="1:27" ht="15.75" customHeight="1">
      <c r="A47" s="89"/>
      <c r="B47" s="89"/>
      <c r="C47" s="89"/>
      <c r="D47" s="89"/>
      <c r="E47" s="89"/>
      <c r="F47" s="110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</row>
    <row r="48" spans="1:27" ht="13.8">
      <c r="A48" s="89"/>
      <c r="B48" s="89"/>
      <c r="C48" s="89"/>
      <c r="D48" s="89"/>
      <c r="E48" s="89"/>
      <c r="F48" s="110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</row>
    <row r="49" spans="1:27" ht="13.8">
      <c r="A49" s="89"/>
      <c r="B49" s="89"/>
      <c r="C49" s="89"/>
      <c r="D49" s="89"/>
      <c r="E49" s="89"/>
      <c r="F49" s="110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</row>
    <row r="50" spans="1:27" ht="13.8">
      <c r="A50" s="89"/>
      <c r="B50" s="89"/>
      <c r="C50" s="89"/>
      <c r="D50" s="89"/>
      <c r="E50" s="89"/>
      <c r="F50" s="110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</row>
    <row r="51" spans="1:27" ht="13.8">
      <c r="A51" s="89"/>
      <c r="B51" s="89"/>
      <c r="C51" s="89"/>
      <c r="D51" s="89"/>
      <c r="E51" s="89"/>
      <c r="F51" s="110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</row>
    <row r="52" spans="1:27" ht="13.8">
      <c r="A52" s="89"/>
      <c r="B52" s="89"/>
      <c r="C52" s="89"/>
      <c r="D52" s="89"/>
      <c r="E52" s="89"/>
      <c r="F52" s="110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</row>
    <row r="53" spans="1:27" ht="13.8">
      <c r="A53" s="89"/>
      <c r="B53" s="89"/>
      <c r="C53" s="89"/>
      <c r="D53" s="89"/>
      <c r="E53" s="89"/>
      <c r="F53" s="110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</row>
    <row r="54" spans="1:27" ht="13.8">
      <c r="A54" s="89"/>
      <c r="B54" s="89"/>
      <c r="C54" s="89"/>
      <c r="D54" s="89"/>
      <c r="E54" s="89"/>
      <c r="F54" s="110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</row>
    <row r="55" spans="1:27" ht="13.8">
      <c r="A55" s="89"/>
      <c r="B55" s="89"/>
      <c r="C55" s="89"/>
      <c r="D55" s="89"/>
      <c r="E55" s="89"/>
      <c r="F55" s="110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</row>
    <row r="56" spans="1:27" ht="13.8">
      <c r="A56" s="89"/>
      <c r="B56" s="89"/>
      <c r="C56" s="89"/>
      <c r="D56" s="89"/>
      <c r="E56" s="89"/>
      <c r="F56" s="110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</row>
    <row r="57" spans="1:27" ht="13.8">
      <c r="A57" s="89"/>
      <c r="B57" s="89"/>
      <c r="C57" s="89"/>
      <c r="D57" s="89"/>
      <c r="E57" s="89"/>
      <c r="F57" s="110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</row>
    <row r="58" spans="1:27" ht="13.8">
      <c r="A58" s="89"/>
      <c r="B58" s="89"/>
      <c r="C58" s="89"/>
      <c r="D58" s="89"/>
      <c r="E58" s="89"/>
      <c r="F58" s="110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89"/>
    </row>
    <row r="59" spans="1:27" ht="13.8">
      <c r="A59" s="89"/>
      <c r="B59" s="89"/>
      <c r="C59" s="89"/>
      <c r="D59" s="89"/>
      <c r="E59" s="89"/>
      <c r="F59" s="110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89"/>
    </row>
    <row r="60" spans="1:27" ht="13.8">
      <c r="A60" s="89"/>
      <c r="B60" s="89"/>
      <c r="C60" s="89"/>
      <c r="D60" s="89"/>
      <c r="E60" s="89"/>
      <c r="F60" s="110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</row>
    <row r="61" spans="1:27" ht="13.8">
      <c r="A61" s="89"/>
      <c r="B61" s="89"/>
      <c r="C61" s="89"/>
      <c r="D61" s="89"/>
      <c r="E61" s="89"/>
      <c r="F61" s="110"/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89"/>
    </row>
    <row r="62" spans="1:27" ht="13.8">
      <c r="A62" s="89"/>
      <c r="B62" s="89"/>
      <c r="C62" s="89"/>
      <c r="D62" s="89"/>
      <c r="E62" s="89"/>
      <c r="F62" s="110"/>
      <c r="G62" s="89"/>
      <c r="H62" s="89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9"/>
      <c r="V62" s="89"/>
      <c r="W62" s="89"/>
      <c r="X62" s="89"/>
      <c r="Y62" s="89"/>
      <c r="Z62" s="89"/>
      <c r="AA62" s="89"/>
    </row>
    <row r="63" spans="1:27" ht="13.8">
      <c r="A63" s="89"/>
      <c r="B63" s="89"/>
      <c r="C63" s="89"/>
      <c r="D63" s="89"/>
      <c r="E63" s="89"/>
      <c r="F63" s="110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89"/>
    </row>
    <row r="64" spans="1:27" ht="13.8">
      <c r="A64" s="89"/>
      <c r="B64" s="89"/>
      <c r="C64" s="89"/>
      <c r="D64" s="89"/>
      <c r="E64" s="89"/>
      <c r="F64" s="110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</row>
    <row r="65" spans="1:27" ht="13.8">
      <c r="A65" s="89"/>
      <c r="B65" s="89"/>
      <c r="C65" s="89"/>
      <c r="D65" s="89"/>
      <c r="E65" s="89"/>
      <c r="F65" s="110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</row>
    <row r="66" spans="1:27" ht="13.8">
      <c r="A66" s="89"/>
      <c r="B66" s="89"/>
      <c r="C66" s="89"/>
      <c r="D66" s="89"/>
      <c r="E66" s="89"/>
      <c r="F66" s="110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</row>
    <row r="67" spans="1:27" ht="13.8">
      <c r="A67" s="89"/>
      <c r="B67" s="89"/>
      <c r="C67" s="89"/>
      <c r="D67" s="89"/>
      <c r="E67" s="89"/>
      <c r="F67" s="110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</row>
    <row r="68" spans="1:27" ht="13.8">
      <c r="A68" s="89"/>
      <c r="B68" s="89"/>
      <c r="C68" s="89"/>
      <c r="D68" s="89"/>
      <c r="E68" s="89"/>
      <c r="F68" s="110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</row>
    <row r="69" spans="1:27" ht="13.8">
      <c r="A69" s="89"/>
      <c r="B69" s="89"/>
      <c r="C69" s="89"/>
      <c r="D69" s="89"/>
      <c r="E69" s="89"/>
      <c r="F69" s="110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</row>
    <row r="70" spans="1:27" ht="13.8">
      <c r="A70" s="89"/>
      <c r="B70" s="89"/>
      <c r="C70" s="89"/>
      <c r="D70" s="89"/>
      <c r="E70" s="89"/>
      <c r="F70" s="110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</row>
    <row r="71" spans="1:27" ht="13.8">
      <c r="A71" s="89"/>
      <c r="B71" s="89"/>
      <c r="C71" s="89"/>
      <c r="D71" s="89"/>
      <c r="E71" s="89"/>
      <c r="F71" s="110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</row>
    <row r="72" spans="1:27" ht="13.8">
      <c r="A72" s="89"/>
      <c r="B72" s="89"/>
      <c r="C72" s="89"/>
      <c r="D72" s="89"/>
      <c r="E72" s="89"/>
      <c r="F72" s="110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</row>
    <row r="73" spans="1:27" ht="13.8">
      <c r="A73" s="89"/>
      <c r="B73" s="89"/>
      <c r="C73" s="89"/>
      <c r="D73" s="89"/>
      <c r="E73" s="89"/>
      <c r="F73" s="110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</row>
    <row r="74" spans="1:27" ht="13.8">
      <c r="A74" s="89"/>
      <c r="B74" s="89"/>
      <c r="C74" s="89"/>
      <c r="D74" s="89"/>
      <c r="E74" s="89"/>
      <c r="F74" s="110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</row>
    <row r="75" spans="1:27" ht="13.8">
      <c r="A75" s="89"/>
      <c r="B75" s="89"/>
      <c r="C75" s="89"/>
      <c r="D75" s="89"/>
      <c r="E75" s="89"/>
      <c r="F75" s="110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</row>
    <row r="76" spans="1:27" ht="13.8">
      <c r="A76" s="89"/>
      <c r="B76" s="89"/>
      <c r="C76" s="89"/>
      <c r="D76" s="89"/>
      <c r="E76" s="89"/>
      <c r="F76" s="110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</row>
    <row r="77" spans="1:27" ht="13.8">
      <c r="A77" s="89"/>
      <c r="B77" s="89"/>
      <c r="C77" s="89"/>
      <c r="D77" s="89"/>
      <c r="E77" s="89"/>
      <c r="F77" s="110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</row>
    <row r="78" spans="1:27" ht="13.8">
      <c r="A78" s="89"/>
      <c r="B78" s="89"/>
      <c r="C78" s="89"/>
      <c r="D78" s="89"/>
      <c r="E78" s="89"/>
      <c r="F78" s="110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</row>
    <row r="79" spans="1:27" ht="13.8">
      <c r="A79" s="89"/>
      <c r="B79" s="89"/>
      <c r="C79" s="89"/>
      <c r="D79" s="89"/>
      <c r="E79" s="89"/>
      <c r="F79" s="110"/>
      <c r="G79" s="89"/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  <c r="AA79" s="89"/>
    </row>
    <row r="80" spans="1:27" ht="13.8">
      <c r="A80" s="89"/>
      <c r="B80" s="89"/>
      <c r="C80" s="89"/>
      <c r="D80" s="89"/>
      <c r="E80" s="89"/>
      <c r="F80" s="110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</row>
    <row r="81" spans="1:27" ht="13.8">
      <c r="A81" s="89"/>
      <c r="B81" s="89"/>
      <c r="C81" s="89"/>
      <c r="D81" s="89"/>
      <c r="E81" s="89"/>
      <c r="F81" s="110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</row>
    <row r="82" spans="1:27" ht="13.8">
      <c r="A82" s="89"/>
      <c r="B82" s="89"/>
      <c r="C82" s="89"/>
      <c r="D82" s="89"/>
      <c r="E82" s="89"/>
      <c r="F82" s="110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</row>
    <row r="83" spans="1:27" ht="13.8">
      <c r="A83" s="89"/>
      <c r="B83" s="89"/>
      <c r="C83" s="89"/>
      <c r="D83" s="89"/>
      <c r="E83" s="89"/>
      <c r="F83" s="110"/>
      <c r="G83" s="89"/>
      <c r="H83" s="89"/>
      <c r="I83" s="89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</row>
    <row r="84" spans="1:27" ht="13.8">
      <c r="A84" s="89"/>
      <c r="B84" s="89"/>
      <c r="C84" s="89"/>
      <c r="D84" s="89"/>
      <c r="E84" s="89"/>
      <c r="F84" s="110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</row>
    <row r="85" spans="1:27" ht="13.8">
      <c r="A85" s="89"/>
      <c r="B85" s="89"/>
      <c r="C85" s="89"/>
      <c r="D85" s="89"/>
      <c r="E85" s="89"/>
      <c r="F85" s="110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</row>
    <row r="86" spans="1:27" ht="13.8">
      <c r="A86" s="89"/>
      <c r="B86" s="89"/>
      <c r="C86" s="89"/>
      <c r="D86" s="89"/>
      <c r="E86" s="89"/>
      <c r="F86" s="110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</row>
    <row r="87" spans="1:27" ht="13.8">
      <c r="A87" s="89"/>
      <c r="B87" s="89"/>
      <c r="C87" s="89"/>
      <c r="D87" s="89"/>
      <c r="E87" s="89"/>
      <c r="F87" s="110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</row>
    <row r="88" spans="1:27" ht="13.8">
      <c r="A88" s="89"/>
      <c r="B88" s="89"/>
      <c r="C88" s="89"/>
      <c r="D88" s="89"/>
      <c r="E88" s="89"/>
      <c r="F88" s="110"/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</row>
    <row r="89" spans="1:27" ht="13.8">
      <c r="A89" s="89"/>
      <c r="B89" s="89"/>
      <c r="C89" s="89"/>
      <c r="D89" s="89"/>
      <c r="E89" s="89"/>
      <c r="F89" s="110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</row>
    <row r="90" spans="1:27" ht="13.8">
      <c r="A90" s="89"/>
      <c r="B90" s="89"/>
      <c r="C90" s="89"/>
      <c r="D90" s="89"/>
      <c r="E90" s="89"/>
      <c r="F90" s="110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</row>
    <row r="91" spans="1:27" ht="13.8">
      <c r="A91" s="89"/>
      <c r="B91" s="89"/>
      <c r="C91" s="89"/>
      <c r="D91" s="89"/>
      <c r="E91" s="89"/>
      <c r="F91" s="110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</row>
    <row r="92" spans="1:27" ht="13.8">
      <c r="A92" s="89"/>
      <c r="B92" s="89"/>
      <c r="C92" s="89"/>
      <c r="D92" s="89"/>
      <c r="E92" s="89"/>
      <c r="F92" s="110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</row>
    <row r="93" spans="1:27" ht="13.8">
      <c r="A93" s="89"/>
      <c r="B93" s="89"/>
      <c r="C93" s="89"/>
      <c r="D93" s="89"/>
      <c r="E93" s="89"/>
      <c r="F93" s="110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</row>
    <row r="94" spans="1:27" ht="13.8">
      <c r="A94" s="89"/>
      <c r="B94" s="89"/>
      <c r="C94" s="89"/>
      <c r="D94" s="89"/>
      <c r="E94" s="89"/>
      <c r="F94" s="110"/>
      <c r="G94" s="89"/>
      <c r="H94" s="89"/>
      <c r="I94" s="89"/>
      <c r="J94" s="89"/>
      <c r="K94" s="89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</row>
    <row r="95" spans="1:27" ht="13.8">
      <c r="A95" s="89"/>
      <c r="B95" s="89"/>
      <c r="C95" s="89"/>
      <c r="D95" s="89"/>
      <c r="E95" s="89"/>
      <c r="F95" s="110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</row>
    <row r="96" spans="1:27" ht="13.8">
      <c r="A96" s="89"/>
      <c r="B96" s="89"/>
      <c r="C96" s="89"/>
      <c r="D96" s="89"/>
      <c r="E96" s="89"/>
      <c r="F96" s="110"/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</row>
    <row r="97" spans="1:27" ht="13.8">
      <c r="A97" s="89"/>
      <c r="B97" s="89"/>
      <c r="C97" s="89"/>
      <c r="D97" s="89"/>
      <c r="E97" s="89"/>
      <c r="F97" s="110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</row>
    <row r="98" spans="1:27" ht="13.8">
      <c r="A98" s="89"/>
      <c r="B98" s="89"/>
      <c r="C98" s="89"/>
      <c r="D98" s="89"/>
      <c r="E98" s="89"/>
      <c r="F98" s="110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</row>
    <row r="99" spans="1:27" ht="13.8">
      <c r="A99" s="89"/>
      <c r="B99" s="89"/>
      <c r="C99" s="89"/>
      <c r="D99" s="89"/>
      <c r="E99" s="89"/>
      <c r="F99" s="110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</row>
    <row r="100" spans="1:27" ht="13.8">
      <c r="A100" s="89"/>
      <c r="B100" s="89"/>
      <c r="C100" s="89"/>
      <c r="D100" s="89"/>
      <c r="E100" s="89"/>
      <c r="F100" s="110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</row>
    <row r="101" spans="1:27" ht="13.8">
      <c r="A101" s="89"/>
      <c r="B101" s="89"/>
      <c r="C101" s="89"/>
      <c r="D101" s="89"/>
      <c r="E101" s="89"/>
      <c r="F101" s="110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</row>
    <row r="102" spans="1:27" ht="13.8">
      <c r="A102" s="89"/>
      <c r="B102" s="89"/>
      <c r="C102" s="89"/>
      <c r="D102" s="89"/>
      <c r="E102" s="89"/>
      <c r="F102" s="110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</row>
    <row r="103" spans="1:27" ht="13.8">
      <c r="A103" s="89"/>
      <c r="B103" s="89"/>
      <c r="C103" s="89"/>
      <c r="D103" s="89"/>
      <c r="E103" s="89"/>
      <c r="F103" s="110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</row>
    <row r="104" spans="1:27" ht="13.8">
      <c r="A104" s="89"/>
      <c r="B104" s="89"/>
      <c r="C104" s="89"/>
      <c r="D104" s="89"/>
      <c r="E104" s="89"/>
      <c r="F104" s="110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</row>
    <row r="105" spans="1:27" ht="13.8">
      <c r="A105" s="89"/>
      <c r="B105" s="89"/>
      <c r="C105" s="89"/>
      <c r="D105" s="89"/>
      <c r="E105" s="89"/>
      <c r="F105" s="110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</row>
    <row r="106" spans="1:27" ht="13.8">
      <c r="A106" s="89"/>
      <c r="B106" s="89"/>
      <c r="C106" s="89"/>
      <c r="D106" s="89"/>
      <c r="E106" s="89"/>
      <c r="F106" s="110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</row>
    <row r="107" spans="1:27" ht="13.8">
      <c r="A107" s="89"/>
      <c r="B107" s="89"/>
      <c r="C107" s="89"/>
      <c r="D107" s="89"/>
      <c r="E107" s="89"/>
      <c r="F107" s="110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</row>
    <row r="108" spans="1:27" ht="13.8">
      <c r="A108" s="89"/>
      <c r="B108" s="89"/>
      <c r="C108" s="89"/>
      <c r="D108" s="89"/>
      <c r="E108" s="89"/>
      <c r="F108" s="110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</row>
    <row r="109" spans="1:27" ht="13.8">
      <c r="A109" s="89"/>
      <c r="B109" s="89"/>
      <c r="C109" s="89"/>
      <c r="D109" s="89"/>
      <c r="E109" s="89"/>
      <c r="F109" s="110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</row>
    <row r="110" spans="1:27" ht="13.8">
      <c r="A110" s="89"/>
      <c r="B110" s="89"/>
      <c r="C110" s="89"/>
      <c r="D110" s="89"/>
      <c r="E110" s="89"/>
      <c r="F110" s="110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</row>
    <row r="111" spans="1:27" ht="13.8">
      <c r="A111" s="89"/>
      <c r="B111" s="89"/>
      <c r="C111" s="89"/>
      <c r="D111" s="89"/>
      <c r="E111" s="89"/>
      <c r="F111" s="110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</row>
    <row r="112" spans="1:27" ht="13.8">
      <c r="A112" s="89"/>
      <c r="B112" s="89"/>
      <c r="C112" s="89"/>
      <c r="D112" s="89"/>
      <c r="E112" s="89"/>
      <c r="F112" s="110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</row>
    <row r="113" spans="1:27" ht="13.8">
      <c r="A113" s="89"/>
      <c r="B113" s="89"/>
      <c r="C113" s="89"/>
      <c r="D113" s="89"/>
      <c r="E113" s="89"/>
      <c r="F113" s="110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</row>
    <row r="114" spans="1:27" ht="13.8">
      <c r="A114" s="89"/>
      <c r="B114" s="89"/>
      <c r="C114" s="89"/>
      <c r="D114" s="89"/>
      <c r="E114" s="89"/>
      <c r="F114" s="110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</row>
    <row r="115" spans="1:27" ht="13.8">
      <c r="A115" s="89"/>
      <c r="B115" s="89"/>
      <c r="C115" s="89"/>
      <c r="D115" s="89"/>
      <c r="E115" s="89"/>
      <c r="F115" s="110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</row>
    <row r="116" spans="1:27" ht="13.8">
      <c r="A116" s="89"/>
      <c r="B116" s="89"/>
      <c r="C116" s="89"/>
      <c r="D116" s="89"/>
      <c r="E116" s="89"/>
      <c r="F116" s="110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</row>
    <row r="117" spans="1:27" ht="13.8">
      <c r="A117" s="89"/>
      <c r="B117" s="89"/>
      <c r="C117" s="89"/>
      <c r="D117" s="89"/>
      <c r="E117" s="89"/>
      <c r="F117" s="110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</row>
    <row r="118" spans="1:27" ht="13.8">
      <c r="A118" s="89"/>
      <c r="B118" s="89"/>
      <c r="C118" s="89"/>
      <c r="D118" s="89"/>
      <c r="E118" s="89"/>
      <c r="F118" s="110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</row>
    <row r="119" spans="1:27" ht="13.8">
      <c r="A119" s="89"/>
      <c r="B119" s="89"/>
      <c r="C119" s="89"/>
      <c r="D119" s="89"/>
      <c r="E119" s="89"/>
      <c r="F119" s="110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</row>
    <row r="120" spans="1:27" ht="13.8">
      <c r="A120" s="89"/>
      <c r="B120" s="89"/>
      <c r="C120" s="89"/>
      <c r="D120" s="89"/>
      <c r="E120" s="89"/>
      <c r="F120" s="110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</row>
    <row r="121" spans="1:27" ht="13.8">
      <c r="A121" s="89"/>
      <c r="B121" s="89"/>
      <c r="C121" s="89"/>
      <c r="D121" s="89"/>
      <c r="E121" s="89"/>
      <c r="F121" s="110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</row>
    <row r="122" spans="1:27" ht="13.8">
      <c r="A122" s="89"/>
      <c r="B122" s="89"/>
      <c r="C122" s="89"/>
      <c r="D122" s="89"/>
      <c r="E122" s="89"/>
      <c r="F122" s="110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  <c r="AA122" s="89"/>
    </row>
    <row r="123" spans="1:27" ht="13.8">
      <c r="A123" s="89"/>
      <c r="B123" s="89"/>
      <c r="C123" s="89"/>
      <c r="D123" s="89"/>
      <c r="E123" s="89"/>
      <c r="F123" s="110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</row>
    <row r="124" spans="1:27" ht="13.8">
      <c r="A124" s="89"/>
      <c r="B124" s="89"/>
      <c r="C124" s="89"/>
      <c r="D124" s="89"/>
      <c r="E124" s="89"/>
      <c r="F124" s="110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  <c r="AA124" s="89"/>
    </row>
    <row r="125" spans="1:27" ht="13.8">
      <c r="A125" s="89"/>
      <c r="B125" s="89"/>
      <c r="C125" s="89"/>
      <c r="D125" s="89"/>
      <c r="E125" s="89"/>
      <c r="F125" s="110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  <c r="AA125" s="89"/>
    </row>
    <row r="126" spans="1:27" ht="13.8">
      <c r="A126" s="89"/>
      <c r="B126" s="89"/>
      <c r="C126" s="89"/>
      <c r="D126" s="89"/>
      <c r="E126" s="89"/>
      <c r="F126" s="110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</row>
    <row r="127" spans="1:27" ht="13.8">
      <c r="A127" s="89"/>
      <c r="B127" s="89"/>
      <c r="C127" s="89"/>
      <c r="D127" s="89"/>
      <c r="E127" s="89"/>
      <c r="F127" s="110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</row>
    <row r="128" spans="1:27" ht="13.8">
      <c r="A128" s="89"/>
      <c r="B128" s="89"/>
      <c r="C128" s="89"/>
      <c r="D128" s="89"/>
      <c r="E128" s="89"/>
      <c r="F128" s="110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</row>
    <row r="129" spans="1:27" ht="13.8">
      <c r="A129" s="89"/>
      <c r="B129" s="89"/>
      <c r="C129" s="89"/>
      <c r="D129" s="89"/>
      <c r="E129" s="89"/>
      <c r="F129" s="110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  <c r="AA129" s="89"/>
    </row>
    <row r="130" spans="1:27" ht="13.8">
      <c r="A130" s="89"/>
      <c r="B130" s="89"/>
      <c r="C130" s="89"/>
      <c r="D130" s="89"/>
      <c r="E130" s="89"/>
      <c r="F130" s="110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  <c r="AA130" s="89"/>
    </row>
    <row r="131" spans="1:27" ht="13.8">
      <c r="A131" s="89"/>
      <c r="B131" s="89"/>
      <c r="C131" s="89"/>
      <c r="D131" s="89"/>
      <c r="E131" s="89"/>
      <c r="F131" s="110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  <c r="AA131" s="89"/>
    </row>
    <row r="132" spans="1:27" ht="13.8">
      <c r="A132" s="89"/>
      <c r="B132" s="89"/>
      <c r="C132" s="89"/>
      <c r="D132" s="89"/>
      <c r="E132" s="89"/>
      <c r="F132" s="110"/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  <c r="AA132" s="89"/>
    </row>
    <row r="133" spans="1:27" ht="13.8">
      <c r="A133" s="89"/>
      <c r="B133" s="89"/>
      <c r="C133" s="89"/>
      <c r="D133" s="89"/>
      <c r="E133" s="89"/>
      <c r="F133" s="110"/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</row>
    <row r="134" spans="1:27" ht="13.8">
      <c r="A134" s="89"/>
      <c r="B134" s="89"/>
      <c r="C134" s="89"/>
      <c r="D134" s="89"/>
      <c r="E134" s="89"/>
      <c r="F134" s="110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  <c r="AA134" s="89"/>
    </row>
    <row r="135" spans="1:27" ht="13.8">
      <c r="A135" s="89"/>
      <c r="B135" s="89"/>
      <c r="C135" s="89"/>
      <c r="D135" s="89"/>
      <c r="E135" s="89"/>
      <c r="F135" s="110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  <c r="AA135" s="89"/>
    </row>
    <row r="136" spans="1:27" ht="13.8">
      <c r="A136" s="89"/>
      <c r="B136" s="89"/>
      <c r="C136" s="89"/>
      <c r="D136" s="89"/>
      <c r="E136" s="89"/>
      <c r="F136" s="110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  <c r="AA136" s="89"/>
    </row>
    <row r="137" spans="1:27" ht="13.8">
      <c r="A137" s="89"/>
      <c r="B137" s="89"/>
      <c r="C137" s="89"/>
      <c r="D137" s="89"/>
      <c r="E137" s="89"/>
      <c r="F137" s="110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  <c r="AA137" s="89"/>
    </row>
    <row r="138" spans="1:27" ht="13.8">
      <c r="A138" s="89"/>
      <c r="B138" s="89"/>
      <c r="C138" s="89"/>
      <c r="D138" s="89"/>
      <c r="E138" s="89"/>
      <c r="F138" s="110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  <c r="AA138" s="89"/>
    </row>
    <row r="139" spans="1:27" ht="13.8">
      <c r="A139" s="89"/>
      <c r="B139" s="89"/>
      <c r="C139" s="89"/>
      <c r="D139" s="89"/>
      <c r="E139" s="89"/>
      <c r="F139" s="110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  <c r="AA139" s="89"/>
    </row>
    <row r="140" spans="1:27" ht="13.8">
      <c r="A140" s="89"/>
      <c r="B140" s="89"/>
      <c r="C140" s="89"/>
      <c r="D140" s="89"/>
      <c r="E140" s="89"/>
      <c r="F140" s="110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  <c r="AA140" s="89"/>
    </row>
    <row r="141" spans="1:27" ht="13.8">
      <c r="A141" s="89"/>
      <c r="B141" s="89"/>
      <c r="C141" s="89"/>
      <c r="D141" s="89"/>
      <c r="E141" s="89"/>
      <c r="F141" s="110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  <c r="AA141" s="89"/>
    </row>
    <row r="142" spans="1:27" ht="13.8">
      <c r="A142" s="89"/>
      <c r="B142" s="89"/>
      <c r="C142" s="89"/>
      <c r="D142" s="89"/>
      <c r="E142" s="89"/>
      <c r="F142" s="110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</row>
    <row r="143" spans="1:27" ht="13.8">
      <c r="A143" s="89"/>
      <c r="B143" s="89"/>
      <c r="C143" s="89"/>
      <c r="D143" s="89"/>
      <c r="E143" s="89"/>
      <c r="F143" s="110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  <c r="AA143" s="89"/>
    </row>
    <row r="144" spans="1:27" ht="13.8">
      <c r="A144" s="89"/>
      <c r="B144" s="89"/>
      <c r="C144" s="89"/>
      <c r="D144" s="89"/>
      <c r="E144" s="89"/>
      <c r="F144" s="110"/>
      <c r="G144" s="89"/>
      <c r="H144" s="89"/>
      <c r="I144" s="89"/>
      <c r="J144" s="89"/>
      <c r="K144" s="89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  <c r="AA144" s="89"/>
    </row>
    <row r="145" spans="1:27" ht="13.8">
      <c r="A145" s="89"/>
      <c r="B145" s="89"/>
      <c r="C145" s="89"/>
      <c r="D145" s="89"/>
      <c r="E145" s="89"/>
      <c r="F145" s="110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</row>
    <row r="146" spans="1:27" ht="13.8">
      <c r="A146" s="89"/>
      <c r="B146" s="89"/>
      <c r="C146" s="89"/>
      <c r="D146" s="89"/>
      <c r="E146" s="89"/>
      <c r="F146" s="110"/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</row>
    <row r="147" spans="1:27" ht="13.8">
      <c r="A147" s="89"/>
      <c r="B147" s="89"/>
      <c r="C147" s="89"/>
      <c r="D147" s="89"/>
      <c r="E147" s="89"/>
      <c r="F147" s="110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  <c r="AA147" s="89"/>
    </row>
    <row r="148" spans="1:27" ht="13.8">
      <c r="A148" s="89"/>
      <c r="B148" s="89"/>
      <c r="C148" s="89"/>
      <c r="D148" s="89"/>
      <c r="E148" s="89"/>
      <c r="F148" s="110"/>
      <c r="G148" s="89"/>
      <c r="H148" s="89"/>
      <c r="I148" s="89"/>
      <c r="J148" s="89"/>
      <c r="K148" s="89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  <c r="AA148" s="89"/>
    </row>
    <row r="149" spans="1:27" ht="13.8">
      <c r="A149" s="89"/>
      <c r="B149" s="89"/>
      <c r="C149" s="89"/>
      <c r="D149" s="89"/>
      <c r="E149" s="89"/>
      <c r="F149" s="110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</row>
    <row r="150" spans="1:27" ht="13.8">
      <c r="A150" s="89"/>
      <c r="B150" s="89"/>
      <c r="C150" s="89"/>
      <c r="D150" s="89"/>
      <c r="E150" s="89"/>
      <c r="F150" s="110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</row>
    <row r="151" spans="1:27" ht="13.8">
      <c r="A151" s="89"/>
      <c r="B151" s="89"/>
      <c r="C151" s="89"/>
      <c r="D151" s="89"/>
      <c r="E151" s="89"/>
      <c r="F151" s="110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</row>
    <row r="152" spans="1:27" ht="13.8">
      <c r="A152" s="89"/>
      <c r="B152" s="89"/>
      <c r="C152" s="89"/>
      <c r="D152" s="89"/>
      <c r="E152" s="89"/>
      <c r="F152" s="110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</row>
    <row r="153" spans="1:27" ht="13.8">
      <c r="A153" s="89"/>
      <c r="B153" s="89"/>
      <c r="C153" s="89"/>
      <c r="D153" s="89"/>
      <c r="E153" s="89"/>
      <c r="F153" s="110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</row>
    <row r="154" spans="1:27" ht="13.8">
      <c r="A154" s="89"/>
      <c r="B154" s="89"/>
      <c r="C154" s="89"/>
      <c r="D154" s="89"/>
      <c r="E154" s="89"/>
      <c r="F154" s="110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</row>
    <row r="155" spans="1:27" ht="13.8">
      <c r="A155" s="89"/>
      <c r="B155" s="89"/>
      <c r="C155" s="89"/>
      <c r="D155" s="89"/>
      <c r="E155" s="89"/>
      <c r="F155" s="110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</row>
    <row r="156" spans="1:27" ht="13.8">
      <c r="A156" s="89"/>
      <c r="B156" s="89"/>
      <c r="C156" s="89"/>
      <c r="D156" s="89"/>
      <c r="E156" s="89"/>
      <c r="F156" s="110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</row>
    <row r="157" spans="1:27" ht="13.8">
      <c r="A157" s="89"/>
      <c r="B157" s="89"/>
      <c r="C157" s="89"/>
      <c r="D157" s="89"/>
      <c r="E157" s="89"/>
      <c r="F157" s="110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</row>
    <row r="158" spans="1:27" ht="13.8">
      <c r="A158" s="89"/>
      <c r="B158" s="89"/>
      <c r="C158" s="89"/>
      <c r="D158" s="89"/>
      <c r="E158" s="89"/>
      <c r="F158" s="110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</row>
    <row r="159" spans="1:27" ht="13.8">
      <c r="A159" s="89"/>
      <c r="B159" s="89"/>
      <c r="C159" s="89"/>
      <c r="D159" s="89"/>
      <c r="E159" s="89"/>
      <c r="F159" s="110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  <c r="AA159" s="89"/>
    </row>
    <row r="160" spans="1:27" ht="13.8">
      <c r="A160" s="89"/>
      <c r="B160" s="89"/>
      <c r="C160" s="89"/>
      <c r="D160" s="89"/>
      <c r="E160" s="89"/>
      <c r="F160" s="110"/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</row>
    <row r="161" spans="1:27" ht="13.8">
      <c r="A161" s="89"/>
      <c r="B161" s="89"/>
      <c r="C161" s="89"/>
      <c r="D161" s="89"/>
      <c r="E161" s="89"/>
      <c r="F161" s="110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</row>
    <row r="162" spans="1:27" ht="13.8">
      <c r="A162" s="89"/>
      <c r="B162" s="89"/>
      <c r="C162" s="89"/>
      <c r="D162" s="89"/>
      <c r="E162" s="89"/>
      <c r="F162" s="110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</row>
    <row r="163" spans="1:27" ht="13.8">
      <c r="A163" s="89"/>
      <c r="B163" s="89"/>
      <c r="C163" s="89"/>
      <c r="D163" s="89"/>
      <c r="E163" s="89"/>
      <c r="F163" s="110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</row>
    <row r="164" spans="1:27" ht="13.8">
      <c r="A164" s="89"/>
      <c r="B164" s="89"/>
      <c r="C164" s="89"/>
      <c r="D164" s="89"/>
      <c r="E164" s="89"/>
      <c r="F164" s="110"/>
      <c r="G164" s="89"/>
      <c r="H164" s="89"/>
      <c r="I164" s="89"/>
      <c r="J164" s="89"/>
      <c r="K164" s="89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  <c r="AA164" s="89"/>
    </row>
    <row r="165" spans="1:27" ht="13.8">
      <c r="A165" s="89"/>
      <c r="B165" s="89"/>
      <c r="C165" s="89"/>
      <c r="D165" s="89"/>
      <c r="E165" s="89"/>
      <c r="F165" s="110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</row>
    <row r="166" spans="1:27" ht="13.8">
      <c r="A166" s="89"/>
      <c r="B166" s="89"/>
      <c r="C166" s="89"/>
      <c r="D166" s="89"/>
      <c r="E166" s="89"/>
      <c r="F166" s="110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  <c r="AA166" s="89"/>
    </row>
    <row r="167" spans="1:27" ht="13.8">
      <c r="A167" s="89"/>
      <c r="B167" s="89"/>
      <c r="C167" s="89"/>
      <c r="D167" s="89"/>
      <c r="E167" s="89"/>
      <c r="F167" s="110"/>
      <c r="G167" s="89"/>
      <c r="H167" s="89"/>
      <c r="I167" s="89"/>
      <c r="J167" s="89"/>
      <c r="K167" s="89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  <c r="AA167" s="89"/>
    </row>
    <row r="168" spans="1:27" ht="13.8">
      <c r="A168" s="89"/>
      <c r="B168" s="89"/>
      <c r="C168" s="89"/>
      <c r="D168" s="89"/>
      <c r="E168" s="89"/>
      <c r="F168" s="110"/>
      <c r="G168" s="89"/>
      <c r="H168" s="89"/>
      <c r="I168" s="89"/>
      <c r="J168" s="89"/>
      <c r="K168" s="89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/>
      <c r="Z168" s="89"/>
      <c r="AA168" s="89"/>
    </row>
    <row r="169" spans="1:27" ht="13.8">
      <c r="A169" s="89"/>
      <c r="B169" s="89"/>
      <c r="C169" s="89"/>
      <c r="D169" s="89"/>
      <c r="E169" s="89"/>
      <c r="F169" s="110"/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  <c r="AA169" s="89"/>
    </row>
    <row r="170" spans="1:27" ht="13.8">
      <c r="A170" s="89"/>
      <c r="B170" s="89"/>
      <c r="C170" s="89"/>
      <c r="D170" s="89"/>
      <c r="E170" s="89"/>
      <c r="F170" s="110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</row>
    <row r="171" spans="1:27" ht="13.8">
      <c r="A171" s="89"/>
      <c r="B171" s="89"/>
      <c r="C171" s="89"/>
      <c r="D171" s="89"/>
      <c r="E171" s="89"/>
      <c r="F171" s="110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  <c r="AA171" s="89"/>
    </row>
    <row r="172" spans="1:27" ht="13.8">
      <c r="A172" s="89"/>
      <c r="B172" s="89"/>
      <c r="C172" s="89"/>
      <c r="D172" s="89"/>
      <c r="E172" s="89"/>
      <c r="F172" s="110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  <c r="AA172" s="89"/>
    </row>
    <row r="173" spans="1:27" ht="13.8">
      <c r="A173" s="89"/>
      <c r="B173" s="89"/>
      <c r="C173" s="89"/>
      <c r="D173" s="89"/>
      <c r="E173" s="89"/>
      <c r="F173" s="110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  <c r="AA173" s="89"/>
    </row>
    <row r="174" spans="1:27" ht="13.8">
      <c r="A174" s="89"/>
      <c r="B174" s="89"/>
      <c r="C174" s="89"/>
      <c r="D174" s="89"/>
      <c r="E174" s="89"/>
      <c r="F174" s="110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  <c r="AA174" s="89"/>
    </row>
    <row r="175" spans="1:27" ht="13.8">
      <c r="A175" s="89"/>
      <c r="B175" s="89"/>
      <c r="C175" s="89"/>
      <c r="D175" s="89"/>
      <c r="E175" s="89"/>
      <c r="F175" s="110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  <c r="AA175" s="89"/>
    </row>
    <row r="176" spans="1:27" ht="13.8">
      <c r="A176" s="89"/>
      <c r="B176" s="89"/>
      <c r="C176" s="89"/>
      <c r="D176" s="89"/>
      <c r="E176" s="89"/>
      <c r="F176" s="110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  <c r="AA176" s="89"/>
    </row>
    <row r="177" spans="1:27" ht="13.8">
      <c r="A177" s="89"/>
      <c r="B177" s="89"/>
      <c r="C177" s="89"/>
      <c r="D177" s="89"/>
      <c r="E177" s="89"/>
      <c r="F177" s="110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  <c r="AA177" s="89"/>
    </row>
    <row r="178" spans="1:27" ht="13.8">
      <c r="A178" s="89"/>
      <c r="B178" s="89"/>
      <c r="C178" s="89"/>
      <c r="D178" s="89"/>
      <c r="E178" s="89"/>
      <c r="F178" s="110"/>
      <c r="G178" s="89"/>
      <c r="H178" s="89"/>
      <c r="I178" s="89"/>
      <c r="J178" s="89"/>
      <c r="K178" s="89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  <c r="AA178" s="89"/>
    </row>
    <row r="179" spans="1:27" ht="13.8">
      <c r="A179" s="89"/>
      <c r="B179" s="89"/>
      <c r="C179" s="89"/>
      <c r="D179" s="89"/>
      <c r="E179" s="89"/>
      <c r="F179" s="110"/>
      <c r="G179" s="89"/>
      <c r="H179" s="89"/>
      <c r="I179" s="89"/>
      <c r="J179" s="89"/>
      <c r="K179" s="89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  <c r="AA179" s="89"/>
    </row>
    <row r="180" spans="1:27" ht="13.8">
      <c r="A180" s="89"/>
      <c r="B180" s="89"/>
      <c r="C180" s="89"/>
      <c r="D180" s="89"/>
      <c r="E180" s="89"/>
      <c r="F180" s="110"/>
      <c r="G180" s="89"/>
      <c r="H180" s="89"/>
      <c r="I180" s="89"/>
      <c r="J180" s="89"/>
      <c r="K180" s="89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/>
      <c r="W180" s="89"/>
      <c r="X180" s="89"/>
      <c r="Y180" s="89"/>
      <c r="Z180" s="89"/>
      <c r="AA180" s="89"/>
    </row>
    <row r="181" spans="1:27" ht="13.8">
      <c r="A181" s="89"/>
      <c r="B181" s="89"/>
      <c r="C181" s="89"/>
      <c r="D181" s="89"/>
      <c r="E181" s="89"/>
      <c r="F181" s="110"/>
      <c r="G181" s="89"/>
      <c r="H181" s="89"/>
      <c r="I181" s="89"/>
      <c r="J181" s="89"/>
      <c r="K181" s="89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  <c r="AA181" s="89"/>
    </row>
    <row r="182" spans="1:27" ht="13.8">
      <c r="A182" s="89"/>
      <c r="B182" s="89"/>
      <c r="C182" s="89"/>
      <c r="D182" s="89"/>
      <c r="E182" s="89"/>
      <c r="F182" s="110"/>
      <c r="G182" s="89"/>
      <c r="H182" s="89"/>
      <c r="I182" s="89"/>
      <c r="J182" s="89"/>
      <c r="K182" s="89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  <c r="AA182" s="89"/>
    </row>
    <row r="183" spans="1:27" ht="13.8">
      <c r="A183" s="89"/>
      <c r="B183" s="89"/>
      <c r="C183" s="89"/>
      <c r="D183" s="89"/>
      <c r="E183" s="89"/>
      <c r="F183" s="110"/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  <c r="AA183" s="89"/>
    </row>
    <row r="184" spans="1:27" ht="13.8">
      <c r="A184" s="89"/>
      <c r="B184" s="89"/>
      <c r="C184" s="89"/>
      <c r="D184" s="89"/>
      <c r="E184" s="89"/>
      <c r="F184" s="110"/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  <c r="AA184" s="89"/>
    </row>
    <row r="185" spans="1:27" ht="13.8">
      <c r="A185" s="89"/>
      <c r="B185" s="89"/>
      <c r="C185" s="89"/>
      <c r="D185" s="89"/>
      <c r="E185" s="89"/>
      <c r="F185" s="110"/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</row>
    <row r="186" spans="1:27" ht="13.8">
      <c r="A186" s="89"/>
      <c r="B186" s="89"/>
      <c r="C186" s="89"/>
      <c r="D186" s="89"/>
      <c r="E186" s="89"/>
      <c r="F186" s="110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  <c r="AA186" s="89"/>
    </row>
    <row r="187" spans="1:27" ht="13.8">
      <c r="A187" s="89"/>
      <c r="B187" s="89"/>
      <c r="C187" s="89"/>
      <c r="D187" s="89"/>
      <c r="E187" s="89"/>
      <c r="F187" s="110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  <c r="AA187" s="89"/>
    </row>
    <row r="188" spans="1:27" ht="13.8">
      <c r="A188" s="89"/>
      <c r="B188" s="89"/>
      <c r="C188" s="89"/>
      <c r="D188" s="89"/>
      <c r="E188" s="89"/>
      <c r="F188" s="110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</row>
    <row r="189" spans="1:27" ht="13.8">
      <c r="A189" s="89"/>
      <c r="B189" s="89"/>
      <c r="C189" s="89"/>
      <c r="D189" s="89"/>
      <c r="E189" s="89"/>
      <c r="F189" s="110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  <c r="AA189" s="89"/>
    </row>
    <row r="190" spans="1:27" ht="13.8">
      <c r="A190" s="89"/>
      <c r="B190" s="89"/>
      <c r="C190" s="89"/>
      <c r="D190" s="89"/>
      <c r="E190" s="89"/>
      <c r="F190" s="110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  <c r="AA190" s="89"/>
    </row>
    <row r="191" spans="1:27" ht="13.8">
      <c r="A191" s="89"/>
      <c r="B191" s="89"/>
      <c r="C191" s="89"/>
      <c r="D191" s="89"/>
      <c r="E191" s="89"/>
      <c r="F191" s="110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</row>
    <row r="192" spans="1:27" ht="13.8">
      <c r="A192" s="89"/>
      <c r="B192" s="89"/>
      <c r="C192" s="89"/>
      <c r="D192" s="89"/>
      <c r="E192" s="89"/>
      <c r="F192" s="110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</row>
    <row r="193" spans="1:27" ht="13.8">
      <c r="A193" s="89"/>
      <c r="B193" s="89"/>
      <c r="C193" s="89"/>
      <c r="D193" s="89"/>
      <c r="E193" s="89"/>
      <c r="F193" s="110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</row>
    <row r="194" spans="1:27" ht="13.8">
      <c r="A194" s="89"/>
      <c r="B194" s="89"/>
      <c r="C194" s="89"/>
      <c r="D194" s="89"/>
      <c r="E194" s="89"/>
      <c r="F194" s="110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</row>
    <row r="195" spans="1:27" ht="13.8">
      <c r="A195" s="89"/>
      <c r="B195" s="89"/>
      <c r="C195" s="89"/>
      <c r="D195" s="89"/>
      <c r="E195" s="89"/>
      <c r="F195" s="110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</row>
    <row r="196" spans="1:27" ht="13.8">
      <c r="A196" s="89"/>
      <c r="B196" s="89"/>
      <c r="C196" s="89"/>
      <c r="D196" s="89"/>
      <c r="E196" s="89"/>
      <c r="F196" s="110"/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</row>
    <row r="197" spans="1:27" ht="13.8">
      <c r="A197" s="89"/>
      <c r="B197" s="89"/>
      <c r="C197" s="89"/>
      <c r="D197" s="89"/>
      <c r="E197" s="89"/>
      <c r="F197" s="110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</row>
    <row r="198" spans="1:27" ht="13.8">
      <c r="A198" s="89"/>
      <c r="B198" s="89"/>
      <c r="C198" s="89"/>
      <c r="D198" s="89"/>
      <c r="E198" s="89"/>
      <c r="F198" s="110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</row>
    <row r="199" spans="1:27" ht="13.8">
      <c r="A199" s="89"/>
      <c r="B199" s="89"/>
      <c r="C199" s="89"/>
      <c r="D199" s="89"/>
      <c r="E199" s="89"/>
      <c r="F199" s="110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</row>
    <row r="200" spans="1:27" ht="13.8">
      <c r="A200" s="89"/>
      <c r="B200" s="89"/>
      <c r="C200" s="89"/>
      <c r="D200" s="89"/>
      <c r="E200" s="89"/>
      <c r="F200" s="110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</row>
    <row r="201" spans="1:27" ht="13.8">
      <c r="A201" s="89"/>
      <c r="B201" s="89"/>
      <c r="C201" s="89"/>
      <c r="D201" s="89"/>
      <c r="E201" s="89"/>
      <c r="F201" s="110"/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</row>
    <row r="202" spans="1:27" ht="13.8">
      <c r="A202" s="89"/>
      <c r="B202" s="89"/>
      <c r="C202" s="89"/>
      <c r="D202" s="89"/>
      <c r="E202" s="89"/>
      <c r="F202" s="110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</row>
    <row r="203" spans="1:27" ht="13.8">
      <c r="A203" s="89"/>
      <c r="B203" s="89"/>
      <c r="C203" s="89"/>
      <c r="D203" s="89"/>
      <c r="E203" s="89"/>
      <c r="F203" s="110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</row>
    <row r="204" spans="1:27" ht="13.8">
      <c r="A204" s="89"/>
      <c r="B204" s="89"/>
      <c r="C204" s="89"/>
      <c r="D204" s="89"/>
      <c r="E204" s="89"/>
      <c r="F204" s="110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</row>
    <row r="205" spans="1:27" ht="13.8">
      <c r="A205" s="89"/>
      <c r="B205" s="89"/>
      <c r="C205" s="89"/>
      <c r="D205" s="89"/>
      <c r="E205" s="89"/>
      <c r="F205" s="110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</row>
    <row r="206" spans="1:27" ht="13.8">
      <c r="A206" s="89"/>
      <c r="B206" s="89"/>
      <c r="C206" s="89"/>
      <c r="D206" s="89"/>
      <c r="E206" s="89"/>
      <c r="F206" s="110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</row>
    <row r="207" spans="1:27" ht="13.8">
      <c r="A207" s="89"/>
      <c r="B207" s="89"/>
      <c r="C207" s="89"/>
      <c r="D207" s="89"/>
      <c r="E207" s="89"/>
      <c r="F207" s="110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</row>
    <row r="208" spans="1:27" ht="13.8">
      <c r="A208" s="89"/>
      <c r="B208" s="89"/>
      <c r="C208" s="89"/>
      <c r="D208" s="89"/>
      <c r="E208" s="89"/>
      <c r="F208" s="110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</row>
    <row r="209" spans="1:27" ht="13.8">
      <c r="A209" s="89"/>
      <c r="B209" s="89"/>
      <c r="C209" s="89"/>
      <c r="D209" s="89"/>
      <c r="E209" s="89"/>
      <c r="F209" s="110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</row>
    <row r="210" spans="1:27" ht="13.8">
      <c r="A210" s="89"/>
      <c r="B210" s="89"/>
      <c r="C210" s="89"/>
      <c r="D210" s="89"/>
      <c r="E210" s="89"/>
      <c r="F210" s="110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</row>
    <row r="211" spans="1:27" ht="13.8">
      <c r="A211" s="89"/>
      <c r="B211" s="89"/>
      <c r="C211" s="89"/>
      <c r="D211" s="89"/>
      <c r="E211" s="89"/>
      <c r="F211" s="110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</row>
    <row r="212" spans="1:27" ht="13.8">
      <c r="A212" s="89"/>
      <c r="B212" s="89"/>
      <c r="C212" s="89"/>
      <c r="D212" s="89"/>
      <c r="E212" s="89"/>
      <c r="F212" s="110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</row>
    <row r="213" spans="1:27" ht="13.8">
      <c r="A213" s="89"/>
      <c r="B213" s="89"/>
      <c r="C213" s="89"/>
      <c r="D213" s="89"/>
      <c r="E213" s="89"/>
      <c r="F213" s="110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</row>
    <row r="214" spans="1:27" ht="13.8">
      <c r="A214" s="89"/>
      <c r="B214" s="89"/>
      <c r="C214" s="89"/>
      <c r="D214" s="89"/>
      <c r="E214" s="89"/>
      <c r="F214" s="110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</row>
    <row r="215" spans="1:27" ht="13.8">
      <c r="A215" s="89"/>
      <c r="B215" s="89"/>
      <c r="C215" s="89"/>
      <c r="D215" s="89"/>
      <c r="E215" s="89"/>
      <c r="F215" s="110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</row>
    <row r="216" spans="1:27" ht="13.8">
      <c r="A216" s="89"/>
      <c r="B216" s="89"/>
      <c r="C216" s="89"/>
      <c r="D216" s="89"/>
      <c r="E216" s="89"/>
      <c r="F216" s="110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</row>
    <row r="217" spans="1:27" ht="13.8">
      <c r="A217" s="89"/>
      <c r="B217" s="89"/>
      <c r="C217" s="89"/>
      <c r="D217" s="89"/>
      <c r="E217" s="89"/>
      <c r="F217" s="110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</row>
    <row r="218" spans="1:27" ht="13.8">
      <c r="A218" s="89"/>
      <c r="B218" s="89"/>
      <c r="C218" s="89"/>
      <c r="D218" s="89"/>
      <c r="E218" s="89"/>
      <c r="F218" s="110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</row>
    <row r="219" spans="1:27" ht="13.8">
      <c r="A219" s="89"/>
      <c r="B219" s="89"/>
      <c r="C219" s="89"/>
      <c r="D219" s="89"/>
      <c r="E219" s="89"/>
      <c r="F219" s="110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</row>
    <row r="220" spans="1:27" ht="13.8">
      <c r="A220" s="89"/>
      <c r="B220" s="89"/>
      <c r="C220" s="89"/>
      <c r="D220" s="89"/>
      <c r="E220" s="89"/>
      <c r="F220" s="110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</row>
    <row r="221" spans="1:27" ht="13.8">
      <c r="A221" s="89"/>
      <c r="B221" s="89"/>
      <c r="C221" s="89"/>
      <c r="D221" s="89"/>
      <c r="E221" s="89"/>
      <c r="F221" s="110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</row>
    <row r="222" spans="1:27" ht="13.8">
      <c r="A222" s="89"/>
      <c r="B222" s="89"/>
      <c r="C222" s="89"/>
      <c r="D222" s="89"/>
      <c r="E222" s="89"/>
      <c r="F222" s="110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</row>
    <row r="223" spans="1:27" ht="13.8">
      <c r="A223" s="89"/>
      <c r="B223" s="89"/>
      <c r="C223" s="89"/>
      <c r="D223" s="89"/>
      <c r="E223" s="89"/>
      <c r="F223" s="110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</row>
    <row r="224" spans="1:27" ht="13.8">
      <c r="A224" s="89"/>
      <c r="B224" s="89"/>
      <c r="C224" s="89"/>
      <c r="D224" s="89"/>
      <c r="E224" s="89"/>
      <c r="F224" s="110"/>
      <c r="G224" s="89"/>
      <c r="H224" s="89"/>
      <c r="I224" s="89"/>
      <c r="J224" s="89"/>
      <c r="K224" s="89"/>
      <c r="L224" s="89"/>
      <c r="M224" s="89"/>
      <c r="N224" s="89"/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  <c r="AA224" s="89"/>
    </row>
    <row r="225" spans="1:27" ht="13.8">
      <c r="A225" s="89"/>
      <c r="B225" s="89"/>
      <c r="C225" s="89"/>
      <c r="D225" s="89"/>
      <c r="E225" s="89"/>
      <c r="F225" s="110"/>
      <c r="G225" s="89"/>
      <c r="H225" s="89"/>
      <c r="I225" s="89"/>
      <c r="J225" s="89"/>
      <c r="K225" s="89"/>
      <c r="L225" s="89"/>
      <c r="M225" s="89"/>
      <c r="N225" s="89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/>
      <c r="Z225" s="89"/>
      <c r="AA225" s="89"/>
    </row>
    <row r="226" spans="1:27" ht="13.8">
      <c r="A226" s="89"/>
      <c r="B226" s="89"/>
      <c r="C226" s="89"/>
      <c r="D226" s="89"/>
      <c r="E226" s="89"/>
      <c r="F226" s="110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</row>
    <row r="227" spans="1:27" ht="13.8">
      <c r="A227" s="89"/>
      <c r="B227" s="89"/>
      <c r="C227" s="89"/>
      <c r="D227" s="89"/>
      <c r="E227" s="89"/>
      <c r="F227" s="110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</row>
    <row r="228" spans="1:27" ht="13.8">
      <c r="A228" s="89"/>
      <c r="B228" s="89"/>
      <c r="C228" s="89"/>
      <c r="D228" s="89"/>
      <c r="E228" s="89"/>
      <c r="F228" s="110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</row>
    <row r="229" spans="1:27" ht="13.8">
      <c r="A229" s="89"/>
      <c r="B229" s="89"/>
      <c r="C229" s="89"/>
      <c r="D229" s="89"/>
      <c r="E229" s="89"/>
      <c r="F229" s="110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</row>
    <row r="230" spans="1:27" ht="13.8">
      <c r="A230" s="89"/>
      <c r="B230" s="89"/>
      <c r="C230" s="89"/>
      <c r="D230" s="89"/>
      <c r="E230" s="89"/>
      <c r="F230" s="110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</row>
    <row r="231" spans="1:27" ht="13.8">
      <c r="A231" s="89"/>
      <c r="B231" s="89"/>
      <c r="C231" s="89"/>
      <c r="D231" s="89"/>
      <c r="E231" s="89"/>
      <c r="F231" s="110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</row>
    <row r="232" spans="1:27" ht="13.8">
      <c r="A232" s="89"/>
      <c r="B232" s="89"/>
      <c r="C232" s="89"/>
      <c r="D232" s="89"/>
      <c r="E232" s="89"/>
      <c r="F232" s="110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</row>
    <row r="233" spans="1:27" ht="13.8">
      <c r="A233" s="89"/>
      <c r="B233" s="89"/>
      <c r="C233" s="89"/>
      <c r="D233" s="89"/>
      <c r="E233" s="89"/>
      <c r="F233" s="110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</row>
    <row r="234" spans="1:27" ht="13.8">
      <c r="A234" s="89"/>
      <c r="B234" s="89"/>
      <c r="C234" s="89"/>
      <c r="D234" s="89"/>
      <c r="E234" s="89"/>
      <c r="F234" s="110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</row>
    <row r="235" spans="1:27" ht="13.8">
      <c r="A235" s="89"/>
      <c r="B235" s="89"/>
      <c r="C235" s="89"/>
      <c r="D235" s="89"/>
      <c r="E235" s="89"/>
      <c r="F235" s="110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</row>
    <row r="236" spans="1:27" ht="13.8">
      <c r="A236" s="89"/>
      <c r="B236" s="89"/>
      <c r="C236" s="89"/>
      <c r="D236" s="89"/>
      <c r="E236" s="89"/>
      <c r="F236" s="110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</row>
    <row r="237" spans="1:27" ht="13.8">
      <c r="A237" s="89"/>
      <c r="B237" s="89"/>
      <c r="C237" s="89"/>
      <c r="D237" s="89"/>
      <c r="E237" s="89"/>
      <c r="F237" s="110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</row>
    <row r="238" spans="1:27" ht="13.8">
      <c r="A238" s="89"/>
      <c r="B238" s="89"/>
      <c r="C238" s="89"/>
      <c r="D238" s="89"/>
      <c r="E238" s="89"/>
      <c r="F238" s="110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</row>
    <row r="239" spans="1:27" ht="13.8">
      <c r="A239" s="89"/>
      <c r="B239" s="89"/>
      <c r="C239" s="89"/>
      <c r="D239" s="89"/>
      <c r="E239" s="89"/>
      <c r="F239" s="110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</row>
    <row r="240" spans="1:27" ht="13.8">
      <c r="A240" s="89"/>
      <c r="B240" s="89"/>
      <c r="C240" s="89"/>
      <c r="D240" s="89"/>
      <c r="E240" s="89"/>
      <c r="F240" s="110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</row>
    <row r="241" spans="1:27" ht="13.8">
      <c r="A241" s="89"/>
      <c r="B241" s="89"/>
      <c r="C241" s="89"/>
      <c r="D241" s="89"/>
      <c r="E241" s="89"/>
      <c r="F241" s="110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</row>
    <row r="242" spans="1:27" ht="13.8">
      <c r="A242" s="89"/>
      <c r="B242" s="89"/>
      <c r="C242" s="89"/>
      <c r="D242" s="89"/>
      <c r="E242" s="89"/>
      <c r="F242" s="110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</row>
    <row r="243" spans="1:27" ht="13.8">
      <c r="A243" s="89"/>
      <c r="B243" s="89"/>
      <c r="C243" s="89"/>
      <c r="D243" s="89"/>
      <c r="E243" s="89"/>
      <c r="F243" s="110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</row>
    <row r="244" spans="1:27" ht="13.8">
      <c r="A244" s="89"/>
      <c r="B244" s="89"/>
      <c r="C244" s="89"/>
      <c r="D244" s="89"/>
      <c r="E244" s="89"/>
      <c r="F244" s="110"/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</row>
    <row r="245" spans="1:27" ht="13.8">
      <c r="A245" s="89"/>
      <c r="B245" s="89"/>
      <c r="C245" s="89"/>
      <c r="D245" s="89"/>
      <c r="E245" s="89"/>
      <c r="F245" s="110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</row>
    <row r="246" spans="1:27" ht="13.8">
      <c r="A246" s="89"/>
      <c r="B246" s="89"/>
      <c r="C246" s="89"/>
      <c r="D246" s="89"/>
      <c r="E246" s="89"/>
      <c r="F246" s="110"/>
      <c r="G246" s="89"/>
      <c r="H246" s="89"/>
      <c r="I246" s="89"/>
      <c r="J246" s="89"/>
      <c r="K246" s="89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  <c r="AA246" s="89"/>
    </row>
    <row r="247" spans="1:27" ht="13.8">
      <c r="A247" s="89"/>
      <c r="B247" s="89"/>
      <c r="C247" s="89"/>
      <c r="D247" s="89"/>
      <c r="E247" s="89"/>
      <c r="F247" s="110"/>
      <c r="G247" s="89"/>
      <c r="H247" s="89"/>
      <c r="I247" s="89"/>
      <c r="J247" s="89"/>
      <c r="K247" s="89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/>
      <c r="Z247" s="89"/>
      <c r="AA247" s="89"/>
    </row>
    <row r="248" spans="1:27" ht="13.8">
      <c r="A248" s="89"/>
      <c r="B248" s="89"/>
      <c r="C248" s="89"/>
      <c r="D248" s="89"/>
      <c r="E248" s="89"/>
      <c r="F248" s="110"/>
      <c r="G248" s="89"/>
      <c r="H248" s="89"/>
      <c r="I248" s="89"/>
      <c r="J248" s="89"/>
      <c r="K248" s="89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  <c r="AA248" s="89"/>
    </row>
    <row r="249" spans="1:27" ht="13.8">
      <c r="A249" s="89"/>
      <c r="B249" s="89"/>
      <c r="C249" s="89"/>
      <c r="D249" s="89"/>
      <c r="E249" s="89"/>
      <c r="F249" s="110"/>
      <c r="G249" s="89"/>
      <c r="H249" s="89"/>
      <c r="I249" s="89"/>
      <c r="J249" s="89"/>
      <c r="K249" s="89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/>
      <c r="Z249" s="89"/>
      <c r="AA249" s="89"/>
    </row>
    <row r="250" spans="1:27" ht="13.8">
      <c r="A250" s="89"/>
      <c r="B250" s="89"/>
      <c r="C250" s="89"/>
      <c r="D250" s="89"/>
      <c r="E250" s="89"/>
      <c r="F250" s="110"/>
      <c r="G250" s="89"/>
      <c r="H250" s="89"/>
      <c r="I250" s="89"/>
      <c r="J250" s="89"/>
      <c r="K250" s="89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/>
      <c r="Z250" s="89"/>
      <c r="AA250" s="89"/>
    </row>
    <row r="251" spans="1:27" ht="13.8">
      <c r="A251" s="89"/>
      <c r="B251" s="89"/>
      <c r="C251" s="89"/>
      <c r="D251" s="89"/>
      <c r="E251" s="89"/>
      <c r="F251" s="110"/>
      <c r="G251" s="89"/>
      <c r="H251" s="89"/>
      <c r="I251" s="89"/>
      <c r="J251" s="89"/>
      <c r="K251" s="89"/>
      <c r="L251" s="89"/>
      <c r="M251" s="89"/>
      <c r="N251" s="89"/>
      <c r="O251" s="89"/>
      <c r="P251" s="89"/>
      <c r="Q251" s="89"/>
      <c r="R251" s="89"/>
      <c r="S251" s="89"/>
      <c r="T251" s="89"/>
      <c r="U251" s="89"/>
      <c r="V251" s="89"/>
      <c r="W251" s="89"/>
      <c r="X251" s="89"/>
      <c r="Y251" s="89"/>
      <c r="Z251" s="89"/>
      <c r="AA251" s="89"/>
    </row>
    <row r="252" spans="1:27" ht="13.8">
      <c r="A252" s="89"/>
      <c r="B252" s="89"/>
      <c r="C252" s="89"/>
      <c r="D252" s="89"/>
      <c r="E252" s="89"/>
      <c r="F252" s="110"/>
      <c r="G252" s="89"/>
      <c r="H252" s="89"/>
      <c r="I252" s="89"/>
      <c r="J252" s="89"/>
      <c r="K252" s="89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/>
      <c r="Z252" s="89"/>
      <c r="AA252" s="89"/>
    </row>
    <row r="253" spans="1:27" ht="13.8">
      <c r="A253" s="89"/>
      <c r="B253" s="89"/>
      <c r="C253" s="89"/>
      <c r="D253" s="89"/>
      <c r="E253" s="89"/>
      <c r="F253" s="110"/>
      <c r="G253" s="89"/>
      <c r="H253" s="89"/>
      <c r="I253" s="89"/>
      <c r="J253" s="89"/>
      <c r="K253" s="89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  <c r="AA253" s="89"/>
    </row>
    <row r="254" spans="1:27" ht="13.8">
      <c r="A254" s="89"/>
      <c r="B254" s="89"/>
      <c r="C254" s="89"/>
      <c r="D254" s="89"/>
      <c r="E254" s="89"/>
      <c r="F254" s="110"/>
      <c r="G254" s="89"/>
      <c r="H254" s="89"/>
      <c r="I254" s="89"/>
      <c r="J254" s="89"/>
      <c r="K254" s="89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  <c r="AA254" s="89"/>
    </row>
    <row r="255" spans="1:27" ht="13.8">
      <c r="A255" s="89"/>
      <c r="B255" s="89"/>
      <c r="C255" s="89"/>
      <c r="D255" s="89"/>
      <c r="E255" s="89"/>
      <c r="F255" s="110"/>
      <c r="G255" s="89"/>
      <c r="H255" s="89"/>
      <c r="I255" s="89"/>
      <c r="J255" s="89"/>
      <c r="K255" s="89"/>
      <c r="L255" s="89"/>
      <c r="M255" s="89"/>
      <c r="N255" s="89"/>
      <c r="O255" s="89"/>
      <c r="P255" s="89"/>
      <c r="Q255" s="89"/>
      <c r="R255" s="89"/>
      <c r="S255" s="89"/>
      <c r="T255" s="89"/>
      <c r="U255" s="89"/>
      <c r="V255" s="89"/>
      <c r="W255" s="89"/>
      <c r="X255" s="89"/>
      <c r="Y255" s="89"/>
      <c r="Z255" s="89"/>
      <c r="AA255" s="89"/>
    </row>
    <row r="256" spans="1:27" ht="13.8">
      <c r="A256" s="89"/>
      <c r="B256" s="89"/>
      <c r="C256" s="89"/>
      <c r="D256" s="89"/>
      <c r="E256" s="89"/>
      <c r="F256" s="110"/>
      <c r="G256" s="89"/>
      <c r="H256" s="89"/>
      <c r="I256" s="89"/>
      <c r="J256" s="89"/>
      <c r="K256" s="89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/>
      <c r="Z256" s="89"/>
      <c r="AA256" s="89"/>
    </row>
    <row r="257" spans="1:27" ht="13.8">
      <c r="A257" s="89"/>
      <c r="B257" s="89"/>
      <c r="C257" s="89"/>
      <c r="D257" s="89"/>
      <c r="E257" s="89"/>
      <c r="F257" s="110"/>
      <c r="G257" s="89"/>
      <c r="H257" s="89"/>
      <c r="I257" s="89"/>
      <c r="J257" s="89"/>
      <c r="K257" s="89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</row>
    <row r="258" spans="1:27" ht="13.8">
      <c r="A258" s="89"/>
      <c r="B258" s="89"/>
      <c r="C258" s="89"/>
      <c r="D258" s="89"/>
      <c r="E258" s="89"/>
      <c r="F258" s="110"/>
      <c r="G258" s="89"/>
      <c r="H258" s="89"/>
      <c r="I258" s="89"/>
      <c r="J258" s="89"/>
      <c r="K258" s="89"/>
      <c r="L258" s="89"/>
      <c r="M258" s="89"/>
      <c r="N258" s="89"/>
      <c r="O258" s="89"/>
      <c r="P258" s="89"/>
      <c r="Q258" s="89"/>
      <c r="R258" s="89"/>
      <c r="S258" s="89"/>
      <c r="T258" s="89"/>
      <c r="U258" s="89"/>
      <c r="V258" s="89"/>
      <c r="W258" s="89"/>
      <c r="X258" s="89"/>
      <c r="Y258" s="89"/>
      <c r="Z258" s="89"/>
      <c r="AA258" s="89"/>
    </row>
    <row r="259" spans="1:27" ht="13.8">
      <c r="A259" s="89"/>
      <c r="B259" s="89"/>
      <c r="C259" s="89"/>
      <c r="D259" s="89"/>
      <c r="E259" s="89"/>
      <c r="F259" s="110"/>
      <c r="G259" s="89"/>
      <c r="H259" s="89"/>
      <c r="I259" s="89"/>
      <c r="J259" s="89"/>
      <c r="K259" s="89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</row>
    <row r="260" spans="1:27" ht="13.8">
      <c r="A260" s="89"/>
      <c r="B260" s="89"/>
      <c r="C260" s="89"/>
      <c r="D260" s="89"/>
      <c r="E260" s="89"/>
      <c r="F260" s="110"/>
      <c r="G260" s="89"/>
      <c r="H260" s="89"/>
      <c r="I260" s="89"/>
      <c r="J260" s="89"/>
      <c r="K260" s="89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</row>
    <row r="261" spans="1:27" ht="13.8">
      <c r="A261" s="89"/>
      <c r="B261" s="89"/>
      <c r="C261" s="89"/>
      <c r="D261" s="89"/>
      <c r="E261" s="89"/>
      <c r="F261" s="110"/>
      <c r="G261" s="89"/>
      <c r="H261" s="89"/>
      <c r="I261" s="89"/>
      <c r="J261" s="89"/>
      <c r="K261" s="89"/>
      <c r="L261" s="89"/>
      <c r="M261" s="89"/>
      <c r="N261" s="89"/>
      <c r="O261" s="89"/>
      <c r="P261" s="89"/>
      <c r="Q261" s="89"/>
      <c r="R261" s="89"/>
      <c r="S261" s="89"/>
      <c r="T261" s="89"/>
      <c r="U261" s="89"/>
      <c r="V261" s="89"/>
      <c r="W261" s="89"/>
      <c r="X261" s="89"/>
      <c r="Y261" s="89"/>
      <c r="Z261" s="89"/>
      <c r="AA261" s="89"/>
    </row>
    <row r="262" spans="1:27" ht="13.8">
      <c r="A262" s="89"/>
      <c r="B262" s="89"/>
      <c r="C262" s="89"/>
      <c r="D262" s="89"/>
      <c r="E262" s="89"/>
      <c r="F262" s="110"/>
      <c r="G262" s="89"/>
      <c r="H262" s="89"/>
      <c r="I262" s="89"/>
      <c r="J262" s="89"/>
      <c r="K262" s="89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/>
      <c r="W262" s="89"/>
      <c r="X262" s="89"/>
      <c r="Y262" s="89"/>
      <c r="Z262" s="89"/>
      <c r="AA262" s="89"/>
    </row>
    <row r="263" spans="1:27" ht="13.8">
      <c r="A263" s="89"/>
      <c r="B263" s="89"/>
      <c r="C263" s="89"/>
      <c r="D263" s="89"/>
      <c r="E263" s="89"/>
      <c r="F263" s="110"/>
      <c r="G263" s="89"/>
      <c r="H263" s="89"/>
      <c r="I263" s="89"/>
      <c r="J263" s="89"/>
      <c r="K263" s="89"/>
      <c r="L263" s="89"/>
      <c r="M263" s="89"/>
      <c r="N263" s="89"/>
      <c r="O263" s="89"/>
      <c r="P263" s="89"/>
      <c r="Q263" s="89"/>
      <c r="R263" s="89"/>
      <c r="S263" s="89"/>
      <c r="T263" s="89"/>
      <c r="U263" s="89"/>
      <c r="V263" s="89"/>
      <c r="W263" s="89"/>
      <c r="X263" s="89"/>
      <c r="Y263" s="89"/>
      <c r="Z263" s="89"/>
      <c r="AA263" s="89"/>
    </row>
    <row r="264" spans="1:27" ht="13.8">
      <c r="A264" s="89"/>
      <c r="B264" s="89"/>
      <c r="C264" s="89"/>
      <c r="D264" s="89"/>
      <c r="E264" s="89"/>
      <c r="F264" s="110"/>
      <c r="G264" s="89"/>
      <c r="H264" s="89"/>
      <c r="I264" s="89"/>
      <c r="J264" s="89"/>
      <c r="K264" s="89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/>
      <c r="W264" s="89"/>
      <c r="X264" s="89"/>
      <c r="Y264" s="89"/>
      <c r="Z264" s="89"/>
      <c r="AA264" s="89"/>
    </row>
    <row r="265" spans="1:27" ht="13.8">
      <c r="A265" s="89"/>
      <c r="B265" s="89"/>
      <c r="C265" s="89"/>
      <c r="D265" s="89"/>
      <c r="E265" s="89"/>
      <c r="F265" s="110"/>
      <c r="G265" s="89"/>
      <c r="H265" s="89"/>
      <c r="I265" s="89"/>
      <c r="J265" s="89"/>
      <c r="K265" s="89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/>
      <c r="Z265" s="89"/>
      <c r="AA265" s="89"/>
    </row>
    <row r="266" spans="1:27" ht="13.8">
      <c r="A266" s="89"/>
      <c r="B266" s="89"/>
      <c r="C266" s="89"/>
      <c r="D266" s="89"/>
      <c r="E266" s="89"/>
      <c r="F266" s="110"/>
      <c r="G266" s="89"/>
      <c r="H266" s="89"/>
      <c r="I266" s="89"/>
      <c r="J266" s="89"/>
      <c r="K266" s="89"/>
      <c r="L266" s="89"/>
      <c r="M266" s="89"/>
      <c r="N266" s="89"/>
      <c r="O266" s="89"/>
      <c r="P266" s="89"/>
      <c r="Q266" s="89"/>
      <c r="R266" s="89"/>
      <c r="S266" s="89"/>
      <c r="T266" s="89"/>
      <c r="U266" s="89"/>
      <c r="V266" s="89"/>
      <c r="W266" s="89"/>
      <c r="X266" s="89"/>
      <c r="Y266" s="89"/>
      <c r="Z266" s="89"/>
      <c r="AA266" s="89"/>
    </row>
    <row r="267" spans="1:27" ht="13.8">
      <c r="A267" s="89"/>
      <c r="B267" s="89"/>
      <c r="C267" s="89"/>
      <c r="D267" s="89"/>
      <c r="E267" s="89"/>
      <c r="F267" s="110"/>
      <c r="G267" s="89"/>
      <c r="H267" s="89"/>
      <c r="I267" s="89"/>
      <c r="J267" s="89"/>
      <c r="K267" s="89"/>
      <c r="L267" s="89"/>
      <c r="M267" s="89"/>
      <c r="N267" s="89"/>
      <c r="O267" s="89"/>
      <c r="P267" s="89"/>
      <c r="Q267" s="89"/>
      <c r="R267" s="89"/>
      <c r="S267" s="89"/>
      <c r="T267" s="89"/>
      <c r="U267" s="89"/>
      <c r="V267" s="89"/>
      <c r="W267" s="89"/>
      <c r="X267" s="89"/>
      <c r="Y267" s="89"/>
      <c r="Z267" s="89"/>
      <c r="AA267" s="89"/>
    </row>
    <row r="268" spans="1:27" ht="13.8">
      <c r="A268" s="89"/>
      <c r="B268" s="89"/>
      <c r="C268" s="89"/>
      <c r="D268" s="89"/>
      <c r="E268" s="89"/>
      <c r="F268" s="110"/>
      <c r="G268" s="89"/>
      <c r="H268" s="89"/>
      <c r="I268" s="89"/>
      <c r="J268" s="89"/>
      <c r="K268" s="89"/>
      <c r="L268" s="89"/>
      <c r="M268" s="89"/>
      <c r="N268" s="89"/>
      <c r="O268" s="89"/>
      <c r="P268" s="89"/>
      <c r="Q268" s="89"/>
      <c r="R268" s="89"/>
      <c r="S268" s="89"/>
      <c r="T268" s="89"/>
      <c r="U268" s="89"/>
      <c r="V268" s="89"/>
      <c r="W268" s="89"/>
      <c r="X268" s="89"/>
      <c r="Y268" s="89"/>
      <c r="Z268" s="89"/>
      <c r="AA268" s="89"/>
    </row>
    <row r="269" spans="1:27" ht="13.8">
      <c r="A269" s="89"/>
      <c r="B269" s="89"/>
      <c r="C269" s="89"/>
      <c r="D269" s="89"/>
      <c r="E269" s="89"/>
      <c r="F269" s="110"/>
      <c r="G269" s="89"/>
      <c r="H269" s="89"/>
      <c r="I269" s="89"/>
      <c r="J269" s="89"/>
      <c r="K269" s="89"/>
      <c r="L269" s="89"/>
      <c r="M269" s="89"/>
      <c r="N269" s="89"/>
      <c r="O269" s="89"/>
      <c r="P269" s="89"/>
      <c r="Q269" s="89"/>
      <c r="R269" s="89"/>
      <c r="S269" s="89"/>
      <c r="T269" s="89"/>
      <c r="U269" s="89"/>
      <c r="V269" s="89"/>
      <c r="W269" s="89"/>
      <c r="X269" s="89"/>
      <c r="Y269" s="89"/>
      <c r="Z269" s="89"/>
      <c r="AA269" s="89"/>
    </row>
    <row r="270" spans="1:27" ht="13.8">
      <c r="A270" s="89"/>
      <c r="B270" s="89"/>
      <c r="C270" s="89"/>
      <c r="D270" s="89"/>
      <c r="E270" s="89"/>
      <c r="F270" s="110"/>
      <c r="G270" s="89"/>
      <c r="H270" s="89"/>
      <c r="I270" s="89"/>
      <c r="J270" s="89"/>
      <c r="K270" s="89"/>
      <c r="L270" s="89"/>
      <c r="M270" s="89"/>
      <c r="N270" s="89"/>
      <c r="O270" s="89"/>
      <c r="P270" s="89"/>
      <c r="Q270" s="89"/>
      <c r="R270" s="89"/>
      <c r="S270" s="89"/>
      <c r="T270" s="89"/>
      <c r="U270" s="89"/>
      <c r="V270" s="89"/>
      <c r="W270" s="89"/>
      <c r="X270" s="89"/>
      <c r="Y270" s="89"/>
      <c r="Z270" s="89"/>
      <c r="AA270" s="89"/>
    </row>
    <row r="271" spans="1:27" ht="13.8">
      <c r="A271" s="89"/>
      <c r="B271" s="89"/>
      <c r="C271" s="89"/>
      <c r="D271" s="89"/>
      <c r="E271" s="89"/>
      <c r="F271" s="110"/>
      <c r="G271" s="89"/>
      <c r="H271" s="89"/>
      <c r="I271" s="89"/>
      <c r="J271" s="89"/>
      <c r="K271" s="89"/>
      <c r="L271" s="89"/>
      <c r="M271" s="89"/>
      <c r="N271" s="89"/>
      <c r="O271" s="89"/>
      <c r="P271" s="89"/>
      <c r="Q271" s="89"/>
      <c r="R271" s="89"/>
      <c r="S271" s="89"/>
      <c r="T271" s="89"/>
      <c r="U271" s="89"/>
      <c r="V271" s="89"/>
      <c r="W271" s="89"/>
      <c r="X271" s="89"/>
      <c r="Y271" s="89"/>
      <c r="Z271" s="89"/>
      <c r="AA271" s="89"/>
    </row>
    <row r="272" spans="1:27" ht="13.8">
      <c r="A272" s="89"/>
      <c r="B272" s="89"/>
      <c r="C272" s="89"/>
      <c r="D272" s="89"/>
      <c r="E272" s="89"/>
      <c r="F272" s="110"/>
      <c r="G272" s="89"/>
      <c r="H272" s="89"/>
      <c r="I272" s="89"/>
      <c r="J272" s="89"/>
      <c r="K272" s="89"/>
      <c r="L272" s="89"/>
      <c r="M272" s="89"/>
      <c r="N272" s="89"/>
      <c r="O272" s="89"/>
      <c r="P272" s="89"/>
      <c r="Q272" s="89"/>
      <c r="R272" s="89"/>
      <c r="S272" s="89"/>
      <c r="T272" s="89"/>
      <c r="U272" s="89"/>
      <c r="V272" s="89"/>
      <c r="W272" s="89"/>
      <c r="X272" s="89"/>
      <c r="Y272" s="89"/>
      <c r="Z272" s="89"/>
      <c r="AA272" s="89"/>
    </row>
    <row r="273" spans="1:27" ht="13.8">
      <c r="A273" s="89"/>
      <c r="B273" s="89"/>
      <c r="C273" s="89"/>
      <c r="D273" s="89"/>
      <c r="E273" s="89"/>
      <c r="F273" s="110"/>
      <c r="G273" s="89"/>
      <c r="H273" s="89"/>
      <c r="I273" s="89"/>
      <c r="J273" s="89"/>
      <c r="K273" s="89"/>
      <c r="L273" s="89"/>
      <c r="M273" s="89"/>
      <c r="N273" s="89"/>
      <c r="O273" s="89"/>
      <c r="P273" s="89"/>
      <c r="Q273" s="89"/>
      <c r="R273" s="89"/>
      <c r="S273" s="89"/>
      <c r="T273" s="89"/>
      <c r="U273" s="89"/>
      <c r="V273" s="89"/>
      <c r="W273" s="89"/>
      <c r="X273" s="89"/>
      <c r="Y273" s="89"/>
      <c r="Z273" s="89"/>
      <c r="AA273" s="89"/>
    </row>
    <row r="274" spans="1:27" ht="13.8">
      <c r="A274" s="89"/>
      <c r="B274" s="89"/>
      <c r="C274" s="89"/>
      <c r="D274" s="89"/>
      <c r="E274" s="89"/>
      <c r="F274" s="110"/>
      <c r="G274" s="89"/>
      <c r="H274" s="89"/>
      <c r="I274" s="89"/>
      <c r="J274" s="89"/>
      <c r="K274" s="89"/>
      <c r="L274" s="89"/>
      <c r="M274" s="89"/>
      <c r="N274" s="89"/>
      <c r="O274" s="89"/>
      <c r="P274" s="89"/>
      <c r="Q274" s="89"/>
      <c r="R274" s="89"/>
      <c r="S274" s="89"/>
      <c r="T274" s="89"/>
      <c r="U274" s="89"/>
      <c r="V274" s="89"/>
      <c r="W274" s="89"/>
      <c r="X274" s="89"/>
      <c r="Y274" s="89"/>
      <c r="Z274" s="89"/>
      <c r="AA274" s="89"/>
    </row>
    <row r="275" spans="1:27" ht="13.8">
      <c r="A275" s="89"/>
      <c r="B275" s="89"/>
      <c r="C275" s="89"/>
      <c r="D275" s="89"/>
      <c r="E275" s="89"/>
      <c r="F275" s="110"/>
      <c r="G275" s="89"/>
      <c r="H275" s="89"/>
      <c r="I275" s="89"/>
      <c r="J275" s="89"/>
      <c r="K275" s="89"/>
      <c r="L275" s="89"/>
      <c r="M275" s="89"/>
      <c r="N275" s="89"/>
      <c r="O275" s="89"/>
      <c r="P275" s="89"/>
      <c r="Q275" s="89"/>
      <c r="R275" s="89"/>
      <c r="S275" s="89"/>
      <c r="T275" s="89"/>
      <c r="U275" s="89"/>
      <c r="V275" s="89"/>
      <c r="W275" s="89"/>
      <c r="X275" s="89"/>
      <c r="Y275" s="89"/>
      <c r="Z275" s="89"/>
      <c r="AA275" s="89"/>
    </row>
    <row r="276" spans="1:27" ht="13.8">
      <c r="A276" s="89"/>
      <c r="B276" s="89"/>
      <c r="C276" s="89"/>
      <c r="D276" s="89"/>
      <c r="E276" s="89"/>
      <c r="F276" s="110"/>
      <c r="G276" s="89"/>
      <c r="H276" s="89"/>
      <c r="I276" s="89"/>
      <c r="J276" s="89"/>
      <c r="K276" s="89"/>
      <c r="L276" s="89"/>
      <c r="M276" s="89"/>
      <c r="N276" s="89"/>
      <c r="O276" s="89"/>
      <c r="P276" s="89"/>
      <c r="Q276" s="89"/>
      <c r="R276" s="89"/>
      <c r="S276" s="89"/>
      <c r="T276" s="89"/>
      <c r="U276" s="89"/>
      <c r="V276" s="89"/>
      <c r="W276" s="89"/>
      <c r="X276" s="89"/>
      <c r="Y276" s="89"/>
      <c r="Z276" s="89"/>
      <c r="AA276" s="89"/>
    </row>
    <row r="277" spans="1:27" ht="13.8">
      <c r="A277" s="89"/>
      <c r="B277" s="89"/>
      <c r="C277" s="89"/>
      <c r="D277" s="89"/>
      <c r="E277" s="89"/>
      <c r="F277" s="110"/>
      <c r="G277" s="89"/>
      <c r="H277" s="89"/>
      <c r="I277" s="89"/>
      <c r="J277" s="89"/>
      <c r="K277" s="89"/>
      <c r="L277" s="89"/>
      <c r="M277" s="89"/>
      <c r="N277" s="89"/>
      <c r="O277" s="89"/>
      <c r="P277" s="89"/>
      <c r="Q277" s="89"/>
      <c r="R277" s="89"/>
      <c r="S277" s="89"/>
      <c r="T277" s="89"/>
      <c r="U277" s="89"/>
      <c r="V277" s="89"/>
      <c r="W277" s="89"/>
      <c r="X277" s="89"/>
      <c r="Y277" s="89"/>
      <c r="Z277" s="89"/>
      <c r="AA277" s="89"/>
    </row>
    <row r="278" spans="1:27" ht="13.8">
      <c r="A278" s="89"/>
      <c r="B278" s="89"/>
      <c r="C278" s="89"/>
      <c r="D278" s="89"/>
      <c r="E278" s="89"/>
      <c r="F278" s="110"/>
      <c r="G278" s="89"/>
      <c r="H278" s="89"/>
      <c r="I278" s="89"/>
      <c r="J278" s="89"/>
      <c r="K278" s="89"/>
      <c r="L278" s="89"/>
      <c r="M278" s="89"/>
      <c r="N278" s="89"/>
      <c r="O278" s="89"/>
      <c r="P278" s="89"/>
      <c r="Q278" s="89"/>
      <c r="R278" s="89"/>
      <c r="S278" s="89"/>
      <c r="T278" s="89"/>
      <c r="U278" s="89"/>
      <c r="V278" s="89"/>
      <c r="W278" s="89"/>
      <c r="X278" s="89"/>
      <c r="Y278" s="89"/>
      <c r="Z278" s="89"/>
      <c r="AA278" s="89"/>
    </row>
    <row r="279" spans="1:27" ht="13.8">
      <c r="A279" s="89"/>
      <c r="B279" s="89"/>
      <c r="C279" s="89"/>
      <c r="D279" s="89"/>
      <c r="E279" s="89"/>
      <c r="F279" s="110"/>
      <c r="G279" s="89"/>
      <c r="H279" s="89"/>
      <c r="I279" s="89"/>
      <c r="J279" s="89"/>
      <c r="K279" s="89"/>
      <c r="L279" s="89"/>
      <c r="M279" s="89"/>
      <c r="N279" s="89"/>
      <c r="O279" s="89"/>
      <c r="P279" s="89"/>
      <c r="Q279" s="89"/>
      <c r="R279" s="89"/>
      <c r="S279" s="89"/>
      <c r="T279" s="89"/>
      <c r="U279" s="89"/>
      <c r="V279" s="89"/>
      <c r="W279" s="89"/>
      <c r="X279" s="89"/>
      <c r="Y279" s="89"/>
      <c r="Z279" s="89"/>
      <c r="AA279" s="89"/>
    </row>
    <row r="280" spans="1:27" ht="13.8">
      <c r="A280" s="89"/>
      <c r="B280" s="89"/>
      <c r="C280" s="89"/>
      <c r="D280" s="89"/>
      <c r="E280" s="89"/>
      <c r="F280" s="110"/>
      <c r="G280" s="89"/>
      <c r="H280" s="89"/>
      <c r="I280" s="89"/>
      <c r="J280" s="89"/>
      <c r="K280" s="89"/>
      <c r="L280" s="89"/>
      <c r="M280" s="89"/>
      <c r="N280" s="89"/>
      <c r="O280" s="89"/>
      <c r="P280" s="89"/>
      <c r="Q280" s="89"/>
      <c r="R280" s="89"/>
      <c r="S280" s="89"/>
      <c r="T280" s="89"/>
      <c r="U280" s="89"/>
      <c r="V280" s="89"/>
      <c r="W280" s="89"/>
      <c r="X280" s="89"/>
      <c r="Y280" s="89"/>
      <c r="Z280" s="89"/>
      <c r="AA280" s="89"/>
    </row>
    <row r="281" spans="1:27" ht="13.8">
      <c r="A281" s="89"/>
      <c r="B281" s="89"/>
      <c r="C281" s="89"/>
      <c r="D281" s="89"/>
      <c r="E281" s="89"/>
      <c r="F281" s="110"/>
      <c r="G281" s="89"/>
      <c r="H281" s="89"/>
      <c r="I281" s="89"/>
      <c r="J281" s="89"/>
      <c r="K281" s="89"/>
      <c r="L281" s="89"/>
      <c r="M281" s="89"/>
      <c r="N281" s="89"/>
      <c r="O281" s="89"/>
      <c r="P281" s="89"/>
      <c r="Q281" s="89"/>
      <c r="R281" s="89"/>
      <c r="S281" s="89"/>
      <c r="T281" s="89"/>
      <c r="U281" s="89"/>
      <c r="V281" s="89"/>
      <c r="W281" s="89"/>
      <c r="X281" s="89"/>
      <c r="Y281" s="89"/>
      <c r="Z281" s="89"/>
      <c r="AA281" s="89"/>
    </row>
    <row r="282" spans="1:27" ht="13.8">
      <c r="A282" s="89"/>
      <c r="B282" s="89"/>
      <c r="C282" s="89"/>
      <c r="D282" s="89"/>
      <c r="E282" s="89"/>
      <c r="F282" s="110"/>
      <c r="G282" s="89"/>
      <c r="H282" s="89"/>
      <c r="I282" s="89"/>
      <c r="J282" s="89"/>
      <c r="K282" s="89"/>
      <c r="L282" s="89"/>
      <c r="M282" s="89"/>
      <c r="N282" s="89"/>
      <c r="O282" s="89"/>
      <c r="P282" s="89"/>
      <c r="Q282" s="89"/>
      <c r="R282" s="89"/>
      <c r="S282" s="89"/>
      <c r="T282" s="89"/>
      <c r="U282" s="89"/>
      <c r="V282" s="89"/>
      <c r="W282" s="89"/>
      <c r="X282" s="89"/>
      <c r="Y282" s="89"/>
      <c r="Z282" s="89"/>
      <c r="AA282" s="89"/>
    </row>
    <row r="283" spans="1:27" ht="13.8">
      <c r="A283" s="89"/>
      <c r="B283" s="89"/>
      <c r="C283" s="89"/>
      <c r="D283" s="89"/>
      <c r="E283" s="89"/>
      <c r="F283" s="110"/>
      <c r="G283" s="89"/>
      <c r="H283" s="89"/>
      <c r="I283" s="89"/>
      <c r="J283" s="89"/>
      <c r="K283" s="89"/>
      <c r="L283" s="89"/>
      <c r="M283" s="89"/>
      <c r="N283" s="89"/>
      <c r="O283" s="89"/>
      <c r="P283" s="89"/>
      <c r="Q283" s="89"/>
      <c r="R283" s="89"/>
      <c r="S283" s="89"/>
      <c r="T283" s="89"/>
      <c r="U283" s="89"/>
      <c r="V283" s="89"/>
      <c r="W283" s="89"/>
      <c r="X283" s="89"/>
      <c r="Y283" s="89"/>
      <c r="Z283" s="89"/>
      <c r="AA283" s="89"/>
    </row>
    <row r="284" spans="1:27" ht="13.8">
      <c r="A284" s="89"/>
      <c r="B284" s="89"/>
      <c r="C284" s="89"/>
      <c r="D284" s="89"/>
      <c r="E284" s="89"/>
      <c r="F284" s="110"/>
      <c r="G284" s="89"/>
      <c r="H284" s="89"/>
      <c r="I284" s="89"/>
      <c r="J284" s="89"/>
      <c r="K284" s="89"/>
      <c r="L284" s="89"/>
      <c r="M284" s="89"/>
      <c r="N284" s="89"/>
      <c r="O284" s="89"/>
      <c r="P284" s="89"/>
      <c r="Q284" s="89"/>
      <c r="R284" s="89"/>
      <c r="S284" s="89"/>
      <c r="T284" s="89"/>
      <c r="U284" s="89"/>
      <c r="V284" s="89"/>
      <c r="W284" s="89"/>
      <c r="X284" s="89"/>
      <c r="Y284" s="89"/>
      <c r="Z284" s="89"/>
      <c r="AA284" s="89"/>
    </row>
    <row r="285" spans="1:27" ht="13.8">
      <c r="A285" s="89"/>
      <c r="B285" s="89"/>
      <c r="C285" s="89"/>
      <c r="D285" s="89"/>
      <c r="E285" s="89"/>
      <c r="F285" s="110"/>
      <c r="G285" s="89"/>
      <c r="H285" s="89"/>
      <c r="I285" s="89"/>
      <c r="J285" s="89"/>
      <c r="K285" s="89"/>
      <c r="L285" s="89"/>
      <c r="M285" s="89"/>
      <c r="N285" s="89"/>
      <c r="O285" s="89"/>
      <c r="P285" s="89"/>
      <c r="Q285" s="89"/>
      <c r="R285" s="89"/>
      <c r="S285" s="89"/>
      <c r="T285" s="89"/>
      <c r="U285" s="89"/>
      <c r="V285" s="89"/>
      <c r="W285" s="89"/>
      <c r="X285" s="89"/>
      <c r="Y285" s="89"/>
      <c r="Z285" s="89"/>
      <c r="AA285" s="89"/>
    </row>
    <row r="286" spans="1:27" ht="13.8">
      <c r="A286" s="89"/>
      <c r="B286" s="89"/>
      <c r="C286" s="89"/>
      <c r="D286" s="89"/>
      <c r="E286" s="89"/>
      <c r="F286" s="110"/>
      <c r="G286" s="89"/>
      <c r="H286" s="89"/>
      <c r="I286" s="89"/>
      <c r="J286" s="89"/>
      <c r="K286" s="89"/>
      <c r="L286" s="89"/>
      <c r="M286" s="89"/>
      <c r="N286" s="89"/>
      <c r="O286" s="89"/>
      <c r="P286" s="89"/>
      <c r="Q286" s="89"/>
      <c r="R286" s="89"/>
      <c r="S286" s="89"/>
      <c r="T286" s="89"/>
      <c r="U286" s="89"/>
      <c r="V286" s="89"/>
      <c r="W286" s="89"/>
      <c r="X286" s="89"/>
      <c r="Y286" s="89"/>
      <c r="Z286" s="89"/>
      <c r="AA286" s="89"/>
    </row>
    <row r="287" spans="1:27" ht="13.8">
      <c r="A287" s="89"/>
      <c r="B287" s="89"/>
      <c r="C287" s="89"/>
      <c r="D287" s="89"/>
      <c r="E287" s="89"/>
      <c r="F287" s="110"/>
      <c r="G287" s="89"/>
      <c r="H287" s="89"/>
      <c r="I287" s="89"/>
      <c r="J287" s="89"/>
      <c r="K287" s="89"/>
      <c r="L287" s="89"/>
      <c r="M287" s="89"/>
      <c r="N287" s="89"/>
      <c r="O287" s="89"/>
      <c r="P287" s="89"/>
      <c r="Q287" s="89"/>
      <c r="R287" s="89"/>
      <c r="S287" s="89"/>
      <c r="T287" s="89"/>
      <c r="U287" s="89"/>
      <c r="V287" s="89"/>
      <c r="W287" s="89"/>
      <c r="X287" s="89"/>
      <c r="Y287" s="89"/>
      <c r="Z287" s="89"/>
      <c r="AA287" s="89"/>
    </row>
    <row r="288" spans="1:27" ht="13.8">
      <c r="A288" s="89"/>
      <c r="B288" s="89"/>
      <c r="C288" s="89"/>
      <c r="D288" s="89"/>
      <c r="E288" s="89"/>
      <c r="F288" s="110"/>
      <c r="G288" s="89"/>
      <c r="H288" s="89"/>
      <c r="I288" s="89"/>
      <c r="J288" s="89"/>
      <c r="K288" s="89"/>
      <c r="L288" s="89"/>
      <c r="M288" s="89"/>
      <c r="N288" s="89"/>
      <c r="O288" s="89"/>
      <c r="P288" s="89"/>
      <c r="Q288" s="89"/>
      <c r="R288" s="89"/>
      <c r="S288" s="89"/>
      <c r="T288" s="89"/>
      <c r="U288" s="89"/>
      <c r="V288" s="89"/>
      <c r="W288" s="89"/>
      <c r="X288" s="89"/>
      <c r="Y288" s="89"/>
      <c r="Z288" s="89"/>
      <c r="AA288" s="89"/>
    </row>
    <row r="289" spans="1:27" ht="13.8">
      <c r="A289" s="89"/>
      <c r="B289" s="89"/>
      <c r="C289" s="89"/>
      <c r="D289" s="89"/>
      <c r="E289" s="89"/>
      <c r="F289" s="110"/>
      <c r="G289" s="89"/>
      <c r="H289" s="89"/>
      <c r="I289" s="89"/>
      <c r="J289" s="89"/>
      <c r="K289" s="89"/>
      <c r="L289" s="89"/>
      <c r="M289" s="89"/>
      <c r="N289" s="89"/>
      <c r="O289" s="89"/>
      <c r="P289" s="89"/>
      <c r="Q289" s="89"/>
      <c r="R289" s="89"/>
      <c r="S289" s="89"/>
      <c r="T289" s="89"/>
      <c r="U289" s="89"/>
      <c r="V289" s="89"/>
      <c r="W289" s="89"/>
      <c r="X289" s="89"/>
      <c r="Y289" s="89"/>
      <c r="Z289" s="89"/>
      <c r="AA289" s="89"/>
    </row>
    <row r="290" spans="1:27" ht="13.8">
      <c r="A290" s="89"/>
      <c r="B290" s="89"/>
      <c r="C290" s="89"/>
      <c r="D290" s="89"/>
      <c r="E290" s="89"/>
      <c r="F290" s="110"/>
      <c r="G290" s="89"/>
      <c r="H290" s="89"/>
      <c r="I290" s="89"/>
      <c r="J290" s="89"/>
      <c r="K290" s="89"/>
      <c r="L290" s="89"/>
      <c r="M290" s="89"/>
      <c r="N290" s="89"/>
      <c r="O290" s="89"/>
      <c r="P290" s="89"/>
      <c r="Q290" s="89"/>
      <c r="R290" s="89"/>
      <c r="S290" s="89"/>
      <c r="T290" s="89"/>
      <c r="U290" s="89"/>
      <c r="V290" s="89"/>
      <c r="W290" s="89"/>
      <c r="X290" s="89"/>
      <c r="Y290" s="89"/>
      <c r="Z290" s="89"/>
      <c r="AA290" s="89"/>
    </row>
    <row r="291" spans="1:27" ht="13.8">
      <c r="A291" s="89"/>
      <c r="B291" s="89"/>
      <c r="C291" s="89"/>
      <c r="D291" s="89"/>
      <c r="E291" s="89"/>
      <c r="F291" s="110"/>
      <c r="G291" s="89"/>
      <c r="H291" s="89"/>
      <c r="I291" s="89"/>
      <c r="J291" s="89"/>
      <c r="K291" s="89"/>
      <c r="L291" s="89"/>
      <c r="M291" s="89"/>
      <c r="N291" s="89"/>
      <c r="O291" s="89"/>
      <c r="P291" s="89"/>
      <c r="Q291" s="89"/>
      <c r="R291" s="89"/>
      <c r="S291" s="89"/>
      <c r="T291" s="89"/>
      <c r="U291" s="89"/>
      <c r="V291" s="89"/>
      <c r="W291" s="89"/>
      <c r="X291" s="89"/>
      <c r="Y291" s="89"/>
      <c r="Z291" s="89"/>
      <c r="AA291" s="89"/>
    </row>
    <row r="292" spans="1:27" ht="13.8">
      <c r="A292" s="89"/>
      <c r="B292" s="89"/>
      <c r="C292" s="89"/>
      <c r="D292" s="89"/>
      <c r="E292" s="89"/>
      <c r="F292" s="110"/>
      <c r="G292" s="89"/>
      <c r="H292" s="89"/>
      <c r="I292" s="89"/>
      <c r="J292" s="89"/>
      <c r="K292" s="89"/>
      <c r="L292" s="89"/>
      <c r="M292" s="89"/>
      <c r="N292" s="89"/>
      <c r="O292" s="89"/>
      <c r="P292" s="89"/>
      <c r="Q292" s="89"/>
      <c r="R292" s="89"/>
      <c r="S292" s="89"/>
      <c r="T292" s="89"/>
      <c r="U292" s="89"/>
      <c r="V292" s="89"/>
      <c r="W292" s="89"/>
      <c r="X292" s="89"/>
      <c r="Y292" s="89"/>
      <c r="Z292" s="89"/>
      <c r="AA292" s="89"/>
    </row>
    <row r="293" spans="1:27" ht="13.8">
      <c r="A293" s="89"/>
      <c r="B293" s="89"/>
      <c r="C293" s="89"/>
      <c r="D293" s="89"/>
      <c r="E293" s="89"/>
      <c r="F293" s="110"/>
      <c r="G293" s="89"/>
      <c r="H293" s="89"/>
      <c r="I293" s="89"/>
      <c r="J293" s="89"/>
      <c r="K293" s="89"/>
      <c r="L293" s="89"/>
      <c r="M293" s="89"/>
      <c r="N293" s="89"/>
      <c r="O293" s="89"/>
      <c r="P293" s="89"/>
      <c r="Q293" s="89"/>
      <c r="R293" s="89"/>
      <c r="S293" s="89"/>
      <c r="T293" s="89"/>
      <c r="U293" s="89"/>
      <c r="V293" s="89"/>
      <c r="W293" s="89"/>
      <c r="X293" s="89"/>
      <c r="Y293" s="89"/>
      <c r="Z293" s="89"/>
      <c r="AA293" s="89"/>
    </row>
    <row r="294" spans="1:27" ht="13.8">
      <c r="A294" s="89"/>
      <c r="B294" s="89"/>
      <c r="C294" s="89"/>
      <c r="D294" s="89"/>
      <c r="E294" s="89"/>
      <c r="F294" s="110"/>
      <c r="G294" s="89"/>
      <c r="H294" s="89"/>
      <c r="I294" s="89"/>
      <c r="J294" s="89"/>
      <c r="K294" s="89"/>
      <c r="L294" s="89"/>
      <c r="M294" s="89"/>
      <c r="N294" s="89"/>
      <c r="O294" s="89"/>
      <c r="P294" s="89"/>
      <c r="Q294" s="89"/>
      <c r="R294" s="89"/>
      <c r="S294" s="89"/>
      <c r="T294" s="89"/>
      <c r="U294" s="89"/>
      <c r="V294" s="89"/>
      <c r="W294" s="89"/>
      <c r="X294" s="89"/>
      <c r="Y294" s="89"/>
      <c r="Z294" s="89"/>
      <c r="AA294" s="89"/>
    </row>
    <row r="295" spans="1:27" ht="13.8">
      <c r="A295" s="89"/>
      <c r="B295" s="89"/>
      <c r="C295" s="89"/>
      <c r="D295" s="89"/>
      <c r="E295" s="89"/>
      <c r="F295" s="110"/>
      <c r="G295" s="89"/>
      <c r="H295" s="89"/>
      <c r="I295" s="89"/>
      <c r="J295" s="89"/>
      <c r="K295" s="89"/>
      <c r="L295" s="89"/>
      <c r="M295" s="89"/>
      <c r="N295" s="89"/>
      <c r="O295" s="89"/>
      <c r="P295" s="89"/>
      <c r="Q295" s="89"/>
      <c r="R295" s="89"/>
      <c r="S295" s="89"/>
      <c r="T295" s="89"/>
      <c r="U295" s="89"/>
      <c r="V295" s="89"/>
      <c r="W295" s="89"/>
      <c r="X295" s="89"/>
      <c r="Y295" s="89"/>
      <c r="Z295" s="89"/>
      <c r="AA295" s="89"/>
    </row>
    <row r="296" spans="1:27" ht="13.8">
      <c r="A296" s="89"/>
      <c r="B296" s="89"/>
      <c r="C296" s="89"/>
      <c r="D296" s="89"/>
      <c r="E296" s="89"/>
      <c r="F296" s="110"/>
      <c r="G296" s="89"/>
      <c r="H296" s="89"/>
      <c r="I296" s="89"/>
      <c r="J296" s="89"/>
      <c r="K296" s="89"/>
      <c r="L296" s="89"/>
      <c r="M296" s="89"/>
      <c r="N296" s="89"/>
      <c r="O296" s="89"/>
      <c r="P296" s="89"/>
      <c r="Q296" s="89"/>
      <c r="R296" s="89"/>
      <c r="S296" s="89"/>
      <c r="T296" s="89"/>
      <c r="U296" s="89"/>
      <c r="V296" s="89"/>
      <c r="W296" s="89"/>
      <c r="X296" s="89"/>
      <c r="Y296" s="89"/>
      <c r="Z296" s="89"/>
      <c r="AA296" s="89"/>
    </row>
    <row r="297" spans="1:27" ht="13.8">
      <c r="A297" s="89"/>
      <c r="B297" s="89"/>
      <c r="C297" s="89"/>
      <c r="D297" s="89"/>
      <c r="E297" s="89"/>
      <c r="F297" s="110"/>
      <c r="G297" s="89"/>
      <c r="H297" s="89"/>
      <c r="I297" s="89"/>
      <c r="J297" s="89"/>
      <c r="K297" s="89"/>
      <c r="L297" s="89"/>
      <c r="M297" s="89"/>
      <c r="N297" s="89"/>
      <c r="O297" s="89"/>
      <c r="P297" s="89"/>
      <c r="Q297" s="89"/>
      <c r="R297" s="89"/>
      <c r="S297" s="89"/>
      <c r="T297" s="89"/>
      <c r="U297" s="89"/>
      <c r="V297" s="89"/>
      <c r="W297" s="89"/>
      <c r="X297" s="89"/>
      <c r="Y297" s="89"/>
      <c r="Z297" s="89"/>
      <c r="AA297" s="89"/>
    </row>
    <row r="298" spans="1:27" ht="13.8">
      <c r="A298" s="89"/>
      <c r="B298" s="89"/>
      <c r="C298" s="89"/>
      <c r="D298" s="89"/>
      <c r="E298" s="89"/>
      <c r="F298" s="110"/>
      <c r="G298" s="89"/>
      <c r="H298" s="89"/>
      <c r="I298" s="89"/>
      <c r="J298" s="89"/>
      <c r="K298" s="89"/>
      <c r="L298" s="89"/>
      <c r="M298" s="89"/>
      <c r="N298" s="89"/>
      <c r="O298" s="89"/>
      <c r="P298" s="89"/>
      <c r="Q298" s="89"/>
      <c r="R298" s="89"/>
      <c r="S298" s="89"/>
      <c r="T298" s="89"/>
      <c r="U298" s="89"/>
      <c r="V298" s="89"/>
      <c r="W298" s="89"/>
      <c r="X298" s="89"/>
      <c r="Y298" s="89"/>
      <c r="Z298" s="89"/>
      <c r="AA298" s="89"/>
    </row>
    <row r="299" spans="1:27" ht="13.8">
      <c r="A299" s="89"/>
      <c r="B299" s="89"/>
      <c r="C299" s="89"/>
      <c r="D299" s="89"/>
      <c r="E299" s="89"/>
      <c r="F299" s="110"/>
      <c r="G299" s="89"/>
      <c r="H299" s="89"/>
      <c r="I299" s="89"/>
      <c r="J299" s="89"/>
      <c r="K299" s="89"/>
      <c r="L299" s="89"/>
      <c r="M299" s="89"/>
      <c r="N299" s="89"/>
      <c r="O299" s="89"/>
      <c r="P299" s="89"/>
      <c r="Q299" s="89"/>
      <c r="R299" s="89"/>
      <c r="S299" s="89"/>
      <c r="T299" s="89"/>
      <c r="U299" s="89"/>
      <c r="V299" s="89"/>
      <c r="W299" s="89"/>
      <c r="X299" s="89"/>
      <c r="Y299" s="89"/>
      <c r="Z299" s="89"/>
      <c r="AA299" s="89"/>
    </row>
    <row r="300" spans="1:27" ht="13.8">
      <c r="A300" s="89"/>
      <c r="B300" s="89"/>
      <c r="C300" s="89"/>
      <c r="D300" s="89"/>
      <c r="E300" s="89"/>
      <c r="F300" s="110"/>
      <c r="G300" s="89"/>
      <c r="H300" s="89"/>
      <c r="I300" s="89"/>
      <c r="J300" s="89"/>
      <c r="K300" s="89"/>
      <c r="L300" s="89"/>
      <c r="M300" s="89"/>
      <c r="N300" s="89"/>
      <c r="O300" s="89"/>
      <c r="P300" s="89"/>
      <c r="Q300" s="89"/>
      <c r="R300" s="89"/>
      <c r="S300" s="89"/>
      <c r="T300" s="89"/>
      <c r="U300" s="89"/>
      <c r="V300" s="89"/>
      <c r="W300" s="89"/>
      <c r="X300" s="89"/>
      <c r="Y300" s="89"/>
      <c r="Z300" s="89"/>
      <c r="AA300" s="89"/>
    </row>
    <row r="301" spans="1:27" ht="13.8">
      <c r="A301" s="89"/>
      <c r="B301" s="89"/>
      <c r="C301" s="89"/>
      <c r="D301" s="89"/>
      <c r="E301" s="89"/>
      <c r="F301" s="110"/>
      <c r="G301" s="89"/>
      <c r="H301" s="89"/>
      <c r="I301" s="89"/>
      <c r="J301" s="89"/>
      <c r="K301" s="89"/>
      <c r="L301" s="89"/>
      <c r="M301" s="89"/>
      <c r="N301" s="89"/>
      <c r="O301" s="89"/>
      <c r="P301" s="89"/>
      <c r="Q301" s="89"/>
      <c r="R301" s="89"/>
      <c r="S301" s="89"/>
      <c r="T301" s="89"/>
      <c r="U301" s="89"/>
      <c r="V301" s="89"/>
      <c r="W301" s="89"/>
      <c r="X301" s="89"/>
      <c r="Y301" s="89"/>
      <c r="Z301" s="89"/>
      <c r="AA301" s="89"/>
    </row>
    <row r="302" spans="1:27" ht="13.8">
      <c r="A302" s="89"/>
      <c r="B302" s="89"/>
      <c r="C302" s="89"/>
      <c r="D302" s="89"/>
      <c r="E302" s="89"/>
      <c r="F302" s="110"/>
      <c r="G302" s="89"/>
      <c r="H302" s="89"/>
      <c r="I302" s="89"/>
      <c r="J302" s="89"/>
      <c r="K302" s="89"/>
      <c r="L302" s="89"/>
      <c r="M302" s="89"/>
      <c r="N302" s="89"/>
      <c r="O302" s="89"/>
      <c r="P302" s="89"/>
      <c r="Q302" s="89"/>
      <c r="R302" s="89"/>
      <c r="S302" s="89"/>
      <c r="T302" s="89"/>
      <c r="U302" s="89"/>
      <c r="V302" s="89"/>
      <c r="W302" s="89"/>
      <c r="X302" s="89"/>
      <c r="Y302" s="89"/>
      <c r="Z302" s="89"/>
      <c r="AA302" s="89"/>
    </row>
    <row r="303" spans="1:27" ht="13.8">
      <c r="A303" s="89"/>
      <c r="B303" s="89"/>
      <c r="C303" s="89"/>
      <c r="D303" s="89"/>
      <c r="E303" s="89"/>
      <c r="F303" s="110"/>
      <c r="G303" s="89"/>
      <c r="H303" s="89"/>
      <c r="I303" s="89"/>
      <c r="J303" s="89"/>
      <c r="K303" s="89"/>
      <c r="L303" s="89"/>
      <c r="M303" s="89"/>
      <c r="N303" s="89"/>
      <c r="O303" s="89"/>
      <c r="P303" s="89"/>
      <c r="Q303" s="89"/>
      <c r="R303" s="89"/>
      <c r="S303" s="89"/>
      <c r="T303" s="89"/>
      <c r="U303" s="89"/>
      <c r="V303" s="89"/>
      <c r="W303" s="89"/>
      <c r="X303" s="89"/>
      <c r="Y303" s="89"/>
      <c r="Z303" s="89"/>
      <c r="AA303" s="89"/>
    </row>
    <row r="304" spans="1:27" ht="13.8">
      <c r="A304" s="89"/>
      <c r="B304" s="89"/>
      <c r="C304" s="89"/>
      <c r="D304" s="89"/>
      <c r="E304" s="89"/>
      <c r="F304" s="110"/>
      <c r="G304" s="89"/>
      <c r="H304" s="89"/>
      <c r="I304" s="89"/>
      <c r="J304" s="89"/>
      <c r="K304" s="89"/>
      <c r="L304" s="89"/>
      <c r="M304" s="89"/>
      <c r="N304" s="89"/>
      <c r="O304" s="89"/>
      <c r="P304" s="89"/>
      <c r="Q304" s="89"/>
      <c r="R304" s="89"/>
      <c r="S304" s="89"/>
      <c r="T304" s="89"/>
      <c r="U304" s="89"/>
      <c r="V304" s="89"/>
      <c r="W304" s="89"/>
      <c r="X304" s="89"/>
      <c r="Y304" s="89"/>
      <c r="Z304" s="89"/>
      <c r="AA304" s="89"/>
    </row>
    <row r="305" spans="1:27" ht="13.8">
      <c r="A305" s="89"/>
      <c r="B305" s="89"/>
      <c r="C305" s="89"/>
      <c r="D305" s="89"/>
      <c r="E305" s="89"/>
      <c r="F305" s="110"/>
      <c r="G305" s="89"/>
      <c r="H305" s="89"/>
      <c r="I305" s="89"/>
      <c r="J305" s="89"/>
      <c r="K305" s="89"/>
      <c r="L305" s="89"/>
      <c r="M305" s="89"/>
      <c r="N305" s="89"/>
      <c r="O305" s="89"/>
      <c r="P305" s="89"/>
      <c r="Q305" s="89"/>
      <c r="R305" s="89"/>
      <c r="S305" s="89"/>
      <c r="T305" s="89"/>
      <c r="U305" s="89"/>
      <c r="V305" s="89"/>
      <c r="W305" s="89"/>
      <c r="X305" s="89"/>
      <c r="Y305" s="89"/>
      <c r="Z305" s="89"/>
      <c r="AA305" s="89"/>
    </row>
    <row r="306" spans="1:27" ht="13.8">
      <c r="A306" s="89"/>
      <c r="B306" s="89"/>
      <c r="C306" s="89"/>
      <c r="D306" s="89"/>
      <c r="E306" s="89"/>
      <c r="F306" s="110"/>
      <c r="G306" s="89"/>
      <c r="H306" s="89"/>
      <c r="I306" s="89"/>
      <c r="J306" s="89"/>
      <c r="K306" s="89"/>
      <c r="L306" s="89"/>
      <c r="M306" s="89"/>
      <c r="N306" s="89"/>
      <c r="O306" s="89"/>
      <c r="P306" s="89"/>
      <c r="Q306" s="89"/>
      <c r="R306" s="89"/>
      <c r="S306" s="89"/>
      <c r="T306" s="89"/>
      <c r="U306" s="89"/>
      <c r="V306" s="89"/>
      <c r="W306" s="89"/>
      <c r="X306" s="89"/>
      <c r="Y306" s="89"/>
      <c r="Z306" s="89"/>
      <c r="AA306" s="89"/>
    </row>
    <row r="307" spans="1:27" ht="13.8">
      <c r="A307" s="89"/>
      <c r="B307" s="89"/>
      <c r="C307" s="89"/>
      <c r="D307" s="89"/>
      <c r="E307" s="89"/>
      <c r="F307" s="110"/>
      <c r="G307" s="89"/>
      <c r="H307" s="89"/>
      <c r="I307" s="89"/>
      <c r="J307" s="89"/>
      <c r="K307" s="89"/>
      <c r="L307" s="89"/>
      <c r="M307" s="89"/>
      <c r="N307" s="89"/>
      <c r="O307" s="89"/>
      <c r="P307" s="89"/>
      <c r="Q307" s="89"/>
      <c r="R307" s="89"/>
      <c r="S307" s="89"/>
      <c r="T307" s="89"/>
      <c r="U307" s="89"/>
      <c r="V307" s="89"/>
      <c r="W307" s="89"/>
      <c r="X307" s="89"/>
      <c r="Y307" s="89"/>
      <c r="Z307" s="89"/>
      <c r="AA307" s="89"/>
    </row>
    <row r="308" spans="1:27" ht="13.8">
      <c r="A308" s="89"/>
      <c r="B308" s="89"/>
      <c r="C308" s="89"/>
      <c r="D308" s="89"/>
      <c r="E308" s="89"/>
      <c r="F308" s="110"/>
      <c r="G308" s="89"/>
      <c r="H308" s="89"/>
      <c r="I308" s="89"/>
      <c r="J308" s="89"/>
      <c r="K308" s="89"/>
      <c r="L308" s="89"/>
      <c r="M308" s="89"/>
      <c r="N308" s="89"/>
      <c r="O308" s="89"/>
      <c r="P308" s="89"/>
      <c r="Q308" s="89"/>
      <c r="R308" s="89"/>
      <c r="S308" s="89"/>
      <c r="T308" s="89"/>
      <c r="U308" s="89"/>
      <c r="V308" s="89"/>
      <c r="W308" s="89"/>
      <c r="X308" s="89"/>
      <c r="Y308" s="89"/>
      <c r="Z308" s="89"/>
      <c r="AA308" s="89"/>
    </row>
    <row r="309" spans="1:27" ht="13.8">
      <c r="A309" s="89"/>
      <c r="B309" s="89"/>
      <c r="C309" s="89"/>
      <c r="D309" s="89"/>
      <c r="E309" s="89"/>
      <c r="F309" s="110"/>
      <c r="G309" s="89"/>
      <c r="H309" s="89"/>
      <c r="I309" s="89"/>
      <c r="J309" s="89"/>
      <c r="K309" s="89"/>
      <c r="L309" s="89"/>
      <c r="M309" s="89"/>
      <c r="N309" s="89"/>
      <c r="O309" s="89"/>
      <c r="P309" s="89"/>
      <c r="Q309" s="89"/>
      <c r="R309" s="89"/>
      <c r="S309" s="89"/>
      <c r="T309" s="89"/>
      <c r="U309" s="89"/>
      <c r="V309" s="89"/>
      <c r="W309" s="89"/>
      <c r="X309" s="89"/>
      <c r="Y309" s="89"/>
      <c r="Z309" s="89"/>
      <c r="AA309" s="89"/>
    </row>
    <row r="310" spans="1:27" ht="13.8">
      <c r="A310" s="89"/>
      <c r="B310" s="89"/>
      <c r="C310" s="89"/>
      <c r="D310" s="89"/>
      <c r="E310" s="89"/>
      <c r="F310" s="110"/>
      <c r="G310" s="89"/>
      <c r="H310" s="89"/>
      <c r="I310" s="89"/>
      <c r="J310" s="89"/>
      <c r="K310" s="89"/>
      <c r="L310" s="89"/>
      <c r="M310" s="89"/>
      <c r="N310" s="89"/>
      <c r="O310" s="89"/>
      <c r="P310" s="89"/>
      <c r="Q310" s="89"/>
      <c r="R310" s="89"/>
      <c r="S310" s="89"/>
      <c r="T310" s="89"/>
      <c r="U310" s="89"/>
      <c r="V310" s="89"/>
      <c r="W310" s="89"/>
      <c r="X310" s="89"/>
      <c r="Y310" s="89"/>
      <c r="Z310" s="89"/>
      <c r="AA310" s="89"/>
    </row>
    <row r="311" spans="1:27" ht="13.8">
      <c r="A311" s="89"/>
      <c r="B311" s="89"/>
      <c r="C311" s="89"/>
      <c r="D311" s="89"/>
      <c r="E311" s="89"/>
      <c r="F311" s="110"/>
      <c r="G311" s="89"/>
      <c r="H311" s="89"/>
      <c r="I311" s="89"/>
      <c r="J311" s="89"/>
      <c r="K311" s="89"/>
      <c r="L311" s="89"/>
      <c r="M311" s="89"/>
      <c r="N311" s="89"/>
      <c r="O311" s="89"/>
      <c r="P311" s="89"/>
      <c r="Q311" s="89"/>
      <c r="R311" s="89"/>
      <c r="S311" s="89"/>
      <c r="T311" s="89"/>
      <c r="U311" s="89"/>
      <c r="V311" s="89"/>
      <c r="W311" s="89"/>
      <c r="X311" s="89"/>
      <c r="Y311" s="89"/>
      <c r="Z311" s="89"/>
      <c r="AA311" s="89"/>
    </row>
    <row r="312" spans="1:27" ht="13.8">
      <c r="A312" s="89"/>
      <c r="B312" s="89"/>
      <c r="C312" s="89"/>
      <c r="D312" s="89"/>
      <c r="E312" s="89"/>
      <c r="F312" s="110"/>
      <c r="G312" s="89"/>
      <c r="H312" s="89"/>
      <c r="I312" s="89"/>
      <c r="J312" s="89"/>
      <c r="K312" s="89"/>
      <c r="L312" s="89"/>
      <c r="M312" s="89"/>
      <c r="N312" s="89"/>
      <c r="O312" s="89"/>
      <c r="P312" s="89"/>
      <c r="Q312" s="89"/>
      <c r="R312" s="89"/>
      <c r="S312" s="89"/>
      <c r="T312" s="89"/>
      <c r="U312" s="89"/>
      <c r="V312" s="89"/>
      <c r="W312" s="89"/>
      <c r="X312" s="89"/>
      <c r="Y312" s="89"/>
      <c r="Z312" s="89"/>
      <c r="AA312" s="89"/>
    </row>
    <row r="313" spans="1:27" ht="13.8">
      <c r="A313" s="89"/>
      <c r="B313" s="89"/>
      <c r="C313" s="89"/>
      <c r="D313" s="89"/>
      <c r="E313" s="89"/>
      <c r="F313" s="110"/>
      <c r="G313" s="89"/>
      <c r="H313" s="89"/>
      <c r="I313" s="89"/>
      <c r="J313" s="89"/>
      <c r="K313" s="89"/>
      <c r="L313" s="89"/>
      <c r="M313" s="89"/>
      <c r="N313" s="89"/>
      <c r="O313" s="89"/>
      <c r="P313" s="89"/>
      <c r="Q313" s="89"/>
      <c r="R313" s="89"/>
      <c r="S313" s="89"/>
      <c r="T313" s="89"/>
      <c r="U313" s="89"/>
      <c r="V313" s="89"/>
      <c r="W313" s="89"/>
      <c r="X313" s="89"/>
      <c r="Y313" s="89"/>
      <c r="Z313" s="89"/>
      <c r="AA313" s="89"/>
    </row>
    <row r="314" spans="1:27" ht="13.8">
      <c r="A314" s="89"/>
      <c r="B314" s="89"/>
      <c r="C314" s="89"/>
      <c r="D314" s="89"/>
      <c r="E314" s="89"/>
      <c r="F314" s="110"/>
      <c r="G314" s="89"/>
      <c r="H314" s="89"/>
      <c r="I314" s="89"/>
      <c r="J314" s="89"/>
      <c r="K314" s="89"/>
      <c r="L314" s="89"/>
      <c r="M314" s="89"/>
      <c r="N314" s="89"/>
      <c r="O314" s="89"/>
      <c r="P314" s="89"/>
      <c r="Q314" s="89"/>
      <c r="R314" s="89"/>
      <c r="S314" s="89"/>
      <c r="T314" s="89"/>
      <c r="U314" s="89"/>
      <c r="V314" s="89"/>
      <c r="W314" s="89"/>
      <c r="X314" s="89"/>
      <c r="Y314" s="89"/>
      <c r="Z314" s="89"/>
      <c r="AA314" s="89"/>
    </row>
    <row r="315" spans="1:27" ht="13.8">
      <c r="A315" s="89"/>
      <c r="B315" s="89"/>
      <c r="C315" s="89"/>
      <c r="D315" s="89"/>
      <c r="E315" s="89"/>
      <c r="F315" s="110"/>
      <c r="G315" s="89"/>
      <c r="H315" s="89"/>
      <c r="I315" s="89"/>
      <c r="J315" s="89"/>
      <c r="K315" s="89"/>
      <c r="L315" s="89"/>
      <c r="M315" s="89"/>
      <c r="N315" s="89"/>
      <c r="O315" s="89"/>
      <c r="P315" s="89"/>
      <c r="Q315" s="89"/>
      <c r="R315" s="89"/>
      <c r="S315" s="89"/>
      <c r="T315" s="89"/>
      <c r="U315" s="89"/>
      <c r="V315" s="89"/>
      <c r="W315" s="89"/>
      <c r="X315" s="89"/>
      <c r="Y315" s="89"/>
      <c r="Z315" s="89"/>
      <c r="AA315" s="89"/>
    </row>
    <row r="316" spans="1:27" ht="13.8">
      <c r="A316" s="89"/>
      <c r="B316" s="89"/>
      <c r="C316" s="89"/>
      <c r="D316" s="89"/>
      <c r="E316" s="89"/>
      <c r="F316" s="110"/>
      <c r="G316" s="89"/>
      <c r="H316" s="89"/>
      <c r="I316" s="89"/>
      <c r="J316" s="89"/>
      <c r="K316" s="89"/>
      <c r="L316" s="89"/>
      <c r="M316" s="89"/>
      <c r="N316" s="89"/>
      <c r="O316" s="89"/>
      <c r="P316" s="89"/>
      <c r="Q316" s="89"/>
      <c r="R316" s="89"/>
      <c r="S316" s="89"/>
      <c r="T316" s="89"/>
      <c r="U316" s="89"/>
      <c r="V316" s="89"/>
      <c r="W316" s="89"/>
      <c r="X316" s="89"/>
      <c r="Y316" s="89"/>
      <c r="Z316" s="89"/>
      <c r="AA316" s="89"/>
    </row>
    <row r="317" spans="1:27" ht="13.8">
      <c r="A317" s="89"/>
      <c r="B317" s="89"/>
      <c r="C317" s="89"/>
      <c r="D317" s="89"/>
      <c r="E317" s="89"/>
      <c r="F317" s="110"/>
      <c r="G317" s="89"/>
      <c r="H317" s="89"/>
      <c r="I317" s="89"/>
      <c r="J317" s="89"/>
      <c r="K317" s="89"/>
      <c r="L317" s="89"/>
      <c r="M317" s="89"/>
      <c r="N317" s="89"/>
      <c r="O317" s="89"/>
      <c r="P317" s="89"/>
      <c r="Q317" s="89"/>
      <c r="R317" s="89"/>
      <c r="S317" s="89"/>
      <c r="T317" s="89"/>
      <c r="U317" s="89"/>
      <c r="V317" s="89"/>
      <c r="W317" s="89"/>
      <c r="X317" s="89"/>
      <c r="Y317" s="89"/>
      <c r="Z317" s="89"/>
      <c r="AA317" s="89"/>
    </row>
    <row r="318" spans="1:27" ht="13.8">
      <c r="A318" s="89"/>
      <c r="B318" s="89"/>
      <c r="C318" s="89"/>
      <c r="D318" s="89"/>
      <c r="E318" s="89"/>
      <c r="F318" s="110"/>
      <c r="G318" s="89"/>
      <c r="H318" s="89"/>
      <c r="I318" s="89"/>
      <c r="J318" s="89"/>
      <c r="K318" s="89"/>
      <c r="L318" s="89"/>
      <c r="M318" s="89"/>
      <c r="N318" s="89"/>
      <c r="O318" s="89"/>
      <c r="P318" s="89"/>
      <c r="Q318" s="89"/>
      <c r="R318" s="89"/>
      <c r="S318" s="89"/>
      <c r="T318" s="89"/>
      <c r="U318" s="89"/>
      <c r="V318" s="89"/>
      <c r="W318" s="89"/>
      <c r="X318" s="89"/>
      <c r="Y318" s="89"/>
      <c r="Z318" s="89"/>
      <c r="AA318" s="89"/>
    </row>
    <row r="319" spans="1:27" ht="13.8">
      <c r="A319" s="89"/>
      <c r="B319" s="89"/>
      <c r="C319" s="89"/>
      <c r="D319" s="89"/>
      <c r="E319" s="89"/>
      <c r="F319" s="110"/>
      <c r="G319" s="89"/>
      <c r="H319" s="89"/>
      <c r="I319" s="89"/>
      <c r="J319" s="89"/>
      <c r="K319" s="89"/>
      <c r="L319" s="89"/>
      <c r="M319" s="89"/>
      <c r="N319" s="89"/>
      <c r="O319" s="89"/>
      <c r="P319" s="89"/>
      <c r="Q319" s="89"/>
      <c r="R319" s="89"/>
      <c r="S319" s="89"/>
      <c r="T319" s="89"/>
      <c r="U319" s="89"/>
      <c r="V319" s="89"/>
      <c r="W319" s="89"/>
      <c r="X319" s="89"/>
      <c r="Y319" s="89"/>
      <c r="Z319" s="89"/>
      <c r="AA319" s="89"/>
    </row>
    <row r="320" spans="1:27" ht="13.8">
      <c r="A320" s="89"/>
      <c r="B320" s="89"/>
      <c r="C320" s="89"/>
      <c r="D320" s="89"/>
      <c r="E320" s="89"/>
      <c r="F320" s="110"/>
      <c r="G320" s="89"/>
      <c r="H320" s="89"/>
      <c r="I320" s="89"/>
      <c r="J320" s="89"/>
      <c r="K320" s="89"/>
      <c r="L320" s="89"/>
      <c r="M320" s="89"/>
      <c r="N320" s="89"/>
      <c r="O320" s="89"/>
      <c r="P320" s="89"/>
      <c r="Q320" s="89"/>
      <c r="R320" s="89"/>
      <c r="S320" s="89"/>
      <c r="T320" s="89"/>
      <c r="U320" s="89"/>
      <c r="V320" s="89"/>
      <c r="W320" s="89"/>
      <c r="X320" s="89"/>
      <c r="Y320" s="89"/>
      <c r="Z320" s="89"/>
      <c r="AA320" s="89"/>
    </row>
    <row r="321" spans="1:27" ht="13.8">
      <c r="A321" s="89"/>
      <c r="B321" s="89"/>
      <c r="C321" s="89"/>
      <c r="D321" s="89"/>
      <c r="E321" s="89"/>
      <c r="F321" s="110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</row>
    <row r="322" spans="1:27" ht="13.8">
      <c r="A322" s="89"/>
      <c r="B322" s="89"/>
      <c r="C322" s="89"/>
      <c r="D322" s="89"/>
      <c r="E322" s="89"/>
      <c r="F322" s="110"/>
      <c r="G322" s="89"/>
      <c r="H322" s="89"/>
      <c r="I322" s="89"/>
      <c r="J322" s="89"/>
      <c r="K322" s="89"/>
      <c r="L322" s="89"/>
      <c r="M322" s="89"/>
      <c r="N322" s="89"/>
      <c r="O322" s="89"/>
      <c r="P322" s="89"/>
      <c r="Q322" s="89"/>
      <c r="R322" s="89"/>
      <c r="S322" s="89"/>
      <c r="T322" s="89"/>
      <c r="U322" s="89"/>
      <c r="V322" s="89"/>
      <c r="W322" s="89"/>
      <c r="X322" s="89"/>
      <c r="Y322" s="89"/>
      <c r="Z322" s="89"/>
      <c r="AA322" s="89"/>
    </row>
    <row r="323" spans="1:27" ht="13.8">
      <c r="A323" s="89"/>
      <c r="B323" s="89"/>
      <c r="C323" s="89"/>
      <c r="D323" s="89"/>
      <c r="E323" s="89"/>
      <c r="F323" s="110"/>
      <c r="G323" s="89"/>
      <c r="H323" s="89"/>
      <c r="I323" s="89"/>
      <c r="J323" s="89"/>
      <c r="K323" s="89"/>
      <c r="L323" s="89"/>
      <c r="M323" s="89"/>
      <c r="N323" s="89"/>
      <c r="O323" s="89"/>
      <c r="P323" s="89"/>
      <c r="Q323" s="89"/>
      <c r="R323" s="89"/>
      <c r="S323" s="89"/>
      <c r="T323" s="89"/>
      <c r="U323" s="89"/>
      <c r="V323" s="89"/>
      <c r="W323" s="89"/>
      <c r="X323" s="89"/>
      <c r="Y323" s="89"/>
      <c r="Z323" s="89"/>
      <c r="AA323" s="89"/>
    </row>
    <row r="324" spans="1:27" ht="13.8">
      <c r="A324" s="89"/>
      <c r="B324" s="89"/>
      <c r="C324" s="89"/>
      <c r="D324" s="89"/>
      <c r="E324" s="89"/>
      <c r="F324" s="110"/>
      <c r="G324" s="89"/>
      <c r="H324" s="89"/>
      <c r="I324" s="89"/>
      <c r="J324" s="89"/>
      <c r="K324" s="89"/>
      <c r="L324" s="89"/>
      <c r="M324" s="89"/>
      <c r="N324" s="89"/>
      <c r="O324" s="89"/>
      <c r="P324" s="89"/>
      <c r="Q324" s="89"/>
      <c r="R324" s="89"/>
      <c r="S324" s="89"/>
      <c r="T324" s="89"/>
      <c r="U324" s="89"/>
      <c r="V324" s="89"/>
      <c r="W324" s="89"/>
      <c r="X324" s="89"/>
      <c r="Y324" s="89"/>
      <c r="Z324" s="89"/>
      <c r="AA324" s="89"/>
    </row>
    <row r="325" spans="1:27" ht="13.8">
      <c r="A325" s="89"/>
      <c r="B325" s="89"/>
      <c r="C325" s="89"/>
      <c r="D325" s="89"/>
      <c r="E325" s="89"/>
      <c r="F325" s="110"/>
      <c r="G325" s="89"/>
      <c r="H325" s="89"/>
      <c r="I325" s="89"/>
      <c r="J325" s="89"/>
      <c r="K325" s="89"/>
      <c r="L325" s="89"/>
      <c r="M325" s="89"/>
      <c r="N325" s="89"/>
      <c r="O325" s="89"/>
      <c r="P325" s="89"/>
      <c r="Q325" s="89"/>
      <c r="R325" s="89"/>
      <c r="S325" s="89"/>
      <c r="T325" s="89"/>
      <c r="U325" s="89"/>
      <c r="V325" s="89"/>
      <c r="W325" s="89"/>
      <c r="X325" s="89"/>
      <c r="Y325" s="89"/>
      <c r="Z325" s="89"/>
      <c r="AA325" s="89"/>
    </row>
    <row r="326" spans="1:27" ht="13.8">
      <c r="A326" s="89"/>
      <c r="B326" s="89"/>
      <c r="C326" s="89"/>
      <c r="D326" s="89"/>
      <c r="E326" s="89"/>
      <c r="F326" s="110"/>
      <c r="G326" s="89"/>
      <c r="H326" s="89"/>
      <c r="I326" s="89"/>
      <c r="J326" s="89"/>
      <c r="K326" s="89"/>
      <c r="L326" s="89"/>
      <c r="M326" s="89"/>
      <c r="N326" s="89"/>
      <c r="O326" s="89"/>
      <c r="P326" s="89"/>
      <c r="Q326" s="89"/>
      <c r="R326" s="89"/>
      <c r="S326" s="89"/>
      <c r="T326" s="89"/>
      <c r="U326" s="89"/>
      <c r="V326" s="89"/>
      <c r="W326" s="89"/>
      <c r="X326" s="89"/>
      <c r="Y326" s="89"/>
      <c r="Z326" s="89"/>
      <c r="AA326" s="89"/>
    </row>
    <row r="327" spans="1:27" ht="13.8">
      <c r="A327" s="89"/>
      <c r="B327" s="89"/>
      <c r="C327" s="89"/>
      <c r="D327" s="89"/>
      <c r="E327" s="89"/>
      <c r="F327" s="110"/>
      <c r="G327" s="89"/>
      <c r="H327" s="89"/>
      <c r="I327" s="89"/>
      <c r="J327" s="89"/>
      <c r="K327" s="89"/>
      <c r="L327" s="89"/>
      <c r="M327" s="89"/>
      <c r="N327" s="89"/>
      <c r="O327" s="89"/>
      <c r="P327" s="89"/>
      <c r="Q327" s="89"/>
      <c r="R327" s="89"/>
      <c r="S327" s="89"/>
      <c r="T327" s="89"/>
      <c r="U327" s="89"/>
      <c r="V327" s="89"/>
      <c r="W327" s="89"/>
      <c r="X327" s="89"/>
      <c r="Y327" s="89"/>
      <c r="Z327" s="89"/>
      <c r="AA327" s="89"/>
    </row>
    <row r="328" spans="1:27" ht="13.8">
      <c r="A328" s="89"/>
      <c r="B328" s="89"/>
      <c r="C328" s="89"/>
      <c r="D328" s="89"/>
      <c r="E328" s="89"/>
      <c r="F328" s="110"/>
      <c r="G328" s="89"/>
      <c r="H328" s="89"/>
      <c r="I328" s="89"/>
      <c r="J328" s="89"/>
      <c r="K328" s="89"/>
      <c r="L328" s="89"/>
      <c r="M328" s="89"/>
      <c r="N328" s="89"/>
      <c r="O328" s="89"/>
      <c r="P328" s="89"/>
      <c r="Q328" s="89"/>
      <c r="R328" s="89"/>
      <c r="S328" s="89"/>
      <c r="T328" s="89"/>
      <c r="U328" s="89"/>
      <c r="V328" s="89"/>
      <c r="W328" s="89"/>
      <c r="X328" s="89"/>
      <c r="Y328" s="89"/>
      <c r="Z328" s="89"/>
      <c r="AA328" s="89"/>
    </row>
    <row r="329" spans="1:27" ht="13.8">
      <c r="A329" s="89"/>
      <c r="B329" s="89"/>
      <c r="C329" s="89"/>
      <c r="D329" s="89"/>
      <c r="E329" s="89"/>
      <c r="F329" s="110"/>
      <c r="G329" s="89"/>
      <c r="H329" s="89"/>
      <c r="I329" s="89"/>
      <c r="J329" s="89"/>
      <c r="K329" s="89"/>
      <c r="L329" s="89"/>
      <c r="M329" s="89"/>
      <c r="N329" s="89"/>
      <c r="O329" s="89"/>
      <c r="P329" s="89"/>
      <c r="Q329" s="89"/>
      <c r="R329" s="89"/>
      <c r="S329" s="89"/>
      <c r="T329" s="89"/>
      <c r="U329" s="89"/>
      <c r="V329" s="89"/>
      <c r="W329" s="89"/>
      <c r="X329" s="89"/>
      <c r="Y329" s="89"/>
      <c r="Z329" s="89"/>
      <c r="AA329" s="89"/>
    </row>
    <row r="330" spans="1:27" ht="13.8">
      <c r="A330" s="89"/>
      <c r="B330" s="89"/>
      <c r="C330" s="89"/>
      <c r="D330" s="89"/>
      <c r="E330" s="89"/>
      <c r="F330" s="110"/>
      <c r="G330" s="89"/>
      <c r="H330" s="89"/>
      <c r="I330" s="89"/>
      <c r="J330" s="89"/>
      <c r="K330" s="89"/>
      <c r="L330" s="89"/>
      <c r="M330" s="89"/>
      <c r="N330" s="89"/>
      <c r="O330" s="89"/>
      <c r="P330" s="89"/>
      <c r="Q330" s="89"/>
      <c r="R330" s="89"/>
      <c r="S330" s="89"/>
      <c r="T330" s="89"/>
      <c r="U330" s="89"/>
      <c r="V330" s="89"/>
      <c r="W330" s="89"/>
      <c r="X330" s="89"/>
      <c r="Y330" s="89"/>
      <c r="Z330" s="89"/>
      <c r="AA330" s="89"/>
    </row>
    <row r="331" spans="1:27" ht="13.8">
      <c r="A331" s="89"/>
      <c r="B331" s="89"/>
      <c r="C331" s="89"/>
      <c r="D331" s="89"/>
      <c r="E331" s="89"/>
      <c r="F331" s="110"/>
      <c r="G331" s="89"/>
      <c r="H331" s="89"/>
      <c r="I331" s="89"/>
      <c r="J331" s="89"/>
      <c r="K331" s="89"/>
      <c r="L331" s="89"/>
      <c r="M331" s="89"/>
      <c r="N331" s="89"/>
      <c r="O331" s="89"/>
      <c r="P331" s="89"/>
      <c r="Q331" s="89"/>
      <c r="R331" s="89"/>
      <c r="S331" s="89"/>
      <c r="T331" s="89"/>
      <c r="U331" s="89"/>
      <c r="V331" s="89"/>
      <c r="W331" s="89"/>
      <c r="X331" s="89"/>
      <c r="Y331" s="89"/>
      <c r="Z331" s="89"/>
      <c r="AA331" s="89"/>
    </row>
    <row r="332" spans="1:27" ht="13.8">
      <c r="A332" s="89"/>
      <c r="B332" s="89"/>
      <c r="C332" s="89"/>
      <c r="D332" s="89"/>
      <c r="E332" s="89"/>
      <c r="F332" s="110"/>
      <c r="G332" s="89"/>
      <c r="H332" s="89"/>
      <c r="I332" s="89"/>
      <c r="J332" s="89"/>
      <c r="K332" s="89"/>
      <c r="L332" s="89"/>
      <c r="M332" s="89"/>
      <c r="N332" s="89"/>
      <c r="O332" s="89"/>
      <c r="P332" s="89"/>
      <c r="Q332" s="89"/>
      <c r="R332" s="89"/>
      <c r="S332" s="89"/>
      <c r="T332" s="89"/>
      <c r="U332" s="89"/>
      <c r="V332" s="89"/>
      <c r="W332" s="89"/>
      <c r="X332" s="89"/>
      <c r="Y332" s="89"/>
      <c r="Z332" s="89"/>
      <c r="AA332" s="89"/>
    </row>
    <row r="333" spans="1:27" ht="13.8">
      <c r="A333" s="89"/>
      <c r="B333" s="89"/>
      <c r="C333" s="89"/>
      <c r="D333" s="89"/>
      <c r="E333" s="89"/>
      <c r="F333" s="110"/>
      <c r="G333" s="89"/>
      <c r="H333" s="89"/>
      <c r="I333" s="89"/>
      <c r="J333" s="89"/>
      <c r="K333" s="89"/>
      <c r="L333" s="89"/>
      <c r="M333" s="89"/>
      <c r="N333" s="89"/>
      <c r="O333" s="89"/>
      <c r="P333" s="89"/>
      <c r="Q333" s="89"/>
      <c r="R333" s="89"/>
      <c r="S333" s="89"/>
      <c r="T333" s="89"/>
      <c r="U333" s="89"/>
      <c r="V333" s="89"/>
      <c r="W333" s="89"/>
      <c r="X333" s="89"/>
      <c r="Y333" s="89"/>
      <c r="Z333" s="89"/>
      <c r="AA333" s="89"/>
    </row>
    <row r="334" spans="1:27" ht="13.8">
      <c r="A334" s="89"/>
      <c r="B334" s="89"/>
      <c r="C334" s="89"/>
      <c r="D334" s="89"/>
      <c r="E334" s="89"/>
      <c r="F334" s="110"/>
      <c r="G334" s="89"/>
      <c r="H334" s="89"/>
      <c r="I334" s="89"/>
      <c r="J334" s="89"/>
      <c r="K334" s="89"/>
      <c r="L334" s="89"/>
      <c r="M334" s="89"/>
      <c r="N334" s="89"/>
      <c r="O334" s="89"/>
      <c r="P334" s="89"/>
      <c r="Q334" s="89"/>
      <c r="R334" s="89"/>
      <c r="S334" s="89"/>
      <c r="T334" s="89"/>
      <c r="U334" s="89"/>
      <c r="V334" s="89"/>
      <c r="W334" s="89"/>
      <c r="X334" s="89"/>
      <c r="Y334" s="89"/>
      <c r="Z334" s="89"/>
      <c r="AA334" s="89"/>
    </row>
    <row r="335" spans="1:27" ht="13.8">
      <c r="A335" s="89"/>
      <c r="B335" s="89"/>
      <c r="C335" s="89"/>
      <c r="D335" s="89"/>
      <c r="E335" s="89"/>
      <c r="F335" s="110"/>
      <c r="G335" s="89"/>
      <c r="H335" s="89"/>
      <c r="I335" s="89"/>
      <c r="J335" s="89"/>
      <c r="K335" s="89"/>
      <c r="L335" s="89"/>
      <c r="M335" s="89"/>
      <c r="N335" s="89"/>
      <c r="O335" s="89"/>
      <c r="P335" s="89"/>
      <c r="Q335" s="89"/>
      <c r="R335" s="89"/>
      <c r="S335" s="89"/>
      <c r="T335" s="89"/>
      <c r="U335" s="89"/>
      <c r="V335" s="89"/>
      <c r="W335" s="89"/>
      <c r="X335" s="89"/>
      <c r="Y335" s="89"/>
      <c r="Z335" s="89"/>
      <c r="AA335" s="89"/>
    </row>
    <row r="336" spans="1:27" ht="13.8">
      <c r="A336" s="89"/>
      <c r="B336" s="89"/>
      <c r="C336" s="89"/>
      <c r="D336" s="89"/>
      <c r="E336" s="89"/>
      <c r="F336" s="110"/>
      <c r="G336" s="89"/>
      <c r="H336" s="89"/>
      <c r="I336" s="89"/>
      <c r="J336" s="89"/>
      <c r="K336" s="89"/>
      <c r="L336" s="89"/>
      <c r="M336" s="89"/>
      <c r="N336" s="89"/>
      <c r="O336" s="89"/>
      <c r="P336" s="89"/>
      <c r="Q336" s="89"/>
      <c r="R336" s="89"/>
      <c r="S336" s="89"/>
      <c r="T336" s="89"/>
      <c r="U336" s="89"/>
      <c r="V336" s="89"/>
      <c r="W336" s="89"/>
      <c r="X336" s="89"/>
      <c r="Y336" s="89"/>
      <c r="Z336" s="89"/>
      <c r="AA336" s="89"/>
    </row>
    <row r="337" spans="1:27" ht="13.8">
      <c r="A337" s="89"/>
      <c r="B337" s="89"/>
      <c r="C337" s="89"/>
      <c r="D337" s="89"/>
      <c r="E337" s="89"/>
      <c r="F337" s="110"/>
      <c r="G337" s="89"/>
      <c r="H337" s="89"/>
      <c r="I337" s="89"/>
      <c r="J337" s="89"/>
      <c r="K337" s="89"/>
      <c r="L337" s="89"/>
      <c r="M337" s="89"/>
      <c r="N337" s="89"/>
      <c r="O337" s="89"/>
      <c r="P337" s="89"/>
      <c r="Q337" s="89"/>
      <c r="R337" s="89"/>
      <c r="S337" s="89"/>
      <c r="T337" s="89"/>
      <c r="U337" s="89"/>
      <c r="V337" s="89"/>
      <c r="W337" s="89"/>
      <c r="X337" s="89"/>
      <c r="Y337" s="89"/>
      <c r="Z337" s="89"/>
      <c r="AA337" s="89"/>
    </row>
    <row r="338" spans="1:27" ht="13.8">
      <c r="A338" s="89"/>
      <c r="B338" s="89"/>
      <c r="C338" s="89"/>
      <c r="D338" s="89"/>
      <c r="E338" s="89"/>
      <c r="F338" s="110"/>
      <c r="G338" s="89"/>
      <c r="H338" s="89"/>
      <c r="I338" s="89"/>
      <c r="J338" s="89"/>
      <c r="K338" s="89"/>
      <c r="L338" s="89"/>
      <c r="M338" s="89"/>
      <c r="N338" s="89"/>
      <c r="O338" s="89"/>
      <c r="P338" s="89"/>
      <c r="Q338" s="89"/>
      <c r="R338" s="89"/>
      <c r="S338" s="89"/>
      <c r="T338" s="89"/>
      <c r="U338" s="89"/>
      <c r="V338" s="89"/>
      <c r="W338" s="89"/>
      <c r="X338" s="89"/>
      <c r="Y338" s="89"/>
      <c r="Z338" s="89"/>
      <c r="AA338" s="89"/>
    </row>
    <row r="339" spans="1:27" ht="13.8">
      <c r="A339" s="89"/>
      <c r="B339" s="89"/>
      <c r="C339" s="89"/>
      <c r="D339" s="89"/>
      <c r="E339" s="89"/>
      <c r="F339" s="110"/>
      <c r="G339" s="89"/>
      <c r="H339" s="89"/>
      <c r="I339" s="89"/>
      <c r="J339" s="89"/>
      <c r="K339" s="89"/>
      <c r="L339" s="89"/>
      <c r="M339" s="89"/>
      <c r="N339" s="89"/>
      <c r="O339" s="89"/>
      <c r="P339" s="89"/>
      <c r="Q339" s="89"/>
      <c r="R339" s="89"/>
      <c r="S339" s="89"/>
      <c r="T339" s="89"/>
      <c r="U339" s="89"/>
      <c r="V339" s="89"/>
      <c r="W339" s="89"/>
      <c r="X339" s="89"/>
      <c r="Y339" s="89"/>
      <c r="Z339" s="89"/>
      <c r="AA339" s="89"/>
    </row>
    <row r="340" spans="1:27" ht="13.8">
      <c r="A340" s="89"/>
      <c r="B340" s="89"/>
      <c r="C340" s="89"/>
      <c r="D340" s="89"/>
      <c r="E340" s="89"/>
      <c r="F340" s="110"/>
      <c r="G340" s="89"/>
      <c r="H340" s="89"/>
      <c r="I340" s="89"/>
      <c r="J340" s="89"/>
      <c r="K340" s="89"/>
      <c r="L340" s="89"/>
      <c r="M340" s="89"/>
      <c r="N340" s="89"/>
      <c r="O340" s="89"/>
      <c r="P340" s="89"/>
      <c r="Q340" s="89"/>
      <c r="R340" s="89"/>
      <c r="S340" s="89"/>
      <c r="T340" s="89"/>
      <c r="U340" s="89"/>
      <c r="V340" s="89"/>
      <c r="W340" s="89"/>
      <c r="X340" s="89"/>
      <c r="Y340" s="89"/>
      <c r="Z340" s="89"/>
      <c r="AA340" s="89"/>
    </row>
    <row r="341" spans="1:27" ht="13.8">
      <c r="A341" s="89"/>
      <c r="B341" s="89"/>
      <c r="C341" s="89"/>
      <c r="D341" s="89"/>
      <c r="E341" s="89"/>
      <c r="F341" s="110"/>
      <c r="G341" s="89"/>
      <c r="H341" s="89"/>
      <c r="I341" s="89"/>
      <c r="J341" s="89"/>
      <c r="K341" s="89"/>
      <c r="L341" s="89"/>
      <c r="M341" s="89"/>
      <c r="N341" s="89"/>
      <c r="O341" s="89"/>
      <c r="P341" s="89"/>
      <c r="Q341" s="89"/>
      <c r="R341" s="89"/>
      <c r="S341" s="89"/>
      <c r="T341" s="89"/>
      <c r="U341" s="89"/>
      <c r="V341" s="89"/>
      <c r="W341" s="89"/>
      <c r="X341" s="89"/>
      <c r="Y341" s="89"/>
      <c r="Z341" s="89"/>
      <c r="AA341" s="89"/>
    </row>
    <row r="342" spans="1:27" ht="13.8">
      <c r="A342" s="89"/>
      <c r="B342" s="89"/>
      <c r="C342" s="89"/>
      <c r="D342" s="89"/>
      <c r="E342" s="89"/>
      <c r="F342" s="110"/>
      <c r="G342" s="89"/>
      <c r="H342" s="89"/>
      <c r="I342" s="89"/>
      <c r="J342" s="89"/>
      <c r="K342" s="89"/>
      <c r="L342" s="89"/>
      <c r="M342" s="89"/>
      <c r="N342" s="89"/>
      <c r="O342" s="89"/>
      <c r="P342" s="89"/>
      <c r="Q342" s="89"/>
      <c r="R342" s="89"/>
      <c r="S342" s="89"/>
      <c r="T342" s="89"/>
      <c r="U342" s="89"/>
      <c r="V342" s="89"/>
      <c r="W342" s="89"/>
      <c r="X342" s="89"/>
      <c r="Y342" s="89"/>
      <c r="Z342" s="89"/>
      <c r="AA342" s="89"/>
    </row>
    <row r="343" spans="1:27" ht="13.8">
      <c r="A343" s="89"/>
      <c r="B343" s="89"/>
      <c r="C343" s="89"/>
      <c r="D343" s="89"/>
      <c r="E343" s="89"/>
      <c r="F343" s="110"/>
      <c r="G343" s="89"/>
      <c r="H343" s="89"/>
      <c r="I343" s="89"/>
      <c r="J343" s="89"/>
      <c r="K343" s="89"/>
      <c r="L343" s="89"/>
      <c r="M343" s="89"/>
      <c r="N343" s="89"/>
      <c r="O343" s="89"/>
      <c r="P343" s="89"/>
      <c r="Q343" s="89"/>
      <c r="R343" s="89"/>
      <c r="S343" s="89"/>
      <c r="T343" s="89"/>
      <c r="U343" s="89"/>
      <c r="V343" s="89"/>
      <c r="W343" s="89"/>
      <c r="X343" s="89"/>
      <c r="Y343" s="89"/>
      <c r="Z343" s="89"/>
      <c r="AA343" s="89"/>
    </row>
    <row r="344" spans="1:27" ht="13.8">
      <c r="A344" s="89"/>
      <c r="B344" s="89"/>
      <c r="C344" s="89"/>
      <c r="D344" s="89"/>
      <c r="E344" s="89"/>
      <c r="F344" s="110"/>
      <c r="G344" s="89"/>
      <c r="H344" s="89"/>
      <c r="I344" s="89"/>
      <c r="J344" s="89"/>
      <c r="K344" s="89"/>
      <c r="L344" s="89"/>
      <c r="M344" s="89"/>
      <c r="N344" s="89"/>
      <c r="O344" s="89"/>
      <c r="P344" s="89"/>
      <c r="Q344" s="89"/>
      <c r="R344" s="89"/>
      <c r="S344" s="89"/>
      <c r="T344" s="89"/>
      <c r="U344" s="89"/>
      <c r="V344" s="89"/>
      <c r="W344" s="89"/>
      <c r="X344" s="89"/>
      <c r="Y344" s="89"/>
      <c r="Z344" s="89"/>
      <c r="AA344" s="89"/>
    </row>
    <row r="345" spans="1:27" ht="13.8">
      <c r="A345" s="89"/>
      <c r="B345" s="89"/>
      <c r="C345" s="89"/>
      <c r="D345" s="89"/>
      <c r="E345" s="89"/>
      <c r="F345" s="110"/>
      <c r="G345" s="89"/>
      <c r="H345" s="89"/>
      <c r="I345" s="89"/>
      <c r="J345" s="89"/>
      <c r="K345" s="89"/>
      <c r="L345" s="89"/>
      <c r="M345" s="89"/>
      <c r="N345" s="89"/>
      <c r="O345" s="89"/>
      <c r="P345" s="89"/>
      <c r="Q345" s="89"/>
      <c r="R345" s="89"/>
      <c r="S345" s="89"/>
      <c r="T345" s="89"/>
      <c r="U345" s="89"/>
      <c r="V345" s="89"/>
      <c r="W345" s="89"/>
      <c r="X345" s="89"/>
      <c r="Y345" s="89"/>
      <c r="Z345" s="89"/>
      <c r="AA345" s="89"/>
    </row>
    <row r="346" spans="1:27" ht="13.8">
      <c r="A346" s="89"/>
      <c r="B346" s="89"/>
      <c r="C346" s="89"/>
      <c r="D346" s="89"/>
      <c r="E346" s="89"/>
      <c r="F346" s="110"/>
      <c r="G346" s="89"/>
      <c r="H346" s="89"/>
      <c r="I346" s="89"/>
      <c r="J346" s="89"/>
      <c r="K346" s="89"/>
      <c r="L346" s="89"/>
      <c r="M346" s="89"/>
      <c r="N346" s="89"/>
      <c r="O346" s="89"/>
      <c r="P346" s="89"/>
      <c r="Q346" s="89"/>
      <c r="R346" s="89"/>
      <c r="S346" s="89"/>
      <c r="T346" s="89"/>
      <c r="U346" s="89"/>
      <c r="V346" s="89"/>
      <c r="W346" s="89"/>
      <c r="X346" s="89"/>
      <c r="Y346" s="89"/>
      <c r="Z346" s="89"/>
      <c r="AA346" s="89"/>
    </row>
    <row r="347" spans="1:27" ht="13.8">
      <c r="A347" s="89"/>
      <c r="B347" s="89"/>
      <c r="C347" s="89"/>
      <c r="D347" s="89"/>
      <c r="E347" s="89"/>
      <c r="F347" s="110"/>
      <c r="G347" s="89"/>
      <c r="H347" s="89"/>
      <c r="I347" s="89"/>
      <c r="J347" s="89"/>
      <c r="K347" s="89"/>
      <c r="L347" s="89"/>
      <c r="M347" s="89"/>
      <c r="N347" s="89"/>
      <c r="O347" s="89"/>
      <c r="P347" s="89"/>
      <c r="Q347" s="89"/>
      <c r="R347" s="89"/>
      <c r="S347" s="89"/>
      <c r="T347" s="89"/>
      <c r="U347" s="89"/>
      <c r="V347" s="89"/>
      <c r="W347" s="89"/>
      <c r="X347" s="89"/>
      <c r="Y347" s="89"/>
      <c r="Z347" s="89"/>
      <c r="AA347" s="89"/>
    </row>
    <row r="348" spans="1:27" ht="13.8">
      <c r="A348" s="89"/>
      <c r="B348" s="89"/>
      <c r="C348" s="89"/>
      <c r="D348" s="89"/>
      <c r="E348" s="89"/>
      <c r="F348" s="110"/>
      <c r="G348" s="89"/>
      <c r="H348" s="89"/>
      <c r="I348" s="89"/>
      <c r="J348" s="89"/>
      <c r="K348" s="89"/>
      <c r="L348" s="89"/>
      <c r="M348" s="89"/>
      <c r="N348" s="89"/>
      <c r="O348" s="89"/>
      <c r="P348" s="89"/>
      <c r="Q348" s="89"/>
      <c r="R348" s="89"/>
      <c r="S348" s="89"/>
      <c r="T348" s="89"/>
      <c r="U348" s="89"/>
      <c r="V348" s="89"/>
      <c r="W348" s="89"/>
      <c r="X348" s="89"/>
      <c r="Y348" s="89"/>
      <c r="Z348" s="89"/>
      <c r="AA348" s="89"/>
    </row>
    <row r="349" spans="1:27" ht="13.8">
      <c r="A349" s="89"/>
      <c r="B349" s="89"/>
      <c r="C349" s="89"/>
      <c r="D349" s="89"/>
      <c r="E349" s="89"/>
      <c r="F349" s="110"/>
      <c r="G349" s="89"/>
      <c r="H349" s="89"/>
      <c r="I349" s="89"/>
      <c r="J349" s="89"/>
      <c r="K349" s="89"/>
      <c r="L349" s="89"/>
      <c r="M349" s="89"/>
      <c r="N349" s="89"/>
      <c r="O349" s="89"/>
      <c r="P349" s="89"/>
      <c r="Q349" s="89"/>
      <c r="R349" s="89"/>
      <c r="S349" s="89"/>
      <c r="T349" s="89"/>
      <c r="U349" s="89"/>
      <c r="V349" s="89"/>
      <c r="W349" s="89"/>
      <c r="X349" s="89"/>
      <c r="Y349" s="89"/>
      <c r="Z349" s="89"/>
      <c r="AA349" s="89"/>
    </row>
    <row r="350" spans="1:27" ht="13.8">
      <c r="A350" s="89"/>
      <c r="B350" s="89"/>
      <c r="C350" s="89"/>
      <c r="D350" s="89"/>
      <c r="E350" s="89"/>
      <c r="F350" s="110"/>
      <c r="G350" s="89"/>
      <c r="H350" s="89"/>
      <c r="I350" s="89"/>
      <c r="J350" s="89"/>
      <c r="K350" s="89"/>
      <c r="L350" s="89"/>
      <c r="M350" s="89"/>
      <c r="N350" s="89"/>
      <c r="O350" s="89"/>
      <c r="P350" s="89"/>
      <c r="Q350" s="89"/>
      <c r="R350" s="89"/>
      <c r="S350" s="89"/>
      <c r="T350" s="89"/>
      <c r="U350" s="89"/>
      <c r="V350" s="89"/>
      <c r="W350" s="89"/>
      <c r="X350" s="89"/>
      <c r="Y350" s="89"/>
      <c r="Z350" s="89"/>
      <c r="AA350" s="89"/>
    </row>
    <row r="351" spans="1:27" ht="13.8">
      <c r="A351" s="89"/>
      <c r="B351" s="89"/>
      <c r="C351" s="89"/>
      <c r="D351" s="89"/>
      <c r="E351" s="89"/>
      <c r="F351" s="110"/>
      <c r="G351" s="89"/>
      <c r="H351" s="89"/>
      <c r="I351" s="89"/>
      <c r="J351" s="89"/>
      <c r="K351" s="89"/>
      <c r="L351" s="89"/>
      <c r="M351" s="89"/>
      <c r="N351" s="89"/>
      <c r="O351" s="89"/>
      <c r="P351" s="89"/>
      <c r="Q351" s="89"/>
      <c r="R351" s="89"/>
      <c r="S351" s="89"/>
      <c r="T351" s="89"/>
      <c r="U351" s="89"/>
      <c r="V351" s="89"/>
      <c r="W351" s="89"/>
      <c r="X351" s="89"/>
      <c r="Y351" s="89"/>
      <c r="Z351" s="89"/>
      <c r="AA351" s="89"/>
    </row>
    <row r="352" spans="1:27" ht="13.8">
      <c r="A352" s="89"/>
      <c r="B352" s="89"/>
      <c r="C352" s="89"/>
      <c r="D352" s="89"/>
      <c r="E352" s="89"/>
      <c r="F352" s="110"/>
      <c r="G352" s="89"/>
      <c r="H352" s="89"/>
      <c r="I352" s="89"/>
      <c r="J352" s="89"/>
      <c r="K352" s="89"/>
      <c r="L352" s="89"/>
      <c r="M352" s="89"/>
      <c r="N352" s="89"/>
      <c r="O352" s="89"/>
      <c r="P352" s="89"/>
      <c r="Q352" s="89"/>
      <c r="R352" s="89"/>
      <c r="S352" s="89"/>
      <c r="T352" s="89"/>
      <c r="U352" s="89"/>
      <c r="V352" s="89"/>
      <c r="W352" s="89"/>
      <c r="X352" s="89"/>
      <c r="Y352" s="89"/>
      <c r="Z352" s="89"/>
      <c r="AA352" s="89"/>
    </row>
    <row r="353" spans="1:27" ht="13.8">
      <c r="A353" s="89"/>
      <c r="B353" s="89"/>
      <c r="C353" s="89"/>
      <c r="D353" s="89"/>
      <c r="E353" s="89"/>
      <c r="F353" s="110"/>
      <c r="G353" s="89"/>
      <c r="H353" s="89"/>
      <c r="I353" s="89"/>
      <c r="J353" s="89"/>
      <c r="K353" s="89"/>
      <c r="L353" s="89"/>
      <c r="M353" s="89"/>
      <c r="N353" s="89"/>
      <c r="O353" s="89"/>
      <c r="P353" s="89"/>
      <c r="Q353" s="89"/>
      <c r="R353" s="89"/>
      <c r="S353" s="89"/>
      <c r="T353" s="89"/>
      <c r="U353" s="89"/>
      <c r="V353" s="89"/>
      <c r="W353" s="89"/>
      <c r="X353" s="89"/>
      <c r="Y353" s="89"/>
      <c r="Z353" s="89"/>
      <c r="AA353" s="89"/>
    </row>
    <row r="354" spans="1:27" ht="13.8">
      <c r="A354" s="89"/>
      <c r="B354" s="89"/>
      <c r="C354" s="89"/>
      <c r="D354" s="89"/>
      <c r="E354" s="89"/>
      <c r="F354" s="110"/>
      <c r="G354" s="89"/>
      <c r="H354" s="89"/>
      <c r="I354" s="89"/>
      <c r="J354" s="89"/>
      <c r="K354" s="89"/>
      <c r="L354" s="89"/>
      <c r="M354" s="89"/>
      <c r="N354" s="89"/>
      <c r="O354" s="89"/>
      <c r="P354" s="89"/>
      <c r="Q354" s="89"/>
      <c r="R354" s="89"/>
      <c r="S354" s="89"/>
      <c r="T354" s="89"/>
      <c r="U354" s="89"/>
      <c r="V354" s="89"/>
      <c r="W354" s="89"/>
      <c r="X354" s="89"/>
      <c r="Y354" s="89"/>
      <c r="Z354" s="89"/>
      <c r="AA354" s="89"/>
    </row>
    <row r="355" spans="1:27" ht="13.8">
      <c r="A355" s="89"/>
      <c r="B355" s="89"/>
      <c r="C355" s="89"/>
      <c r="D355" s="89"/>
      <c r="E355" s="89"/>
      <c r="F355" s="110"/>
      <c r="G355" s="89"/>
      <c r="H355" s="89"/>
      <c r="I355" s="89"/>
      <c r="J355" s="89"/>
      <c r="K355" s="89"/>
      <c r="L355" s="89"/>
      <c r="M355" s="89"/>
      <c r="N355" s="89"/>
      <c r="O355" s="89"/>
      <c r="P355" s="89"/>
      <c r="Q355" s="89"/>
      <c r="R355" s="89"/>
      <c r="S355" s="89"/>
      <c r="T355" s="89"/>
      <c r="U355" s="89"/>
      <c r="V355" s="89"/>
      <c r="W355" s="89"/>
      <c r="X355" s="89"/>
      <c r="Y355" s="89"/>
      <c r="Z355" s="89"/>
      <c r="AA355" s="89"/>
    </row>
    <row r="356" spans="1:27" ht="13.8">
      <c r="A356" s="89"/>
      <c r="B356" s="89"/>
      <c r="C356" s="89"/>
      <c r="D356" s="89"/>
      <c r="E356" s="89"/>
      <c r="F356" s="110"/>
      <c r="G356" s="89"/>
      <c r="H356" s="89"/>
      <c r="I356" s="89"/>
      <c r="J356" s="89"/>
      <c r="K356" s="89"/>
      <c r="L356" s="89"/>
      <c r="M356" s="89"/>
      <c r="N356" s="89"/>
      <c r="O356" s="89"/>
      <c r="P356" s="89"/>
      <c r="Q356" s="89"/>
      <c r="R356" s="89"/>
      <c r="S356" s="89"/>
      <c r="T356" s="89"/>
      <c r="U356" s="89"/>
      <c r="V356" s="89"/>
      <c r="W356" s="89"/>
      <c r="X356" s="89"/>
      <c r="Y356" s="89"/>
      <c r="Z356" s="89"/>
      <c r="AA356" s="89"/>
    </row>
    <row r="357" spans="1:27" ht="13.8">
      <c r="A357" s="89"/>
      <c r="B357" s="89"/>
      <c r="C357" s="89"/>
      <c r="D357" s="89"/>
      <c r="E357" s="89"/>
      <c r="F357" s="110"/>
      <c r="G357" s="89"/>
      <c r="H357" s="89"/>
      <c r="I357" s="89"/>
      <c r="J357" s="89"/>
      <c r="K357" s="89"/>
      <c r="L357" s="89"/>
      <c r="M357" s="89"/>
      <c r="N357" s="89"/>
      <c r="O357" s="89"/>
      <c r="P357" s="89"/>
      <c r="Q357" s="89"/>
      <c r="R357" s="89"/>
      <c r="S357" s="89"/>
      <c r="T357" s="89"/>
      <c r="U357" s="89"/>
      <c r="V357" s="89"/>
      <c r="W357" s="89"/>
      <c r="X357" s="89"/>
      <c r="Y357" s="89"/>
      <c r="Z357" s="89"/>
      <c r="AA357" s="89"/>
    </row>
    <row r="358" spans="1:27" ht="13.8">
      <c r="A358" s="89"/>
      <c r="B358" s="89"/>
      <c r="C358" s="89"/>
      <c r="D358" s="89"/>
      <c r="E358" s="89"/>
      <c r="F358" s="110"/>
      <c r="G358" s="89"/>
      <c r="H358" s="89"/>
      <c r="I358" s="89"/>
      <c r="J358" s="89"/>
      <c r="K358" s="89"/>
      <c r="L358" s="89"/>
      <c r="M358" s="89"/>
      <c r="N358" s="89"/>
      <c r="O358" s="89"/>
      <c r="P358" s="89"/>
      <c r="Q358" s="89"/>
      <c r="R358" s="89"/>
      <c r="S358" s="89"/>
      <c r="T358" s="89"/>
      <c r="U358" s="89"/>
      <c r="V358" s="89"/>
      <c r="W358" s="89"/>
      <c r="X358" s="89"/>
      <c r="Y358" s="89"/>
      <c r="Z358" s="89"/>
      <c r="AA358" s="89"/>
    </row>
    <row r="359" spans="1:27" ht="13.8">
      <c r="A359" s="89"/>
      <c r="B359" s="89"/>
      <c r="C359" s="89"/>
      <c r="D359" s="89"/>
      <c r="E359" s="89"/>
      <c r="F359" s="110"/>
      <c r="G359" s="89"/>
      <c r="H359" s="89"/>
      <c r="I359" s="89"/>
      <c r="J359" s="89"/>
      <c r="K359" s="89"/>
      <c r="L359" s="89"/>
      <c r="M359" s="89"/>
      <c r="N359" s="89"/>
      <c r="O359" s="89"/>
      <c r="P359" s="89"/>
      <c r="Q359" s="89"/>
      <c r="R359" s="89"/>
      <c r="S359" s="89"/>
      <c r="T359" s="89"/>
      <c r="U359" s="89"/>
      <c r="V359" s="89"/>
      <c r="W359" s="89"/>
      <c r="X359" s="89"/>
      <c r="Y359" s="89"/>
      <c r="Z359" s="89"/>
      <c r="AA359" s="89"/>
    </row>
    <row r="360" spans="1:27" ht="13.8">
      <c r="A360" s="89"/>
      <c r="B360" s="89"/>
      <c r="C360" s="89"/>
      <c r="D360" s="89"/>
      <c r="E360" s="89"/>
      <c r="F360" s="110"/>
      <c r="G360" s="89"/>
      <c r="H360" s="89"/>
      <c r="I360" s="89"/>
      <c r="J360" s="89"/>
      <c r="K360" s="89"/>
      <c r="L360" s="89"/>
      <c r="M360" s="89"/>
      <c r="N360" s="89"/>
      <c r="O360" s="89"/>
      <c r="P360" s="89"/>
      <c r="Q360" s="89"/>
      <c r="R360" s="89"/>
      <c r="S360" s="89"/>
      <c r="T360" s="89"/>
      <c r="U360" s="89"/>
      <c r="V360" s="89"/>
      <c r="W360" s="89"/>
      <c r="X360" s="89"/>
      <c r="Y360" s="89"/>
      <c r="Z360" s="89"/>
      <c r="AA360" s="89"/>
    </row>
    <row r="361" spans="1:27" ht="13.8">
      <c r="A361" s="89"/>
      <c r="B361" s="89"/>
      <c r="C361" s="89"/>
      <c r="D361" s="89"/>
      <c r="E361" s="89"/>
      <c r="F361" s="110"/>
      <c r="G361" s="89"/>
      <c r="H361" s="89"/>
      <c r="I361" s="89"/>
      <c r="J361" s="89"/>
      <c r="K361" s="89"/>
      <c r="L361" s="89"/>
      <c r="M361" s="89"/>
      <c r="N361" s="89"/>
      <c r="O361" s="89"/>
      <c r="P361" s="89"/>
      <c r="Q361" s="89"/>
      <c r="R361" s="89"/>
      <c r="S361" s="89"/>
      <c r="T361" s="89"/>
      <c r="U361" s="89"/>
      <c r="V361" s="89"/>
      <c r="W361" s="89"/>
      <c r="X361" s="89"/>
      <c r="Y361" s="89"/>
      <c r="Z361" s="89"/>
      <c r="AA361" s="89"/>
    </row>
    <row r="362" spans="1:27" ht="13.8">
      <c r="A362" s="89"/>
      <c r="B362" s="89"/>
      <c r="C362" s="89"/>
      <c r="D362" s="89"/>
      <c r="E362" s="89"/>
      <c r="F362" s="110"/>
      <c r="G362" s="89"/>
      <c r="H362" s="89"/>
      <c r="I362" s="89"/>
      <c r="J362" s="89"/>
      <c r="K362" s="89"/>
      <c r="L362" s="89"/>
      <c r="M362" s="89"/>
      <c r="N362" s="89"/>
      <c r="O362" s="89"/>
      <c r="P362" s="89"/>
      <c r="Q362" s="89"/>
      <c r="R362" s="89"/>
      <c r="S362" s="89"/>
      <c r="T362" s="89"/>
      <c r="U362" s="89"/>
      <c r="V362" s="89"/>
      <c r="W362" s="89"/>
      <c r="X362" s="89"/>
      <c r="Y362" s="89"/>
      <c r="Z362" s="89"/>
      <c r="AA362" s="89"/>
    </row>
    <row r="363" spans="1:27" ht="13.8">
      <c r="A363" s="89"/>
      <c r="B363" s="89"/>
      <c r="C363" s="89"/>
      <c r="D363" s="89"/>
      <c r="E363" s="89"/>
      <c r="F363" s="110"/>
      <c r="G363" s="89"/>
      <c r="H363" s="89"/>
      <c r="I363" s="89"/>
      <c r="J363" s="89"/>
      <c r="K363" s="89"/>
      <c r="L363" s="89"/>
      <c r="M363" s="89"/>
      <c r="N363" s="89"/>
      <c r="O363" s="89"/>
      <c r="P363" s="89"/>
      <c r="Q363" s="89"/>
      <c r="R363" s="89"/>
      <c r="S363" s="89"/>
      <c r="T363" s="89"/>
      <c r="U363" s="89"/>
      <c r="V363" s="89"/>
      <c r="W363" s="89"/>
      <c r="X363" s="89"/>
      <c r="Y363" s="89"/>
      <c r="Z363" s="89"/>
      <c r="AA363" s="89"/>
    </row>
    <row r="364" spans="1:27" ht="13.8">
      <c r="A364" s="89"/>
      <c r="B364" s="89"/>
      <c r="C364" s="89"/>
      <c r="D364" s="89"/>
      <c r="E364" s="89"/>
      <c r="F364" s="110"/>
      <c r="G364" s="89"/>
      <c r="H364" s="89"/>
      <c r="I364" s="89"/>
      <c r="J364" s="89"/>
      <c r="K364" s="89"/>
      <c r="L364" s="89"/>
      <c r="M364" s="89"/>
      <c r="N364" s="89"/>
      <c r="O364" s="89"/>
      <c r="P364" s="89"/>
      <c r="Q364" s="89"/>
      <c r="R364" s="89"/>
      <c r="S364" s="89"/>
      <c r="T364" s="89"/>
      <c r="U364" s="89"/>
      <c r="V364" s="89"/>
      <c r="W364" s="89"/>
      <c r="X364" s="89"/>
      <c r="Y364" s="89"/>
      <c r="Z364" s="89"/>
      <c r="AA364" s="89"/>
    </row>
    <row r="365" spans="1:27" ht="13.8">
      <c r="A365" s="89"/>
      <c r="B365" s="89"/>
      <c r="C365" s="89"/>
      <c r="D365" s="89"/>
      <c r="E365" s="89"/>
      <c r="F365" s="110"/>
      <c r="G365" s="89"/>
      <c r="H365" s="89"/>
      <c r="I365" s="89"/>
      <c r="J365" s="89"/>
      <c r="K365" s="89"/>
      <c r="L365" s="89"/>
      <c r="M365" s="89"/>
      <c r="N365" s="89"/>
      <c r="O365" s="89"/>
      <c r="P365" s="89"/>
      <c r="Q365" s="89"/>
      <c r="R365" s="89"/>
      <c r="S365" s="89"/>
      <c r="T365" s="89"/>
      <c r="U365" s="89"/>
      <c r="V365" s="89"/>
      <c r="W365" s="89"/>
      <c r="X365" s="89"/>
      <c r="Y365" s="89"/>
      <c r="Z365" s="89"/>
      <c r="AA365" s="89"/>
    </row>
    <row r="366" spans="1:27" ht="13.8">
      <c r="A366" s="89"/>
      <c r="B366" s="89"/>
      <c r="C366" s="89"/>
      <c r="D366" s="89"/>
      <c r="E366" s="89"/>
      <c r="F366" s="110"/>
      <c r="G366" s="89"/>
      <c r="H366" s="89"/>
      <c r="I366" s="89"/>
      <c r="J366" s="89"/>
      <c r="K366" s="89"/>
      <c r="L366" s="89"/>
      <c r="M366" s="89"/>
      <c r="N366" s="89"/>
      <c r="O366" s="89"/>
      <c r="P366" s="89"/>
      <c r="Q366" s="89"/>
      <c r="R366" s="89"/>
      <c r="S366" s="89"/>
      <c r="T366" s="89"/>
      <c r="U366" s="89"/>
      <c r="V366" s="89"/>
      <c r="W366" s="89"/>
      <c r="X366" s="89"/>
      <c r="Y366" s="89"/>
      <c r="Z366" s="89"/>
      <c r="AA366" s="89"/>
    </row>
    <row r="367" spans="1:27" ht="13.8">
      <c r="A367" s="89"/>
      <c r="B367" s="89"/>
      <c r="C367" s="89"/>
      <c r="D367" s="89"/>
      <c r="E367" s="89"/>
      <c r="F367" s="110"/>
      <c r="G367" s="89"/>
      <c r="H367" s="89"/>
      <c r="I367" s="89"/>
      <c r="J367" s="89"/>
      <c r="K367" s="89"/>
      <c r="L367" s="89"/>
      <c r="M367" s="89"/>
      <c r="N367" s="89"/>
      <c r="O367" s="89"/>
      <c r="P367" s="89"/>
      <c r="Q367" s="89"/>
      <c r="R367" s="89"/>
      <c r="S367" s="89"/>
      <c r="T367" s="89"/>
      <c r="U367" s="89"/>
      <c r="V367" s="89"/>
      <c r="W367" s="89"/>
      <c r="X367" s="89"/>
      <c r="Y367" s="89"/>
      <c r="Z367" s="89"/>
      <c r="AA367" s="89"/>
    </row>
    <row r="368" spans="1:27" ht="13.8">
      <c r="A368" s="89"/>
      <c r="B368" s="89"/>
      <c r="C368" s="89"/>
      <c r="D368" s="89"/>
      <c r="E368" s="89"/>
      <c r="F368" s="110"/>
      <c r="G368" s="89"/>
      <c r="H368" s="89"/>
      <c r="I368" s="89"/>
      <c r="J368" s="89"/>
      <c r="K368" s="89"/>
      <c r="L368" s="89"/>
      <c r="M368" s="89"/>
      <c r="N368" s="89"/>
      <c r="O368" s="89"/>
      <c r="P368" s="89"/>
      <c r="Q368" s="89"/>
      <c r="R368" s="89"/>
      <c r="S368" s="89"/>
      <c r="T368" s="89"/>
      <c r="U368" s="89"/>
      <c r="V368" s="89"/>
      <c r="W368" s="89"/>
      <c r="X368" s="89"/>
      <c r="Y368" s="89"/>
      <c r="Z368" s="89"/>
      <c r="AA368" s="89"/>
    </row>
    <row r="369" spans="1:27" ht="13.8">
      <c r="A369" s="89"/>
      <c r="B369" s="89"/>
      <c r="C369" s="89"/>
      <c r="D369" s="89"/>
      <c r="E369" s="89"/>
      <c r="F369" s="110"/>
      <c r="G369" s="89"/>
      <c r="H369" s="89"/>
      <c r="I369" s="89"/>
      <c r="J369" s="89"/>
      <c r="K369" s="89"/>
      <c r="L369" s="89"/>
      <c r="M369" s="89"/>
      <c r="N369" s="89"/>
      <c r="O369" s="89"/>
      <c r="P369" s="89"/>
      <c r="Q369" s="89"/>
      <c r="R369" s="89"/>
      <c r="S369" s="89"/>
      <c r="T369" s="89"/>
      <c r="U369" s="89"/>
      <c r="V369" s="89"/>
      <c r="W369" s="89"/>
      <c r="X369" s="89"/>
      <c r="Y369" s="89"/>
      <c r="Z369" s="89"/>
      <c r="AA369" s="89"/>
    </row>
    <row r="370" spans="1:27" ht="13.8">
      <c r="A370" s="89"/>
      <c r="B370" s="89"/>
      <c r="C370" s="89"/>
      <c r="D370" s="89"/>
      <c r="E370" s="89"/>
      <c r="F370" s="110"/>
      <c r="G370" s="89"/>
      <c r="H370" s="89"/>
      <c r="I370" s="89"/>
      <c r="J370" s="89"/>
      <c r="K370" s="89"/>
      <c r="L370" s="89"/>
      <c r="M370" s="89"/>
      <c r="N370" s="89"/>
      <c r="O370" s="89"/>
      <c r="P370" s="89"/>
      <c r="Q370" s="89"/>
      <c r="R370" s="89"/>
      <c r="S370" s="89"/>
      <c r="T370" s="89"/>
      <c r="U370" s="89"/>
      <c r="V370" s="89"/>
      <c r="W370" s="89"/>
      <c r="X370" s="89"/>
      <c r="Y370" s="89"/>
      <c r="Z370" s="89"/>
      <c r="AA370" s="89"/>
    </row>
    <row r="371" spans="1:27" ht="13.8">
      <c r="A371" s="89"/>
      <c r="B371" s="89"/>
      <c r="C371" s="89"/>
      <c r="D371" s="89"/>
      <c r="E371" s="89"/>
      <c r="F371" s="110"/>
      <c r="G371" s="89"/>
      <c r="H371" s="89"/>
      <c r="I371" s="89"/>
      <c r="J371" s="89"/>
      <c r="K371" s="89"/>
      <c r="L371" s="89"/>
      <c r="M371" s="89"/>
      <c r="N371" s="89"/>
      <c r="O371" s="89"/>
      <c r="P371" s="89"/>
      <c r="Q371" s="89"/>
      <c r="R371" s="89"/>
      <c r="S371" s="89"/>
      <c r="T371" s="89"/>
      <c r="U371" s="89"/>
      <c r="V371" s="89"/>
      <c r="W371" s="89"/>
      <c r="X371" s="89"/>
      <c r="Y371" s="89"/>
      <c r="Z371" s="89"/>
      <c r="AA371" s="89"/>
    </row>
    <row r="372" spans="1:27" ht="13.8">
      <c r="A372" s="89"/>
      <c r="B372" s="89"/>
      <c r="C372" s="89"/>
      <c r="D372" s="89"/>
      <c r="E372" s="89"/>
      <c r="F372" s="110"/>
      <c r="G372" s="89"/>
      <c r="H372" s="89"/>
      <c r="I372" s="89"/>
      <c r="J372" s="89"/>
      <c r="K372" s="89"/>
      <c r="L372" s="89"/>
      <c r="M372" s="89"/>
      <c r="N372" s="89"/>
      <c r="O372" s="89"/>
      <c r="P372" s="89"/>
      <c r="Q372" s="89"/>
      <c r="R372" s="89"/>
      <c r="S372" s="89"/>
      <c r="T372" s="89"/>
      <c r="U372" s="89"/>
      <c r="V372" s="89"/>
      <c r="W372" s="89"/>
      <c r="X372" s="89"/>
      <c r="Y372" s="89"/>
      <c r="Z372" s="89"/>
      <c r="AA372" s="89"/>
    </row>
    <row r="373" spans="1:27" ht="13.8">
      <c r="A373" s="89"/>
      <c r="B373" s="89"/>
      <c r="C373" s="89"/>
      <c r="D373" s="89"/>
      <c r="E373" s="89"/>
      <c r="F373" s="110"/>
      <c r="G373" s="89"/>
      <c r="H373" s="89"/>
      <c r="I373" s="89"/>
      <c r="J373" s="89"/>
      <c r="K373" s="89"/>
      <c r="L373" s="89"/>
      <c r="M373" s="89"/>
      <c r="N373" s="89"/>
      <c r="O373" s="89"/>
      <c r="P373" s="89"/>
      <c r="Q373" s="89"/>
      <c r="R373" s="89"/>
      <c r="S373" s="89"/>
      <c r="T373" s="89"/>
      <c r="U373" s="89"/>
      <c r="V373" s="89"/>
      <c r="W373" s="89"/>
      <c r="X373" s="89"/>
      <c r="Y373" s="89"/>
      <c r="Z373" s="89"/>
      <c r="AA373" s="89"/>
    </row>
    <row r="374" spans="1:27" ht="13.8">
      <c r="A374" s="89"/>
      <c r="B374" s="89"/>
      <c r="C374" s="89"/>
      <c r="D374" s="89"/>
      <c r="E374" s="89"/>
      <c r="F374" s="110"/>
      <c r="G374" s="89"/>
      <c r="H374" s="89"/>
      <c r="I374" s="89"/>
      <c r="J374" s="89"/>
      <c r="K374" s="89"/>
      <c r="L374" s="89"/>
      <c r="M374" s="89"/>
      <c r="N374" s="89"/>
      <c r="O374" s="89"/>
      <c r="P374" s="89"/>
      <c r="Q374" s="89"/>
      <c r="R374" s="89"/>
      <c r="S374" s="89"/>
      <c r="T374" s="89"/>
      <c r="U374" s="89"/>
      <c r="V374" s="89"/>
      <c r="W374" s="89"/>
      <c r="X374" s="89"/>
      <c r="Y374" s="89"/>
      <c r="Z374" s="89"/>
      <c r="AA374" s="89"/>
    </row>
    <row r="375" spans="1:27" ht="13.8">
      <c r="A375" s="89"/>
      <c r="B375" s="89"/>
      <c r="C375" s="89"/>
      <c r="D375" s="89"/>
      <c r="E375" s="89"/>
      <c r="F375" s="110"/>
      <c r="G375" s="89"/>
      <c r="H375" s="89"/>
      <c r="I375" s="89"/>
      <c r="J375" s="89"/>
      <c r="K375" s="89"/>
      <c r="L375" s="89"/>
      <c r="M375" s="89"/>
      <c r="N375" s="89"/>
      <c r="O375" s="89"/>
      <c r="P375" s="89"/>
      <c r="Q375" s="89"/>
      <c r="R375" s="89"/>
      <c r="S375" s="89"/>
      <c r="T375" s="89"/>
      <c r="U375" s="89"/>
      <c r="V375" s="89"/>
      <c r="W375" s="89"/>
      <c r="X375" s="89"/>
      <c r="Y375" s="89"/>
      <c r="Z375" s="89"/>
      <c r="AA375" s="89"/>
    </row>
    <row r="376" spans="1:27" ht="13.8">
      <c r="A376" s="89"/>
      <c r="B376" s="89"/>
      <c r="C376" s="89"/>
      <c r="D376" s="89"/>
      <c r="E376" s="89"/>
      <c r="F376" s="110"/>
      <c r="G376" s="89"/>
      <c r="H376" s="89"/>
      <c r="I376" s="89"/>
      <c r="J376" s="89"/>
      <c r="K376" s="89"/>
      <c r="L376" s="89"/>
      <c r="M376" s="89"/>
      <c r="N376" s="89"/>
      <c r="O376" s="89"/>
      <c r="P376" s="89"/>
      <c r="Q376" s="89"/>
      <c r="R376" s="89"/>
      <c r="S376" s="89"/>
      <c r="T376" s="89"/>
      <c r="U376" s="89"/>
      <c r="V376" s="89"/>
      <c r="W376" s="89"/>
      <c r="X376" s="89"/>
      <c r="Y376" s="89"/>
      <c r="Z376" s="89"/>
      <c r="AA376" s="89"/>
    </row>
    <row r="377" spans="1:27" ht="13.8">
      <c r="A377" s="89"/>
      <c r="B377" s="89"/>
      <c r="C377" s="89"/>
      <c r="D377" s="89"/>
      <c r="E377" s="89"/>
      <c r="F377" s="110"/>
      <c r="G377" s="89"/>
      <c r="H377" s="89"/>
      <c r="I377" s="89"/>
      <c r="J377" s="89"/>
      <c r="K377" s="89"/>
      <c r="L377" s="89"/>
      <c r="M377" s="89"/>
      <c r="N377" s="89"/>
      <c r="O377" s="89"/>
      <c r="P377" s="89"/>
      <c r="Q377" s="89"/>
      <c r="R377" s="89"/>
      <c r="S377" s="89"/>
      <c r="T377" s="89"/>
      <c r="U377" s="89"/>
      <c r="V377" s="89"/>
      <c r="W377" s="89"/>
      <c r="X377" s="89"/>
      <c r="Y377" s="89"/>
      <c r="Z377" s="89"/>
      <c r="AA377" s="89"/>
    </row>
    <row r="378" spans="1:27" ht="13.8">
      <c r="A378" s="89"/>
      <c r="B378" s="89"/>
      <c r="C378" s="89"/>
      <c r="D378" s="89"/>
      <c r="E378" s="89"/>
      <c r="F378" s="110"/>
      <c r="G378" s="89"/>
      <c r="H378" s="89"/>
      <c r="I378" s="89"/>
      <c r="J378" s="89"/>
      <c r="K378" s="89"/>
      <c r="L378" s="89"/>
      <c r="M378" s="89"/>
      <c r="N378" s="89"/>
      <c r="O378" s="89"/>
      <c r="P378" s="89"/>
      <c r="Q378" s="89"/>
      <c r="R378" s="89"/>
      <c r="S378" s="89"/>
      <c r="T378" s="89"/>
      <c r="U378" s="89"/>
      <c r="V378" s="89"/>
      <c r="W378" s="89"/>
      <c r="X378" s="89"/>
      <c r="Y378" s="89"/>
      <c r="Z378" s="89"/>
      <c r="AA378" s="89"/>
    </row>
    <row r="379" spans="1:27" ht="13.8">
      <c r="A379" s="89"/>
      <c r="B379" s="89"/>
      <c r="C379" s="89"/>
      <c r="D379" s="89"/>
      <c r="E379" s="89"/>
      <c r="F379" s="110"/>
      <c r="G379" s="89"/>
      <c r="H379" s="89"/>
      <c r="I379" s="89"/>
      <c r="J379" s="89"/>
      <c r="K379" s="89"/>
      <c r="L379" s="89"/>
      <c r="M379" s="89"/>
      <c r="N379" s="89"/>
      <c r="O379" s="89"/>
      <c r="P379" s="89"/>
      <c r="Q379" s="89"/>
      <c r="R379" s="89"/>
      <c r="S379" s="89"/>
      <c r="T379" s="89"/>
      <c r="U379" s="89"/>
      <c r="V379" s="89"/>
      <c r="W379" s="89"/>
      <c r="X379" s="89"/>
      <c r="Y379" s="89"/>
      <c r="Z379" s="89"/>
      <c r="AA379" s="89"/>
    </row>
    <row r="380" spans="1:27" ht="13.8">
      <c r="A380" s="89"/>
      <c r="B380" s="89"/>
      <c r="C380" s="89"/>
      <c r="D380" s="89"/>
      <c r="E380" s="89"/>
      <c r="F380" s="110"/>
      <c r="G380" s="89"/>
      <c r="H380" s="89"/>
      <c r="I380" s="89"/>
      <c r="J380" s="89"/>
      <c r="K380" s="89"/>
      <c r="L380" s="89"/>
      <c r="M380" s="89"/>
      <c r="N380" s="89"/>
      <c r="O380" s="89"/>
      <c r="P380" s="89"/>
      <c r="Q380" s="89"/>
      <c r="R380" s="89"/>
      <c r="S380" s="89"/>
      <c r="T380" s="89"/>
      <c r="U380" s="89"/>
      <c r="V380" s="89"/>
      <c r="W380" s="89"/>
      <c r="X380" s="89"/>
      <c r="Y380" s="89"/>
      <c r="Z380" s="89"/>
      <c r="AA380" s="89"/>
    </row>
    <row r="381" spans="1:27" ht="13.8">
      <c r="A381" s="89"/>
      <c r="B381" s="89"/>
      <c r="C381" s="89"/>
      <c r="D381" s="89"/>
      <c r="E381" s="89"/>
      <c r="F381" s="110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</row>
    <row r="382" spans="1:27" ht="13.8">
      <c r="A382" s="89"/>
      <c r="B382" s="89"/>
      <c r="C382" s="89"/>
      <c r="D382" s="89"/>
      <c r="E382" s="89"/>
      <c r="F382" s="110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</row>
    <row r="383" spans="1:27" ht="13.8">
      <c r="A383" s="89"/>
      <c r="B383" s="89"/>
      <c r="C383" s="89"/>
      <c r="D383" s="89"/>
      <c r="E383" s="89"/>
      <c r="F383" s="110"/>
      <c r="G383" s="89"/>
      <c r="H383" s="89"/>
      <c r="I383" s="89"/>
      <c r="J383" s="89"/>
      <c r="K383" s="89"/>
      <c r="L383" s="89"/>
      <c r="M383" s="89"/>
      <c r="N383" s="89"/>
      <c r="O383" s="89"/>
      <c r="P383" s="89"/>
      <c r="Q383" s="89"/>
      <c r="R383" s="89"/>
      <c r="S383" s="89"/>
      <c r="T383" s="89"/>
      <c r="U383" s="89"/>
      <c r="V383" s="89"/>
      <c r="W383" s="89"/>
      <c r="X383" s="89"/>
      <c r="Y383" s="89"/>
      <c r="Z383" s="89"/>
      <c r="AA383" s="89"/>
    </row>
    <row r="384" spans="1:27" ht="13.8">
      <c r="A384" s="89"/>
      <c r="B384" s="89"/>
      <c r="C384" s="89"/>
      <c r="D384" s="89"/>
      <c r="E384" s="89"/>
      <c r="F384" s="110"/>
      <c r="G384" s="89"/>
      <c r="H384" s="89"/>
      <c r="I384" s="89"/>
      <c r="J384" s="89"/>
      <c r="K384" s="89"/>
      <c r="L384" s="89"/>
      <c r="M384" s="89"/>
      <c r="N384" s="89"/>
      <c r="O384" s="89"/>
      <c r="P384" s="89"/>
      <c r="Q384" s="89"/>
      <c r="R384" s="89"/>
      <c r="S384" s="89"/>
      <c r="T384" s="89"/>
      <c r="U384" s="89"/>
      <c r="V384" s="89"/>
      <c r="W384" s="89"/>
      <c r="X384" s="89"/>
      <c r="Y384" s="89"/>
      <c r="Z384" s="89"/>
      <c r="AA384" s="89"/>
    </row>
    <row r="385" spans="1:27" ht="13.8">
      <c r="A385" s="89"/>
      <c r="B385" s="89"/>
      <c r="C385" s="89"/>
      <c r="D385" s="89"/>
      <c r="E385" s="89"/>
      <c r="F385" s="110"/>
      <c r="G385" s="89"/>
      <c r="H385" s="89"/>
      <c r="I385" s="89"/>
      <c r="J385" s="89"/>
      <c r="K385" s="89"/>
      <c r="L385" s="89"/>
      <c r="M385" s="89"/>
      <c r="N385" s="89"/>
      <c r="O385" s="89"/>
      <c r="P385" s="89"/>
      <c r="Q385" s="89"/>
      <c r="R385" s="89"/>
      <c r="S385" s="89"/>
      <c r="T385" s="89"/>
      <c r="U385" s="89"/>
      <c r="V385" s="89"/>
      <c r="W385" s="89"/>
      <c r="X385" s="89"/>
      <c r="Y385" s="89"/>
      <c r="Z385" s="89"/>
      <c r="AA385" s="89"/>
    </row>
    <row r="386" spans="1:27" ht="13.8">
      <c r="A386" s="89"/>
      <c r="B386" s="89"/>
      <c r="C386" s="89"/>
      <c r="D386" s="89"/>
      <c r="E386" s="89"/>
      <c r="F386" s="110"/>
      <c r="G386" s="89"/>
      <c r="H386" s="89"/>
      <c r="I386" s="89"/>
      <c r="J386" s="89"/>
      <c r="K386" s="89"/>
      <c r="L386" s="89"/>
      <c r="M386" s="89"/>
      <c r="N386" s="89"/>
      <c r="O386" s="89"/>
      <c r="P386" s="89"/>
      <c r="Q386" s="89"/>
      <c r="R386" s="89"/>
      <c r="S386" s="89"/>
      <c r="T386" s="89"/>
      <c r="U386" s="89"/>
      <c r="V386" s="89"/>
      <c r="W386" s="89"/>
      <c r="X386" s="89"/>
      <c r="Y386" s="89"/>
      <c r="Z386" s="89"/>
      <c r="AA386" s="89"/>
    </row>
    <row r="387" spans="1:27" ht="13.8">
      <c r="A387" s="89"/>
      <c r="B387" s="89"/>
      <c r="C387" s="89"/>
      <c r="D387" s="89"/>
      <c r="E387" s="89"/>
      <c r="F387" s="110"/>
      <c r="G387" s="89"/>
      <c r="H387" s="89"/>
      <c r="I387" s="89"/>
      <c r="J387" s="89"/>
      <c r="K387" s="89"/>
      <c r="L387" s="89"/>
      <c r="M387" s="89"/>
      <c r="N387" s="89"/>
      <c r="O387" s="89"/>
      <c r="P387" s="89"/>
      <c r="Q387" s="89"/>
      <c r="R387" s="89"/>
      <c r="S387" s="89"/>
      <c r="T387" s="89"/>
      <c r="U387" s="89"/>
      <c r="V387" s="89"/>
      <c r="W387" s="89"/>
      <c r="X387" s="89"/>
      <c r="Y387" s="89"/>
      <c r="Z387" s="89"/>
      <c r="AA387" s="89"/>
    </row>
    <row r="388" spans="1:27" ht="13.8">
      <c r="A388" s="89"/>
      <c r="B388" s="89"/>
      <c r="C388" s="89"/>
      <c r="D388" s="89"/>
      <c r="E388" s="89"/>
      <c r="F388" s="110"/>
      <c r="G388" s="89"/>
      <c r="H388" s="89"/>
      <c r="I388" s="89"/>
      <c r="J388" s="89"/>
      <c r="K388" s="89"/>
      <c r="L388" s="89"/>
      <c r="M388" s="89"/>
      <c r="N388" s="89"/>
      <c r="O388" s="89"/>
      <c r="P388" s="89"/>
      <c r="Q388" s="89"/>
      <c r="R388" s="89"/>
      <c r="S388" s="89"/>
      <c r="T388" s="89"/>
      <c r="U388" s="89"/>
      <c r="V388" s="89"/>
      <c r="W388" s="89"/>
      <c r="X388" s="89"/>
      <c r="Y388" s="89"/>
      <c r="Z388" s="89"/>
      <c r="AA388" s="89"/>
    </row>
    <row r="389" spans="1:27" ht="13.8">
      <c r="A389" s="89"/>
      <c r="B389" s="89"/>
      <c r="C389" s="89"/>
      <c r="D389" s="89"/>
      <c r="E389" s="89"/>
      <c r="F389" s="110"/>
      <c r="G389" s="89"/>
      <c r="H389" s="89"/>
      <c r="I389" s="89"/>
      <c r="J389" s="89"/>
      <c r="K389" s="89"/>
      <c r="L389" s="89"/>
      <c r="M389" s="89"/>
      <c r="N389" s="89"/>
      <c r="O389" s="89"/>
      <c r="P389" s="89"/>
      <c r="Q389" s="89"/>
      <c r="R389" s="89"/>
      <c r="S389" s="89"/>
      <c r="T389" s="89"/>
      <c r="U389" s="89"/>
      <c r="V389" s="89"/>
      <c r="W389" s="89"/>
      <c r="X389" s="89"/>
      <c r="Y389" s="89"/>
      <c r="Z389" s="89"/>
      <c r="AA389" s="89"/>
    </row>
    <row r="390" spans="1:27" ht="13.8">
      <c r="A390" s="89"/>
      <c r="B390" s="89"/>
      <c r="C390" s="89"/>
      <c r="D390" s="89"/>
      <c r="E390" s="89"/>
      <c r="F390" s="110"/>
      <c r="G390" s="89"/>
      <c r="H390" s="89"/>
      <c r="I390" s="89"/>
      <c r="J390" s="89"/>
      <c r="K390" s="89"/>
      <c r="L390" s="89"/>
      <c r="M390" s="89"/>
      <c r="N390" s="89"/>
      <c r="O390" s="89"/>
      <c r="P390" s="89"/>
      <c r="Q390" s="89"/>
      <c r="R390" s="89"/>
      <c r="S390" s="89"/>
      <c r="T390" s="89"/>
      <c r="U390" s="89"/>
      <c r="V390" s="89"/>
      <c r="W390" s="89"/>
      <c r="X390" s="89"/>
      <c r="Y390" s="89"/>
      <c r="Z390" s="89"/>
      <c r="AA390" s="89"/>
    </row>
    <row r="391" spans="1:27" ht="13.8">
      <c r="A391" s="89"/>
      <c r="B391" s="89"/>
      <c r="C391" s="89"/>
      <c r="D391" s="89"/>
      <c r="E391" s="89"/>
      <c r="F391" s="110"/>
      <c r="G391" s="89"/>
      <c r="H391" s="89"/>
      <c r="I391" s="89"/>
      <c r="J391" s="89"/>
      <c r="K391" s="89"/>
      <c r="L391" s="89"/>
      <c r="M391" s="89"/>
      <c r="N391" s="89"/>
      <c r="O391" s="89"/>
      <c r="P391" s="89"/>
      <c r="Q391" s="89"/>
      <c r="R391" s="89"/>
      <c r="S391" s="89"/>
      <c r="T391" s="89"/>
      <c r="U391" s="89"/>
      <c r="V391" s="89"/>
      <c r="W391" s="89"/>
      <c r="X391" s="89"/>
      <c r="Y391" s="89"/>
      <c r="Z391" s="89"/>
      <c r="AA391" s="89"/>
    </row>
    <row r="392" spans="1:27" ht="13.8">
      <c r="A392" s="89"/>
      <c r="B392" s="89"/>
      <c r="C392" s="89"/>
      <c r="D392" s="89"/>
      <c r="E392" s="89"/>
      <c r="F392" s="110"/>
      <c r="G392" s="89"/>
      <c r="H392" s="89"/>
      <c r="I392" s="89"/>
      <c r="J392" s="89"/>
      <c r="K392" s="89"/>
      <c r="L392" s="89"/>
      <c r="M392" s="89"/>
      <c r="N392" s="89"/>
      <c r="O392" s="89"/>
      <c r="P392" s="89"/>
      <c r="Q392" s="89"/>
      <c r="R392" s="89"/>
      <c r="S392" s="89"/>
      <c r="T392" s="89"/>
      <c r="U392" s="89"/>
      <c r="V392" s="89"/>
      <c r="W392" s="89"/>
      <c r="X392" s="89"/>
      <c r="Y392" s="89"/>
      <c r="Z392" s="89"/>
      <c r="AA392" s="89"/>
    </row>
    <row r="393" spans="1:27" ht="13.8">
      <c r="A393" s="89"/>
      <c r="B393" s="89"/>
      <c r="C393" s="89"/>
      <c r="D393" s="89"/>
      <c r="E393" s="89"/>
      <c r="F393" s="110"/>
      <c r="G393" s="89"/>
      <c r="H393" s="89"/>
      <c r="I393" s="89"/>
      <c r="J393" s="89"/>
      <c r="K393" s="89"/>
      <c r="L393" s="89"/>
      <c r="M393" s="89"/>
      <c r="N393" s="89"/>
      <c r="O393" s="89"/>
      <c r="P393" s="89"/>
      <c r="Q393" s="89"/>
      <c r="R393" s="89"/>
      <c r="S393" s="89"/>
      <c r="T393" s="89"/>
      <c r="U393" s="89"/>
      <c r="V393" s="89"/>
      <c r="W393" s="89"/>
      <c r="X393" s="89"/>
      <c r="Y393" s="89"/>
      <c r="Z393" s="89"/>
      <c r="AA393" s="89"/>
    </row>
    <row r="394" spans="1:27" ht="13.8">
      <c r="A394" s="89"/>
      <c r="B394" s="89"/>
      <c r="C394" s="89"/>
      <c r="D394" s="89"/>
      <c r="E394" s="89"/>
      <c r="F394" s="110"/>
      <c r="G394" s="89"/>
      <c r="H394" s="89"/>
      <c r="I394" s="89"/>
      <c r="J394" s="89"/>
      <c r="K394" s="89"/>
      <c r="L394" s="89"/>
      <c r="M394" s="89"/>
      <c r="N394" s="89"/>
      <c r="O394" s="89"/>
      <c r="P394" s="89"/>
      <c r="Q394" s="89"/>
      <c r="R394" s="89"/>
      <c r="S394" s="89"/>
      <c r="T394" s="89"/>
      <c r="U394" s="89"/>
      <c r="V394" s="89"/>
      <c r="W394" s="89"/>
      <c r="X394" s="89"/>
      <c r="Y394" s="89"/>
      <c r="Z394" s="89"/>
      <c r="AA394" s="89"/>
    </row>
    <row r="395" spans="1:27" ht="13.8">
      <c r="A395" s="89"/>
      <c r="B395" s="89"/>
      <c r="C395" s="89"/>
      <c r="D395" s="89"/>
      <c r="E395" s="89"/>
      <c r="F395" s="110"/>
      <c r="G395" s="89"/>
      <c r="H395" s="89"/>
      <c r="I395" s="89"/>
      <c r="J395" s="89"/>
      <c r="K395" s="89"/>
      <c r="L395" s="89"/>
      <c r="M395" s="89"/>
      <c r="N395" s="89"/>
      <c r="O395" s="89"/>
      <c r="P395" s="89"/>
      <c r="Q395" s="89"/>
      <c r="R395" s="89"/>
      <c r="S395" s="89"/>
      <c r="T395" s="89"/>
      <c r="U395" s="89"/>
      <c r="V395" s="89"/>
      <c r="W395" s="89"/>
      <c r="X395" s="89"/>
      <c r="Y395" s="89"/>
      <c r="Z395" s="89"/>
      <c r="AA395" s="89"/>
    </row>
    <row r="396" spans="1:27" ht="13.8">
      <c r="A396" s="89"/>
      <c r="B396" s="89"/>
      <c r="C396" s="89"/>
      <c r="D396" s="89"/>
      <c r="E396" s="89"/>
      <c r="F396" s="110"/>
      <c r="G396" s="89"/>
      <c r="H396" s="89"/>
      <c r="I396" s="89"/>
      <c r="J396" s="89"/>
      <c r="K396" s="89"/>
      <c r="L396" s="89"/>
      <c r="M396" s="89"/>
      <c r="N396" s="89"/>
      <c r="O396" s="89"/>
      <c r="P396" s="89"/>
      <c r="Q396" s="89"/>
      <c r="R396" s="89"/>
      <c r="S396" s="89"/>
      <c r="T396" s="89"/>
      <c r="U396" s="89"/>
      <c r="V396" s="89"/>
      <c r="W396" s="89"/>
      <c r="X396" s="89"/>
      <c r="Y396" s="89"/>
      <c r="Z396" s="89"/>
      <c r="AA396" s="89"/>
    </row>
    <row r="397" spans="1:27" ht="13.8">
      <c r="A397" s="89"/>
      <c r="B397" s="89"/>
      <c r="C397" s="89"/>
      <c r="D397" s="89"/>
      <c r="E397" s="89"/>
      <c r="F397" s="110"/>
      <c r="G397" s="89"/>
      <c r="H397" s="89"/>
      <c r="I397" s="89"/>
      <c r="J397" s="89"/>
      <c r="K397" s="89"/>
      <c r="L397" s="89"/>
      <c r="M397" s="89"/>
      <c r="N397" s="89"/>
      <c r="O397" s="89"/>
      <c r="P397" s="89"/>
      <c r="Q397" s="89"/>
      <c r="R397" s="89"/>
      <c r="S397" s="89"/>
      <c r="T397" s="89"/>
      <c r="U397" s="89"/>
      <c r="V397" s="89"/>
      <c r="W397" s="89"/>
      <c r="X397" s="89"/>
      <c r="Y397" s="89"/>
      <c r="Z397" s="89"/>
      <c r="AA397" s="89"/>
    </row>
    <row r="398" spans="1:27" ht="13.8">
      <c r="A398" s="89"/>
      <c r="B398" s="89"/>
      <c r="C398" s="89"/>
      <c r="D398" s="89"/>
      <c r="E398" s="89"/>
      <c r="F398" s="110"/>
      <c r="G398" s="89"/>
      <c r="H398" s="89"/>
      <c r="I398" s="89"/>
      <c r="J398" s="89"/>
      <c r="K398" s="89"/>
      <c r="L398" s="89"/>
      <c r="M398" s="89"/>
      <c r="N398" s="89"/>
      <c r="O398" s="89"/>
      <c r="P398" s="89"/>
      <c r="Q398" s="89"/>
      <c r="R398" s="89"/>
      <c r="S398" s="89"/>
      <c r="T398" s="89"/>
      <c r="U398" s="89"/>
      <c r="V398" s="89"/>
      <c r="W398" s="89"/>
      <c r="X398" s="89"/>
      <c r="Y398" s="89"/>
      <c r="Z398" s="89"/>
      <c r="AA398" s="89"/>
    </row>
    <row r="399" spans="1:27" ht="13.8">
      <c r="A399" s="89"/>
      <c r="B399" s="89"/>
      <c r="C399" s="89"/>
      <c r="D399" s="89"/>
      <c r="E399" s="89"/>
      <c r="F399" s="110"/>
      <c r="G399" s="89"/>
      <c r="H399" s="89"/>
      <c r="I399" s="89"/>
      <c r="J399" s="89"/>
      <c r="K399" s="89"/>
      <c r="L399" s="89"/>
      <c r="M399" s="89"/>
      <c r="N399" s="89"/>
      <c r="O399" s="89"/>
      <c r="P399" s="89"/>
      <c r="Q399" s="89"/>
      <c r="R399" s="89"/>
      <c r="S399" s="89"/>
      <c r="T399" s="89"/>
      <c r="U399" s="89"/>
      <c r="V399" s="89"/>
      <c r="W399" s="89"/>
      <c r="X399" s="89"/>
      <c r="Y399" s="89"/>
      <c r="Z399" s="89"/>
      <c r="AA399" s="89"/>
    </row>
    <row r="400" spans="1:27" ht="13.8">
      <c r="A400" s="89"/>
      <c r="B400" s="89"/>
      <c r="C400" s="89"/>
      <c r="D400" s="89"/>
      <c r="E400" s="89"/>
      <c r="F400" s="110"/>
      <c r="G400" s="89"/>
      <c r="H400" s="89"/>
      <c r="I400" s="89"/>
      <c r="J400" s="89"/>
      <c r="K400" s="89"/>
      <c r="L400" s="89"/>
      <c r="M400" s="89"/>
      <c r="N400" s="89"/>
      <c r="O400" s="89"/>
      <c r="P400" s="89"/>
      <c r="Q400" s="89"/>
      <c r="R400" s="89"/>
      <c r="S400" s="89"/>
      <c r="T400" s="89"/>
      <c r="U400" s="89"/>
      <c r="V400" s="89"/>
      <c r="W400" s="89"/>
      <c r="X400" s="89"/>
      <c r="Y400" s="89"/>
      <c r="Z400" s="89"/>
      <c r="AA400" s="89"/>
    </row>
    <row r="401" spans="1:27" ht="13.8">
      <c r="A401" s="89"/>
      <c r="B401" s="89"/>
      <c r="C401" s="89"/>
      <c r="D401" s="89"/>
      <c r="E401" s="89"/>
      <c r="F401" s="110"/>
      <c r="G401" s="89"/>
      <c r="H401" s="89"/>
      <c r="I401" s="89"/>
      <c r="J401" s="89"/>
      <c r="K401" s="89"/>
      <c r="L401" s="89"/>
      <c r="M401" s="89"/>
      <c r="N401" s="89"/>
      <c r="O401" s="89"/>
      <c r="P401" s="89"/>
      <c r="Q401" s="89"/>
      <c r="R401" s="89"/>
      <c r="S401" s="89"/>
      <c r="T401" s="89"/>
      <c r="U401" s="89"/>
      <c r="V401" s="89"/>
      <c r="W401" s="89"/>
      <c r="X401" s="89"/>
      <c r="Y401" s="89"/>
      <c r="Z401" s="89"/>
      <c r="AA401" s="89"/>
    </row>
    <row r="402" spans="1:27" ht="13.8">
      <c r="A402" s="89"/>
      <c r="B402" s="89"/>
      <c r="C402" s="89"/>
      <c r="D402" s="89"/>
      <c r="E402" s="89"/>
      <c r="F402" s="110"/>
      <c r="G402" s="89"/>
      <c r="H402" s="89"/>
      <c r="I402" s="89"/>
      <c r="J402" s="89"/>
      <c r="K402" s="89"/>
      <c r="L402" s="89"/>
      <c r="M402" s="89"/>
      <c r="N402" s="89"/>
      <c r="O402" s="89"/>
      <c r="P402" s="89"/>
      <c r="Q402" s="89"/>
      <c r="R402" s="89"/>
      <c r="S402" s="89"/>
      <c r="T402" s="89"/>
      <c r="U402" s="89"/>
      <c r="V402" s="89"/>
      <c r="W402" s="89"/>
      <c r="X402" s="89"/>
      <c r="Y402" s="89"/>
      <c r="Z402" s="89"/>
      <c r="AA402" s="89"/>
    </row>
    <row r="403" spans="1:27" ht="13.8">
      <c r="A403" s="89"/>
      <c r="B403" s="89"/>
      <c r="C403" s="89"/>
      <c r="D403" s="89"/>
      <c r="E403" s="89"/>
      <c r="F403" s="110"/>
      <c r="G403" s="89"/>
      <c r="H403" s="89"/>
      <c r="I403" s="89"/>
      <c r="J403" s="89"/>
      <c r="K403" s="89"/>
      <c r="L403" s="89"/>
      <c r="M403" s="89"/>
      <c r="N403" s="89"/>
      <c r="O403" s="89"/>
      <c r="P403" s="89"/>
      <c r="Q403" s="89"/>
      <c r="R403" s="89"/>
      <c r="S403" s="89"/>
      <c r="T403" s="89"/>
      <c r="U403" s="89"/>
      <c r="V403" s="89"/>
      <c r="W403" s="89"/>
      <c r="X403" s="89"/>
      <c r="Y403" s="89"/>
      <c r="Z403" s="89"/>
      <c r="AA403" s="89"/>
    </row>
    <row r="404" spans="1:27" ht="13.8">
      <c r="A404" s="89"/>
      <c r="B404" s="89"/>
      <c r="C404" s="89"/>
      <c r="D404" s="89"/>
      <c r="E404" s="89"/>
      <c r="F404" s="110"/>
      <c r="G404" s="89"/>
      <c r="H404" s="89"/>
      <c r="I404" s="89"/>
      <c r="J404" s="89"/>
      <c r="K404" s="89"/>
      <c r="L404" s="89"/>
      <c r="M404" s="89"/>
      <c r="N404" s="89"/>
      <c r="O404" s="89"/>
      <c r="P404" s="89"/>
      <c r="Q404" s="89"/>
      <c r="R404" s="89"/>
      <c r="S404" s="89"/>
      <c r="T404" s="89"/>
      <c r="U404" s="89"/>
      <c r="V404" s="89"/>
      <c r="W404" s="89"/>
      <c r="X404" s="89"/>
      <c r="Y404" s="89"/>
      <c r="Z404" s="89"/>
      <c r="AA404" s="89"/>
    </row>
    <row r="405" spans="1:27" ht="13.8">
      <c r="A405" s="89"/>
      <c r="B405" s="89"/>
      <c r="C405" s="89"/>
      <c r="D405" s="89"/>
      <c r="E405" s="89"/>
      <c r="F405" s="110"/>
      <c r="G405" s="89"/>
      <c r="H405" s="89"/>
      <c r="I405" s="89"/>
      <c r="J405" s="89"/>
      <c r="K405" s="89"/>
      <c r="L405" s="89"/>
      <c r="M405" s="89"/>
      <c r="N405" s="89"/>
      <c r="O405" s="89"/>
      <c r="P405" s="89"/>
      <c r="Q405" s="89"/>
      <c r="R405" s="89"/>
      <c r="S405" s="89"/>
      <c r="T405" s="89"/>
      <c r="U405" s="89"/>
      <c r="V405" s="89"/>
      <c r="W405" s="89"/>
      <c r="X405" s="89"/>
      <c r="Y405" s="89"/>
      <c r="Z405" s="89"/>
      <c r="AA405" s="89"/>
    </row>
    <row r="406" spans="1:27" ht="13.8">
      <c r="A406" s="89"/>
      <c r="B406" s="89"/>
      <c r="C406" s="89"/>
      <c r="D406" s="89"/>
      <c r="E406" s="89"/>
      <c r="F406" s="110"/>
      <c r="G406" s="89"/>
      <c r="H406" s="89"/>
      <c r="I406" s="89"/>
      <c r="J406" s="89"/>
      <c r="K406" s="89"/>
      <c r="L406" s="89"/>
      <c r="M406" s="89"/>
      <c r="N406" s="89"/>
      <c r="O406" s="89"/>
      <c r="P406" s="89"/>
      <c r="Q406" s="89"/>
      <c r="R406" s="89"/>
      <c r="S406" s="89"/>
      <c r="T406" s="89"/>
      <c r="U406" s="89"/>
      <c r="V406" s="89"/>
      <c r="W406" s="89"/>
      <c r="X406" s="89"/>
      <c r="Y406" s="89"/>
      <c r="Z406" s="89"/>
      <c r="AA406" s="89"/>
    </row>
    <row r="407" spans="1:27" ht="13.8">
      <c r="A407" s="89"/>
      <c r="B407" s="89"/>
      <c r="C407" s="89"/>
      <c r="D407" s="89"/>
      <c r="E407" s="89"/>
      <c r="F407" s="110"/>
      <c r="G407" s="89"/>
      <c r="H407" s="89"/>
      <c r="I407" s="89"/>
      <c r="J407" s="89"/>
      <c r="K407" s="89"/>
      <c r="L407" s="89"/>
      <c r="M407" s="89"/>
      <c r="N407" s="89"/>
      <c r="O407" s="89"/>
      <c r="P407" s="89"/>
      <c r="Q407" s="89"/>
      <c r="R407" s="89"/>
      <c r="S407" s="89"/>
      <c r="T407" s="89"/>
      <c r="U407" s="89"/>
      <c r="V407" s="89"/>
      <c r="W407" s="89"/>
      <c r="X407" s="89"/>
      <c r="Y407" s="89"/>
      <c r="Z407" s="89"/>
      <c r="AA407" s="89"/>
    </row>
    <row r="408" spans="1:27" ht="13.8">
      <c r="A408" s="89"/>
      <c r="B408" s="89"/>
      <c r="C408" s="89"/>
      <c r="D408" s="89"/>
      <c r="E408" s="89"/>
      <c r="F408" s="110"/>
      <c r="G408" s="89"/>
      <c r="H408" s="89"/>
      <c r="I408" s="89"/>
      <c r="J408" s="89"/>
      <c r="K408" s="89"/>
      <c r="L408" s="89"/>
      <c r="M408" s="89"/>
      <c r="N408" s="89"/>
      <c r="O408" s="89"/>
      <c r="P408" s="89"/>
      <c r="Q408" s="89"/>
      <c r="R408" s="89"/>
      <c r="S408" s="89"/>
      <c r="T408" s="89"/>
      <c r="U408" s="89"/>
      <c r="V408" s="89"/>
      <c r="W408" s="89"/>
      <c r="X408" s="89"/>
      <c r="Y408" s="89"/>
      <c r="Z408" s="89"/>
      <c r="AA408" s="89"/>
    </row>
    <row r="409" spans="1:27" ht="13.8">
      <c r="A409" s="89"/>
      <c r="B409" s="89"/>
      <c r="C409" s="89"/>
      <c r="D409" s="89"/>
      <c r="E409" s="89"/>
      <c r="F409" s="110"/>
      <c r="G409" s="89"/>
      <c r="H409" s="89"/>
      <c r="I409" s="89"/>
      <c r="J409" s="89"/>
      <c r="K409" s="89"/>
      <c r="L409" s="89"/>
      <c r="M409" s="89"/>
      <c r="N409" s="89"/>
      <c r="O409" s="89"/>
      <c r="P409" s="89"/>
      <c r="Q409" s="89"/>
      <c r="R409" s="89"/>
      <c r="S409" s="89"/>
      <c r="T409" s="89"/>
      <c r="U409" s="89"/>
      <c r="V409" s="89"/>
      <c r="W409" s="89"/>
      <c r="X409" s="89"/>
      <c r="Y409" s="89"/>
      <c r="Z409" s="89"/>
      <c r="AA409" s="89"/>
    </row>
    <row r="410" spans="1:27" ht="13.8">
      <c r="A410" s="89"/>
      <c r="B410" s="89"/>
      <c r="C410" s="89"/>
      <c r="D410" s="89"/>
      <c r="E410" s="89"/>
      <c r="F410" s="110"/>
      <c r="G410" s="89"/>
      <c r="H410" s="89"/>
      <c r="I410" s="89"/>
      <c r="J410" s="89"/>
      <c r="K410" s="89"/>
      <c r="L410" s="89"/>
      <c r="M410" s="89"/>
      <c r="N410" s="89"/>
      <c r="O410" s="89"/>
      <c r="P410" s="89"/>
      <c r="Q410" s="89"/>
      <c r="R410" s="89"/>
      <c r="S410" s="89"/>
      <c r="T410" s="89"/>
      <c r="U410" s="89"/>
      <c r="V410" s="89"/>
      <c r="W410" s="89"/>
      <c r="X410" s="89"/>
      <c r="Y410" s="89"/>
      <c r="Z410" s="89"/>
      <c r="AA410" s="89"/>
    </row>
    <row r="411" spans="1:27" ht="13.8">
      <c r="A411" s="89"/>
      <c r="B411" s="89"/>
      <c r="C411" s="89"/>
      <c r="D411" s="89"/>
      <c r="E411" s="89"/>
      <c r="F411" s="110"/>
      <c r="G411" s="89"/>
      <c r="H411" s="89"/>
      <c r="I411" s="89"/>
      <c r="J411" s="89"/>
      <c r="K411" s="89"/>
      <c r="L411" s="89"/>
      <c r="M411" s="89"/>
      <c r="N411" s="89"/>
      <c r="O411" s="89"/>
      <c r="P411" s="89"/>
      <c r="Q411" s="89"/>
      <c r="R411" s="89"/>
      <c r="S411" s="89"/>
      <c r="T411" s="89"/>
      <c r="U411" s="89"/>
      <c r="V411" s="89"/>
      <c r="W411" s="89"/>
      <c r="X411" s="89"/>
      <c r="Y411" s="89"/>
      <c r="Z411" s="89"/>
      <c r="AA411" s="89"/>
    </row>
    <row r="412" spans="1:27" ht="13.8">
      <c r="A412" s="89"/>
      <c r="B412" s="89"/>
      <c r="C412" s="89"/>
      <c r="D412" s="89"/>
      <c r="E412" s="89"/>
      <c r="F412" s="110"/>
      <c r="G412" s="89"/>
      <c r="H412" s="89"/>
      <c r="I412" s="89"/>
      <c r="J412" s="89"/>
      <c r="K412" s="89"/>
      <c r="L412" s="89"/>
      <c r="M412" s="89"/>
      <c r="N412" s="89"/>
      <c r="O412" s="89"/>
      <c r="P412" s="89"/>
      <c r="Q412" s="89"/>
      <c r="R412" s="89"/>
      <c r="S412" s="89"/>
      <c r="T412" s="89"/>
      <c r="U412" s="89"/>
      <c r="V412" s="89"/>
      <c r="W412" s="89"/>
      <c r="X412" s="89"/>
      <c r="Y412" s="89"/>
      <c r="Z412" s="89"/>
      <c r="AA412" s="89"/>
    </row>
    <row r="413" spans="1:27" ht="13.8">
      <c r="A413" s="89"/>
      <c r="B413" s="89"/>
      <c r="C413" s="89"/>
      <c r="D413" s="89"/>
      <c r="E413" s="89"/>
      <c r="F413" s="110"/>
      <c r="G413" s="89"/>
      <c r="H413" s="89"/>
      <c r="I413" s="89"/>
      <c r="J413" s="89"/>
      <c r="K413" s="89"/>
      <c r="L413" s="89"/>
      <c r="M413" s="89"/>
      <c r="N413" s="89"/>
      <c r="O413" s="89"/>
      <c r="P413" s="89"/>
      <c r="Q413" s="89"/>
      <c r="R413" s="89"/>
      <c r="S413" s="89"/>
      <c r="T413" s="89"/>
      <c r="U413" s="89"/>
      <c r="V413" s="89"/>
      <c r="W413" s="89"/>
      <c r="X413" s="89"/>
      <c r="Y413" s="89"/>
      <c r="Z413" s="89"/>
      <c r="AA413" s="89"/>
    </row>
    <row r="414" spans="1:27" ht="13.8">
      <c r="A414" s="89"/>
      <c r="B414" s="89"/>
      <c r="C414" s="89"/>
      <c r="D414" s="89"/>
      <c r="E414" s="89"/>
      <c r="F414" s="110"/>
      <c r="G414" s="89"/>
      <c r="H414" s="89"/>
      <c r="I414" s="89"/>
      <c r="J414" s="89"/>
      <c r="K414" s="89"/>
      <c r="L414" s="89"/>
      <c r="M414" s="89"/>
      <c r="N414" s="89"/>
      <c r="O414" s="89"/>
      <c r="P414" s="89"/>
      <c r="Q414" s="89"/>
      <c r="R414" s="89"/>
      <c r="S414" s="89"/>
      <c r="T414" s="89"/>
      <c r="U414" s="89"/>
      <c r="V414" s="89"/>
      <c r="W414" s="89"/>
      <c r="X414" s="89"/>
      <c r="Y414" s="89"/>
      <c r="Z414" s="89"/>
      <c r="AA414" s="89"/>
    </row>
    <row r="415" spans="1:27" ht="13.8">
      <c r="A415" s="89"/>
      <c r="B415" s="89"/>
      <c r="C415" s="89"/>
      <c r="D415" s="89"/>
      <c r="E415" s="89"/>
      <c r="F415" s="110"/>
      <c r="G415" s="89"/>
      <c r="H415" s="89"/>
      <c r="I415" s="89"/>
      <c r="J415" s="89"/>
      <c r="K415" s="89"/>
      <c r="L415" s="89"/>
      <c r="M415" s="89"/>
      <c r="N415" s="89"/>
      <c r="O415" s="89"/>
      <c r="P415" s="89"/>
      <c r="Q415" s="89"/>
      <c r="R415" s="89"/>
      <c r="S415" s="89"/>
      <c r="T415" s="89"/>
      <c r="U415" s="89"/>
      <c r="V415" s="89"/>
      <c r="W415" s="89"/>
      <c r="X415" s="89"/>
      <c r="Y415" s="89"/>
      <c r="Z415" s="89"/>
      <c r="AA415" s="89"/>
    </row>
    <row r="416" spans="1:27" ht="13.8">
      <c r="A416" s="89"/>
      <c r="B416" s="89"/>
      <c r="C416" s="89"/>
      <c r="D416" s="89"/>
      <c r="E416" s="89"/>
      <c r="F416" s="110"/>
      <c r="G416" s="89"/>
      <c r="H416" s="89"/>
      <c r="I416" s="89"/>
      <c r="J416" s="89"/>
      <c r="K416" s="89"/>
      <c r="L416" s="89"/>
      <c r="M416" s="89"/>
      <c r="N416" s="89"/>
      <c r="O416" s="89"/>
      <c r="P416" s="89"/>
      <c r="Q416" s="89"/>
      <c r="R416" s="89"/>
      <c r="S416" s="89"/>
      <c r="T416" s="89"/>
      <c r="U416" s="89"/>
      <c r="V416" s="89"/>
      <c r="W416" s="89"/>
      <c r="X416" s="89"/>
      <c r="Y416" s="89"/>
      <c r="Z416" s="89"/>
      <c r="AA416" s="89"/>
    </row>
    <row r="417" spans="1:27" ht="13.8">
      <c r="A417" s="89"/>
      <c r="B417" s="89"/>
      <c r="C417" s="89"/>
      <c r="D417" s="89"/>
      <c r="E417" s="89"/>
      <c r="F417" s="110"/>
      <c r="G417" s="89"/>
      <c r="H417" s="89"/>
      <c r="I417" s="89"/>
      <c r="J417" s="89"/>
      <c r="K417" s="89"/>
      <c r="L417" s="89"/>
      <c r="M417" s="89"/>
      <c r="N417" s="89"/>
      <c r="O417" s="89"/>
      <c r="P417" s="89"/>
      <c r="Q417" s="89"/>
      <c r="R417" s="89"/>
      <c r="S417" s="89"/>
      <c r="T417" s="89"/>
      <c r="U417" s="89"/>
      <c r="V417" s="89"/>
      <c r="W417" s="89"/>
      <c r="X417" s="89"/>
      <c r="Y417" s="89"/>
      <c r="Z417" s="89"/>
      <c r="AA417" s="89"/>
    </row>
    <row r="418" spans="1:27" ht="13.8">
      <c r="A418" s="89"/>
      <c r="B418" s="89"/>
      <c r="C418" s="89"/>
      <c r="D418" s="89"/>
      <c r="E418" s="89"/>
      <c r="F418" s="110"/>
      <c r="G418" s="89"/>
      <c r="H418" s="89"/>
      <c r="I418" s="89"/>
      <c r="J418" s="89"/>
      <c r="K418" s="89"/>
      <c r="L418" s="89"/>
      <c r="M418" s="89"/>
      <c r="N418" s="89"/>
      <c r="O418" s="89"/>
      <c r="P418" s="89"/>
      <c r="Q418" s="89"/>
      <c r="R418" s="89"/>
      <c r="S418" s="89"/>
      <c r="T418" s="89"/>
      <c r="U418" s="89"/>
      <c r="V418" s="89"/>
      <c r="W418" s="89"/>
      <c r="X418" s="89"/>
      <c r="Y418" s="89"/>
      <c r="Z418" s="89"/>
      <c r="AA418" s="89"/>
    </row>
    <row r="419" spans="1:27" ht="13.8">
      <c r="A419" s="89"/>
      <c r="B419" s="89"/>
      <c r="C419" s="89"/>
      <c r="D419" s="89"/>
      <c r="E419" s="89"/>
      <c r="F419" s="110"/>
      <c r="G419" s="89"/>
      <c r="H419" s="89"/>
      <c r="I419" s="89"/>
      <c r="J419" s="89"/>
      <c r="K419" s="89"/>
      <c r="L419" s="89"/>
      <c r="M419" s="89"/>
      <c r="N419" s="89"/>
      <c r="O419" s="89"/>
      <c r="P419" s="89"/>
      <c r="Q419" s="89"/>
      <c r="R419" s="89"/>
      <c r="S419" s="89"/>
      <c r="T419" s="89"/>
      <c r="U419" s="89"/>
      <c r="V419" s="89"/>
      <c r="W419" s="89"/>
      <c r="X419" s="89"/>
      <c r="Y419" s="89"/>
      <c r="Z419" s="89"/>
      <c r="AA419" s="89"/>
    </row>
    <row r="420" spans="1:27" ht="13.8">
      <c r="A420" s="89"/>
      <c r="B420" s="89"/>
      <c r="C420" s="89"/>
      <c r="D420" s="89"/>
      <c r="E420" s="89"/>
      <c r="F420" s="110"/>
      <c r="G420" s="89"/>
      <c r="H420" s="89"/>
      <c r="I420" s="89"/>
      <c r="J420" s="89"/>
      <c r="K420" s="89"/>
      <c r="L420" s="89"/>
      <c r="M420" s="89"/>
      <c r="N420" s="89"/>
      <c r="O420" s="89"/>
      <c r="P420" s="89"/>
      <c r="Q420" s="89"/>
      <c r="R420" s="89"/>
      <c r="S420" s="89"/>
      <c r="T420" s="89"/>
      <c r="U420" s="89"/>
      <c r="V420" s="89"/>
      <c r="W420" s="89"/>
      <c r="X420" s="89"/>
      <c r="Y420" s="89"/>
      <c r="Z420" s="89"/>
      <c r="AA420" s="89"/>
    </row>
    <row r="421" spans="1:27" ht="13.8">
      <c r="A421" s="89"/>
      <c r="B421" s="89"/>
      <c r="C421" s="89"/>
      <c r="D421" s="89"/>
      <c r="E421" s="89"/>
      <c r="F421" s="110"/>
      <c r="G421" s="89"/>
      <c r="H421" s="89"/>
      <c r="I421" s="89"/>
      <c r="J421" s="89"/>
      <c r="K421" s="89"/>
      <c r="L421" s="89"/>
      <c r="M421" s="89"/>
      <c r="N421" s="89"/>
      <c r="O421" s="89"/>
      <c r="P421" s="89"/>
      <c r="Q421" s="89"/>
      <c r="R421" s="89"/>
      <c r="S421" s="89"/>
      <c r="T421" s="89"/>
      <c r="U421" s="89"/>
      <c r="V421" s="89"/>
      <c r="W421" s="89"/>
      <c r="X421" s="89"/>
      <c r="Y421" s="89"/>
      <c r="Z421" s="89"/>
      <c r="AA421" s="89"/>
    </row>
    <row r="422" spans="1:27" ht="13.8">
      <c r="A422" s="89"/>
      <c r="B422" s="89"/>
      <c r="C422" s="89"/>
      <c r="D422" s="89"/>
      <c r="E422" s="89"/>
      <c r="F422" s="110"/>
      <c r="G422" s="89"/>
      <c r="H422" s="89"/>
      <c r="I422" s="89"/>
      <c r="J422" s="89"/>
      <c r="K422" s="89"/>
      <c r="L422" s="89"/>
      <c r="M422" s="89"/>
      <c r="N422" s="89"/>
      <c r="O422" s="89"/>
      <c r="P422" s="89"/>
      <c r="Q422" s="89"/>
      <c r="R422" s="89"/>
      <c r="S422" s="89"/>
      <c r="T422" s="89"/>
      <c r="U422" s="89"/>
      <c r="V422" s="89"/>
      <c r="W422" s="89"/>
      <c r="X422" s="89"/>
      <c r="Y422" s="89"/>
      <c r="Z422" s="89"/>
      <c r="AA422" s="89"/>
    </row>
    <row r="423" spans="1:27" ht="13.8">
      <c r="A423" s="89"/>
      <c r="B423" s="89"/>
      <c r="C423" s="89"/>
      <c r="D423" s="89"/>
      <c r="E423" s="89"/>
      <c r="F423" s="110"/>
      <c r="G423" s="89"/>
      <c r="H423" s="89"/>
      <c r="I423" s="89"/>
      <c r="J423" s="89"/>
      <c r="K423" s="89"/>
      <c r="L423" s="89"/>
      <c r="M423" s="89"/>
      <c r="N423" s="89"/>
      <c r="O423" s="89"/>
      <c r="P423" s="89"/>
      <c r="Q423" s="89"/>
      <c r="R423" s="89"/>
      <c r="S423" s="89"/>
      <c r="T423" s="89"/>
      <c r="U423" s="89"/>
      <c r="V423" s="89"/>
      <c r="W423" s="89"/>
      <c r="X423" s="89"/>
      <c r="Y423" s="89"/>
      <c r="Z423" s="89"/>
      <c r="AA423" s="89"/>
    </row>
    <row r="424" spans="1:27" ht="13.8">
      <c r="A424" s="89"/>
      <c r="B424" s="89"/>
      <c r="C424" s="89"/>
      <c r="D424" s="89"/>
      <c r="E424" s="89"/>
      <c r="F424" s="110"/>
      <c r="G424" s="89"/>
      <c r="H424" s="89"/>
      <c r="I424" s="89"/>
      <c r="J424" s="89"/>
      <c r="K424" s="89"/>
      <c r="L424" s="89"/>
      <c r="M424" s="89"/>
      <c r="N424" s="89"/>
      <c r="O424" s="89"/>
      <c r="P424" s="89"/>
      <c r="Q424" s="89"/>
      <c r="R424" s="89"/>
      <c r="S424" s="89"/>
      <c r="T424" s="89"/>
      <c r="U424" s="89"/>
      <c r="V424" s="89"/>
      <c r="W424" s="89"/>
      <c r="X424" s="89"/>
      <c r="Y424" s="89"/>
      <c r="Z424" s="89"/>
      <c r="AA424" s="89"/>
    </row>
    <row r="425" spans="1:27" ht="13.8">
      <c r="A425" s="89"/>
      <c r="B425" s="89"/>
      <c r="C425" s="89"/>
      <c r="D425" s="89"/>
      <c r="E425" s="89"/>
      <c r="F425" s="110"/>
      <c r="G425" s="89"/>
      <c r="H425" s="89"/>
      <c r="I425" s="89"/>
      <c r="J425" s="89"/>
      <c r="K425" s="89"/>
      <c r="L425" s="89"/>
      <c r="M425" s="89"/>
      <c r="N425" s="89"/>
      <c r="O425" s="89"/>
      <c r="P425" s="89"/>
      <c r="Q425" s="89"/>
      <c r="R425" s="89"/>
      <c r="S425" s="89"/>
      <c r="T425" s="89"/>
      <c r="U425" s="89"/>
      <c r="V425" s="89"/>
      <c r="W425" s="89"/>
      <c r="X425" s="89"/>
      <c r="Y425" s="89"/>
      <c r="Z425" s="89"/>
      <c r="AA425" s="89"/>
    </row>
    <row r="426" spans="1:27" ht="13.8">
      <c r="A426" s="89"/>
      <c r="B426" s="89"/>
      <c r="C426" s="89"/>
      <c r="D426" s="89"/>
      <c r="E426" s="89"/>
      <c r="F426" s="110"/>
      <c r="G426" s="89"/>
      <c r="H426" s="89"/>
      <c r="I426" s="89"/>
      <c r="J426" s="89"/>
      <c r="K426" s="89"/>
      <c r="L426" s="89"/>
      <c r="M426" s="89"/>
      <c r="N426" s="89"/>
      <c r="O426" s="89"/>
      <c r="P426" s="89"/>
      <c r="Q426" s="89"/>
      <c r="R426" s="89"/>
      <c r="S426" s="89"/>
      <c r="T426" s="89"/>
      <c r="U426" s="89"/>
      <c r="V426" s="89"/>
      <c r="W426" s="89"/>
      <c r="X426" s="89"/>
      <c r="Y426" s="89"/>
      <c r="Z426" s="89"/>
      <c r="AA426" s="89"/>
    </row>
    <row r="427" spans="1:27" ht="13.8">
      <c r="A427" s="89"/>
      <c r="B427" s="89"/>
      <c r="C427" s="89"/>
      <c r="D427" s="89"/>
      <c r="E427" s="89"/>
      <c r="F427" s="110"/>
      <c r="G427" s="89"/>
      <c r="H427" s="89"/>
      <c r="I427" s="89"/>
      <c r="J427" s="89"/>
      <c r="K427" s="89"/>
      <c r="L427" s="89"/>
      <c r="M427" s="89"/>
      <c r="N427" s="89"/>
      <c r="O427" s="89"/>
      <c r="P427" s="89"/>
      <c r="Q427" s="89"/>
      <c r="R427" s="89"/>
      <c r="S427" s="89"/>
      <c r="T427" s="89"/>
      <c r="U427" s="89"/>
      <c r="V427" s="89"/>
      <c r="W427" s="89"/>
      <c r="X427" s="89"/>
      <c r="Y427" s="89"/>
      <c r="Z427" s="89"/>
      <c r="AA427" s="89"/>
    </row>
    <row r="428" spans="1:27" ht="13.8">
      <c r="A428" s="89"/>
      <c r="B428" s="89"/>
      <c r="C428" s="89"/>
      <c r="D428" s="89"/>
      <c r="E428" s="89"/>
      <c r="F428" s="110"/>
      <c r="G428" s="89"/>
      <c r="H428" s="89"/>
      <c r="I428" s="89"/>
      <c r="J428" s="89"/>
      <c r="K428" s="89"/>
      <c r="L428" s="89"/>
      <c r="M428" s="89"/>
      <c r="N428" s="89"/>
      <c r="O428" s="89"/>
      <c r="P428" s="89"/>
      <c r="Q428" s="89"/>
      <c r="R428" s="89"/>
      <c r="S428" s="89"/>
      <c r="T428" s="89"/>
      <c r="U428" s="89"/>
      <c r="V428" s="89"/>
      <c r="W428" s="89"/>
      <c r="X428" s="89"/>
      <c r="Y428" s="89"/>
      <c r="Z428" s="89"/>
      <c r="AA428" s="89"/>
    </row>
    <row r="429" spans="1:27" ht="13.8">
      <c r="A429" s="89"/>
      <c r="B429" s="89"/>
      <c r="C429" s="89"/>
      <c r="D429" s="89"/>
      <c r="E429" s="89"/>
      <c r="F429" s="110"/>
      <c r="G429" s="89"/>
      <c r="H429" s="89"/>
      <c r="I429" s="89"/>
      <c r="J429" s="89"/>
      <c r="K429" s="89"/>
      <c r="L429" s="89"/>
      <c r="M429" s="89"/>
      <c r="N429" s="89"/>
      <c r="O429" s="89"/>
      <c r="P429" s="89"/>
      <c r="Q429" s="89"/>
      <c r="R429" s="89"/>
      <c r="S429" s="89"/>
      <c r="T429" s="89"/>
      <c r="U429" s="89"/>
      <c r="V429" s="89"/>
      <c r="W429" s="89"/>
      <c r="X429" s="89"/>
      <c r="Y429" s="89"/>
      <c r="Z429" s="89"/>
      <c r="AA429" s="89"/>
    </row>
    <row r="430" spans="1:27" ht="13.8">
      <c r="A430" s="89"/>
      <c r="B430" s="89"/>
      <c r="C430" s="89"/>
      <c r="D430" s="89"/>
      <c r="E430" s="89"/>
      <c r="F430" s="110"/>
      <c r="G430" s="89"/>
      <c r="H430" s="89"/>
      <c r="I430" s="89"/>
      <c r="J430" s="89"/>
      <c r="K430" s="89"/>
      <c r="L430" s="89"/>
      <c r="M430" s="89"/>
      <c r="N430" s="89"/>
      <c r="O430" s="89"/>
      <c r="P430" s="89"/>
      <c r="Q430" s="89"/>
      <c r="R430" s="89"/>
      <c r="S430" s="89"/>
      <c r="T430" s="89"/>
      <c r="U430" s="89"/>
      <c r="V430" s="89"/>
      <c r="W430" s="89"/>
      <c r="X430" s="89"/>
      <c r="Y430" s="89"/>
      <c r="Z430" s="89"/>
      <c r="AA430" s="89"/>
    </row>
    <row r="431" spans="1:27" ht="13.8">
      <c r="A431" s="89"/>
      <c r="B431" s="89"/>
      <c r="C431" s="89"/>
      <c r="D431" s="89"/>
      <c r="E431" s="89"/>
      <c r="F431" s="110"/>
      <c r="G431" s="89"/>
      <c r="H431" s="89"/>
      <c r="I431" s="89"/>
      <c r="J431" s="89"/>
      <c r="K431" s="89"/>
      <c r="L431" s="89"/>
      <c r="M431" s="89"/>
      <c r="N431" s="89"/>
      <c r="O431" s="89"/>
      <c r="P431" s="89"/>
      <c r="Q431" s="89"/>
      <c r="R431" s="89"/>
      <c r="S431" s="89"/>
      <c r="T431" s="89"/>
      <c r="U431" s="89"/>
      <c r="V431" s="89"/>
      <c r="W431" s="89"/>
      <c r="X431" s="89"/>
      <c r="Y431" s="89"/>
      <c r="Z431" s="89"/>
      <c r="AA431" s="89"/>
    </row>
    <row r="432" spans="1:27" ht="13.8">
      <c r="A432" s="89"/>
      <c r="B432" s="89"/>
      <c r="C432" s="89"/>
      <c r="D432" s="89"/>
      <c r="E432" s="89"/>
      <c r="F432" s="110"/>
      <c r="G432" s="89"/>
      <c r="H432" s="89"/>
      <c r="I432" s="89"/>
      <c r="J432" s="89"/>
      <c r="K432" s="89"/>
      <c r="L432" s="89"/>
      <c r="M432" s="89"/>
      <c r="N432" s="89"/>
      <c r="O432" s="89"/>
      <c r="P432" s="89"/>
      <c r="Q432" s="89"/>
      <c r="R432" s="89"/>
      <c r="S432" s="89"/>
      <c r="T432" s="89"/>
      <c r="U432" s="89"/>
      <c r="V432" s="89"/>
      <c r="W432" s="89"/>
      <c r="X432" s="89"/>
      <c r="Y432" s="89"/>
      <c r="Z432" s="89"/>
      <c r="AA432" s="89"/>
    </row>
    <row r="433" spans="1:27" ht="13.8">
      <c r="A433" s="89"/>
      <c r="B433" s="89"/>
      <c r="C433" s="89"/>
      <c r="D433" s="89"/>
      <c r="E433" s="89"/>
      <c r="F433" s="110"/>
      <c r="G433" s="89"/>
      <c r="H433" s="89"/>
      <c r="I433" s="89"/>
      <c r="J433" s="89"/>
      <c r="K433" s="89"/>
      <c r="L433" s="89"/>
      <c r="M433" s="89"/>
      <c r="N433" s="89"/>
      <c r="O433" s="89"/>
      <c r="P433" s="89"/>
      <c r="Q433" s="89"/>
      <c r="R433" s="89"/>
      <c r="S433" s="89"/>
      <c r="T433" s="89"/>
      <c r="U433" s="89"/>
      <c r="V433" s="89"/>
      <c r="W433" s="89"/>
      <c r="X433" s="89"/>
      <c r="Y433" s="89"/>
      <c r="Z433" s="89"/>
      <c r="AA433" s="89"/>
    </row>
    <row r="434" spans="1:27" ht="13.8">
      <c r="A434" s="89"/>
      <c r="B434" s="89"/>
      <c r="C434" s="89"/>
      <c r="D434" s="89"/>
      <c r="E434" s="89"/>
      <c r="F434" s="110"/>
      <c r="G434" s="89"/>
      <c r="H434" s="89"/>
      <c r="I434" s="89"/>
      <c r="J434" s="89"/>
      <c r="K434" s="89"/>
      <c r="L434" s="89"/>
      <c r="M434" s="89"/>
      <c r="N434" s="89"/>
      <c r="O434" s="89"/>
      <c r="P434" s="89"/>
      <c r="Q434" s="89"/>
      <c r="R434" s="89"/>
      <c r="S434" s="89"/>
      <c r="T434" s="89"/>
      <c r="U434" s="89"/>
      <c r="V434" s="89"/>
      <c r="W434" s="89"/>
      <c r="X434" s="89"/>
      <c r="Y434" s="89"/>
      <c r="Z434" s="89"/>
      <c r="AA434" s="89"/>
    </row>
    <row r="435" spans="1:27" ht="13.8">
      <c r="A435" s="89"/>
      <c r="B435" s="89"/>
      <c r="C435" s="89"/>
      <c r="D435" s="89"/>
      <c r="E435" s="89"/>
      <c r="F435" s="110"/>
      <c r="G435" s="89"/>
      <c r="H435" s="89"/>
      <c r="I435" s="89"/>
      <c r="J435" s="89"/>
      <c r="K435" s="89"/>
      <c r="L435" s="89"/>
      <c r="M435" s="89"/>
      <c r="N435" s="89"/>
      <c r="O435" s="89"/>
      <c r="P435" s="89"/>
      <c r="Q435" s="89"/>
      <c r="R435" s="89"/>
      <c r="S435" s="89"/>
      <c r="T435" s="89"/>
      <c r="U435" s="89"/>
      <c r="V435" s="89"/>
      <c r="W435" s="89"/>
      <c r="X435" s="89"/>
      <c r="Y435" s="89"/>
      <c r="Z435" s="89"/>
      <c r="AA435" s="89"/>
    </row>
    <row r="436" spans="1:27" ht="13.8">
      <c r="A436" s="89"/>
      <c r="B436" s="89"/>
      <c r="C436" s="89"/>
      <c r="D436" s="89"/>
      <c r="E436" s="89"/>
      <c r="F436" s="110"/>
      <c r="G436" s="89"/>
      <c r="H436" s="89"/>
      <c r="I436" s="89"/>
      <c r="J436" s="89"/>
      <c r="K436" s="89"/>
      <c r="L436" s="89"/>
      <c r="M436" s="89"/>
      <c r="N436" s="89"/>
      <c r="O436" s="89"/>
      <c r="P436" s="89"/>
      <c r="Q436" s="89"/>
      <c r="R436" s="89"/>
      <c r="S436" s="89"/>
      <c r="T436" s="89"/>
      <c r="U436" s="89"/>
      <c r="V436" s="89"/>
      <c r="W436" s="89"/>
      <c r="X436" s="89"/>
      <c r="Y436" s="89"/>
      <c r="Z436" s="89"/>
      <c r="AA436" s="89"/>
    </row>
    <row r="437" spans="1:27" ht="13.8">
      <c r="A437" s="89"/>
      <c r="B437" s="89"/>
      <c r="C437" s="89"/>
      <c r="D437" s="89"/>
      <c r="E437" s="89"/>
      <c r="F437" s="110"/>
      <c r="G437" s="89"/>
      <c r="H437" s="89"/>
      <c r="I437" s="89"/>
      <c r="J437" s="89"/>
      <c r="K437" s="89"/>
      <c r="L437" s="89"/>
      <c r="M437" s="89"/>
      <c r="N437" s="89"/>
      <c r="O437" s="89"/>
      <c r="P437" s="89"/>
      <c r="Q437" s="89"/>
      <c r="R437" s="89"/>
      <c r="S437" s="89"/>
      <c r="T437" s="89"/>
      <c r="U437" s="89"/>
      <c r="V437" s="89"/>
      <c r="W437" s="89"/>
      <c r="X437" s="89"/>
      <c r="Y437" s="89"/>
      <c r="Z437" s="89"/>
      <c r="AA437" s="89"/>
    </row>
    <row r="438" spans="1:27" ht="13.8">
      <c r="A438" s="89"/>
      <c r="B438" s="89"/>
      <c r="C438" s="89"/>
      <c r="D438" s="89"/>
      <c r="E438" s="89"/>
      <c r="F438" s="110"/>
      <c r="G438" s="89"/>
      <c r="H438" s="89"/>
      <c r="I438" s="89"/>
      <c r="J438" s="89"/>
      <c r="K438" s="89"/>
      <c r="L438" s="89"/>
      <c r="M438" s="89"/>
      <c r="N438" s="89"/>
      <c r="O438" s="89"/>
      <c r="P438" s="89"/>
      <c r="Q438" s="89"/>
      <c r="R438" s="89"/>
      <c r="S438" s="89"/>
      <c r="T438" s="89"/>
      <c r="U438" s="89"/>
      <c r="V438" s="89"/>
      <c r="W438" s="89"/>
      <c r="X438" s="89"/>
      <c r="Y438" s="89"/>
      <c r="Z438" s="89"/>
      <c r="AA438" s="89"/>
    </row>
    <row r="439" spans="1:27" ht="13.8">
      <c r="A439" s="89"/>
      <c r="B439" s="89"/>
      <c r="C439" s="89"/>
      <c r="D439" s="89"/>
      <c r="E439" s="89"/>
      <c r="F439" s="110"/>
      <c r="G439" s="89"/>
      <c r="H439" s="89"/>
      <c r="I439" s="89"/>
      <c r="J439" s="89"/>
      <c r="K439" s="89"/>
      <c r="L439" s="89"/>
      <c r="M439" s="89"/>
      <c r="N439" s="89"/>
      <c r="O439" s="89"/>
      <c r="P439" s="89"/>
      <c r="Q439" s="89"/>
      <c r="R439" s="89"/>
      <c r="S439" s="89"/>
      <c r="T439" s="89"/>
      <c r="U439" s="89"/>
      <c r="V439" s="89"/>
      <c r="W439" s="89"/>
      <c r="X439" s="89"/>
      <c r="Y439" s="89"/>
      <c r="Z439" s="89"/>
      <c r="AA439" s="89"/>
    </row>
    <row r="440" spans="1:27" ht="13.8">
      <c r="A440" s="89"/>
      <c r="B440" s="89"/>
      <c r="C440" s="89"/>
      <c r="D440" s="89"/>
      <c r="E440" s="89"/>
      <c r="F440" s="110"/>
      <c r="G440" s="89"/>
      <c r="H440" s="89"/>
      <c r="I440" s="89"/>
      <c r="J440" s="89"/>
      <c r="K440" s="89"/>
      <c r="L440" s="89"/>
      <c r="M440" s="89"/>
      <c r="N440" s="89"/>
      <c r="O440" s="89"/>
      <c r="P440" s="89"/>
      <c r="Q440" s="89"/>
      <c r="R440" s="89"/>
      <c r="S440" s="89"/>
      <c r="T440" s="89"/>
      <c r="U440" s="89"/>
      <c r="V440" s="89"/>
      <c r="W440" s="89"/>
      <c r="X440" s="89"/>
      <c r="Y440" s="89"/>
      <c r="Z440" s="89"/>
      <c r="AA440" s="89"/>
    </row>
    <row r="441" spans="1:27" ht="13.8">
      <c r="A441" s="89"/>
      <c r="B441" s="89"/>
      <c r="C441" s="89"/>
      <c r="D441" s="89"/>
      <c r="E441" s="89"/>
      <c r="F441" s="110"/>
      <c r="G441" s="89"/>
      <c r="H441" s="89"/>
      <c r="I441" s="89"/>
      <c r="J441" s="89"/>
      <c r="K441" s="89"/>
      <c r="L441" s="89"/>
      <c r="M441" s="89"/>
      <c r="N441" s="89"/>
      <c r="O441" s="89"/>
      <c r="P441" s="89"/>
      <c r="Q441" s="89"/>
      <c r="R441" s="89"/>
      <c r="S441" s="89"/>
      <c r="T441" s="89"/>
      <c r="U441" s="89"/>
      <c r="V441" s="89"/>
      <c r="W441" s="89"/>
      <c r="X441" s="89"/>
      <c r="Y441" s="89"/>
      <c r="Z441" s="89"/>
      <c r="AA441" s="89"/>
    </row>
    <row r="442" spans="1:27" ht="13.8">
      <c r="A442" s="89"/>
      <c r="B442" s="89"/>
      <c r="C442" s="89"/>
      <c r="D442" s="89"/>
      <c r="E442" s="89"/>
      <c r="F442" s="110"/>
      <c r="G442" s="89"/>
      <c r="H442" s="89"/>
      <c r="I442" s="89"/>
      <c r="J442" s="89"/>
      <c r="K442" s="89"/>
      <c r="L442" s="89"/>
      <c r="M442" s="89"/>
      <c r="N442" s="89"/>
      <c r="O442" s="89"/>
      <c r="P442" s="89"/>
      <c r="Q442" s="89"/>
      <c r="R442" s="89"/>
      <c r="S442" s="89"/>
      <c r="T442" s="89"/>
      <c r="U442" s="89"/>
      <c r="V442" s="89"/>
      <c r="W442" s="89"/>
      <c r="X442" s="89"/>
      <c r="Y442" s="89"/>
      <c r="Z442" s="89"/>
      <c r="AA442" s="89"/>
    </row>
    <row r="443" spans="1:27" ht="13.8">
      <c r="A443" s="89"/>
      <c r="B443" s="89"/>
      <c r="C443" s="89"/>
      <c r="D443" s="89"/>
      <c r="E443" s="89"/>
      <c r="F443" s="110"/>
      <c r="G443" s="89"/>
      <c r="H443" s="89"/>
      <c r="I443" s="89"/>
      <c r="J443" s="89"/>
      <c r="K443" s="89"/>
      <c r="L443" s="89"/>
      <c r="M443" s="89"/>
      <c r="N443" s="89"/>
      <c r="O443" s="89"/>
      <c r="P443" s="89"/>
      <c r="Q443" s="89"/>
      <c r="R443" s="89"/>
      <c r="S443" s="89"/>
      <c r="T443" s="89"/>
      <c r="U443" s="89"/>
      <c r="V443" s="89"/>
      <c r="W443" s="89"/>
      <c r="X443" s="89"/>
      <c r="Y443" s="89"/>
      <c r="Z443" s="89"/>
      <c r="AA443" s="89"/>
    </row>
    <row r="444" spans="1:27" ht="13.8">
      <c r="A444" s="89"/>
      <c r="B444" s="89"/>
      <c r="C444" s="89"/>
      <c r="D444" s="89"/>
      <c r="E444" s="89"/>
      <c r="F444" s="110"/>
      <c r="G444" s="89"/>
      <c r="H444" s="89"/>
      <c r="I444" s="89"/>
      <c r="J444" s="89"/>
      <c r="K444" s="89"/>
      <c r="L444" s="89"/>
      <c r="M444" s="89"/>
      <c r="N444" s="89"/>
      <c r="O444" s="89"/>
      <c r="P444" s="89"/>
      <c r="Q444" s="89"/>
      <c r="R444" s="89"/>
      <c r="S444" s="89"/>
      <c r="T444" s="89"/>
      <c r="U444" s="89"/>
      <c r="V444" s="89"/>
      <c r="W444" s="89"/>
      <c r="X444" s="89"/>
      <c r="Y444" s="89"/>
      <c r="Z444" s="89"/>
      <c r="AA444" s="89"/>
    </row>
    <row r="445" spans="1:27" ht="13.8">
      <c r="A445" s="89"/>
      <c r="B445" s="89"/>
      <c r="C445" s="89"/>
      <c r="D445" s="89"/>
      <c r="E445" s="89"/>
      <c r="F445" s="110"/>
      <c r="G445" s="89"/>
      <c r="H445" s="89"/>
      <c r="I445" s="89"/>
      <c r="J445" s="89"/>
      <c r="K445" s="89"/>
      <c r="L445" s="89"/>
      <c r="M445" s="89"/>
      <c r="N445" s="89"/>
      <c r="O445" s="89"/>
      <c r="P445" s="89"/>
      <c r="Q445" s="89"/>
      <c r="R445" s="89"/>
      <c r="S445" s="89"/>
      <c r="T445" s="89"/>
      <c r="U445" s="89"/>
      <c r="V445" s="89"/>
      <c r="W445" s="89"/>
      <c r="X445" s="89"/>
      <c r="Y445" s="89"/>
      <c r="Z445" s="89"/>
      <c r="AA445" s="89"/>
    </row>
    <row r="446" spans="1:27" ht="13.8">
      <c r="A446" s="89"/>
      <c r="B446" s="89"/>
      <c r="C446" s="89"/>
      <c r="D446" s="89"/>
      <c r="E446" s="89"/>
      <c r="F446" s="110"/>
      <c r="G446" s="89"/>
      <c r="H446" s="89"/>
      <c r="I446" s="89"/>
      <c r="J446" s="89"/>
      <c r="K446" s="89"/>
      <c r="L446" s="89"/>
      <c r="M446" s="89"/>
      <c r="N446" s="89"/>
      <c r="O446" s="89"/>
      <c r="P446" s="89"/>
      <c r="Q446" s="89"/>
      <c r="R446" s="89"/>
      <c r="S446" s="89"/>
      <c r="T446" s="89"/>
      <c r="U446" s="89"/>
      <c r="V446" s="89"/>
      <c r="W446" s="89"/>
      <c r="X446" s="89"/>
      <c r="Y446" s="89"/>
      <c r="Z446" s="89"/>
      <c r="AA446" s="89"/>
    </row>
    <row r="447" spans="1:27" ht="13.8">
      <c r="A447" s="89"/>
      <c r="B447" s="89"/>
      <c r="C447" s="89"/>
      <c r="D447" s="89"/>
      <c r="E447" s="89"/>
      <c r="F447" s="110"/>
      <c r="G447" s="89"/>
      <c r="H447" s="89"/>
      <c r="I447" s="89"/>
      <c r="J447" s="89"/>
      <c r="K447" s="89"/>
      <c r="L447" s="89"/>
      <c r="M447" s="89"/>
      <c r="N447" s="89"/>
      <c r="O447" s="89"/>
      <c r="P447" s="89"/>
      <c r="Q447" s="89"/>
      <c r="R447" s="89"/>
      <c r="S447" s="89"/>
      <c r="T447" s="89"/>
      <c r="U447" s="89"/>
      <c r="V447" s="89"/>
      <c r="W447" s="89"/>
      <c r="X447" s="89"/>
      <c r="Y447" s="89"/>
      <c r="Z447" s="89"/>
      <c r="AA447" s="89"/>
    </row>
    <row r="448" spans="1:27" ht="13.8">
      <c r="A448" s="89"/>
      <c r="B448" s="89"/>
      <c r="C448" s="89"/>
      <c r="D448" s="89"/>
      <c r="E448" s="89"/>
      <c r="F448" s="110"/>
      <c r="G448" s="89"/>
      <c r="H448" s="89"/>
      <c r="I448" s="89"/>
      <c r="J448" s="89"/>
      <c r="K448" s="89"/>
      <c r="L448" s="89"/>
      <c r="M448" s="89"/>
      <c r="N448" s="89"/>
      <c r="O448" s="89"/>
      <c r="P448" s="89"/>
      <c r="Q448" s="89"/>
      <c r="R448" s="89"/>
      <c r="S448" s="89"/>
      <c r="T448" s="89"/>
      <c r="U448" s="89"/>
      <c r="V448" s="89"/>
      <c r="W448" s="89"/>
      <c r="X448" s="89"/>
      <c r="Y448" s="89"/>
      <c r="Z448" s="89"/>
      <c r="AA448" s="89"/>
    </row>
    <row r="449" spans="1:27" ht="13.8">
      <c r="A449" s="89"/>
      <c r="B449" s="89"/>
      <c r="C449" s="89"/>
      <c r="D449" s="89"/>
      <c r="E449" s="89"/>
      <c r="F449" s="110"/>
      <c r="G449" s="89"/>
      <c r="H449" s="89"/>
      <c r="I449" s="89"/>
      <c r="J449" s="89"/>
      <c r="K449" s="89"/>
      <c r="L449" s="89"/>
      <c r="M449" s="89"/>
      <c r="N449" s="89"/>
      <c r="O449" s="89"/>
      <c r="P449" s="89"/>
      <c r="Q449" s="89"/>
      <c r="R449" s="89"/>
      <c r="S449" s="89"/>
      <c r="T449" s="89"/>
      <c r="U449" s="89"/>
      <c r="V449" s="89"/>
      <c r="W449" s="89"/>
      <c r="X449" s="89"/>
      <c r="Y449" s="89"/>
      <c r="Z449" s="89"/>
      <c r="AA449" s="89"/>
    </row>
    <row r="450" spans="1:27" ht="13.8">
      <c r="A450" s="89"/>
      <c r="B450" s="89"/>
      <c r="C450" s="89"/>
      <c r="D450" s="89"/>
      <c r="E450" s="89"/>
      <c r="F450" s="110"/>
      <c r="G450" s="89"/>
      <c r="H450" s="89"/>
      <c r="I450" s="89"/>
      <c r="J450" s="89"/>
      <c r="K450" s="89"/>
      <c r="L450" s="89"/>
      <c r="M450" s="89"/>
      <c r="N450" s="89"/>
      <c r="O450" s="89"/>
      <c r="P450" s="89"/>
      <c r="Q450" s="89"/>
      <c r="R450" s="89"/>
      <c r="S450" s="89"/>
      <c r="T450" s="89"/>
      <c r="U450" s="89"/>
      <c r="V450" s="89"/>
      <c r="W450" s="89"/>
      <c r="X450" s="89"/>
      <c r="Y450" s="89"/>
      <c r="Z450" s="89"/>
      <c r="AA450" s="89"/>
    </row>
    <row r="451" spans="1:27" ht="13.8">
      <c r="A451" s="89"/>
      <c r="B451" s="89"/>
      <c r="C451" s="89"/>
      <c r="D451" s="89"/>
      <c r="E451" s="89"/>
      <c r="F451" s="110"/>
      <c r="G451" s="89"/>
      <c r="H451" s="89"/>
      <c r="I451" s="89"/>
      <c r="J451" s="89"/>
      <c r="K451" s="89"/>
      <c r="L451" s="89"/>
      <c r="M451" s="89"/>
      <c r="N451" s="89"/>
      <c r="O451" s="89"/>
      <c r="P451" s="89"/>
      <c r="Q451" s="89"/>
      <c r="R451" s="89"/>
      <c r="S451" s="89"/>
      <c r="T451" s="89"/>
      <c r="U451" s="89"/>
      <c r="V451" s="89"/>
      <c r="W451" s="89"/>
      <c r="X451" s="89"/>
      <c r="Y451" s="89"/>
      <c r="Z451" s="89"/>
      <c r="AA451" s="89"/>
    </row>
    <row r="452" spans="1:27" ht="13.8">
      <c r="A452" s="89"/>
      <c r="B452" s="89"/>
      <c r="C452" s="89"/>
      <c r="D452" s="89"/>
      <c r="E452" s="89"/>
      <c r="F452" s="110"/>
      <c r="G452" s="89"/>
      <c r="H452" s="89"/>
      <c r="I452" s="89"/>
      <c r="J452" s="89"/>
      <c r="K452" s="89"/>
      <c r="L452" s="89"/>
      <c r="M452" s="89"/>
      <c r="N452" s="89"/>
      <c r="O452" s="89"/>
      <c r="P452" s="89"/>
      <c r="Q452" s="89"/>
      <c r="R452" s="89"/>
      <c r="S452" s="89"/>
      <c r="T452" s="89"/>
      <c r="U452" s="89"/>
      <c r="V452" s="89"/>
      <c r="W452" s="89"/>
      <c r="X452" s="89"/>
      <c r="Y452" s="89"/>
      <c r="Z452" s="89"/>
      <c r="AA452" s="89"/>
    </row>
    <row r="453" spans="1:27" ht="13.8">
      <c r="A453" s="89"/>
      <c r="B453" s="89"/>
      <c r="C453" s="89"/>
      <c r="D453" s="89"/>
      <c r="E453" s="89"/>
      <c r="F453" s="110"/>
      <c r="G453" s="89"/>
      <c r="H453" s="89"/>
      <c r="I453" s="89"/>
      <c r="J453" s="89"/>
      <c r="K453" s="89"/>
      <c r="L453" s="89"/>
      <c r="M453" s="89"/>
      <c r="N453" s="89"/>
      <c r="O453" s="89"/>
      <c r="P453" s="89"/>
      <c r="Q453" s="89"/>
      <c r="R453" s="89"/>
      <c r="S453" s="89"/>
      <c r="T453" s="89"/>
      <c r="U453" s="89"/>
      <c r="V453" s="89"/>
      <c r="W453" s="89"/>
      <c r="X453" s="89"/>
      <c r="Y453" s="89"/>
      <c r="Z453" s="89"/>
      <c r="AA453" s="89"/>
    </row>
    <row r="454" spans="1:27" ht="13.8">
      <c r="A454" s="89"/>
      <c r="B454" s="89"/>
      <c r="C454" s="89"/>
      <c r="D454" s="89"/>
      <c r="E454" s="89"/>
      <c r="F454" s="110"/>
      <c r="G454" s="89"/>
      <c r="H454" s="89"/>
      <c r="I454" s="89"/>
      <c r="J454" s="89"/>
      <c r="K454" s="89"/>
      <c r="L454" s="89"/>
      <c r="M454" s="89"/>
      <c r="N454" s="89"/>
      <c r="O454" s="89"/>
      <c r="P454" s="89"/>
      <c r="Q454" s="89"/>
      <c r="R454" s="89"/>
      <c r="S454" s="89"/>
      <c r="T454" s="89"/>
      <c r="U454" s="89"/>
      <c r="V454" s="89"/>
      <c r="W454" s="89"/>
      <c r="X454" s="89"/>
      <c r="Y454" s="89"/>
      <c r="Z454" s="89"/>
      <c r="AA454" s="89"/>
    </row>
    <row r="455" spans="1:27" ht="13.8">
      <c r="A455" s="89"/>
      <c r="B455" s="89"/>
      <c r="C455" s="89"/>
      <c r="D455" s="89"/>
      <c r="E455" s="89"/>
      <c r="F455" s="110"/>
      <c r="G455" s="89"/>
      <c r="H455" s="89"/>
      <c r="I455" s="89"/>
      <c r="J455" s="89"/>
      <c r="K455" s="89"/>
      <c r="L455" s="89"/>
      <c r="M455" s="89"/>
      <c r="N455" s="89"/>
      <c r="O455" s="89"/>
      <c r="P455" s="89"/>
      <c r="Q455" s="89"/>
      <c r="R455" s="89"/>
      <c r="S455" s="89"/>
      <c r="T455" s="89"/>
      <c r="U455" s="89"/>
      <c r="V455" s="89"/>
      <c r="W455" s="89"/>
      <c r="X455" s="89"/>
      <c r="Y455" s="89"/>
      <c r="Z455" s="89"/>
      <c r="AA455" s="89"/>
    </row>
    <row r="456" spans="1:27" ht="13.8">
      <c r="A456" s="89"/>
      <c r="B456" s="89"/>
      <c r="C456" s="89"/>
      <c r="D456" s="89"/>
      <c r="E456" s="89"/>
      <c r="F456" s="110"/>
      <c r="G456" s="89"/>
      <c r="H456" s="89"/>
      <c r="I456" s="89"/>
      <c r="J456" s="89"/>
      <c r="K456" s="89"/>
      <c r="L456" s="89"/>
      <c r="M456" s="89"/>
      <c r="N456" s="89"/>
      <c r="O456" s="89"/>
      <c r="P456" s="89"/>
      <c r="Q456" s="89"/>
      <c r="R456" s="89"/>
      <c r="S456" s="89"/>
      <c r="T456" s="89"/>
      <c r="U456" s="89"/>
      <c r="V456" s="89"/>
      <c r="W456" s="89"/>
      <c r="X456" s="89"/>
      <c r="Y456" s="89"/>
      <c r="Z456" s="89"/>
      <c r="AA456" s="89"/>
    </row>
    <row r="457" spans="1:27" ht="13.8">
      <c r="A457" s="89"/>
      <c r="B457" s="89"/>
      <c r="C457" s="89"/>
      <c r="D457" s="89"/>
      <c r="E457" s="89"/>
      <c r="F457" s="110"/>
      <c r="G457" s="89"/>
      <c r="H457" s="89"/>
      <c r="I457" s="89"/>
      <c r="J457" s="89"/>
      <c r="K457" s="89"/>
      <c r="L457" s="89"/>
      <c r="M457" s="89"/>
      <c r="N457" s="89"/>
      <c r="O457" s="89"/>
      <c r="P457" s="89"/>
      <c r="Q457" s="89"/>
      <c r="R457" s="89"/>
      <c r="S457" s="89"/>
      <c r="T457" s="89"/>
      <c r="U457" s="89"/>
      <c r="V457" s="89"/>
      <c r="W457" s="89"/>
      <c r="X457" s="89"/>
      <c r="Y457" s="89"/>
      <c r="Z457" s="89"/>
      <c r="AA457" s="89"/>
    </row>
    <row r="458" spans="1:27" ht="13.8">
      <c r="A458" s="89"/>
      <c r="B458" s="89"/>
      <c r="C458" s="89"/>
      <c r="D458" s="89"/>
      <c r="E458" s="89"/>
      <c r="F458" s="110"/>
      <c r="G458" s="89"/>
      <c r="H458" s="89"/>
      <c r="I458" s="89"/>
      <c r="J458" s="89"/>
      <c r="K458" s="89"/>
      <c r="L458" s="89"/>
      <c r="M458" s="89"/>
      <c r="N458" s="89"/>
      <c r="O458" s="89"/>
      <c r="P458" s="89"/>
      <c r="Q458" s="89"/>
      <c r="R458" s="89"/>
      <c r="S458" s="89"/>
      <c r="T458" s="89"/>
      <c r="U458" s="89"/>
      <c r="V458" s="89"/>
      <c r="W458" s="89"/>
      <c r="X458" s="89"/>
      <c r="Y458" s="89"/>
      <c r="Z458" s="89"/>
      <c r="AA458" s="89"/>
    </row>
    <row r="459" spans="1:27" ht="13.8">
      <c r="A459" s="89"/>
      <c r="B459" s="89"/>
      <c r="C459" s="89"/>
      <c r="D459" s="89"/>
      <c r="E459" s="89"/>
      <c r="F459" s="110"/>
      <c r="G459" s="89"/>
      <c r="H459" s="89"/>
      <c r="I459" s="89"/>
      <c r="J459" s="89"/>
      <c r="K459" s="89"/>
      <c r="L459" s="89"/>
      <c r="M459" s="89"/>
      <c r="N459" s="89"/>
      <c r="O459" s="89"/>
      <c r="P459" s="89"/>
      <c r="Q459" s="89"/>
      <c r="R459" s="89"/>
      <c r="S459" s="89"/>
      <c r="T459" s="89"/>
      <c r="U459" s="89"/>
      <c r="V459" s="89"/>
      <c r="W459" s="89"/>
      <c r="X459" s="89"/>
      <c r="Y459" s="89"/>
      <c r="Z459" s="89"/>
      <c r="AA459" s="89"/>
    </row>
    <row r="460" spans="1:27" ht="13.8">
      <c r="A460" s="89"/>
      <c r="B460" s="89"/>
      <c r="C460" s="89"/>
      <c r="D460" s="89"/>
      <c r="E460" s="89"/>
      <c r="F460" s="110"/>
      <c r="G460" s="89"/>
      <c r="H460" s="89"/>
      <c r="I460" s="89"/>
      <c r="J460" s="89"/>
      <c r="K460" s="89"/>
      <c r="L460" s="89"/>
      <c r="M460" s="89"/>
      <c r="N460" s="89"/>
      <c r="O460" s="89"/>
      <c r="P460" s="89"/>
      <c r="Q460" s="89"/>
      <c r="R460" s="89"/>
      <c r="S460" s="89"/>
      <c r="T460" s="89"/>
      <c r="U460" s="89"/>
      <c r="V460" s="89"/>
      <c r="W460" s="89"/>
      <c r="X460" s="89"/>
      <c r="Y460" s="89"/>
      <c r="Z460" s="89"/>
      <c r="AA460" s="89"/>
    </row>
    <row r="461" spans="1:27" ht="13.8">
      <c r="A461" s="89"/>
      <c r="B461" s="89"/>
      <c r="C461" s="89"/>
      <c r="D461" s="89"/>
      <c r="E461" s="89"/>
      <c r="F461" s="110"/>
      <c r="G461" s="89"/>
      <c r="H461" s="89"/>
      <c r="I461" s="89"/>
      <c r="J461" s="89"/>
      <c r="K461" s="89"/>
      <c r="L461" s="89"/>
      <c r="M461" s="89"/>
      <c r="N461" s="89"/>
      <c r="O461" s="89"/>
      <c r="P461" s="89"/>
      <c r="Q461" s="89"/>
      <c r="R461" s="89"/>
      <c r="S461" s="89"/>
      <c r="T461" s="89"/>
      <c r="U461" s="89"/>
      <c r="V461" s="89"/>
      <c r="W461" s="89"/>
      <c r="X461" s="89"/>
      <c r="Y461" s="89"/>
      <c r="Z461" s="89"/>
      <c r="AA461" s="89"/>
    </row>
    <row r="462" spans="1:27" ht="13.8">
      <c r="A462" s="89"/>
      <c r="B462" s="89"/>
      <c r="C462" s="89"/>
      <c r="D462" s="89"/>
      <c r="E462" s="89"/>
      <c r="F462" s="110"/>
      <c r="G462" s="89"/>
      <c r="H462" s="89"/>
      <c r="I462" s="89"/>
      <c r="J462" s="89"/>
      <c r="K462" s="89"/>
      <c r="L462" s="89"/>
      <c r="M462" s="89"/>
      <c r="N462" s="89"/>
      <c r="O462" s="89"/>
      <c r="P462" s="89"/>
      <c r="Q462" s="89"/>
      <c r="R462" s="89"/>
      <c r="S462" s="89"/>
      <c r="T462" s="89"/>
      <c r="U462" s="89"/>
      <c r="V462" s="89"/>
      <c r="W462" s="89"/>
      <c r="X462" s="89"/>
      <c r="Y462" s="89"/>
      <c r="Z462" s="89"/>
      <c r="AA462" s="89"/>
    </row>
    <row r="463" spans="1:27" ht="13.8">
      <c r="A463" s="89"/>
      <c r="B463" s="89"/>
      <c r="C463" s="89"/>
      <c r="D463" s="89"/>
      <c r="E463" s="89"/>
      <c r="F463" s="110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89"/>
      <c r="R463" s="89"/>
      <c r="S463" s="89"/>
      <c r="T463" s="89"/>
      <c r="U463" s="89"/>
      <c r="V463" s="89"/>
      <c r="W463" s="89"/>
      <c r="X463" s="89"/>
      <c r="Y463" s="89"/>
      <c r="Z463" s="89"/>
      <c r="AA463" s="89"/>
    </row>
    <row r="464" spans="1:27" ht="13.8">
      <c r="A464" s="89"/>
      <c r="B464" s="89"/>
      <c r="C464" s="89"/>
      <c r="D464" s="89"/>
      <c r="E464" s="89"/>
      <c r="F464" s="110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89"/>
      <c r="R464" s="89"/>
      <c r="S464" s="89"/>
      <c r="T464" s="89"/>
      <c r="U464" s="89"/>
      <c r="V464" s="89"/>
      <c r="W464" s="89"/>
      <c r="X464" s="89"/>
      <c r="Y464" s="89"/>
      <c r="Z464" s="89"/>
      <c r="AA464" s="89"/>
    </row>
    <row r="465" spans="1:27" ht="13.8">
      <c r="A465" s="89"/>
      <c r="B465" s="89"/>
      <c r="C465" s="89"/>
      <c r="D465" s="89"/>
      <c r="E465" s="89"/>
      <c r="F465" s="110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89"/>
      <c r="R465" s="89"/>
      <c r="S465" s="89"/>
      <c r="T465" s="89"/>
      <c r="U465" s="89"/>
      <c r="V465" s="89"/>
      <c r="W465" s="89"/>
      <c r="X465" s="89"/>
      <c r="Y465" s="89"/>
      <c r="Z465" s="89"/>
      <c r="AA465" s="89"/>
    </row>
    <row r="466" spans="1:27" ht="13.8">
      <c r="A466" s="89"/>
      <c r="B466" s="89"/>
      <c r="C466" s="89"/>
      <c r="D466" s="89"/>
      <c r="E466" s="89"/>
      <c r="F466" s="110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89"/>
      <c r="R466" s="89"/>
      <c r="S466" s="89"/>
      <c r="T466" s="89"/>
      <c r="U466" s="89"/>
      <c r="V466" s="89"/>
      <c r="W466" s="89"/>
      <c r="X466" s="89"/>
      <c r="Y466" s="89"/>
      <c r="Z466" s="89"/>
      <c r="AA466" s="89"/>
    </row>
    <row r="467" spans="1:27" ht="13.8">
      <c r="A467" s="89"/>
      <c r="B467" s="89"/>
      <c r="C467" s="89"/>
      <c r="D467" s="89"/>
      <c r="E467" s="89"/>
      <c r="F467" s="110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89"/>
      <c r="R467" s="89"/>
      <c r="S467" s="89"/>
      <c r="T467" s="89"/>
      <c r="U467" s="89"/>
      <c r="V467" s="89"/>
      <c r="W467" s="89"/>
      <c r="X467" s="89"/>
      <c r="Y467" s="89"/>
      <c r="Z467" s="89"/>
      <c r="AA467" s="89"/>
    </row>
    <row r="468" spans="1:27" ht="13.8">
      <c r="A468" s="89"/>
      <c r="B468" s="89"/>
      <c r="C468" s="89"/>
      <c r="D468" s="89"/>
      <c r="E468" s="89"/>
      <c r="F468" s="110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89"/>
      <c r="R468" s="89"/>
      <c r="S468" s="89"/>
      <c r="T468" s="89"/>
      <c r="U468" s="89"/>
      <c r="V468" s="89"/>
      <c r="W468" s="89"/>
      <c r="X468" s="89"/>
      <c r="Y468" s="89"/>
      <c r="Z468" s="89"/>
      <c r="AA468" s="89"/>
    </row>
    <row r="469" spans="1:27" ht="13.8">
      <c r="A469" s="89"/>
      <c r="B469" s="89"/>
      <c r="C469" s="89"/>
      <c r="D469" s="89"/>
      <c r="E469" s="89"/>
      <c r="F469" s="110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89"/>
      <c r="R469" s="89"/>
      <c r="S469" s="89"/>
      <c r="T469" s="89"/>
      <c r="U469" s="89"/>
      <c r="V469" s="89"/>
      <c r="W469" s="89"/>
      <c r="X469" s="89"/>
      <c r="Y469" s="89"/>
      <c r="Z469" s="89"/>
      <c r="AA469" s="89"/>
    </row>
    <row r="470" spans="1:27" ht="13.8">
      <c r="A470" s="89"/>
      <c r="B470" s="89"/>
      <c r="C470" s="89"/>
      <c r="D470" s="89"/>
      <c r="E470" s="89"/>
      <c r="F470" s="110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89"/>
      <c r="R470" s="89"/>
      <c r="S470" s="89"/>
      <c r="T470" s="89"/>
      <c r="U470" s="89"/>
      <c r="V470" s="89"/>
      <c r="W470" s="89"/>
      <c r="X470" s="89"/>
      <c r="Y470" s="89"/>
      <c r="Z470" s="89"/>
      <c r="AA470" s="89"/>
    </row>
    <row r="471" spans="1:27" ht="13.8">
      <c r="A471" s="89"/>
      <c r="B471" s="89"/>
      <c r="C471" s="89"/>
      <c r="D471" s="89"/>
      <c r="E471" s="89"/>
      <c r="F471" s="110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89"/>
      <c r="R471" s="89"/>
      <c r="S471" s="89"/>
      <c r="T471" s="89"/>
      <c r="U471" s="89"/>
      <c r="V471" s="89"/>
      <c r="W471" s="89"/>
      <c r="X471" s="89"/>
      <c r="Y471" s="89"/>
      <c r="Z471" s="89"/>
      <c r="AA471" s="89"/>
    </row>
    <row r="472" spans="1:27" ht="13.8">
      <c r="A472" s="89"/>
      <c r="B472" s="89"/>
      <c r="C472" s="89"/>
      <c r="D472" s="89"/>
      <c r="E472" s="89"/>
      <c r="F472" s="110"/>
      <c r="G472" s="89"/>
      <c r="H472" s="89"/>
      <c r="I472" s="89"/>
      <c r="J472" s="89"/>
      <c r="K472" s="89"/>
      <c r="L472" s="89"/>
      <c r="M472" s="89"/>
      <c r="N472" s="89"/>
      <c r="O472" s="89"/>
      <c r="P472" s="89"/>
      <c r="Q472" s="89"/>
      <c r="R472" s="89"/>
      <c r="S472" s="89"/>
      <c r="T472" s="89"/>
      <c r="U472" s="89"/>
      <c r="V472" s="89"/>
      <c r="W472" s="89"/>
      <c r="X472" s="89"/>
      <c r="Y472" s="89"/>
      <c r="Z472" s="89"/>
      <c r="AA472" s="89"/>
    </row>
    <row r="473" spans="1:27" ht="13.8">
      <c r="A473" s="89"/>
      <c r="B473" s="89"/>
      <c r="C473" s="89"/>
      <c r="D473" s="89"/>
      <c r="E473" s="89"/>
      <c r="F473" s="110"/>
      <c r="G473" s="89"/>
      <c r="H473" s="89"/>
      <c r="I473" s="89"/>
      <c r="J473" s="89"/>
      <c r="K473" s="89"/>
      <c r="L473" s="89"/>
      <c r="M473" s="89"/>
      <c r="N473" s="89"/>
      <c r="O473" s="89"/>
      <c r="P473" s="89"/>
      <c r="Q473" s="89"/>
      <c r="R473" s="89"/>
      <c r="S473" s="89"/>
      <c r="T473" s="89"/>
      <c r="U473" s="89"/>
      <c r="V473" s="89"/>
      <c r="W473" s="89"/>
      <c r="X473" s="89"/>
      <c r="Y473" s="89"/>
      <c r="Z473" s="89"/>
      <c r="AA473" s="89"/>
    </row>
    <row r="474" spans="1:27" ht="13.8">
      <c r="A474" s="89"/>
      <c r="B474" s="89"/>
      <c r="C474" s="89"/>
      <c r="D474" s="89"/>
      <c r="E474" s="89"/>
      <c r="F474" s="110"/>
      <c r="G474" s="89"/>
      <c r="H474" s="89"/>
      <c r="I474" s="89"/>
      <c r="J474" s="89"/>
      <c r="K474" s="89"/>
      <c r="L474" s="89"/>
      <c r="M474" s="89"/>
      <c r="N474" s="89"/>
      <c r="O474" s="89"/>
      <c r="P474" s="89"/>
      <c r="Q474" s="89"/>
      <c r="R474" s="89"/>
      <c r="S474" s="89"/>
      <c r="T474" s="89"/>
      <c r="U474" s="89"/>
      <c r="V474" s="89"/>
      <c r="W474" s="89"/>
      <c r="X474" s="89"/>
      <c r="Y474" s="89"/>
      <c r="Z474" s="89"/>
      <c r="AA474" s="89"/>
    </row>
    <row r="475" spans="1:27" ht="13.8">
      <c r="A475" s="89"/>
      <c r="B475" s="89"/>
      <c r="C475" s="89"/>
      <c r="D475" s="89"/>
      <c r="E475" s="89"/>
      <c r="F475" s="110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89"/>
      <c r="R475" s="89"/>
      <c r="S475" s="89"/>
      <c r="T475" s="89"/>
      <c r="U475" s="89"/>
      <c r="V475" s="89"/>
      <c r="W475" s="89"/>
      <c r="X475" s="89"/>
      <c r="Y475" s="89"/>
      <c r="Z475" s="89"/>
      <c r="AA475" s="89"/>
    </row>
    <row r="476" spans="1:27" ht="13.8">
      <c r="A476" s="89"/>
      <c r="B476" s="89"/>
      <c r="C476" s="89"/>
      <c r="D476" s="89"/>
      <c r="E476" s="89"/>
      <c r="F476" s="110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89"/>
      <c r="R476" s="89"/>
      <c r="S476" s="89"/>
      <c r="T476" s="89"/>
      <c r="U476" s="89"/>
      <c r="V476" s="89"/>
      <c r="W476" s="89"/>
      <c r="X476" s="89"/>
      <c r="Y476" s="89"/>
      <c r="Z476" s="89"/>
      <c r="AA476" s="89"/>
    </row>
    <row r="477" spans="1:27" ht="13.8">
      <c r="A477" s="89"/>
      <c r="B477" s="89"/>
      <c r="C477" s="89"/>
      <c r="D477" s="89"/>
      <c r="E477" s="89"/>
      <c r="F477" s="110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89"/>
      <c r="R477" s="89"/>
      <c r="S477" s="89"/>
      <c r="T477" s="89"/>
      <c r="U477" s="89"/>
      <c r="V477" s="89"/>
      <c r="W477" s="89"/>
      <c r="X477" s="89"/>
      <c r="Y477" s="89"/>
      <c r="Z477" s="89"/>
      <c r="AA477" s="89"/>
    </row>
    <row r="478" spans="1:27" ht="13.8">
      <c r="A478" s="89"/>
      <c r="B478" s="89"/>
      <c r="C478" s="89"/>
      <c r="D478" s="89"/>
      <c r="E478" s="89"/>
      <c r="F478" s="110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89"/>
      <c r="R478" s="89"/>
      <c r="S478" s="89"/>
      <c r="T478" s="89"/>
      <c r="U478" s="89"/>
      <c r="V478" s="89"/>
      <c r="W478" s="89"/>
      <c r="X478" s="89"/>
      <c r="Y478" s="89"/>
      <c r="Z478" s="89"/>
      <c r="AA478" s="89"/>
    </row>
    <row r="479" spans="1:27" ht="13.8">
      <c r="A479" s="89"/>
      <c r="B479" s="89"/>
      <c r="C479" s="89"/>
      <c r="D479" s="89"/>
      <c r="E479" s="89"/>
      <c r="F479" s="110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89"/>
      <c r="R479" s="89"/>
      <c r="S479" s="89"/>
      <c r="T479" s="89"/>
      <c r="U479" s="89"/>
      <c r="V479" s="89"/>
      <c r="W479" s="89"/>
      <c r="X479" s="89"/>
      <c r="Y479" s="89"/>
      <c r="Z479" s="89"/>
      <c r="AA479" s="89"/>
    </row>
    <row r="480" spans="1:27" ht="13.8">
      <c r="A480" s="89"/>
      <c r="B480" s="89"/>
      <c r="C480" s="89"/>
      <c r="D480" s="89"/>
      <c r="E480" s="89"/>
      <c r="F480" s="110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89"/>
      <c r="R480" s="89"/>
      <c r="S480" s="89"/>
      <c r="T480" s="89"/>
      <c r="U480" s="89"/>
      <c r="V480" s="89"/>
      <c r="W480" s="89"/>
      <c r="X480" s="89"/>
      <c r="Y480" s="89"/>
      <c r="Z480" s="89"/>
      <c r="AA480" s="89"/>
    </row>
    <row r="481" spans="1:27" ht="13.8">
      <c r="A481" s="89"/>
      <c r="B481" s="89"/>
      <c r="C481" s="89"/>
      <c r="D481" s="89"/>
      <c r="E481" s="89"/>
      <c r="F481" s="110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89"/>
      <c r="R481" s="89"/>
      <c r="S481" s="89"/>
      <c r="T481" s="89"/>
      <c r="U481" s="89"/>
      <c r="V481" s="89"/>
      <c r="W481" s="89"/>
      <c r="X481" s="89"/>
      <c r="Y481" s="89"/>
      <c r="Z481" s="89"/>
      <c r="AA481" s="89"/>
    </row>
    <row r="482" spans="1:27" ht="13.8">
      <c r="A482" s="89"/>
      <c r="B482" s="89"/>
      <c r="C482" s="89"/>
      <c r="D482" s="89"/>
      <c r="E482" s="89"/>
      <c r="F482" s="110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89"/>
      <c r="R482" s="89"/>
      <c r="S482" s="89"/>
      <c r="T482" s="89"/>
      <c r="U482" s="89"/>
      <c r="V482" s="89"/>
      <c r="W482" s="89"/>
      <c r="X482" s="89"/>
      <c r="Y482" s="89"/>
      <c r="Z482" s="89"/>
      <c r="AA482" s="89"/>
    </row>
    <row r="483" spans="1:27" ht="13.8">
      <c r="A483" s="89"/>
      <c r="B483" s="89"/>
      <c r="C483" s="89"/>
      <c r="D483" s="89"/>
      <c r="E483" s="89"/>
      <c r="F483" s="110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89"/>
      <c r="R483" s="89"/>
      <c r="S483" s="89"/>
      <c r="T483" s="89"/>
      <c r="U483" s="89"/>
      <c r="V483" s="89"/>
      <c r="W483" s="89"/>
      <c r="X483" s="89"/>
      <c r="Y483" s="89"/>
      <c r="Z483" s="89"/>
      <c r="AA483" s="89"/>
    </row>
    <row r="484" spans="1:27" ht="13.8">
      <c r="A484" s="89"/>
      <c r="B484" s="89"/>
      <c r="C484" s="89"/>
      <c r="D484" s="89"/>
      <c r="E484" s="89"/>
      <c r="F484" s="110"/>
      <c r="G484" s="89"/>
      <c r="H484" s="89"/>
      <c r="I484" s="89"/>
      <c r="J484" s="89"/>
      <c r="K484" s="89"/>
      <c r="L484" s="89"/>
      <c r="M484" s="89"/>
      <c r="N484" s="89"/>
      <c r="O484" s="89"/>
      <c r="P484" s="89"/>
      <c r="Q484" s="89"/>
      <c r="R484" s="89"/>
      <c r="S484" s="89"/>
      <c r="T484" s="89"/>
      <c r="U484" s="89"/>
      <c r="V484" s="89"/>
      <c r="W484" s="89"/>
      <c r="X484" s="89"/>
      <c r="Y484" s="89"/>
      <c r="Z484" s="89"/>
      <c r="AA484" s="89"/>
    </row>
    <row r="485" spans="1:27" ht="13.8">
      <c r="A485" s="89"/>
      <c r="B485" s="89"/>
      <c r="C485" s="89"/>
      <c r="D485" s="89"/>
      <c r="E485" s="89"/>
      <c r="F485" s="110"/>
      <c r="G485" s="89"/>
      <c r="H485" s="89"/>
      <c r="I485" s="89"/>
      <c r="J485" s="89"/>
      <c r="K485" s="89"/>
      <c r="L485" s="89"/>
      <c r="M485" s="89"/>
      <c r="N485" s="89"/>
      <c r="O485" s="89"/>
      <c r="P485" s="89"/>
      <c r="Q485" s="89"/>
      <c r="R485" s="89"/>
      <c r="S485" s="89"/>
      <c r="T485" s="89"/>
      <c r="U485" s="89"/>
      <c r="V485" s="89"/>
      <c r="W485" s="89"/>
      <c r="X485" s="89"/>
      <c r="Y485" s="89"/>
      <c r="Z485" s="89"/>
      <c r="AA485" s="89"/>
    </row>
    <row r="486" spans="1:27" ht="13.8">
      <c r="A486" s="89"/>
      <c r="B486" s="89"/>
      <c r="C486" s="89"/>
      <c r="D486" s="89"/>
      <c r="E486" s="89"/>
      <c r="F486" s="110"/>
      <c r="G486" s="89"/>
      <c r="H486" s="89"/>
      <c r="I486" s="89"/>
      <c r="J486" s="89"/>
      <c r="K486" s="89"/>
      <c r="L486" s="89"/>
      <c r="M486" s="89"/>
      <c r="N486" s="89"/>
      <c r="O486" s="89"/>
      <c r="P486" s="89"/>
      <c r="Q486" s="89"/>
      <c r="R486" s="89"/>
      <c r="S486" s="89"/>
      <c r="T486" s="89"/>
      <c r="U486" s="89"/>
      <c r="V486" s="89"/>
      <c r="W486" s="89"/>
      <c r="X486" s="89"/>
      <c r="Y486" s="89"/>
      <c r="Z486" s="89"/>
      <c r="AA486" s="89"/>
    </row>
    <row r="487" spans="1:27" ht="13.8">
      <c r="A487" s="89"/>
      <c r="B487" s="89"/>
      <c r="C487" s="89"/>
      <c r="D487" s="89"/>
      <c r="E487" s="89"/>
      <c r="F487" s="110"/>
      <c r="G487" s="89"/>
      <c r="H487" s="89"/>
      <c r="I487" s="89"/>
      <c r="J487" s="89"/>
      <c r="K487" s="89"/>
      <c r="L487" s="89"/>
      <c r="M487" s="89"/>
      <c r="N487" s="89"/>
      <c r="O487" s="89"/>
      <c r="P487" s="89"/>
      <c r="Q487" s="89"/>
      <c r="R487" s="89"/>
      <c r="S487" s="89"/>
      <c r="T487" s="89"/>
      <c r="U487" s="89"/>
      <c r="V487" s="89"/>
      <c r="W487" s="89"/>
      <c r="X487" s="89"/>
      <c r="Y487" s="89"/>
      <c r="Z487" s="89"/>
      <c r="AA487" s="89"/>
    </row>
    <row r="488" spans="1:27" ht="13.8">
      <c r="A488" s="89"/>
      <c r="B488" s="89"/>
      <c r="C488" s="89"/>
      <c r="D488" s="89"/>
      <c r="E488" s="89"/>
      <c r="F488" s="110"/>
      <c r="G488" s="89"/>
      <c r="H488" s="89"/>
      <c r="I488" s="89"/>
      <c r="J488" s="89"/>
      <c r="K488" s="89"/>
      <c r="L488" s="89"/>
      <c r="M488" s="89"/>
      <c r="N488" s="89"/>
      <c r="O488" s="89"/>
      <c r="P488" s="89"/>
      <c r="Q488" s="89"/>
      <c r="R488" s="89"/>
      <c r="S488" s="89"/>
      <c r="T488" s="89"/>
      <c r="U488" s="89"/>
      <c r="V488" s="89"/>
      <c r="W488" s="89"/>
      <c r="X488" s="89"/>
      <c r="Y488" s="89"/>
      <c r="Z488" s="89"/>
      <c r="AA488" s="89"/>
    </row>
    <row r="489" spans="1:27" ht="13.8">
      <c r="A489" s="89"/>
      <c r="B489" s="89"/>
      <c r="C489" s="89"/>
      <c r="D489" s="89"/>
      <c r="E489" s="89"/>
      <c r="F489" s="110"/>
      <c r="G489" s="89"/>
      <c r="H489" s="89"/>
      <c r="I489" s="89"/>
      <c r="J489" s="89"/>
      <c r="K489" s="89"/>
      <c r="L489" s="89"/>
      <c r="M489" s="89"/>
      <c r="N489" s="89"/>
      <c r="O489" s="89"/>
      <c r="P489" s="89"/>
      <c r="Q489" s="89"/>
      <c r="R489" s="89"/>
      <c r="S489" s="89"/>
      <c r="T489" s="89"/>
      <c r="U489" s="89"/>
      <c r="V489" s="89"/>
      <c r="W489" s="89"/>
      <c r="X489" s="89"/>
      <c r="Y489" s="89"/>
      <c r="Z489" s="89"/>
      <c r="AA489" s="89"/>
    </row>
    <row r="490" spans="1:27" ht="13.8">
      <c r="A490" s="89"/>
      <c r="B490" s="89"/>
      <c r="C490" s="89"/>
      <c r="D490" s="89"/>
      <c r="E490" s="89"/>
      <c r="F490" s="110"/>
      <c r="G490" s="89"/>
      <c r="H490" s="89"/>
      <c r="I490" s="89"/>
      <c r="J490" s="89"/>
      <c r="K490" s="89"/>
      <c r="L490" s="89"/>
      <c r="M490" s="89"/>
      <c r="N490" s="89"/>
      <c r="O490" s="89"/>
      <c r="P490" s="89"/>
      <c r="Q490" s="89"/>
      <c r="R490" s="89"/>
      <c r="S490" s="89"/>
      <c r="T490" s="89"/>
      <c r="U490" s="89"/>
      <c r="V490" s="89"/>
      <c r="W490" s="89"/>
      <c r="X490" s="89"/>
      <c r="Y490" s="89"/>
      <c r="Z490" s="89"/>
      <c r="AA490" s="89"/>
    </row>
    <row r="491" spans="1:27" ht="13.8">
      <c r="A491" s="89"/>
      <c r="B491" s="89"/>
      <c r="C491" s="89"/>
      <c r="D491" s="89"/>
      <c r="E491" s="89"/>
      <c r="F491" s="110"/>
      <c r="G491" s="89"/>
      <c r="H491" s="89"/>
      <c r="I491" s="89"/>
      <c r="J491" s="89"/>
      <c r="K491" s="89"/>
      <c r="L491" s="89"/>
      <c r="M491" s="89"/>
      <c r="N491" s="89"/>
      <c r="O491" s="89"/>
      <c r="P491" s="89"/>
      <c r="Q491" s="89"/>
      <c r="R491" s="89"/>
      <c r="S491" s="89"/>
      <c r="T491" s="89"/>
      <c r="U491" s="89"/>
      <c r="V491" s="89"/>
      <c r="W491" s="89"/>
      <c r="X491" s="89"/>
      <c r="Y491" s="89"/>
      <c r="Z491" s="89"/>
      <c r="AA491" s="89"/>
    </row>
    <row r="492" spans="1:27" ht="13.8">
      <c r="A492" s="89"/>
      <c r="B492" s="89"/>
      <c r="C492" s="89"/>
      <c r="D492" s="89"/>
      <c r="E492" s="89"/>
      <c r="F492" s="110"/>
      <c r="G492" s="89"/>
      <c r="H492" s="89"/>
      <c r="I492" s="89"/>
      <c r="J492" s="89"/>
      <c r="K492" s="89"/>
      <c r="L492" s="89"/>
      <c r="M492" s="89"/>
      <c r="N492" s="89"/>
      <c r="O492" s="89"/>
      <c r="P492" s="89"/>
      <c r="Q492" s="89"/>
      <c r="R492" s="89"/>
      <c r="S492" s="89"/>
      <c r="T492" s="89"/>
      <c r="U492" s="89"/>
      <c r="V492" s="89"/>
      <c r="W492" s="89"/>
      <c r="X492" s="89"/>
      <c r="Y492" s="89"/>
      <c r="Z492" s="89"/>
      <c r="AA492" s="89"/>
    </row>
    <row r="493" spans="1:27" ht="13.8">
      <c r="A493" s="89"/>
      <c r="B493" s="89"/>
      <c r="C493" s="89"/>
      <c r="D493" s="89"/>
      <c r="E493" s="89"/>
      <c r="F493" s="110"/>
      <c r="G493" s="89"/>
      <c r="H493" s="89"/>
      <c r="I493" s="89"/>
      <c r="J493" s="89"/>
      <c r="K493" s="89"/>
      <c r="L493" s="89"/>
      <c r="M493" s="89"/>
      <c r="N493" s="89"/>
      <c r="O493" s="89"/>
      <c r="P493" s="89"/>
      <c r="Q493" s="89"/>
      <c r="R493" s="89"/>
      <c r="S493" s="89"/>
      <c r="T493" s="89"/>
      <c r="U493" s="89"/>
      <c r="V493" s="89"/>
      <c r="W493" s="89"/>
      <c r="X493" s="89"/>
      <c r="Y493" s="89"/>
      <c r="Z493" s="89"/>
      <c r="AA493" s="89"/>
    </row>
    <row r="494" spans="1:27" ht="13.8">
      <c r="A494" s="89"/>
      <c r="B494" s="89"/>
      <c r="C494" s="89"/>
      <c r="D494" s="89"/>
      <c r="E494" s="89"/>
      <c r="F494" s="110"/>
      <c r="G494" s="89"/>
      <c r="H494" s="89"/>
      <c r="I494" s="89"/>
      <c r="J494" s="89"/>
      <c r="K494" s="89"/>
      <c r="L494" s="89"/>
      <c r="M494" s="89"/>
      <c r="N494" s="89"/>
      <c r="O494" s="89"/>
      <c r="P494" s="89"/>
      <c r="Q494" s="89"/>
      <c r="R494" s="89"/>
      <c r="S494" s="89"/>
      <c r="T494" s="89"/>
      <c r="U494" s="89"/>
      <c r="V494" s="89"/>
      <c r="W494" s="89"/>
      <c r="X494" s="89"/>
      <c r="Y494" s="89"/>
      <c r="Z494" s="89"/>
      <c r="AA494" s="89"/>
    </row>
    <row r="495" spans="1:27" ht="13.8">
      <c r="A495" s="89"/>
      <c r="B495" s="89"/>
      <c r="C495" s="89"/>
      <c r="D495" s="89"/>
      <c r="E495" s="89"/>
      <c r="F495" s="110"/>
      <c r="G495" s="89"/>
      <c r="H495" s="89"/>
      <c r="I495" s="89"/>
      <c r="J495" s="89"/>
      <c r="K495" s="89"/>
      <c r="L495" s="89"/>
      <c r="M495" s="89"/>
      <c r="N495" s="89"/>
      <c r="O495" s="89"/>
      <c r="P495" s="89"/>
      <c r="Q495" s="89"/>
      <c r="R495" s="89"/>
      <c r="S495" s="89"/>
      <c r="T495" s="89"/>
      <c r="U495" s="89"/>
      <c r="V495" s="89"/>
      <c r="W495" s="89"/>
      <c r="X495" s="89"/>
      <c r="Y495" s="89"/>
      <c r="Z495" s="89"/>
      <c r="AA495" s="89"/>
    </row>
    <row r="496" spans="1:27" ht="13.8">
      <c r="A496" s="89"/>
      <c r="B496" s="89"/>
      <c r="C496" s="89"/>
      <c r="D496" s="89"/>
      <c r="E496" s="89"/>
      <c r="F496" s="110"/>
      <c r="G496" s="89"/>
      <c r="H496" s="89"/>
      <c r="I496" s="89"/>
      <c r="J496" s="89"/>
      <c r="K496" s="89"/>
      <c r="L496" s="89"/>
      <c r="M496" s="89"/>
      <c r="N496" s="89"/>
      <c r="O496" s="89"/>
      <c r="P496" s="89"/>
      <c r="Q496" s="89"/>
      <c r="R496" s="89"/>
      <c r="S496" s="89"/>
      <c r="T496" s="89"/>
      <c r="U496" s="89"/>
      <c r="V496" s="89"/>
      <c r="W496" s="89"/>
      <c r="X496" s="89"/>
      <c r="Y496" s="89"/>
      <c r="Z496" s="89"/>
      <c r="AA496" s="89"/>
    </row>
    <row r="497" spans="1:27" ht="13.8">
      <c r="A497" s="89"/>
      <c r="B497" s="89"/>
      <c r="C497" s="89"/>
      <c r="D497" s="89"/>
      <c r="E497" s="89"/>
      <c r="F497" s="110"/>
      <c r="G497" s="89"/>
      <c r="H497" s="89"/>
      <c r="I497" s="89"/>
      <c r="J497" s="89"/>
      <c r="K497" s="89"/>
      <c r="L497" s="89"/>
      <c r="M497" s="89"/>
      <c r="N497" s="89"/>
      <c r="O497" s="89"/>
      <c r="P497" s="89"/>
      <c r="Q497" s="89"/>
      <c r="R497" s="89"/>
      <c r="S497" s="89"/>
      <c r="T497" s="89"/>
      <c r="U497" s="89"/>
      <c r="V497" s="89"/>
      <c r="W497" s="89"/>
      <c r="X497" s="89"/>
      <c r="Y497" s="89"/>
      <c r="Z497" s="89"/>
      <c r="AA497" s="89"/>
    </row>
    <row r="498" spans="1:27" ht="13.8">
      <c r="A498" s="89"/>
      <c r="B498" s="89"/>
      <c r="C498" s="89"/>
      <c r="D498" s="89"/>
      <c r="E498" s="89"/>
      <c r="F498" s="110"/>
      <c r="G498" s="89"/>
      <c r="H498" s="89"/>
      <c r="I498" s="89"/>
      <c r="J498" s="89"/>
      <c r="K498" s="89"/>
      <c r="L498" s="89"/>
      <c r="M498" s="89"/>
      <c r="N498" s="89"/>
      <c r="O498" s="89"/>
      <c r="P498" s="89"/>
      <c r="Q498" s="89"/>
      <c r="R498" s="89"/>
      <c r="S498" s="89"/>
      <c r="T498" s="89"/>
      <c r="U498" s="89"/>
      <c r="V498" s="89"/>
      <c r="W498" s="89"/>
      <c r="X498" s="89"/>
      <c r="Y498" s="89"/>
      <c r="Z498" s="89"/>
      <c r="AA498" s="89"/>
    </row>
    <row r="499" spans="1:27" ht="13.8">
      <c r="A499" s="89"/>
      <c r="B499" s="89"/>
      <c r="C499" s="89"/>
      <c r="D499" s="89"/>
      <c r="E499" s="89"/>
      <c r="F499" s="110"/>
      <c r="G499" s="89"/>
      <c r="H499" s="89"/>
      <c r="I499" s="89"/>
      <c r="J499" s="89"/>
      <c r="K499" s="89"/>
      <c r="L499" s="89"/>
      <c r="M499" s="89"/>
      <c r="N499" s="89"/>
      <c r="O499" s="89"/>
      <c r="P499" s="89"/>
      <c r="Q499" s="89"/>
      <c r="R499" s="89"/>
      <c r="S499" s="89"/>
      <c r="T499" s="89"/>
      <c r="U499" s="89"/>
      <c r="V499" s="89"/>
      <c r="W499" s="89"/>
      <c r="X499" s="89"/>
      <c r="Y499" s="89"/>
      <c r="Z499" s="89"/>
      <c r="AA499" s="89"/>
    </row>
    <row r="500" spans="1:27" ht="13.8">
      <c r="A500" s="89"/>
      <c r="B500" s="89"/>
      <c r="C500" s="89"/>
      <c r="D500" s="89"/>
      <c r="E500" s="89"/>
      <c r="F500" s="110"/>
      <c r="G500" s="89"/>
      <c r="H500" s="89"/>
      <c r="I500" s="89"/>
      <c r="J500" s="89"/>
      <c r="K500" s="89"/>
      <c r="L500" s="89"/>
      <c r="M500" s="89"/>
      <c r="N500" s="89"/>
      <c r="O500" s="89"/>
      <c r="P500" s="89"/>
      <c r="Q500" s="89"/>
      <c r="R500" s="89"/>
      <c r="S500" s="89"/>
      <c r="T500" s="89"/>
      <c r="U500" s="89"/>
      <c r="V500" s="89"/>
      <c r="W500" s="89"/>
      <c r="X500" s="89"/>
      <c r="Y500" s="89"/>
      <c r="Z500" s="89"/>
      <c r="AA500" s="89"/>
    </row>
    <row r="501" spans="1:27" ht="13.8">
      <c r="A501" s="89"/>
      <c r="B501" s="89"/>
      <c r="C501" s="89"/>
      <c r="D501" s="89"/>
      <c r="E501" s="89"/>
      <c r="F501" s="110"/>
      <c r="G501" s="89"/>
      <c r="H501" s="89"/>
      <c r="I501" s="89"/>
      <c r="J501" s="89"/>
      <c r="K501" s="89"/>
      <c r="L501" s="89"/>
      <c r="M501" s="89"/>
      <c r="N501" s="89"/>
      <c r="O501" s="89"/>
      <c r="P501" s="89"/>
      <c r="Q501" s="89"/>
      <c r="R501" s="89"/>
      <c r="S501" s="89"/>
      <c r="T501" s="89"/>
      <c r="U501" s="89"/>
      <c r="V501" s="89"/>
      <c r="W501" s="89"/>
      <c r="X501" s="89"/>
      <c r="Y501" s="89"/>
      <c r="Z501" s="89"/>
      <c r="AA501" s="89"/>
    </row>
    <row r="502" spans="1:27" ht="13.8">
      <c r="A502" s="89"/>
      <c r="B502" s="89"/>
      <c r="C502" s="89"/>
      <c r="D502" s="89"/>
      <c r="E502" s="89"/>
      <c r="F502" s="110"/>
      <c r="G502" s="89"/>
      <c r="H502" s="89"/>
      <c r="I502" s="89"/>
      <c r="J502" s="89"/>
      <c r="K502" s="89"/>
      <c r="L502" s="89"/>
      <c r="M502" s="89"/>
      <c r="N502" s="89"/>
      <c r="O502" s="89"/>
      <c r="P502" s="89"/>
      <c r="Q502" s="89"/>
      <c r="R502" s="89"/>
      <c r="S502" s="89"/>
      <c r="T502" s="89"/>
      <c r="U502" s="89"/>
      <c r="V502" s="89"/>
      <c r="W502" s="89"/>
      <c r="X502" s="89"/>
      <c r="Y502" s="89"/>
      <c r="Z502" s="89"/>
      <c r="AA502" s="89"/>
    </row>
    <row r="503" spans="1:27" ht="13.8">
      <c r="A503" s="89"/>
      <c r="B503" s="89"/>
      <c r="C503" s="89"/>
      <c r="D503" s="89"/>
      <c r="E503" s="89"/>
      <c r="F503" s="110"/>
      <c r="G503" s="89"/>
      <c r="H503" s="89"/>
      <c r="I503" s="89"/>
      <c r="J503" s="89"/>
      <c r="K503" s="89"/>
      <c r="L503" s="89"/>
      <c r="M503" s="89"/>
      <c r="N503" s="89"/>
      <c r="O503" s="89"/>
      <c r="P503" s="89"/>
      <c r="Q503" s="89"/>
      <c r="R503" s="89"/>
      <c r="S503" s="89"/>
      <c r="T503" s="89"/>
      <c r="U503" s="89"/>
      <c r="V503" s="89"/>
      <c r="W503" s="89"/>
      <c r="X503" s="89"/>
      <c r="Y503" s="89"/>
      <c r="Z503" s="89"/>
      <c r="AA503" s="89"/>
    </row>
    <row r="504" spans="1:27" ht="13.8">
      <c r="A504" s="89"/>
      <c r="B504" s="89"/>
      <c r="C504" s="89"/>
      <c r="D504" s="89"/>
      <c r="E504" s="89"/>
      <c r="F504" s="110"/>
      <c r="G504" s="89"/>
      <c r="H504" s="89"/>
      <c r="I504" s="89"/>
      <c r="J504" s="89"/>
      <c r="K504" s="89"/>
      <c r="L504" s="89"/>
      <c r="M504" s="89"/>
      <c r="N504" s="89"/>
      <c r="O504" s="89"/>
      <c r="P504" s="89"/>
      <c r="Q504" s="89"/>
      <c r="R504" s="89"/>
      <c r="S504" s="89"/>
      <c r="T504" s="89"/>
      <c r="U504" s="89"/>
      <c r="V504" s="89"/>
      <c r="W504" s="89"/>
      <c r="X504" s="89"/>
      <c r="Y504" s="89"/>
      <c r="Z504" s="89"/>
      <c r="AA504" s="89"/>
    </row>
    <row r="505" spans="1:27" ht="13.8">
      <c r="A505" s="89"/>
      <c r="B505" s="89"/>
      <c r="C505" s="89"/>
      <c r="D505" s="89"/>
      <c r="E505" s="89"/>
      <c r="F505" s="110"/>
      <c r="G505" s="89"/>
      <c r="H505" s="89"/>
      <c r="I505" s="89"/>
      <c r="J505" s="89"/>
      <c r="K505" s="89"/>
      <c r="L505" s="89"/>
      <c r="M505" s="89"/>
      <c r="N505" s="89"/>
      <c r="O505" s="89"/>
      <c r="P505" s="89"/>
      <c r="Q505" s="89"/>
      <c r="R505" s="89"/>
      <c r="S505" s="89"/>
      <c r="T505" s="89"/>
      <c r="U505" s="89"/>
      <c r="V505" s="89"/>
      <c r="W505" s="89"/>
      <c r="X505" s="89"/>
      <c r="Y505" s="89"/>
      <c r="Z505" s="89"/>
      <c r="AA505" s="89"/>
    </row>
    <row r="506" spans="1:27" ht="13.8">
      <c r="A506" s="89"/>
      <c r="B506" s="89"/>
      <c r="C506" s="89"/>
      <c r="D506" s="89"/>
      <c r="E506" s="89"/>
      <c r="F506" s="110"/>
      <c r="G506" s="89"/>
      <c r="H506" s="89"/>
      <c r="I506" s="89"/>
      <c r="J506" s="89"/>
      <c r="K506" s="89"/>
      <c r="L506" s="89"/>
      <c r="M506" s="89"/>
      <c r="N506" s="89"/>
      <c r="O506" s="89"/>
      <c r="P506" s="89"/>
      <c r="Q506" s="89"/>
      <c r="R506" s="89"/>
      <c r="S506" s="89"/>
      <c r="T506" s="89"/>
      <c r="U506" s="89"/>
      <c r="V506" s="89"/>
      <c r="W506" s="89"/>
      <c r="X506" s="89"/>
      <c r="Y506" s="89"/>
      <c r="Z506" s="89"/>
      <c r="AA506" s="89"/>
    </row>
    <row r="507" spans="1:27" ht="13.8">
      <c r="A507" s="89"/>
      <c r="B507" s="89"/>
      <c r="C507" s="89"/>
      <c r="D507" s="89"/>
      <c r="E507" s="89"/>
      <c r="F507" s="110"/>
      <c r="G507" s="89"/>
      <c r="H507" s="89"/>
      <c r="I507" s="89"/>
      <c r="J507" s="89"/>
      <c r="K507" s="89"/>
      <c r="L507" s="89"/>
      <c r="M507" s="89"/>
      <c r="N507" s="89"/>
      <c r="O507" s="89"/>
      <c r="P507" s="89"/>
      <c r="Q507" s="89"/>
      <c r="R507" s="89"/>
      <c r="S507" s="89"/>
      <c r="T507" s="89"/>
      <c r="U507" s="89"/>
      <c r="V507" s="89"/>
      <c r="W507" s="89"/>
      <c r="X507" s="89"/>
      <c r="Y507" s="89"/>
      <c r="Z507" s="89"/>
      <c r="AA507" s="89"/>
    </row>
    <row r="508" spans="1:27" ht="13.8">
      <c r="A508" s="89"/>
      <c r="B508" s="89"/>
      <c r="C508" s="89"/>
      <c r="D508" s="89"/>
      <c r="E508" s="89"/>
      <c r="F508" s="110"/>
      <c r="G508" s="89"/>
      <c r="H508" s="89"/>
      <c r="I508" s="89"/>
      <c r="J508" s="89"/>
      <c r="K508" s="89"/>
      <c r="L508" s="89"/>
      <c r="M508" s="89"/>
      <c r="N508" s="89"/>
      <c r="O508" s="89"/>
      <c r="P508" s="89"/>
      <c r="Q508" s="89"/>
      <c r="R508" s="89"/>
      <c r="S508" s="89"/>
      <c r="T508" s="89"/>
      <c r="U508" s="89"/>
      <c r="V508" s="89"/>
      <c r="W508" s="89"/>
      <c r="X508" s="89"/>
      <c r="Y508" s="89"/>
      <c r="Z508" s="89"/>
      <c r="AA508" s="89"/>
    </row>
    <row r="509" spans="1:27" ht="13.8">
      <c r="A509" s="89"/>
      <c r="B509" s="89"/>
      <c r="C509" s="89"/>
      <c r="D509" s="89"/>
      <c r="E509" s="89"/>
      <c r="F509" s="110"/>
      <c r="G509" s="89"/>
      <c r="H509" s="89"/>
      <c r="I509" s="89"/>
      <c r="J509" s="89"/>
      <c r="K509" s="89"/>
      <c r="L509" s="89"/>
      <c r="M509" s="89"/>
      <c r="N509" s="89"/>
      <c r="O509" s="89"/>
      <c r="P509" s="89"/>
      <c r="Q509" s="89"/>
      <c r="R509" s="89"/>
      <c r="S509" s="89"/>
      <c r="T509" s="89"/>
      <c r="U509" s="89"/>
      <c r="V509" s="89"/>
      <c r="W509" s="89"/>
      <c r="X509" s="89"/>
      <c r="Y509" s="89"/>
      <c r="Z509" s="89"/>
      <c r="AA509" s="89"/>
    </row>
    <row r="510" spans="1:27" ht="13.8">
      <c r="A510" s="89"/>
      <c r="B510" s="89"/>
      <c r="C510" s="89"/>
      <c r="D510" s="89"/>
      <c r="E510" s="89"/>
      <c r="F510" s="110"/>
      <c r="G510" s="89"/>
      <c r="H510" s="89"/>
      <c r="I510" s="89"/>
      <c r="J510" s="89"/>
      <c r="K510" s="89"/>
      <c r="L510" s="89"/>
      <c r="M510" s="89"/>
      <c r="N510" s="89"/>
      <c r="O510" s="89"/>
      <c r="P510" s="89"/>
      <c r="Q510" s="89"/>
      <c r="R510" s="89"/>
      <c r="S510" s="89"/>
      <c r="T510" s="89"/>
      <c r="U510" s="89"/>
      <c r="V510" s="89"/>
      <c r="W510" s="89"/>
      <c r="X510" s="89"/>
      <c r="Y510" s="89"/>
      <c r="Z510" s="89"/>
      <c r="AA510" s="89"/>
    </row>
    <row r="511" spans="1:27" ht="13.8">
      <c r="A511" s="89"/>
      <c r="B511" s="89"/>
      <c r="C511" s="89"/>
      <c r="D511" s="89"/>
      <c r="E511" s="89"/>
      <c r="F511" s="110"/>
      <c r="G511" s="89"/>
      <c r="H511" s="89"/>
      <c r="I511" s="89"/>
      <c r="J511" s="89"/>
      <c r="K511" s="89"/>
      <c r="L511" s="89"/>
      <c r="M511" s="89"/>
      <c r="N511" s="89"/>
      <c r="O511" s="89"/>
      <c r="P511" s="89"/>
      <c r="Q511" s="89"/>
      <c r="R511" s="89"/>
      <c r="S511" s="89"/>
      <c r="T511" s="89"/>
      <c r="U511" s="89"/>
      <c r="V511" s="89"/>
      <c r="W511" s="89"/>
      <c r="X511" s="89"/>
      <c r="Y511" s="89"/>
      <c r="Z511" s="89"/>
      <c r="AA511" s="89"/>
    </row>
    <row r="512" spans="1:27" ht="13.8">
      <c r="A512" s="89"/>
      <c r="B512" s="89"/>
      <c r="C512" s="89"/>
      <c r="D512" s="89"/>
      <c r="E512" s="89"/>
      <c r="F512" s="110"/>
      <c r="G512" s="89"/>
      <c r="H512" s="89"/>
      <c r="I512" s="89"/>
      <c r="J512" s="89"/>
      <c r="K512" s="89"/>
      <c r="L512" s="89"/>
      <c r="M512" s="89"/>
      <c r="N512" s="89"/>
      <c r="O512" s="89"/>
      <c r="P512" s="89"/>
      <c r="Q512" s="89"/>
      <c r="R512" s="89"/>
      <c r="S512" s="89"/>
      <c r="T512" s="89"/>
      <c r="U512" s="89"/>
      <c r="V512" s="89"/>
      <c r="W512" s="89"/>
      <c r="X512" s="89"/>
      <c r="Y512" s="89"/>
      <c r="Z512" s="89"/>
      <c r="AA512" s="89"/>
    </row>
    <row r="513" spans="1:27" ht="13.8">
      <c r="A513" s="89"/>
      <c r="B513" s="89"/>
      <c r="C513" s="89"/>
      <c r="D513" s="89"/>
      <c r="E513" s="89"/>
      <c r="F513" s="110"/>
      <c r="G513" s="89"/>
      <c r="H513" s="89"/>
      <c r="I513" s="89"/>
      <c r="J513" s="89"/>
      <c r="K513" s="89"/>
      <c r="L513" s="89"/>
      <c r="M513" s="89"/>
      <c r="N513" s="89"/>
      <c r="O513" s="89"/>
      <c r="P513" s="89"/>
      <c r="Q513" s="89"/>
      <c r="R513" s="89"/>
      <c r="S513" s="89"/>
      <c r="T513" s="89"/>
      <c r="U513" s="89"/>
      <c r="V513" s="89"/>
      <c r="W513" s="89"/>
      <c r="X513" s="89"/>
      <c r="Y513" s="89"/>
      <c r="Z513" s="89"/>
      <c r="AA513" s="89"/>
    </row>
    <row r="514" spans="1:27" ht="13.8">
      <c r="A514" s="89"/>
      <c r="B514" s="89"/>
      <c r="C514" s="89"/>
      <c r="D514" s="89"/>
      <c r="E514" s="89"/>
      <c r="F514" s="110"/>
      <c r="G514" s="89"/>
      <c r="H514" s="89"/>
      <c r="I514" s="89"/>
      <c r="J514" s="89"/>
      <c r="K514" s="89"/>
      <c r="L514" s="89"/>
      <c r="M514" s="89"/>
      <c r="N514" s="89"/>
      <c r="O514" s="89"/>
      <c r="P514" s="89"/>
      <c r="Q514" s="89"/>
      <c r="R514" s="89"/>
      <c r="S514" s="89"/>
      <c r="T514" s="89"/>
      <c r="U514" s="89"/>
      <c r="V514" s="89"/>
      <c r="W514" s="89"/>
      <c r="X514" s="89"/>
      <c r="Y514" s="89"/>
      <c r="Z514" s="89"/>
      <c r="AA514" s="89"/>
    </row>
    <row r="515" spans="1:27" ht="13.8">
      <c r="A515" s="89"/>
      <c r="B515" s="89"/>
      <c r="C515" s="89"/>
      <c r="D515" s="89"/>
      <c r="E515" s="89"/>
      <c r="F515" s="110"/>
      <c r="G515" s="89"/>
      <c r="H515" s="89"/>
      <c r="I515" s="89"/>
      <c r="J515" s="89"/>
      <c r="K515" s="89"/>
      <c r="L515" s="89"/>
      <c r="M515" s="89"/>
      <c r="N515" s="89"/>
      <c r="O515" s="89"/>
      <c r="P515" s="89"/>
      <c r="Q515" s="89"/>
      <c r="R515" s="89"/>
      <c r="S515" s="89"/>
      <c r="T515" s="89"/>
      <c r="U515" s="89"/>
      <c r="V515" s="89"/>
      <c r="W515" s="89"/>
      <c r="X515" s="89"/>
      <c r="Y515" s="89"/>
      <c r="Z515" s="89"/>
      <c r="AA515" s="89"/>
    </row>
    <row r="516" spans="1:27" ht="13.8">
      <c r="A516" s="89"/>
      <c r="B516" s="89"/>
      <c r="C516" s="89"/>
      <c r="D516" s="89"/>
      <c r="E516" s="89"/>
      <c r="F516" s="110"/>
      <c r="G516" s="89"/>
      <c r="H516" s="89"/>
      <c r="I516" s="89"/>
      <c r="J516" s="89"/>
      <c r="K516" s="89"/>
      <c r="L516" s="89"/>
      <c r="M516" s="89"/>
      <c r="N516" s="89"/>
      <c r="O516" s="89"/>
      <c r="P516" s="89"/>
      <c r="Q516" s="89"/>
      <c r="R516" s="89"/>
      <c r="S516" s="89"/>
      <c r="T516" s="89"/>
      <c r="U516" s="89"/>
      <c r="V516" s="89"/>
      <c r="W516" s="89"/>
      <c r="X516" s="89"/>
      <c r="Y516" s="89"/>
      <c r="Z516" s="89"/>
      <c r="AA516" s="89"/>
    </row>
    <row r="517" spans="1:27" ht="13.8">
      <c r="A517" s="89"/>
      <c r="B517" s="89"/>
      <c r="C517" s="89"/>
      <c r="D517" s="89"/>
      <c r="E517" s="89"/>
      <c r="F517" s="110"/>
      <c r="G517" s="89"/>
      <c r="H517" s="89"/>
      <c r="I517" s="89"/>
      <c r="J517" s="89"/>
      <c r="K517" s="89"/>
      <c r="L517" s="89"/>
      <c r="M517" s="89"/>
      <c r="N517" s="89"/>
      <c r="O517" s="89"/>
      <c r="P517" s="89"/>
      <c r="Q517" s="89"/>
      <c r="R517" s="89"/>
      <c r="S517" s="89"/>
      <c r="T517" s="89"/>
      <c r="U517" s="89"/>
      <c r="V517" s="89"/>
      <c r="W517" s="89"/>
      <c r="X517" s="89"/>
      <c r="Y517" s="89"/>
      <c r="Z517" s="89"/>
      <c r="AA517" s="89"/>
    </row>
    <row r="518" spans="1:27" ht="13.8">
      <c r="A518" s="89"/>
      <c r="B518" s="89"/>
      <c r="C518" s="89"/>
      <c r="D518" s="89"/>
      <c r="E518" s="89"/>
      <c r="F518" s="110"/>
      <c r="G518" s="89"/>
      <c r="H518" s="89"/>
      <c r="I518" s="89"/>
      <c r="J518" s="89"/>
      <c r="K518" s="89"/>
      <c r="L518" s="89"/>
      <c r="M518" s="89"/>
      <c r="N518" s="89"/>
      <c r="O518" s="89"/>
      <c r="P518" s="89"/>
      <c r="Q518" s="89"/>
      <c r="R518" s="89"/>
      <c r="S518" s="89"/>
      <c r="T518" s="89"/>
      <c r="U518" s="89"/>
      <c r="V518" s="89"/>
      <c r="W518" s="89"/>
      <c r="X518" s="89"/>
      <c r="Y518" s="89"/>
      <c r="Z518" s="89"/>
      <c r="AA518" s="89"/>
    </row>
    <row r="519" spans="1:27" ht="13.8">
      <c r="A519" s="89"/>
      <c r="B519" s="89"/>
      <c r="C519" s="89"/>
      <c r="D519" s="89"/>
      <c r="E519" s="89"/>
      <c r="F519" s="110"/>
      <c r="G519" s="89"/>
      <c r="H519" s="89"/>
      <c r="I519" s="89"/>
      <c r="J519" s="89"/>
      <c r="K519" s="89"/>
      <c r="L519" s="89"/>
      <c r="M519" s="89"/>
      <c r="N519" s="89"/>
      <c r="O519" s="89"/>
      <c r="P519" s="89"/>
      <c r="Q519" s="89"/>
      <c r="R519" s="89"/>
      <c r="S519" s="89"/>
      <c r="T519" s="89"/>
      <c r="U519" s="89"/>
      <c r="V519" s="89"/>
      <c r="W519" s="89"/>
      <c r="X519" s="89"/>
      <c r="Y519" s="89"/>
      <c r="Z519" s="89"/>
      <c r="AA519" s="89"/>
    </row>
    <row r="520" spans="1:27" ht="13.8">
      <c r="A520" s="89"/>
      <c r="B520" s="89"/>
      <c r="C520" s="89"/>
      <c r="D520" s="89"/>
      <c r="E520" s="89"/>
      <c r="F520" s="110"/>
      <c r="G520" s="89"/>
      <c r="H520" s="89"/>
      <c r="I520" s="89"/>
      <c r="J520" s="89"/>
      <c r="K520" s="89"/>
      <c r="L520" s="89"/>
      <c r="M520" s="89"/>
      <c r="N520" s="89"/>
      <c r="O520" s="89"/>
      <c r="P520" s="89"/>
      <c r="Q520" s="89"/>
      <c r="R520" s="89"/>
      <c r="S520" s="89"/>
      <c r="T520" s="89"/>
      <c r="U520" s="89"/>
      <c r="V520" s="89"/>
      <c r="W520" s="89"/>
      <c r="X520" s="89"/>
      <c r="Y520" s="89"/>
      <c r="Z520" s="89"/>
      <c r="AA520" s="89"/>
    </row>
    <row r="521" spans="1:27" ht="13.8">
      <c r="A521" s="89"/>
      <c r="B521" s="89"/>
      <c r="C521" s="89"/>
      <c r="D521" s="89"/>
      <c r="E521" s="89"/>
      <c r="F521" s="110"/>
      <c r="G521" s="89"/>
      <c r="H521" s="89"/>
      <c r="I521" s="89"/>
      <c r="J521" s="89"/>
      <c r="K521" s="89"/>
      <c r="L521" s="89"/>
      <c r="M521" s="89"/>
      <c r="N521" s="89"/>
      <c r="O521" s="89"/>
      <c r="P521" s="89"/>
      <c r="Q521" s="89"/>
      <c r="R521" s="89"/>
      <c r="S521" s="89"/>
      <c r="T521" s="89"/>
      <c r="U521" s="89"/>
      <c r="V521" s="89"/>
      <c r="W521" s="89"/>
      <c r="X521" s="89"/>
      <c r="Y521" s="89"/>
      <c r="Z521" s="89"/>
      <c r="AA521" s="89"/>
    </row>
    <row r="522" spans="1:27" ht="13.8">
      <c r="A522" s="89"/>
      <c r="B522" s="89"/>
      <c r="C522" s="89"/>
      <c r="D522" s="89"/>
      <c r="E522" s="89"/>
      <c r="F522" s="110"/>
      <c r="G522" s="89"/>
      <c r="H522" s="89"/>
      <c r="I522" s="89"/>
      <c r="J522" s="89"/>
      <c r="K522" s="89"/>
      <c r="L522" s="89"/>
      <c r="M522" s="89"/>
      <c r="N522" s="89"/>
      <c r="O522" s="89"/>
      <c r="P522" s="89"/>
      <c r="Q522" s="89"/>
      <c r="R522" s="89"/>
      <c r="S522" s="89"/>
      <c r="T522" s="89"/>
      <c r="U522" s="89"/>
      <c r="V522" s="89"/>
      <c r="W522" s="89"/>
      <c r="X522" s="89"/>
      <c r="Y522" s="89"/>
      <c r="Z522" s="89"/>
      <c r="AA522" s="89"/>
    </row>
    <row r="523" spans="1:27" ht="13.8">
      <c r="A523" s="89"/>
      <c r="B523" s="89"/>
      <c r="C523" s="89"/>
      <c r="D523" s="89"/>
      <c r="E523" s="89"/>
      <c r="F523" s="110"/>
      <c r="G523" s="89"/>
      <c r="H523" s="89"/>
      <c r="I523" s="89"/>
      <c r="J523" s="89"/>
      <c r="K523" s="89"/>
      <c r="L523" s="89"/>
      <c r="M523" s="89"/>
      <c r="N523" s="89"/>
      <c r="O523" s="89"/>
      <c r="P523" s="89"/>
      <c r="Q523" s="89"/>
      <c r="R523" s="89"/>
      <c r="S523" s="89"/>
      <c r="T523" s="89"/>
      <c r="U523" s="89"/>
      <c r="V523" s="89"/>
      <c r="W523" s="89"/>
      <c r="X523" s="89"/>
      <c r="Y523" s="89"/>
      <c r="Z523" s="89"/>
      <c r="AA523" s="89"/>
    </row>
    <row r="524" spans="1:27" ht="13.8">
      <c r="A524" s="89"/>
      <c r="B524" s="89"/>
      <c r="C524" s="89"/>
      <c r="D524" s="89"/>
      <c r="E524" s="89"/>
      <c r="F524" s="110"/>
      <c r="G524" s="89"/>
      <c r="H524" s="89"/>
      <c r="I524" s="89"/>
      <c r="J524" s="89"/>
      <c r="K524" s="89"/>
      <c r="L524" s="89"/>
      <c r="M524" s="89"/>
      <c r="N524" s="89"/>
      <c r="O524" s="89"/>
      <c r="P524" s="89"/>
      <c r="Q524" s="89"/>
      <c r="R524" s="89"/>
      <c r="S524" s="89"/>
      <c r="T524" s="89"/>
      <c r="U524" s="89"/>
      <c r="V524" s="89"/>
      <c r="W524" s="89"/>
      <c r="X524" s="89"/>
      <c r="Y524" s="89"/>
      <c r="Z524" s="89"/>
      <c r="AA524" s="89"/>
    </row>
    <row r="525" spans="1:27" ht="13.8">
      <c r="A525" s="89"/>
      <c r="B525" s="89"/>
      <c r="C525" s="89"/>
      <c r="D525" s="89"/>
      <c r="E525" s="89"/>
      <c r="F525" s="110"/>
      <c r="G525" s="89"/>
      <c r="H525" s="89"/>
      <c r="I525" s="89"/>
      <c r="J525" s="89"/>
      <c r="K525" s="89"/>
      <c r="L525" s="89"/>
      <c r="M525" s="89"/>
      <c r="N525" s="89"/>
      <c r="O525" s="89"/>
      <c r="P525" s="89"/>
      <c r="Q525" s="89"/>
      <c r="R525" s="89"/>
      <c r="S525" s="89"/>
      <c r="T525" s="89"/>
      <c r="U525" s="89"/>
      <c r="V525" s="89"/>
      <c r="W525" s="89"/>
      <c r="X525" s="89"/>
      <c r="Y525" s="89"/>
      <c r="Z525" s="89"/>
      <c r="AA525" s="89"/>
    </row>
    <row r="526" spans="1:27" ht="13.8">
      <c r="A526" s="89"/>
      <c r="B526" s="89"/>
      <c r="C526" s="89"/>
      <c r="D526" s="89"/>
      <c r="E526" s="89"/>
      <c r="F526" s="110"/>
      <c r="G526" s="89"/>
      <c r="H526" s="89"/>
      <c r="I526" s="89"/>
      <c r="J526" s="89"/>
      <c r="K526" s="89"/>
      <c r="L526" s="89"/>
      <c r="M526" s="89"/>
      <c r="N526" s="89"/>
      <c r="O526" s="89"/>
      <c r="P526" s="89"/>
      <c r="Q526" s="89"/>
      <c r="R526" s="89"/>
      <c r="S526" s="89"/>
      <c r="T526" s="89"/>
      <c r="U526" s="89"/>
      <c r="V526" s="89"/>
      <c r="W526" s="89"/>
      <c r="X526" s="89"/>
      <c r="Y526" s="89"/>
      <c r="Z526" s="89"/>
      <c r="AA526" s="89"/>
    </row>
    <row r="527" spans="1:27" ht="13.8">
      <c r="A527" s="89"/>
      <c r="B527" s="89"/>
      <c r="C527" s="89"/>
      <c r="D527" s="89"/>
      <c r="E527" s="89"/>
      <c r="F527" s="110"/>
      <c r="G527" s="89"/>
      <c r="H527" s="89"/>
      <c r="I527" s="89"/>
      <c r="J527" s="89"/>
      <c r="K527" s="89"/>
      <c r="L527" s="89"/>
      <c r="M527" s="89"/>
      <c r="N527" s="89"/>
      <c r="O527" s="89"/>
      <c r="P527" s="89"/>
      <c r="Q527" s="89"/>
      <c r="R527" s="89"/>
      <c r="S527" s="89"/>
      <c r="T527" s="89"/>
      <c r="U527" s="89"/>
      <c r="V527" s="89"/>
      <c r="W527" s="89"/>
      <c r="X527" s="89"/>
      <c r="Y527" s="89"/>
      <c r="Z527" s="89"/>
      <c r="AA527" s="89"/>
    </row>
    <row r="528" spans="1:27" ht="13.8">
      <c r="A528" s="89"/>
      <c r="B528" s="89"/>
      <c r="C528" s="89"/>
      <c r="D528" s="89"/>
      <c r="E528" s="89"/>
      <c r="F528" s="110"/>
      <c r="G528" s="89"/>
      <c r="H528" s="89"/>
      <c r="I528" s="89"/>
      <c r="J528" s="89"/>
      <c r="K528" s="89"/>
      <c r="L528" s="89"/>
      <c r="M528" s="89"/>
      <c r="N528" s="89"/>
      <c r="O528" s="89"/>
      <c r="P528" s="89"/>
      <c r="Q528" s="89"/>
      <c r="R528" s="89"/>
      <c r="S528" s="89"/>
      <c r="T528" s="89"/>
      <c r="U528" s="89"/>
      <c r="V528" s="89"/>
      <c r="W528" s="89"/>
      <c r="X528" s="89"/>
      <c r="Y528" s="89"/>
      <c r="Z528" s="89"/>
      <c r="AA528" s="89"/>
    </row>
    <row r="529" spans="1:27" ht="13.8">
      <c r="A529" s="89"/>
      <c r="B529" s="89"/>
      <c r="C529" s="89"/>
      <c r="D529" s="89"/>
      <c r="E529" s="89"/>
      <c r="F529" s="110"/>
      <c r="G529" s="89"/>
      <c r="H529" s="89"/>
      <c r="I529" s="89"/>
      <c r="J529" s="89"/>
      <c r="K529" s="89"/>
      <c r="L529" s="89"/>
      <c r="M529" s="89"/>
      <c r="N529" s="89"/>
      <c r="O529" s="89"/>
      <c r="P529" s="89"/>
      <c r="Q529" s="89"/>
      <c r="R529" s="89"/>
      <c r="S529" s="89"/>
      <c r="T529" s="89"/>
      <c r="U529" s="89"/>
      <c r="V529" s="89"/>
      <c r="W529" s="89"/>
      <c r="X529" s="89"/>
      <c r="Y529" s="89"/>
      <c r="Z529" s="89"/>
      <c r="AA529" s="89"/>
    </row>
    <row r="530" spans="1:27" ht="13.8">
      <c r="A530" s="89"/>
      <c r="B530" s="89"/>
      <c r="C530" s="89"/>
      <c r="D530" s="89"/>
      <c r="E530" s="89"/>
      <c r="F530" s="110"/>
      <c r="G530" s="89"/>
      <c r="H530" s="89"/>
      <c r="I530" s="89"/>
      <c r="J530" s="89"/>
      <c r="K530" s="89"/>
      <c r="L530" s="89"/>
      <c r="M530" s="89"/>
      <c r="N530" s="89"/>
      <c r="O530" s="89"/>
      <c r="P530" s="89"/>
      <c r="Q530" s="89"/>
      <c r="R530" s="89"/>
      <c r="S530" s="89"/>
      <c r="T530" s="89"/>
      <c r="U530" s="89"/>
      <c r="V530" s="89"/>
      <c r="W530" s="89"/>
      <c r="X530" s="89"/>
      <c r="Y530" s="89"/>
      <c r="Z530" s="89"/>
      <c r="AA530" s="89"/>
    </row>
    <row r="531" spans="1:27" ht="13.8">
      <c r="A531" s="89"/>
      <c r="B531" s="89"/>
      <c r="C531" s="89"/>
      <c r="D531" s="89"/>
      <c r="E531" s="89"/>
      <c r="F531" s="110"/>
      <c r="G531" s="89"/>
      <c r="H531" s="89"/>
      <c r="I531" s="89"/>
      <c r="J531" s="89"/>
      <c r="K531" s="89"/>
      <c r="L531" s="89"/>
      <c r="M531" s="89"/>
      <c r="N531" s="89"/>
      <c r="O531" s="89"/>
      <c r="P531" s="89"/>
      <c r="Q531" s="89"/>
      <c r="R531" s="89"/>
      <c r="S531" s="89"/>
      <c r="T531" s="89"/>
      <c r="U531" s="89"/>
      <c r="V531" s="89"/>
      <c r="W531" s="89"/>
      <c r="X531" s="89"/>
      <c r="Y531" s="89"/>
      <c r="Z531" s="89"/>
      <c r="AA531" s="89"/>
    </row>
    <row r="532" spans="1:27" ht="13.8">
      <c r="A532" s="89"/>
      <c r="B532" s="89"/>
      <c r="C532" s="89"/>
      <c r="D532" s="89"/>
      <c r="E532" s="89"/>
      <c r="F532" s="110"/>
      <c r="G532" s="89"/>
      <c r="H532" s="89"/>
      <c r="I532" s="89"/>
      <c r="J532" s="89"/>
      <c r="K532" s="89"/>
      <c r="L532" s="89"/>
      <c r="M532" s="89"/>
      <c r="N532" s="89"/>
      <c r="O532" s="89"/>
      <c r="P532" s="89"/>
      <c r="Q532" s="89"/>
      <c r="R532" s="89"/>
      <c r="S532" s="89"/>
      <c r="T532" s="89"/>
      <c r="U532" s="89"/>
      <c r="V532" s="89"/>
      <c r="W532" s="89"/>
      <c r="X532" s="89"/>
      <c r="Y532" s="89"/>
      <c r="Z532" s="89"/>
      <c r="AA532" s="89"/>
    </row>
    <row r="533" spans="1:27" ht="13.8">
      <c r="A533" s="89"/>
      <c r="B533" s="89"/>
      <c r="C533" s="89"/>
      <c r="D533" s="89"/>
      <c r="E533" s="89"/>
      <c r="F533" s="110"/>
      <c r="G533" s="89"/>
      <c r="H533" s="89"/>
      <c r="I533" s="89"/>
      <c r="J533" s="89"/>
      <c r="K533" s="89"/>
      <c r="L533" s="89"/>
      <c r="M533" s="89"/>
      <c r="N533" s="89"/>
      <c r="O533" s="89"/>
      <c r="P533" s="89"/>
      <c r="Q533" s="89"/>
      <c r="R533" s="89"/>
      <c r="S533" s="89"/>
      <c r="T533" s="89"/>
      <c r="U533" s="89"/>
      <c r="V533" s="89"/>
      <c r="W533" s="89"/>
      <c r="X533" s="89"/>
      <c r="Y533" s="89"/>
      <c r="Z533" s="89"/>
      <c r="AA533" s="89"/>
    </row>
    <row r="534" spans="1:27" ht="13.8">
      <c r="A534" s="89"/>
      <c r="B534" s="89"/>
      <c r="C534" s="89"/>
      <c r="D534" s="89"/>
      <c r="E534" s="89"/>
      <c r="F534" s="110"/>
      <c r="G534" s="89"/>
      <c r="H534" s="89"/>
      <c r="I534" s="89"/>
      <c r="J534" s="89"/>
      <c r="K534" s="89"/>
      <c r="L534" s="89"/>
      <c r="M534" s="89"/>
      <c r="N534" s="89"/>
      <c r="O534" s="89"/>
      <c r="P534" s="89"/>
      <c r="Q534" s="89"/>
      <c r="R534" s="89"/>
      <c r="S534" s="89"/>
      <c r="T534" s="89"/>
      <c r="U534" s="89"/>
      <c r="V534" s="89"/>
      <c r="W534" s="89"/>
      <c r="X534" s="89"/>
      <c r="Y534" s="89"/>
      <c r="Z534" s="89"/>
      <c r="AA534" s="89"/>
    </row>
    <row r="535" spans="1:27" ht="13.8">
      <c r="A535" s="89"/>
      <c r="B535" s="89"/>
      <c r="C535" s="89"/>
      <c r="D535" s="89"/>
      <c r="E535" s="89"/>
      <c r="F535" s="110"/>
      <c r="G535" s="89"/>
      <c r="H535" s="89"/>
      <c r="I535" s="89"/>
      <c r="J535" s="89"/>
      <c r="K535" s="89"/>
      <c r="L535" s="89"/>
      <c r="M535" s="89"/>
      <c r="N535" s="89"/>
      <c r="O535" s="89"/>
      <c r="P535" s="89"/>
      <c r="Q535" s="89"/>
      <c r="R535" s="89"/>
      <c r="S535" s="89"/>
      <c r="T535" s="89"/>
      <c r="U535" s="89"/>
      <c r="V535" s="89"/>
      <c r="W535" s="89"/>
      <c r="X535" s="89"/>
      <c r="Y535" s="89"/>
      <c r="Z535" s="89"/>
      <c r="AA535" s="89"/>
    </row>
    <row r="536" spans="1:27" ht="13.8">
      <c r="A536" s="89"/>
      <c r="B536" s="89"/>
      <c r="C536" s="89"/>
      <c r="D536" s="89"/>
      <c r="E536" s="89"/>
      <c r="F536" s="110"/>
      <c r="G536" s="89"/>
      <c r="H536" s="89"/>
      <c r="I536" s="89"/>
      <c r="J536" s="89"/>
      <c r="K536" s="89"/>
      <c r="L536" s="89"/>
      <c r="M536" s="89"/>
      <c r="N536" s="89"/>
      <c r="O536" s="89"/>
      <c r="P536" s="89"/>
      <c r="Q536" s="89"/>
      <c r="R536" s="89"/>
      <c r="S536" s="89"/>
      <c r="T536" s="89"/>
      <c r="U536" s="89"/>
      <c r="V536" s="89"/>
      <c r="W536" s="89"/>
      <c r="X536" s="89"/>
      <c r="Y536" s="89"/>
      <c r="Z536" s="89"/>
      <c r="AA536" s="89"/>
    </row>
    <row r="537" spans="1:27" ht="13.8">
      <c r="A537" s="89"/>
      <c r="B537" s="89"/>
      <c r="C537" s="89"/>
      <c r="D537" s="89"/>
      <c r="E537" s="89"/>
      <c r="F537" s="110"/>
      <c r="G537" s="89"/>
      <c r="H537" s="89"/>
      <c r="I537" s="89"/>
      <c r="J537" s="89"/>
      <c r="K537" s="89"/>
      <c r="L537" s="89"/>
      <c r="M537" s="89"/>
      <c r="N537" s="89"/>
      <c r="O537" s="89"/>
      <c r="P537" s="89"/>
      <c r="Q537" s="89"/>
      <c r="R537" s="89"/>
      <c r="S537" s="89"/>
      <c r="T537" s="89"/>
      <c r="U537" s="89"/>
      <c r="V537" s="89"/>
      <c r="W537" s="89"/>
      <c r="X537" s="89"/>
      <c r="Y537" s="89"/>
      <c r="Z537" s="89"/>
      <c r="AA537" s="89"/>
    </row>
    <row r="538" spans="1:27" ht="13.8">
      <c r="A538" s="89"/>
      <c r="B538" s="89"/>
      <c r="C538" s="89"/>
      <c r="D538" s="89"/>
      <c r="E538" s="89"/>
      <c r="F538" s="110"/>
      <c r="G538" s="89"/>
      <c r="H538" s="89"/>
      <c r="I538" s="89"/>
      <c r="J538" s="89"/>
      <c r="K538" s="89"/>
      <c r="L538" s="89"/>
      <c r="M538" s="89"/>
      <c r="N538" s="89"/>
      <c r="O538" s="89"/>
      <c r="P538" s="89"/>
      <c r="Q538" s="89"/>
      <c r="R538" s="89"/>
      <c r="S538" s="89"/>
      <c r="T538" s="89"/>
      <c r="U538" s="89"/>
      <c r="V538" s="89"/>
      <c r="W538" s="89"/>
      <c r="X538" s="89"/>
      <c r="Y538" s="89"/>
      <c r="Z538" s="89"/>
      <c r="AA538" s="89"/>
    </row>
    <row r="539" spans="1:27" ht="13.8">
      <c r="A539" s="89"/>
      <c r="B539" s="89"/>
      <c r="C539" s="89"/>
      <c r="D539" s="89"/>
      <c r="E539" s="89"/>
      <c r="F539" s="110"/>
      <c r="G539" s="89"/>
      <c r="H539" s="89"/>
      <c r="I539" s="89"/>
      <c r="J539" s="89"/>
      <c r="K539" s="89"/>
      <c r="L539" s="89"/>
      <c r="M539" s="89"/>
      <c r="N539" s="89"/>
      <c r="O539" s="89"/>
      <c r="P539" s="89"/>
      <c r="Q539" s="89"/>
      <c r="R539" s="89"/>
      <c r="S539" s="89"/>
      <c r="T539" s="89"/>
      <c r="U539" s="89"/>
      <c r="V539" s="89"/>
      <c r="W539" s="89"/>
      <c r="X539" s="89"/>
      <c r="Y539" s="89"/>
      <c r="Z539" s="89"/>
      <c r="AA539" s="89"/>
    </row>
    <row r="540" spans="1:27" ht="13.8">
      <c r="A540" s="89"/>
      <c r="B540" s="89"/>
      <c r="C540" s="89"/>
      <c r="D540" s="89"/>
      <c r="E540" s="89"/>
      <c r="F540" s="110"/>
      <c r="G540" s="89"/>
      <c r="H540" s="89"/>
      <c r="I540" s="89"/>
      <c r="J540" s="89"/>
      <c r="K540" s="89"/>
      <c r="L540" s="89"/>
      <c r="M540" s="89"/>
      <c r="N540" s="89"/>
      <c r="O540" s="89"/>
      <c r="P540" s="89"/>
      <c r="Q540" s="89"/>
      <c r="R540" s="89"/>
      <c r="S540" s="89"/>
      <c r="T540" s="89"/>
      <c r="U540" s="89"/>
      <c r="V540" s="89"/>
      <c r="W540" s="89"/>
      <c r="X540" s="89"/>
      <c r="Y540" s="89"/>
      <c r="Z540" s="89"/>
      <c r="AA540" s="89"/>
    </row>
    <row r="541" spans="1:27" ht="13.8">
      <c r="A541" s="89"/>
      <c r="B541" s="89"/>
      <c r="C541" s="89"/>
      <c r="D541" s="89"/>
      <c r="E541" s="89"/>
      <c r="F541" s="110"/>
      <c r="G541" s="89"/>
      <c r="H541" s="89"/>
      <c r="I541" s="89"/>
      <c r="J541" s="89"/>
      <c r="K541" s="89"/>
      <c r="L541" s="89"/>
      <c r="M541" s="89"/>
      <c r="N541" s="89"/>
      <c r="O541" s="89"/>
      <c r="P541" s="89"/>
      <c r="Q541" s="89"/>
      <c r="R541" s="89"/>
      <c r="S541" s="89"/>
      <c r="T541" s="89"/>
      <c r="U541" s="89"/>
      <c r="V541" s="89"/>
      <c r="W541" s="89"/>
      <c r="X541" s="89"/>
      <c r="Y541" s="89"/>
      <c r="Z541" s="89"/>
      <c r="AA541" s="89"/>
    </row>
    <row r="542" spans="1:27" ht="13.8">
      <c r="A542" s="89"/>
      <c r="B542" s="89"/>
      <c r="C542" s="89"/>
      <c r="D542" s="89"/>
      <c r="E542" s="89"/>
      <c r="F542" s="110"/>
      <c r="G542" s="89"/>
      <c r="H542" s="89"/>
      <c r="I542" s="89"/>
      <c r="J542" s="89"/>
      <c r="K542" s="89"/>
      <c r="L542" s="89"/>
      <c r="M542" s="89"/>
      <c r="N542" s="89"/>
      <c r="O542" s="89"/>
      <c r="P542" s="89"/>
      <c r="Q542" s="89"/>
      <c r="R542" s="89"/>
      <c r="S542" s="89"/>
      <c r="T542" s="89"/>
      <c r="U542" s="89"/>
      <c r="V542" s="89"/>
      <c r="W542" s="89"/>
      <c r="X542" s="89"/>
      <c r="Y542" s="89"/>
      <c r="Z542" s="89"/>
      <c r="AA542" s="89"/>
    </row>
    <row r="543" spans="1:27" ht="13.8">
      <c r="A543" s="89"/>
      <c r="B543" s="89"/>
      <c r="C543" s="89"/>
      <c r="D543" s="89"/>
      <c r="E543" s="89"/>
      <c r="F543" s="110"/>
      <c r="G543" s="89"/>
      <c r="H543" s="89"/>
      <c r="I543" s="89"/>
      <c r="J543" s="89"/>
      <c r="K543" s="89"/>
      <c r="L543" s="89"/>
      <c r="M543" s="89"/>
      <c r="N543" s="89"/>
      <c r="O543" s="89"/>
      <c r="P543" s="89"/>
      <c r="Q543" s="89"/>
      <c r="R543" s="89"/>
      <c r="S543" s="89"/>
      <c r="T543" s="89"/>
      <c r="U543" s="89"/>
      <c r="V543" s="89"/>
      <c r="W543" s="89"/>
      <c r="X543" s="89"/>
      <c r="Y543" s="89"/>
      <c r="Z543" s="89"/>
      <c r="AA543" s="89"/>
    </row>
    <row r="544" spans="1:27" ht="13.8">
      <c r="A544" s="89"/>
      <c r="B544" s="89"/>
      <c r="C544" s="89"/>
      <c r="D544" s="89"/>
      <c r="E544" s="89"/>
      <c r="F544" s="110"/>
      <c r="G544" s="89"/>
      <c r="H544" s="89"/>
      <c r="I544" s="89"/>
      <c r="J544" s="89"/>
      <c r="K544" s="89"/>
      <c r="L544" s="89"/>
      <c r="M544" s="89"/>
      <c r="N544" s="89"/>
      <c r="O544" s="89"/>
      <c r="P544" s="89"/>
      <c r="Q544" s="89"/>
      <c r="R544" s="89"/>
      <c r="S544" s="89"/>
      <c r="T544" s="89"/>
      <c r="U544" s="89"/>
      <c r="V544" s="89"/>
      <c r="W544" s="89"/>
      <c r="X544" s="89"/>
      <c r="Y544" s="89"/>
      <c r="Z544" s="89"/>
      <c r="AA544" s="89"/>
    </row>
    <row r="545" spans="1:27" ht="13.8">
      <c r="A545" s="89"/>
      <c r="B545" s="89"/>
      <c r="C545" s="89"/>
      <c r="D545" s="89"/>
      <c r="E545" s="89"/>
      <c r="F545" s="110"/>
      <c r="G545" s="89"/>
      <c r="H545" s="89"/>
      <c r="I545" s="89"/>
      <c r="J545" s="89"/>
      <c r="K545" s="89"/>
      <c r="L545" s="89"/>
      <c r="M545" s="89"/>
      <c r="N545" s="89"/>
      <c r="O545" s="89"/>
      <c r="P545" s="89"/>
      <c r="Q545" s="89"/>
      <c r="R545" s="89"/>
      <c r="S545" s="89"/>
      <c r="T545" s="89"/>
      <c r="U545" s="89"/>
      <c r="V545" s="89"/>
      <c r="W545" s="89"/>
      <c r="X545" s="89"/>
      <c r="Y545" s="89"/>
      <c r="Z545" s="89"/>
      <c r="AA545" s="89"/>
    </row>
    <row r="546" spans="1:27" ht="13.8">
      <c r="A546" s="89"/>
      <c r="B546" s="89"/>
      <c r="C546" s="89"/>
      <c r="D546" s="89"/>
      <c r="E546" s="89"/>
      <c r="F546" s="110"/>
      <c r="G546" s="89"/>
      <c r="H546" s="89"/>
      <c r="I546" s="89"/>
      <c r="J546" s="89"/>
      <c r="K546" s="89"/>
      <c r="L546" s="89"/>
      <c r="M546" s="89"/>
      <c r="N546" s="89"/>
      <c r="O546" s="89"/>
      <c r="P546" s="89"/>
      <c r="Q546" s="89"/>
      <c r="R546" s="89"/>
      <c r="S546" s="89"/>
      <c r="T546" s="89"/>
      <c r="U546" s="89"/>
      <c r="V546" s="89"/>
      <c r="W546" s="89"/>
      <c r="X546" s="89"/>
      <c r="Y546" s="89"/>
      <c r="Z546" s="89"/>
      <c r="AA546" s="89"/>
    </row>
    <row r="547" spans="1:27" ht="13.8">
      <c r="A547" s="89"/>
      <c r="B547" s="89"/>
      <c r="C547" s="89"/>
      <c r="D547" s="89"/>
      <c r="E547" s="89"/>
      <c r="F547" s="110"/>
      <c r="G547" s="89"/>
      <c r="H547" s="89"/>
      <c r="I547" s="89"/>
      <c r="J547" s="89"/>
      <c r="K547" s="89"/>
      <c r="L547" s="89"/>
      <c r="M547" s="89"/>
      <c r="N547" s="89"/>
      <c r="O547" s="89"/>
      <c r="P547" s="89"/>
      <c r="Q547" s="89"/>
      <c r="R547" s="89"/>
      <c r="S547" s="89"/>
      <c r="T547" s="89"/>
      <c r="U547" s="89"/>
      <c r="V547" s="89"/>
      <c r="W547" s="89"/>
      <c r="X547" s="89"/>
      <c r="Y547" s="89"/>
      <c r="Z547" s="89"/>
      <c r="AA547" s="89"/>
    </row>
    <row r="548" spans="1:27" ht="13.8">
      <c r="A548" s="89"/>
      <c r="B548" s="89"/>
      <c r="C548" s="89"/>
      <c r="D548" s="89"/>
      <c r="E548" s="89"/>
      <c r="F548" s="110"/>
      <c r="G548" s="89"/>
      <c r="H548" s="89"/>
      <c r="I548" s="89"/>
      <c r="J548" s="89"/>
      <c r="K548" s="89"/>
      <c r="L548" s="89"/>
      <c r="M548" s="89"/>
      <c r="N548" s="89"/>
      <c r="O548" s="89"/>
      <c r="P548" s="89"/>
      <c r="Q548" s="89"/>
      <c r="R548" s="89"/>
      <c r="S548" s="89"/>
      <c r="T548" s="89"/>
      <c r="U548" s="89"/>
      <c r="V548" s="89"/>
      <c r="W548" s="89"/>
      <c r="X548" s="89"/>
      <c r="Y548" s="89"/>
      <c r="Z548" s="89"/>
      <c r="AA548" s="89"/>
    </row>
    <row r="549" spans="1:27" ht="13.8">
      <c r="A549" s="89"/>
      <c r="B549" s="89"/>
      <c r="C549" s="89"/>
      <c r="D549" s="89"/>
      <c r="E549" s="89"/>
      <c r="F549" s="110"/>
      <c r="G549" s="89"/>
      <c r="H549" s="89"/>
      <c r="I549" s="89"/>
      <c r="J549" s="89"/>
      <c r="K549" s="89"/>
      <c r="L549" s="89"/>
      <c r="M549" s="89"/>
      <c r="N549" s="89"/>
      <c r="O549" s="89"/>
      <c r="P549" s="89"/>
      <c r="Q549" s="89"/>
      <c r="R549" s="89"/>
      <c r="S549" s="89"/>
      <c r="T549" s="89"/>
      <c r="U549" s="89"/>
      <c r="V549" s="89"/>
      <c r="W549" s="89"/>
      <c r="X549" s="89"/>
      <c r="Y549" s="89"/>
      <c r="Z549" s="89"/>
      <c r="AA549" s="89"/>
    </row>
    <row r="550" spans="1:27" ht="13.8">
      <c r="A550" s="89"/>
      <c r="B550" s="89"/>
      <c r="C550" s="89"/>
      <c r="D550" s="89"/>
      <c r="E550" s="89"/>
      <c r="F550" s="110"/>
      <c r="G550" s="89"/>
      <c r="H550" s="89"/>
      <c r="I550" s="89"/>
      <c r="J550" s="89"/>
      <c r="K550" s="89"/>
      <c r="L550" s="89"/>
      <c r="M550" s="89"/>
      <c r="N550" s="89"/>
      <c r="O550" s="89"/>
      <c r="P550" s="89"/>
      <c r="Q550" s="89"/>
      <c r="R550" s="89"/>
      <c r="S550" s="89"/>
      <c r="T550" s="89"/>
      <c r="U550" s="89"/>
      <c r="V550" s="89"/>
      <c r="W550" s="89"/>
      <c r="X550" s="89"/>
      <c r="Y550" s="89"/>
      <c r="Z550" s="89"/>
      <c r="AA550" s="89"/>
    </row>
    <row r="551" spans="1:27" ht="13.8">
      <c r="A551" s="89"/>
      <c r="B551" s="89"/>
      <c r="C551" s="89"/>
      <c r="D551" s="89"/>
      <c r="E551" s="89"/>
      <c r="F551" s="110"/>
      <c r="G551" s="89"/>
      <c r="H551" s="89"/>
      <c r="I551" s="89"/>
      <c r="J551" s="89"/>
      <c r="K551" s="89"/>
      <c r="L551" s="89"/>
      <c r="M551" s="89"/>
      <c r="N551" s="89"/>
      <c r="O551" s="89"/>
      <c r="P551" s="89"/>
      <c r="Q551" s="89"/>
      <c r="R551" s="89"/>
      <c r="S551" s="89"/>
      <c r="T551" s="89"/>
      <c r="U551" s="89"/>
      <c r="V551" s="89"/>
      <c r="W551" s="89"/>
      <c r="X551" s="89"/>
      <c r="Y551" s="89"/>
      <c r="Z551" s="89"/>
      <c r="AA551" s="89"/>
    </row>
    <row r="552" spans="1:27" ht="13.8">
      <c r="A552" s="89"/>
      <c r="B552" s="89"/>
      <c r="C552" s="89"/>
      <c r="D552" s="89"/>
      <c r="E552" s="89"/>
      <c r="F552" s="110"/>
      <c r="G552" s="89"/>
      <c r="H552" s="89"/>
      <c r="I552" s="89"/>
      <c r="J552" s="89"/>
      <c r="K552" s="89"/>
      <c r="L552" s="89"/>
      <c r="M552" s="89"/>
      <c r="N552" s="89"/>
      <c r="O552" s="89"/>
      <c r="P552" s="89"/>
      <c r="Q552" s="89"/>
      <c r="R552" s="89"/>
      <c r="S552" s="89"/>
      <c r="T552" s="89"/>
      <c r="U552" s="89"/>
      <c r="V552" s="89"/>
      <c r="W552" s="89"/>
      <c r="X552" s="89"/>
      <c r="Y552" s="89"/>
      <c r="Z552" s="89"/>
      <c r="AA552" s="89"/>
    </row>
    <row r="553" spans="1:27" ht="13.8">
      <c r="A553" s="89"/>
      <c r="B553" s="89"/>
      <c r="C553" s="89"/>
      <c r="D553" s="89"/>
      <c r="E553" s="89"/>
      <c r="F553" s="110"/>
      <c r="G553" s="89"/>
      <c r="H553" s="89"/>
      <c r="I553" s="89"/>
      <c r="J553" s="89"/>
      <c r="K553" s="89"/>
      <c r="L553" s="89"/>
      <c r="M553" s="89"/>
      <c r="N553" s="89"/>
      <c r="O553" s="89"/>
      <c r="P553" s="89"/>
      <c r="Q553" s="89"/>
      <c r="R553" s="89"/>
      <c r="S553" s="89"/>
      <c r="T553" s="89"/>
      <c r="U553" s="89"/>
      <c r="V553" s="89"/>
      <c r="W553" s="89"/>
      <c r="X553" s="89"/>
      <c r="Y553" s="89"/>
      <c r="Z553" s="89"/>
      <c r="AA553" s="89"/>
    </row>
    <row r="554" spans="1:27" ht="13.8">
      <c r="A554" s="89"/>
      <c r="B554" s="89"/>
      <c r="C554" s="89"/>
      <c r="D554" s="89"/>
      <c r="E554" s="89"/>
      <c r="F554" s="110"/>
      <c r="G554" s="89"/>
      <c r="H554" s="89"/>
      <c r="I554" s="89"/>
      <c r="J554" s="89"/>
      <c r="K554" s="89"/>
      <c r="L554" s="89"/>
      <c r="M554" s="89"/>
      <c r="N554" s="89"/>
      <c r="O554" s="89"/>
      <c r="P554" s="89"/>
      <c r="Q554" s="89"/>
      <c r="R554" s="89"/>
      <c r="S554" s="89"/>
      <c r="T554" s="89"/>
      <c r="U554" s="89"/>
      <c r="V554" s="89"/>
      <c r="W554" s="89"/>
      <c r="X554" s="89"/>
      <c r="Y554" s="89"/>
      <c r="Z554" s="89"/>
      <c r="AA554" s="89"/>
    </row>
    <row r="555" spans="1:27" ht="13.8">
      <c r="A555" s="89"/>
      <c r="B555" s="89"/>
      <c r="C555" s="89"/>
      <c r="D555" s="89"/>
      <c r="E555" s="89"/>
      <c r="F555" s="110"/>
      <c r="G555" s="89"/>
      <c r="H555" s="89"/>
      <c r="I555" s="89"/>
      <c r="J555" s="89"/>
      <c r="K555" s="89"/>
      <c r="L555" s="89"/>
      <c r="M555" s="89"/>
      <c r="N555" s="89"/>
      <c r="O555" s="89"/>
      <c r="P555" s="89"/>
      <c r="Q555" s="89"/>
      <c r="R555" s="89"/>
      <c r="S555" s="89"/>
      <c r="T555" s="89"/>
      <c r="U555" s="89"/>
      <c r="V555" s="89"/>
      <c r="W555" s="89"/>
      <c r="X555" s="89"/>
      <c r="Y555" s="89"/>
      <c r="Z555" s="89"/>
      <c r="AA555" s="89"/>
    </row>
    <row r="556" spans="1:27" ht="13.8">
      <c r="A556" s="89"/>
      <c r="B556" s="89"/>
      <c r="C556" s="89"/>
      <c r="D556" s="89"/>
      <c r="E556" s="89"/>
      <c r="F556" s="110"/>
      <c r="G556" s="89"/>
      <c r="H556" s="89"/>
      <c r="I556" s="89"/>
      <c r="J556" s="89"/>
      <c r="K556" s="89"/>
      <c r="L556" s="89"/>
      <c r="M556" s="89"/>
      <c r="N556" s="89"/>
      <c r="O556" s="89"/>
      <c r="P556" s="89"/>
      <c r="Q556" s="89"/>
      <c r="R556" s="89"/>
      <c r="S556" s="89"/>
      <c r="T556" s="89"/>
      <c r="U556" s="89"/>
      <c r="V556" s="89"/>
      <c r="W556" s="89"/>
      <c r="X556" s="89"/>
      <c r="Y556" s="89"/>
      <c r="Z556" s="89"/>
      <c r="AA556" s="89"/>
    </row>
    <row r="557" spans="1:27" ht="13.8">
      <c r="A557" s="89"/>
      <c r="B557" s="89"/>
      <c r="C557" s="89"/>
      <c r="D557" s="89"/>
      <c r="E557" s="89"/>
      <c r="F557" s="110"/>
      <c r="G557" s="89"/>
      <c r="H557" s="89"/>
      <c r="I557" s="89"/>
      <c r="J557" s="89"/>
      <c r="K557" s="89"/>
      <c r="L557" s="89"/>
      <c r="M557" s="89"/>
      <c r="N557" s="89"/>
      <c r="O557" s="89"/>
      <c r="P557" s="89"/>
      <c r="Q557" s="89"/>
      <c r="R557" s="89"/>
      <c r="S557" s="89"/>
      <c r="T557" s="89"/>
      <c r="U557" s="89"/>
      <c r="V557" s="89"/>
      <c r="W557" s="89"/>
      <c r="X557" s="89"/>
      <c r="Y557" s="89"/>
      <c r="Z557" s="89"/>
      <c r="AA557" s="89"/>
    </row>
    <row r="558" spans="1:27" ht="13.8">
      <c r="A558" s="89"/>
      <c r="B558" s="89"/>
      <c r="C558" s="89"/>
      <c r="D558" s="89"/>
      <c r="E558" s="89"/>
      <c r="F558" s="110"/>
      <c r="G558" s="89"/>
      <c r="H558" s="89"/>
      <c r="I558" s="89"/>
      <c r="J558" s="89"/>
      <c r="K558" s="89"/>
      <c r="L558" s="89"/>
      <c r="M558" s="89"/>
      <c r="N558" s="89"/>
      <c r="O558" s="89"/>
      <c r="P558" s="89"/>
      <c r="Q558" s="89"/>
      <c r="R558" s="89"/>
      <c r="S558" s="89"/>
      <c r="T558" s="89"/>
      <c r="U558" s="89"/>
      <c r="V558" s="89"/>
      <c r="W558" s="89"/>
      <c r="X558" s="89"/>
      <c r="Y558" s="89"/>
      <c r="Z558" s="89"/>
      <c r="AA558" s="89"/>
    </row>
    <row r="559" spans="1:27" ht="13.8">
      <c r="A559" s="89"/>
      <c r="B559" s="89"/>
      <c r="C559" s="89"/>
      <c r="D559" s="89"/>
      <c r="E559" s="89"/>
      <c r="F559" s="110"/>
      <c r="G559" s="89"/>
      <c r="H559" s="89"/>
      <c r="I559" s="89"/>
      <c r="J559" s="89"/>
      <c r="K559" s="89"/>
      <c r="L559" s="89"/>
      <c r="M559" s="89"/>
      <c r="N559" s="89"/>
      <c r="O559" s="89"/>
      <c r="P559" s="89"/>
      <c r="Q559" s="89"/>
      <c r="R559" s="89"/>
      <c r="S559" s="89"/>
      <c r="T559" s="89"/>
      <c r="U559" s="89"/>
      <c r="V559" s="89"/>
      <c r="W559" s="89"/>
      <c r="X559" s="89"/>
      <c r="Y559" s="89"/>
      <c r="Z559" s="89"/>
      <c r="AA559" s="89"/>
    </row>
    <row r="560" spans="1:27" ht="13.8">
      <c r="A560" s="89"/>
      <c r="B560" s="89"/>
      <c r="C560" s="89"/>
      <c r="D560" s="89"/>
      <c r="E560" s="89"/>
      <c r="F560" s="110"/>
      <c r="G560" s="89"/>
      <c r="H560" s="89"/>
      <c r="I560" s="89"/>
      <c r="J560" s="89"/>
      <c r="K560" s="89"/>
      <c r="L560" s="89"/>
      <c r="M560" s="89"/>
      <c r="N560" s="89"/>
      <c r="O560" s="89"/>
      <c r="P560" s="89"/>
      <c r="Q560" s="89"/>
      <c r="R560" s="89"/>
      <c r="S560" s="89"/>
      <c r="T560" s="89"/>
      <c r="U560" s="89"/>
      <c r="V560" s="89"/>
      <c r="W560" s="89"/>
      <c r="X560" s="89"/>
      <c r="Y560" s="89"/>
      <c r="Z560" s="89"/>
      <c r="AA560" s="89"/>
    </row>
    <row r="561" spans="1:27" ht="13.8">
      <c r="A561" s="89"/>
      <c r="B561" s="89"/>
      <c r="C561" s="89"/>
      <c r="D561" s="89"/>
      <c r="E561" s="89"/>
      <c r="F561" s="110"/>
      <c r="G561" s="89"/>
      <c r="H561" s="89"/>
      <c r="I561" s="89"/>
      <c r="J561" s="89"/>
      <c r="K561" s="89"/>
      <c r="L561" s="89"/>
      <c r="M561" s="89"/>
      <c r="N561" s="89"/>
      <c r="O561" s="89"/>
      <c r="P561" s="89"/>
      <c r="Q561" s="89"/>
      <c r="R561" s="89"/>
      <c r="S561" s="89"/>
      <c r="T561" s="89"/>
      <c r="U561" s="89"/>
      <c r="V561" s="89"/>
      <c r="W561" s="89"/>
      <c r="X561" s="89"/>
      <c r="Y561" s="89"/>
      <c r="Z561" s="89"/>
      <c r="AA561" s="89"/>
    </row>
    <row r="562" spans="1:27" ht="13.8">
      <c r="A562" s="89"/>
      <c r="B562" s="89"/>
      <c r="C562" s="89"/>
      <c r="D562" s="89"/>
      <c r="E562" s="89"/>
      <c r="F562" s="110"/>
      <c r="G562" s="89"/>
      <c r="H562" s="89"/>
      <c r="I562" s="89"/>
      <c r="J562" s="89"/>
      <c r="K562" s="89"/>
      <c r="L562" s="89"/>
      <c r="M562" s="89"/>
      <c r="N562" s="89"/>
      <c r="O562" s="89"/>
      <c r="P562" s="89"/>
      <c r="Q562" s="89"/>
      <c r="R562" s="89"/>
      <c r="S562" s="89"/>
      <c r="T562" s="89"/>
      <c r="U562" s="89"/>
      <c r="V562" s="89"/>
      <c r="W562" s="89"/>
      <c r="X562" s="89"/>
      <c r="Y562" s="89"/>
      <c r="Z562" s="89"/>
      <c r="AA562" s="89"/>
    </row>
    <row r="563" spans="1:27" ht="13.8">
      <c r="A563" s="89"/>
      <c r="B563" s="89"/>
      <c r="C563" s="89"/>
      <c r="D563" s="89"/>
      <c r="E563" s="89"/>
      <c r="F563" s="110"/>
      <c r="G563" s="89"/>
      <c r="H563" s="89"/>
      <c r="I563" s="89"/>
      <c r="J563" s="89"/>
      <c r="K563" s="89"/>
      <c r="L563" s="89"/>
      <c r="M563" s="89"/>
      <c r="N563" s="89"/>
      <c r="O563" s="89"/>
      <c r="P563" s="89"/>
      <c r="Q563" s="89"/>
      <c r="R563" s="89"/>
      <c r="S563" s="89"/>
      <c r="T563" s="89"/>
      <c r="U563" s="89"/>
      <c r="V563" s="89"/>
      <c r="W563" s="89"/>
      <c r="X563" s="89"/>
      <c r="Y563" s="89"/>
      <c r="Z563" s="89"/>
      <c r="AA563" s="89"/>
    </row>
    <row r="564" spans="1:27" ht="13.8">
      <c r="A564" s="89"/>
      <c r="B564" s="89"/>
      <c r="C564" s="89"/>
      <c r="D564" s="89"/>
      <c r="E564" s="89"/>
      <c r="F564" s="110"/>
      <c r="G564" s="89"/>
      <c r="H564" s="89"/>
      <c r="I564" s="89"/>
      <c r="J564" s="89"/>
      <c r="K564" s="89"/>
      <c r="L564" s="89"/>
      <c r="M564" s="89"/>
      <c r="N564" s="89"/>
      <c r="O564" s="89"/>
      <c r="P564" s="89"/>
      <c r="Q564" s="89"/>
      <c r="R564" s="89"/>
      <c r="S564" s="89"/>
      <c r="T564" s="89"/>
      <c r="U564" s="89"/>
      <c r="V564" s="89"/>
      <c r="W564" s="89"/>
      <c r="X564" s="89"/>
      <c r="Y564" s="89"/>
      <c r="Z564" s="89"/>
      <c r="AA564" s="89"/>
    </row>
    <row r="565" spans="1:27" ht="13.8">
      <c r="A565" s="89"/>
      <c r="B565" s="89"/>
      <c r="C565" s="89"/>
      <c r="D565" s="89"/>
      <c r="E565" s="89"/>
      <c r="F565" s="110"/>
      <c r="G565" s="89"/>
      <c r="H565" s="89"/>
      <c r="I565" s="89"/>
      <c r="J565" s="89"/>
      <c r="K565" s="89"/>
      <c r="L565" s="89"/>
      <c r="M565" s="89"/>
      <c r="N565" s="89"/>
      <c r="O565" s="89"/>
      <c r="P565" s="89"/>
      <c r="Q565" s="89"/>
      <c r="R565" s="89"/>
      <c r="S565" s="89"/>
      <c r="T565" s="89"/>
      <c r="U565" s="89"/>
      <c r="V565" s="89"/>
      <c r="W565" s="89"/>
      <c r="X565" s="89"/>
      <c r="Y565" s="89"/>
      <c r="Z565" s="89"/>
      <c r="AA565" s="89"/>
    </row>
    <row r="566" spans="1:27" ht="13.8">
      <c r="A566" s="89"/>
      <c r="B566" s="89"/>
      <c r="C566" s="89"/>
      <c r="D566" s="89"/>
      <c r="E566" s="89"/>
      <c r="F566" s="110"/>
      <c r="G566" s="89"/>
      <c r="H566" s="89"/>
      <c r="I566" s="89"/>
      <c r="J566" s="89"/>
      <c r="K566" s="89"/>
      <c r="L566" s="89"/>
      <c r="M566" s="89"/>
      <c r="N566" s="89"/>
      <c r="O566" s="89"/>
      <c r="P566" s="89"/>
      <c r="Q566" s="89"/>
      <c r="R566" s="89"/>
      <c r="S566" s="89"/>
      <c r="T566" s="89"/>
      <c r="U566" s="89"/>
      <c r="V566" s="89"/>
      <c r="W566" s="89"/>
      <c r="X566" s="89"/>
      <c r="Y566" s="89"/>
      <c r="Z566" s="89"/>
      <c r="AA566" s="89"/>
    </row>
    <row r="567" spans="1:27" ht="13.8">
      <c r="A567" s="89"/>
      <c r="B567" s="89"/>
      <c r="C567" s="89"/>
      <c r="D567" s="89"/>
      <c r="E567" s="89"/>
      <c r="F567" s="110"/>
      <c r="G567" s="89"/>
      <c r="H567" s="89"/>
      <c r="I567" s="89"/>
      <c r="J567" s="89"/>
      <c r="K567" s="89"/>
      <c r="L567" s="89"/>
      <c r="M567" s="89"/>
      <c r="N567" s="89"/>
      <c r="O567" s="89"/>
      <c r="P567" s="89"/>
      <c r="Q567" s="89"/>
      <c r="R567" s="89"/>
      <c r="S567" s="89"/>
      <c r="T567" s="89"/>
      <c r="U567" s="89"/>
      <c r="V567" s="89"/>
      <c r="W567" s="89"/>
      <c r="X567" s="89"/>
      <c r="Y567" s="89"/>
      <c r="Z567" s="89"/>
      <c r="AA567" s="89"/>
    </row>
    <row r="568" spans="1:27" ht="13.8">
      <c r="A568" s="89"/>
      <c r="B568" s="89"/>
      <c r="C568" s="89"/>
      <c r="D568" s="89"/>
      <c r="E568" s="89"/>
      <c r="F568" s="110"/>
      <c r="G568" s="89"/>
      <c r="H568" s="89"/>
      <c r="I568" s="89"/>
      <c r="J568" s="89"/>
      <c r="K568" s="89"/>
      <c r="L568" s="89"/>
      <c r="M568" s="89"/>
      <c r="N568" s="89"/>
      <c r="O568" s="89"/>
      <c r="P568" s="89"/>
      <c r="Q568" s="89"/>
      <c r="R568" s="89"/>
      <c r="S568" s="89"/>
      <c r="T568" s="89"/>
      <c r="U568" s="89"/>
      <c r="V568" s="89"/>
      <c r="W568" s="89"/>
      <c r="X568" s="89"/>
      <c r="Y568" s="89"/>
      <c r="Z568" s="89"/>
      <c r="AA568" s="89"/>
    </row>
    <row r="569" spans="1:27" ht="13.8">
      <c r="A569" s="89"/>
      <c r="B569" s="89"/>
      <c r="C569" s="89"/>
      <c r="D569" s="89"/>
      <c r="E569" s="89"/>
      <c r="F569" s="110"/>
      <c r="G569" s="89"/>
      <c r="H569" s="89"/>
      <c r="I569" s="89"/>
      <c r="J569" s="89"/>
      <c r="K569" s="89"/>
      <c r="L569" s="89"/>
      <c r="M569" s="89"/>
      <c r="N569" s="89"/>
      <c r="O569" s="89"/>
      <c r="P569" s="89"/>
      <c r="Q569" s="89"/>
      <c r="R569" s="89"/>
      <c r="S569" s="89"/>
      <c r="T569" s="89"/>
      <c r="U569" s="89"/>
      <c r="V569" s="89"/>
      <c r="W569" s="89"/>
      <c r="X569" s="89"/>
      <c r="Y569" s="89"/>
      <c r="Z569" s="89"/>
      <c r="AA569" s="89"/>
    </row>
    <row r="570" spans="1:27" ht="13.8">
      <c r="A570" s="89"/>
      <c r="B570" s="89"/>
      <c r="C570" s="89"/>
      <c r="D570" s="89"/>
      <c r="E570" s="89"/>
      <c r="F570" s="110"/>
      <c r="G570" s="89"/>
      <c r="H570" s="89"/>
      <c r="I570" s="89"/>
      <c r="J570" s="89"/>
      <c r="K570" s="89"/>
      <c r="L570" s="89"/>
      <c r="M570" s="89"/>
      <c r="N570" s="89"/>
      <c r="O570" s="89"/>
      <c r="P570" s="89"/>
      <c r="Q570" s="89"/>
      <c r="R570" s="89"/>
      <c r="S570" s="89"/>
      <c r="T570" s="89"/>
      <c r="U570" s="89"/>
      <c r="V570" s="89"/>
      <c r="W570" s="89"/>
      <c r="X570" s="89"/>
      <c r="Y570" s="89"/>
      <c r="Z570" s="89"/>
      <c r="AA570" s="89"/>
    </row>
    <row r="571" spans="1:27" ht="13.8">
      <c r="A571" s="89"/>
      <c r="B571" s="89"/>
      <c r="C571" s="89"/>
      <c r="D571" s="89"/>
      <c r="E571" s="89"/>
      <c r="F571" s="110"/>
      <c r="G571" s="89"/>
      <c r="H571" s="89"/>
      <c r="I571" s="89"/>
      <c r="J571" s="89"/>
      <c r="K571" s="89"/>
      <c r="L571" s="89"/>
      <c r="M571" s="89"/>
      <c r="N571" s="89"/>
      <c r="O571" s="89"/>
      <c r="P571" s="89"/>
      <c r="Q571" s="89"/>
      <c r="R571" s="89"/>
      <c r="S571" s="89"/>
      <c r="T571" s="89"/>
      <c r="U571" s="89"/>
      <c r="V571" s="89"/>
      <c r="W571" s="89"/>
      <c r="X571" s="89"/>
      <c r="Y571" s="89"/>
      <c r="Z571" s="89"/>
      <c r="AA571" s="89"/>
    </row>
    <row r="572" spans="1:27" ht="13.8">
      <c r="A572" s="89"/>
      <c r="B572" s="89"/>
      <c r="C572" s="89"/>
      <c r="D572" s="89"/>
      <c r="E572" s="89"/>
      <c r="F572" s="110"/>
      <c r="G572" s="89"/>
      <c r="H572" s="89"/>
      <c r="I572" s="89"/>
      <c r="J572" s="89"/>
      <c r="K572" s="89"/>
      <c r="L572" s="89"/>
      <c r="M572" s="89"/>
      <c r="N572" s="89"/>
      <c r="O572" s="89"/>
      <c r="P572" s="89"/>
      <c r="Q572" s="89"/>
      <c r="R572" s="89"/>
      <c r="S572" s="89"/>
      <c r="T572" s="89"/>
      <c r="U572" s="89"/>
      <c r="V572" s="89"/>
      <c r="W572" s="89"/>
      <c r="X572" s="89"/>
      <c r="Y572" s="89"/>
      <c r="Z572" s="89"/>
      <c r="AA572" s="89"/>
    </row>
    <row r="573" spans="1:27" ht="13.8">
      <c r="A573" s="89"/>
      <c r="B573" s="89"/>
      <c r="C573" s="89"/>
      <c r="D573" s="89"/>
      <c r="E573" s="89"/>
      <c r="F573" s="110"/>
      <c r="G573" s="89"/>
      <c r="H573" s="89"/>
      <c r="I573" s="89"/>
      <c r="J573" s="89"/>
      <c r="K573" s="89"/>
      <c r="L573" s="89"/>
      <c r="M573" s="89"/>
      <c r="N573" s="89"/>
      <c r="O573" s="89"/>
      <c r="P573" s="89"/>
      <c r="Q573" s="89"/>
      <c r="R573" s="89"/>
      <c r="S573" s="89"/>
      <c r="T573" s="89"/>
      <c r="U573" s="89"/>
      <c r="V573" s="89"/>
      <c r="W573" s="89"/>
      <c r="X573" s="89"/>
      <c r="Y573" s="89"/>
      <c r="Z573" s="89"/>
      <c r="AA573" s="89"/>
    </row>
    <row r="574" spans="1:27" ht="13.8">
      <c r="A574" s="89"/>
      <c r="B574" s="89"/>
      <c r="C574" s="89"/>
      <c r="D574" s="89"/>
      <c r="E574" s="89"/>
      <c r="F574" s="110"/>
      <c r="G574" s="89"/>
      <c r="H574" s="89"/>
      <c r="I574" s="89"/>
      <c r="J574" s="89"/>
      <c r="K574" s="89"/>
      <c r="L574" s="89"/>
      <c r="M574" s="89"/>
      <c r="N574" s="89"/>
      <c r="O574" s="89"/>
      <c r="P574" s="89"/>
      <c r="Q574" s="89"/>
      <c r="R574" s="89"/>
      <c r="S574" s="89"/>
      <c r="T574" s="89"/>
      <c r="U574" s="89"/>
      <c r="V574" s="89"/>
      <c r="W574" s="89"/>
      <c r="X574" s="89"/>
      <c r="Y574" s="89"/>
      <c r="Z574" s="89"/>
      <c r="AA574" s="89"/>
    </row>
    <row r="575" spans="1:27" ht="13.8">
      <c r="A575" s="89"/>
      <c r="B575" s="89"/>
      <c r="C575" s="89"/>
      <c r="D575" s="89"/>
      <c r="E575" s="89"/>
      <c r="F575" s="110"/>
      <c r="G575" s="89"/>
      <c r="H575" s="89"/>
      <c r="I575" s="89"/>
      <c r="J575" s="89"/>
      <c r="K575" s="89"/>
      <c r="L575" s="89"/>
      <c r="M575" s="89"/>
      <c r="N575" s="89"/>
      <c r="O575" s="89"/>
      <c r="P575" s="89"/>
      <c r="Q575" s="89"/>
      <c r="R575" s="89"/>
      <c r="S575" s="89"/>
      <c r="T575" s="89"/>
      <c r="U575" s="89"/>
      <c r="V575" s="89"/>
      <c r="W575" s="89"/>
      <c r="X575" s="89"/>
      <c r="Y575" s="89"/>
      <c r="Z575" s="89"/>
      <c r="AA575" s="89"/>
    </row>
    <row r="576" spans="1:27" ht="13.8">
      <c r="A576" s="89"/>
      <c r="B576" s="89"/>
      <c r="C576" s="89"/>
      <c r="D576" s="89"/>
      <c r="E576" s="89"/>
      <c r="F576" s="110"/>
      <c r="G576" s="89"/>
      <c r="H576" s="89"/>
      <c r="I576" s="89"/>
      <c r="J576" s="89"/>
      <c r="K576" s="89"/>
      <c r="L576" s="89"/>
      <c r="M576" s="89"/>
      <c r="N576" s="89"/>
      <c r="O576" s="89"/>
      <c r="P576" s="89"/>
      <c r="Q576" s="89"/>
      <c r="R576" s="89"/>
      <c r="S576" s="89"/>
      <c r="T576" s="89"/>
      <c r="U576" s="89"/>
      <c r="V576" s="89"/>
      <c r="W576" s="89"/>
      <c r="X576" s="89"/>
      <c r="Y576" s="89"/>
      <c r="Z576" s="89"/>
      <c r="AA576" s="89"/>
    </row>
    <row r="577" spans="1:27" ht="13.8">
      <c r="A577" s="89"/>
      <c r="B577" s="89"/>
      <c r="C577" s="89"/>
      <c r="D577" s="89"/>
      <c r="E577" s="89"/>
      <c r="F577" s="110"/>
      <c r="G577" s="89"/>
      <c r="H577" s="89"/>
      <c r="I577" s="89"/>
      <c r="J577" s="89"/>
      <c r="K577" s="89"/>
      <c r="L577" s="89"/>
      <c r="M577" s="89"/>
      <c r="N577" s="89"/>
      <c r="O577" s="89"/>
      <c r="P577" s="89"/>
      <c r="Q577" s="89"/>
      <c r="R577" s="89"/>
      <c r="S577" s="89"/>
      <c r="T577" s="89"/>
      <c r="U577" s="89"/>
      <c r="V577" s="89"/>
      <c r="W577" s="89"/>
      <c r="X577" s="89"/>
      <c r="Y577" s="89"/>
      <c r="Z577" s="89"/>
      <c r="AA577" s="89"/>
    </row>
    <row r="578" spans="1:27" ht="13.8">
      <c r="A578" s="89"/>
      <c r="B578" s="89"/>
      <c r="C578" s="89"/>
      <c r="D578" s="89"/>
      <c r="E578" s="89"/>
      <c r="F578" s="110"/>
      <c r="G578" s="89"/>
      <c r="H578" s="89"/>
      <c r="I578" s="89"/>
      <c r="J578" s="89"/>
      <c r="K578" s="89"/>
      <c r="L578" s="89"/>
      <c r="M578" s="89"/>
      <c r="N578" s="89"/>
      <c r="O578" s="89"/>
      <c r="P578" s="89"/>
      <c r="Q578" s="89"/>
      <c r="R578" s="89"/>
      <c r="S578" s="89"/>
      <c r="T578" s="89"/>
      <c r="U578" s="89"/>
      <c r="V578" s="89"/>
      <c r="W578" s="89"/>
      <c r="X578" s="89"/>
      <c r="Y578" s="89"/>
      <c r="Z578" s="89"/>
      <c r="AA578" s="89"/>
    </row>
    <row r="579" spans="1:27" ht="13.8">
      <c r="A579" s="89"/>
      <c r="B579" s="89"/>
      <c r="C579" s="89"/>
      <c r="D579" s="89"/>
      <c r="E579" s="89"/>
      <c r="F579" s="110"/>
      <c r="G579" s="89"/>
      <c r="H579" s="89"/>
      <c r="I579" s="89"/>
      <c r="J579" s="89"/>
      <c r="K579" s="89"/>
      <c r="L579" s="89"/>
      <c r="M579" s="89"/>
      <c r="N579" s="89"/>
      <c r="O579" s="89"/>
      <c r="P579" s="89"/>
      <c r="Q579" s="89"/>
      <c r="R579" s="89"/>
      <c r="S579" s="89"/>
      <c r="T579" s="89"/>
      <c r="U579" s="89"/>
      <c r="V579" s="89"/>
      <c r="W579" s="89"/>
      <c r="X579" s="89"/>
      <c r="Y579" s="89"/>
      <c r="Z579" s="89"/>
      <c r="AA579" s="89"/>
    </row>
    <row r="580" spans="1:27" ht="13.8">
      <c r="A580" s="89"/>
      <c r="B580" s="89"/>
      <c r="C580" s="89"/>
      <c r="D580" s="89"/>
      <c r="E580" s="89"/>
      <c r="F580" s="110"/>
      <c r="G580" s="89"/>
      <c r="H580" s="89"/>
      <c r="I580" s="89"/>
      <c r="J580" s="89"/>
      <c r="K580" s="89"/>
      <c r="L580" s="89"/>
      <c r="M580" s="89"/>
      <c r="N580" s="89"/>
      <c r="O580" s="89"/>
      <c r="P580" s="89"/>
      <c r="Q580" s="89"/>
      <c r="R580" s="89"/>
      <c r="S580" s="89"/>
      <c r="T580" s="89"/>
      <c r="U580" s="89"/>
      <c r="V580" s="89"/>
      <c r="W580" s="89"/>
      <c r="X580" s="89"/>
      <c r="Y580" s="89"/>
      <c r="Z580" s="89"/>
      <c r="AA580" s="89"/>
    </row>
    <row r="581" spans="1:27" ht="13.8">
      <c r="A581" s="89"/>
      <c r="B581" s="89"/>
      <c r="C581" s="89"/>
      <c r="D581" s="89"/>
      <c r="E581" s="89"/>
      <c r="F581" s="110"/>
      <c r="G581" s="89"/>
      <c r="H581" s="89"/>
      <c r="I581" s="89"/>
      <c r="J581" s="89"/>
      <c r="K581" s="89"/>
      <c r="L581" s="89"/>
      <c r="M581" s="89"/>
      <c r="N581" s="89"/>
      <c r="O581" s="89"/>
      <c r="P581" s="89"/>
      <c r="Q581" s="89"/>
      <c r="R581" s="89"/>
      <c r="S581" s="89"/>
      <c r="T581" s="89"/>
      <c r="U581" s="89"/>
      <c r="V581" s="89"/>
      <c r="W581" s="89"/>
      <c r="X581" s="89"/>
      <c r="Y581" s="89"/>
      <c r="Z581" s="89"/>
      <c r="AA581" s="89"/>
    </row>
    <row r="582" spans="1:27" ht="13.8">
      <c r="A582" s="89"/>
      <c r="B582" s="89"/>
      <c r="C582" s="89"/>
      <c r="D582" s="89"/>
      <c r="E582" s="89"/>
      <c r="F582" s="110"/>
      <c r="G582" s="89"/>
      <c r="H582" s="89"/>
      <c r="I582" s="89"/>
      <c r="J582" s="89"/>
      <c r="K582" s="89"/>
      <c r="L582" s="89"/>
      <c r="M582" s="89"/>
      <c r="N582" s="89"/>
      <c r="O582" s="89"/>
      <c r="P582" s="89"/>
      <c r="Q582" s="89"/>
      <c r="R582" s="89"/>
      <c r="S582" s="89"/>
      <c r="T582" s="89"/>
      <c r="U582" s="89"/>
      <c r="V582" s="89"/>
      <c r="W582" s="89"/>
      <c r="X582" s="89"/>
      <c r="Y582" s="89"/>
      <c r="Z582" s="89"/>
      <c r="AA582" s="89"/>
    </row>
    <row r="583" spans="1:27" ht="13.8">
      <c r="A583" s="89"/>
      <c r="B583" s="89"/>
      <c r="C583" s="89"/>
      <c r="D583" s="89"/>
      <c r="E583" s="89"/>
      <c r="F583" s="110"/>
      <c r="G583" s="89"/>
      <c r="H583" s="89"/>
      <c r="I583" s="89"/>
      <c r="J583" s="89"/>
      <c r="K583" s="89"/>
      <c r="L583" s="89"/>
      <c r="M583" s="89"/>
      <c r="N583" s="89"/>
      <c r="O583" s="89"/>
      <c r="P583" s="89"/>
      <c r="Q583" s="89"/>
      <c r="R583" s="89"/>
      <c r="S583" s="89"/>
      <c r="T583" s="89"/>
      <c r="U583" s="89"/>
      <c r="V583" s="89"/>
      <c r="W583" s="89"/>
      <c r="X583" s="89"/>
      <c r="Y583" s="89"/>
      <c r="Z583" s="89"/>
      <c r="AA583" s="89"/>
    </row>
    <row r="584" spans="1:27" ht="13.8">
      <c r="A584" s="89"/>
      <c r="B584" s="89"/>
      <c r="C584" s="89"/>
      <c r="D584" s="89"/>
      <c r="E584" s="89"/>
      <c r="F584" s="110"/>
      <c r="G584" s="89"/>
      <c r="H584" s="89"/>
      <c r="I584" s="89"/>
      <c r="J584" s="89"/>
      <c r="K584" s="89"/>
      <c r="L584" s="89"/>
      <c r="M584" s="89"/>
      <c r="N584" s="89"/>
      <c r="O584" s="89"/>
      <c r="P584" s="89"/>
      <c r="Q584" s="89"/>
      <c r="R584" s="89"/>
      <c r="S584" s="89"/>
      <c r="T584" s="89"/>
      <c r="U584" s="89"/>
      <c r="V584" s="89"/>
      <c r="W584" s="89"/>
      <c r="X584" s="89"/>
      <c r="Y584" s="89"/>
      <c r="Z584" s="89"/>
      <c r="AA584" s="89"/>
    </row>
    <row r="585" spans="1:27" ht="13.8">
      <c r="A585" s="89"/>
      <c r="B585" s="89"/>
      <c r="C585" s="89"/>
      <c r="D585" s="89"/>
      <c r="E585" s="89"/>
      <c r="F585" s="110"/>
      <c r="G585" s="89"/>
      <c r="H585" s="89"/>
      <c r="I585" s="89"/>
      <c r="J585" s="89"/>
      <c r="K585" s="89"/>
      <c r="L585" s="89"/>
      <c r="M585" s="89"/>
      <c r="N585" s="89"/>
      <c r="O585" s="89"/>
      <c r="P585" s="89"/>
      <c r="Q585" s="89"/>
      <c r="R585" s="89"/>
      <c r="S585" s="89"/>
      <c r="T585" s="89"/>
      <c r="U585" s="89"/>
      <c r="V585" s="89"/>
      <c r="W585" s="89"/>
      <c r="X585" s="89"/>
      <c r="Y585" s="89"/>
      <c r="Z585" s="89"/>
      <c r="AA585" s="89"/>
    </row>
    <row r="586" spans="1:27" ht="13.8">
      <c r="A586" s="89"/>
      <c r="B586" s="89"/>
      <c r="C586" s="89"/>
      <c r="D586" s="89"/>
      <c r="E586" s="89"/>
      <c r="F586" s="110"/>
      <c r="G586" s="89"/>
      <c r="H586" s="89"/>
      <c r="I586" s="89"/>
      <c r="J586" s="89"/>
      <c r="K586" s="89"/>
      <c r="L586" s="89"/>
      <c r="M586" s="89"/>
      <c r="N586" s="89"/>
      <c r="O586" s="89"/>
      <c r="P586" s="89"/>
      <c r="Q586" s="89"/>
      <c r="R586" s="89"/>
      <c r="S586" s="89"/>
      <c r="T586" s="89"/>
      <c r="U586" s="89"/>
      <c r="V586" s="89"/>
      <c r="W586" s="89"/>
      <c r="X586" s="89"/>
      <c r="Y586" s="89"/>
      <c r="Z586" s="89"/>
      <c r="AA586" s="89"/>
    </row>
    <row r="587" spans="1:27" ht="13.8">
      <c r="A587" s="89"/>
      <c r="B587" s="89"/>
      <c r="C587" s="89"/>
      <c r="D587" s="89"/>
      <c r="E587" s="89"/>
      <c r="F587" s="110"/>
      <c r="G587" s="89"/>
      <c r="H587" s="89"/>
      <c r="I587" s="89"/>
      <c r="J587" s="89"/>
      <c r="K587" s="89"/>
      <c r="L587" s="89"/>
      <c r="M587" s="89"/>
      <c r="N587" s="89"/>
      <c r="O587" s="89"/>
      <c r="P587" s="89"/>
      <c r="Q587" s="89"/>
      <c r="R587" s="89"/>
      <c r="S587" s="89"/>
      <c r="T587" s="89"/>
      <c r="U587" s="89"/>
      <c r="V587" s="89"/>
      <c r="W587" s="89"/>
      <c r="X587" s="89"/>
      <c r="Y587" s="89"/>
      <c r="Z587" s="89"/>
      <c r="AA587" s="89"/>
    </row>
    <row r="588" spans="1:27" ht="13.8">
      <c r="A588" s="89"/>
      <c r="B588" s="89"/>
      <c r="C588" s="89"/>
      <c r="D588" s="89"/>
      <c r="E588" s="89"/>
      <c r="F588" s="110"/>
      <c r="G588" s="89"/>
      <c r="H588" s="89"/>
      <c r="I588" s="89"/>
      <c r="J588" s="89"/>
      <c r="K588" s="89"/>
      <c r="L588" s="89"/>
      <c r="M588" s="89"/>
      <c r="N588" s="89"/>
      <c r="O588" s="89"/>
      <c r="P588" s="89"/>
      <c r="Q588" s="89"/>
      <c r="R588" s="89"/>
      <c r="S588" s="89"/>
      <c r="T588" s="89"/>
      <c r="U588" s="89"/>
      <c r="V588" s="89"/>
      <c r="W588" s="89"/>
      <c r="X588" s="89"/>
      <c r="Y588" s="89"/>
      <c r="Z588" s="89"/>
      <c r="AA588" s="89"/>
    </row>
    <row r="589" spans="1:27" ht="13.8">
      <c r="A589" s="89"/>
      <c r="B589" s="89"/>
      <c r="C589" s="89"/>
      <c r="D589" s="89"/>
      <c r="E589" s="89"/>
      <c r="F589" s="110"/>
      <c r="G589" s="89"/>
      <c r="H589" s="89"/>
      <c r="I589" s="89"/>
      <c r="J589" s="89"/>
      <c r="K589" s="89"/>
      <c r="L589" s="89"/>
      <c r="M589" s="89"/>
      <c r="N589" s="89"/>
      <c r="O589" s="89"/>
      <c r="P589" s="89"/>
      <c r="Q589" s="89"/>
      <c r="R589" s="89"/>
      <c r="S589" s="89"/>
      <c r="T589" s="89"/>
      <c r="U589" s="89"/>
      <c r="V589" s="89"/>
      <c r="W589" s="89"/>
      <c r="X589" s="89"/>
      <c r="Y589" s="89"/>
      <c r="Z589" s="89"/>
      <c r="AA589" s="89"/>
    </row>
    <row r="590" spans="1:27" ht="13.8">
      <c r="A590" s="89"/>
      <c r="B590" s="89"/>
      <c r="C590" s="89"/>
      <c r="D590" s="89"/>
      <c r="E590" s="89"/>
      <c r="F590" s="110"/>
      <c r="G590" s="89"/>
      <c r="H590" s="89"/>
      <c r="I590" s="89"/>
      <c r="J590" s="89"/>
      <c r="K590" s="89"/>
      <c r="L590" s="89"/>
      <c r="M590" s="89"/>
      <c r="N590" s="89"/>
      <c r="O590" s="89"/>
      <c r="P590" s="89"/>
      <c r="Q590" s="89"/>
      <c r="R590" s="89"/>
      <c r="S590" s="89"/>
      <c r="T590" s="89"/>
      <c r="U590" s="89"/>
      <c r="V590" s="89"/>
      <c r="W590" s="89"/>
      <c r="X590" s="89"/>
      <c r="Y590" s="89"/>
      <c r="Z590" s="89"/>
      <c r="AA590" s="89"/>
    </row>
    <row r="591" spans="1:27" ht="13.8">
      <c r="A591" s="89"/>
      <c r="B591" s="89"/>
      <c r="C591" s="89"/>
      <c r="D591" s="89"/>
      <c r="E591" s="89"/>
      <c r="F591" s="110"/>
      <c r="G591" s="89"/>
      <c r="H591" s="89"/>
      <c r="I591" s="89"/>
      <c r="J591" s="89"/>
      <c r="K591" s="89"/>
      <c r="L591" s="89"/>
      <c r="M591" s="89"/>
      <c r="N591" s="89"/>
      <c r="O591" s="89"/>
      <c r="P591" s="89"/>
      <c r="Q591" s="89"/>
      <c r="R591" s="89"/>
      <c r="S591" s="89"/>
      <c r="T591" s="89"/>
      <c r="U591" s="89"/>
      <c r="V591" s="89"/>
      <c r="W591" s="89"/>
      <c r="X591" s="89"/>
      <c r="Y591" s="89"/>
      <c r="Z591" s="89"/>
      <c r="AA591" s="89"/>
    </row>
    <row r="592" spans="1:27" ht="13.8">
      <c r="A592" s="89"/>
      <c r="B592" s="89"/>
      <c r="C592" s="89"/>
      <c r="D592" s="89"/>
      <c r="E592" s="89"/>
      <c r="F592" s="110"/>
      <c r="G592" s="89"/>
      <c r="H592" s="89"/>
      <c r="I592" s="89"/>
      <c r="J592" s="89"/>
      <c r="K592" s="89"/>
      <c r="L592" s="89"/>
      <c r="M592" s="89"/>
      <c r="N592" s="89"/>
      <c r="O592" s="89"/>
      <c r="P592" s="89"/>
      <c r="Q592" s="89"/>
      <c r="R592" s="89"/>
      <c r="S592" s="89"/>
      <c r="T592" s="89"/>
      <c r="U592" s="89"/>
      <c r="V592" s="89"/>
      <c r="W592" s="89"/>
      <c r="X592" s="89"/>
      <c r="Y592" s="89"/>
      <c r="Z592" s="89"/>
      <c r="AA592" s="89"/>
    </row>
    <row r="593" spans="1:27" ht="13.8">
      <c r="A593" s="89"/>
      <c r="B593" s="89"/>
      <c r="C593" s="89"/>
      <c r="D593" s="89"/>
      <c r="E593" s="89"/>
      <c r="F593" s="110"/>
      <c r="G593" s="89"/>
      <c r="H593" s="89"/>
      <c r="I593" s="89"/>
      <c r="J593" s="89"/>
      <c r="K593" s="89"/>
      <c r="L593" s="89"/>
      <c r="M593" s="89"/>
      <c r="N593" s="89"/>
      <c r="O593" s="89"/>
      <c r="P593" s="89"/>
      <c r="Q593" s="89"/>
      <c r="R593" s="89"/>
      <c r="S593" s="89"/>
      <c r="T593" s="89"/>
      <c r="U593" s="89"/>
      <c r="V593" s="89"/>
      <c r="W593" s="89"/>
      <c r="X593" s="89"/>
      <c r="Y593" s="89"/>
      <c r="Z593" s="89"/>
      <c r="AA593" s="89"/>
    </row>
    <row r="594" spans="1:27" ht="13.8">
      <c r="A594" s="89"/>
      <c r="B594" s="89"/>
      <c r="C594" s="89"/>
      <c r="D594" s="89"/>
      <c r="E594" s="89"/>
      <c r="F594" s="110"/>
      <c r="G594" s="89"/>
      <c r="H594" s="89"/>
      <c r="I594" s="89"/>
      <c r="J594" s="89"/>
      <c r="K594" s="89"/>
      <c r="L594" s="89"/>
      <c r="M594" s="89"/>
      <c r="N594" s="89"/>
      <c r="O594" s="89"/>
      <c r="P594" s="89"/>
      <c r="Q594" s="89"/>
      <c r="R594" s="89"/>
      <c r="S594" s="89"/>
      <c r="T594" s="89"/>
      <c r="U594" s="89"/>
      <c r="V594" s="89"/>
      <c r="W594" s="89"/>
      <c r="X594" s="89"/>
      <c r="Y594" s="89"/>
      <c r="Z594" s="89"/>
      <c r="AA594" s="89"/>
    </row>
    <row r="595" spans="1:27" ht="13.8">
      <c r="A595" s="89"/>
      <c r="B595" s="89"/>
      <c r="C595" s="89"/>
      <c r="D595" s="89"/>
      <c r="E595" s="89"/>
      <c r="F595" s="110"/>
      <c r="G595" s="89"/>
      <c r="H595" s="89"/>
      <c r="I595" s="89"/>
      <c r="J595" s="89"/>
      <c r="K595" s="89"/>
      <c r="L595" s="89"/>
      <c r="M595" s="89"/>
      <c r="N595" s="89"/>
      <c r="O595" s="89"/>
      <c r="P595" s="89"/>
      <c r="Q595" s="89"/>
      <c r="R595" s="89"/>
      <c r="S595" s="89"/>
      <c r="T595" s="89"/>
      <c r="U595" s="89"/>
      <c r="V595" s="89"/>
      <c r="W595" s="89"/>
      <c r="X595" s="89"/>
      <c r="Y595" s="89"/>
      <c r="Z595" s="89"/>
      <c r="AA595" s="89"/>
    </row>
    <row r="596" spans="1:27" ht="13.8">
      <c r="A596" s="89"/>
      <c r="B596" s="89"/>
      <c r="C596" s="89"/>
      <c r="D596" s="89"/>
      <c r="E596" s="89"/>
      <c r="F596" s="110"/>
      <c r="G596" s="89"/>
      <c r="H596" s="89"/>
      <c r="I596" s="89"/>
      <c r="J596" s="89"/>
      <c r="K596" s="89"/>
      <c r="L596" s="89"/>
      <c r="M596" s="89"/>
      <c r="N596" s="89"/>
      <c r="O596" s="89"/>
      <c r="P596" s="89"/>
      <c r="Q596" s="89"/>
      <c r="R596" s="89"/>
      <c r="S596" s="89"/>
      <c r="T596" s="89"/>
      <c r="U596" s="89"/>
      <c r="V596" s="89"/>
      <c r="W596" s="89"/>
      <c r="X596" s="89"/>
      <c r="Y596" s="89"/>
      <c r="Z596" s="89"/>
      <c r="AA596" s="89"/>
    </row>
    <row r="597" spans="1:27" ht="13.8">
      <c r="A597" s="89"/>
      <c r="B597" s="89"/>
      <c r="C597" s="89"/>
      <c r="D597" s="89"/>
      <c r="E597" s="89"/>
      <c r="F597" s="110"/>
      <c r="G597" s="89"/>
      <c r="H597" s="89"/>
      <c r="I597" s="89"/>
      <c r="J597" s="89"/>
      <c r="K597" s="89"/>
      <c r="L597" s="89"/>
      <c r="M597" s="89"/>
      <c r="N597" s="89"/>
      <c r="O597" s="89"/>
      <c r="P597" s="89"/>
      <c r="Q597" s="89"/>
      <c r="R597" s="89"/>
      <c r="S597" s="89"/>
      <c r="T597" s="89"/>
      <c r="U597" s="89"/>
      <c r="V597" s="89"/>
      <c r="W597" s="89"/>
      <c r="X597" s="89"/>
      <c r="Y597" s="89"/>
      <c r="Z597" s="89"/>
      <c r="AA597" s="89"/>
    </row>
    <row r="598" spans="1:27" ht="13.8">
      <c r="A598" s="89"/>
      <c r="B598" s="89"/>
      <c r="C598" s="89"/>
      <c r="D598" s="89"/>
      <c r="E598" s="89"/>
      <c r="F598" s="110"/>
      <c r="G598" s="89"/>
      <c r="H598" s="89"/>
      <c r="I598" s="89"/>
      <c r="J598" s="89"/>
      <c r="K598" s="89"/>
      <c r="L598" s="89"/>
      <c r="M598" s="89"/>
      <c r="N598" s="89"/>
      <c r="O598" s="89"/>
      <c r="P598" s="89"/>
      <c r="Q598" s="89"/>
      <c r="R598" s="89"/>
      <c r="S598" s="89"/>
      <c r="T598" s="89"/>
      <c r="U598" s="89"/>
      <c r="V598" s="89"/>
      <c r="W598" s="89"/>
      <c r="X598" s="89"/>
      <c r="Y598" s="89"/>
      <c r="Z598" s="89"/>
      <c r="AA598" s="89"/>
    </row>
    <row r="599" spans="1:27" ht="13.8">
      <c r="A599" s="89"/>
      <c r="B599" s="89"/>
      <c r="C599" s="89"/>
      <c r="D599" s="89"/>
      <c r="E599" s="89"/>
      <c r="F599" s="110"/>
      <c r="G599" s="89"/>
      <c r="H599" s="89"/>
      <c r="I599" s="89"/>
      <c r="J599" s="89"/>
      <c r="K599" s="89"/>
      <c r="L599" s="89"/>
      <c r="M599" s="89"/>
      <c r="N599" s="89"/>
      <c r="O599" s="89"/>
      <c r="P599" s="89"/>
      <c r="Q599" s="89"/>
      <c r="R599" s="89"/>
      <c r="S599" s="89"/>
      <c r="T599" s="89"/>
      <c r="U599" s="89"/>
      <c r="V599" s="89"/>
      <c r="W599" s="89"/>
      <c r="X599" s="89"/>
      <c r="Y599" s="89"/>
      <c r="Z599" s="89"/>
      <c r="AA599" s="89"/>
    </row>
    <row r="600" spans="1:27" ht="13.8">
      <c r="A600" s="89"/>
      <c r="B600" s="89"/>
      <c r="C600" s="89"/>
      <c r="D600" s="89"/>
      <c r="E600" s="89"/>
      <c r="F600" s="110"/>
      <c r="G600" s="89"/>
      <c r="H600" s="89"/>
      <c r="I600" s="89"/>
      <c r="J600" s="89"/>
      <c r="K600" s="89"/>
      <c r="L600" s="89"/>
      <c r="M600" s="89"/>
      <c r="N600" s="89"/>
      <c r="O600" s="89"/>
      <c r="P600" s="89"/>
      <c r="Q600" s="89"/>
      <c r="R600" s="89"/>
      <c r="S600" s="89"/>
      <c r="T600" s="89"/>
      <c r="U600" s="89"/>
      <c r="V600" s="89"/>
      <c r="W600" s="89"/>
      <c r="X600" s="89"/>
      <c r="Y600" s="89"/>
      <c r="Z600" s="89"/>
      <c r="AA600" s="89"/>
    </row>
    <row r="601" spans="1:27" ht="13.8">
      <c r="A601" s="89"/>
      <c r="B601" s="89"/>
      <c r="C601" s="89"/>
      <c r="D601" s="89"/>
      <c r="E601" s="89"/>
      <c r="F601" s="110"/>
      <c r="G601" s="89"/>
      <c r="H601" s="89"/>
      <c r="I601" s="89"/>
      <c r="J601" s="89"/>
      <c r="K601" s="89"/>
      <c r="L601" s="89"/>
      <c r="M601" s="89"/>
      <c r="N601" s="89"/>
      <c r="O601" s="89"/>
      <c r="P601" s="89"/>
      <c r="Q601" s="89"/>
      <c r="R601" s="89"/>
      <c r="S601" s="89"/>
      <c r="T601" s="89"/>
      <c r="U601" s="89"/>
      <c r="V601" s="89"/>
      <c r="W601" s="89"/>
      <c r="X601" s="89"/>
      <c r="Y601" s="89"/>
      <c r="Z601" s="89"/>
      <c r="AA601" s="89"/>
    </row>
    <row r="602" spans="1:27" ht="13.8">
      <c r="A602" s="89"/>
      <c r="B602" s="89"/>
      <c r="C602" s="89"/>
      <c r="D602" s="89"/>
      <c r="E602" s="89"/>
      <c r="F602" s="110"/>
      <c r="G602" s="89"/>
      <c r="H602" s="89"/>
      <c r="I602" s="89"/>
      <c r="J602" s="89"/>
      <c r="K602" s="89"/>
      <c r="L602" s="89"/>
      <c r="M602" s="89"/>
      <c r="N602" s="89"/>
      <c r="O602" s="89"/>
      <c r="P602" s="89"/>
      <c r="Q602" s="89"/>
      <c r="R602" s="89"/>
      <c r="S602" s="89"/>
      <c r="T602" s="89"/>
      <c r="U602" s="89"/>
      <c r="V602" s="89"/>
      <c r="W602" s="89"/>
      <c r="X602" s="89"/>
      <c r="Y602" s="89"/>
      <c r="Z602" s="89"/>
      <c r="AA602" s="89"/>
    </row>
    <row r="603" spans="1:27" ht="13.8">
      <c r="A603" s="89"/>
      <c r="B603" s="89"/>
      <c r="C603" s="89"/>
      <c r="D603" s="89"/>
      <c r="E603" s="89"/>
      <c r="F603" s="110"/>
      <c r="G603" s="89"/>
      <c r="H603" s="89"/>
      <c r="I603" s="89"/>
      <c r="J603" s="89"/>
      <c r="K603" s="89"/>
      <c r="L603" s="89"/>
      <c r="M603" s="89"/>
      <c r="N603" s="89"/>
      <c r="O603" s="89"/>
      <c r="P603" s="89"/>
      <c r="Q603" s="89"/>
      <c r="R603" s="89"/>
      <c r="S603" s="89"/>
      <c r="T603" s="89"/>
      <c r="U603" s="89"/>
      <c r="V603" s="89"/>
      <c r="W603" s="89"/>
      <c r="X603" s="89"/>
      <c r="Y603" s="89"/>
      <c r="Z603" s="89"/>
      <c r="AA603" s="89"/>
    </row>
    <row r="604" spans="1:27" ht="13.8">
      <c r="A604" s="89"/>
      <c r="B604" s="89"/>
      <c r="C604" s="89"/>
      <c r="D604" s="89"/>
      <c r="E604" s="89"/>
      <c r="F604" s="110"/>
      <c r="G604" s="89"/>
      <c r="H604" s="89"/>
      <c r="I604" s="89"/>
      <c r="J604" s="89"/>
      <c r="K604" s="89"/>
      <c r="L604" s="89"/>
      <c r="M604" s="89"/>
      <c r="N604" s="89"/>
      <c r="O604" s="89"/>
      <c r="P604" s="89"/>
      <c r="Q604" s="89"/>
      <c r="R604" s="89"/>
      <c r="S604" s="89"/>
      <c r="T604" s="89"/>
      <c r="U604" s="89"/>
      <c r="V604" s="89"/>
      <c r="W604" s="89"/>
      <c r="X604" s="89"/>
      <c r="Y604" s="89"/>
      <c r="Z604" s="89"/>
      <c r="AA604" s="89"/>
    </row>
    <row r="605" spans="1:27" ht="13.8">
      <c r="A605" s="89"/>
      <c r="B605" s="89"/>
      <c r="C605" s="89"/>
      <c r="D605" s="89"/>
      <c r="E605" s="89"/>
      <c r="F605" s="110"/>
      <c r="G605" s="89"/>
      <c r="H605" s="89"/>
      <c r="I605" s="89"/>
      <c r="J605" s="89"/>
      <c r="K605" s="89"/>
      <c r="L605" s="89"/>
      <c r="M605" s="89"/>
      <c r="N605" s="89"/>
      <c r="O605" s="89"/>
      <c r="P605" s="89"/>
      <c r="Q605" s="89"/>
      <c r="R605" s="89"/>
      <c r="S605" s="89"/>
      <c r="T605" s="89"/>
      <c r="U605" s="89"/>
      <c r="V605" s="89"/>
      <c r="W605" s="89"/>
      <c r="X605" s="89"/>
      <c r="Y605" s="89"/>
      <c r="Z605" s="89"/>
      <c r="AA605" s="89"/>
    </row>
    <row r="606" spans="1:27" ht="13.8">
      <c r="A606" s="89"/>
      <c r="B606" s="89"/>
      <c r="C606" s="89"/>
      <c r="D606" s="89"/>
      <c r="E606" s="89"/>
      <c r="F606" s="110"/>
      <c r="G606" s="89"/>
      <c r="H606" s="89"/>
      <c r="I606" s="89"/>
      <c r="J606" s="89"/>
      <c r="K606" s="89"/>
      <c r="L606" s="89"/>
      <c r="M606" s="89"/>
      <c r="N606" s="89"/>
      <c r="O606" s="89"/>
      <c r="P606" s="89"/>
      <c r="Q606" s="89"/>
      <c r="R606" s="89"/>
      <c r="S606" s="89"/>
      <c r="T606" s="89"/>
      <c r="U606" s="89"/>
      <c r="V606" s="89"/>
      <c r="W606" s="89"/>
      <c r="X606" s="89"/>
      <c r="Y606" s="89"/>
      <c r="Z606" s="89"/>
      <c r="AA606" s="89"/>
    </row>
    <row r="607" spans="1:27" ht="13.8">
      <c r="A607" s="89"/>
      <c r="B607" s="89"/>
      <c r="C607" s="89"/>
      <c r="D607" s="89"/>
      <c r="E607" s="89"/>
      <c r="F607" s="110"/>
      <c r="G607" s="89"/>
      <c r="H607" s="89"/>
      <c r="I607" s="89"/>
      <c r="J607" s="89"/>
      <c r="K607" s="89"/>
      <c r="L607" s="89"/>
      <c r="M607" s="89"/>
      <c r="N607" s="89"/>
      <c r="O607" s="89"/>
      <c r="P607" s="89"/>
      <c r="Q607" s="89"/>
      <c r="R607" s="89"/>
      <c r="S607" s="89"/>
      <c r="T607" s="89"/>
      <c r="U607" s="89"/>
      <c r="V607" s="89"/>
      <c r="W607" s="89"/>
      <c r="X607" s="89"/>
      <c r="Y607" s="89"/>
      <c r="Z607" s="89"/>
      <c r="AA607" s="89"/>
    </row>
    <row r="608" spans="1:27" ht="13.8">
      <c r="A608" s="89"/>
      <c r="B608" s="89"/>
      <c r="C608" s="89"/>
      <c r="D608" s="89"/>
      <c r="E608" s="89"/>
      <c r="F608" s="110"/>
      <c r="G608" s="89"/>
      <c r="H608" s="89"/>
      <c r="I608" s="89"/>
      <c r="J608" s="89"/>
      <c r="K608" s="89"/>
      <c r="L608" s="89"/>
      <c r="M608" s="89"/>
      <c r="N608" s="89"/>
      <c r="O608" s="89"/>
      <c r="P608" s="89"/>
      <c r="Q608" s="89"/>
      <c r="R608" s="89"/>
      <c r="S608" s="89"/>
      <c r="T608" s="89"/>
      <c r="U608" s="89"/>
      <c r="V608" s="89"/>
      <c r="W608" s="89"/>
      <c r="X608" s="89"/>
      <c r="Y608" s="89"/>
      <c r="Z608" s="89"/>
      <c r="AA608" s="89"/>
    </row>
    <row r="609" spans="1:27" ht="13.8">
      <c r="A609" s="89"/>
      <c r="B609" s="89"/>
      <c r="C609" s="89"/>
      <c r="D609" s="89"/>
      <c r="E609" s="89"/>
      <c r="F609" s="110"/>
      <c r="G609" s="89"/>
      <c r="H609" s="89"/>
      <c r="I609" s="89"/>
      <c r="J609" s="89"/>
      <c r="K609" s="89"/>
      <c r="L609" s="89"/>
      <c r="M609" s="89"/>
      <c r="N609" s="89"/>
      <c r="O609" s="89"/>
      <c r="P609" s="89"/>
      <c r="Q609" s="89"/>
      <c r="R609" s="89"/>
      <c r="S609" s="89"/>
      <c r="T609" s="89"/>
      <c r="U609" s="89"/>
      <c r="V609" s="89"/>
      <c r="W609" s="89"/>
      <c r="X609" s="89"/>
      <c r="Y609" s="89"/>
      <c r="Z609" s="89"/>
      <c r="AA609" s="89"/>
    </row>
    <row r="610" spans="1:27" ht="13.8">
      <c r="A610" s="89"/>
      <c r="B610" s="89"/>
      <c r="C610" s="89"/>
      <c r="D610" s="89"/>
      <c r="E610" s="89"/>
      <c r="F610" s="110"/>
      <c r="G610" s="89"/>
      <c r="H610" s="89"/>
      <c r="I610" s="89"/>
      <c r="J610" s="89"/>
      <c r="K610" s="89"/>
      <c r="L610" s="89"/>
      <c r="M610" s="89"/>
      <c r="N610" s="89"/>
      <c r="O610" s="89"/>
      <c r="P610" s="89"/>
      <c r="Q610" s="89"/>
      <c r="R610" s="89"/>
      <c r="S610" s="89"/>
      <c r="T610" s="89"/>
      <c r="U610" s="89"/>
      <c r="V610" s="89"/>
      <c r="W610" s="89"/>
      <c r="X610" s="89"/>
      <c r="Y610" s="89"/>
      <c r="Z610" s="89"/>
      <c r="AA610" s="89"/>
    </row>
    <row r="611" spans="1:27" ht="13.8">
      <c r="A611" s="89"/>
      <c r="B611" s="89"/>
      <c r="C611" s="89"/>
      <c r="D611" s="89"/>
      <c r="E611" s="89"/>
      <c r="F611" s="110"/>
      <c r="G611" s="89"/>
      <c r="H611" s="89"/>
      <c r="I611" s="89"/>
      <c r="J611" s="89"/>
      <c r="K611" s="89"/>
      <c r="L611" s="89"/>
      <c r="M611" s="89"/>
      <c r="N611" s="89"/>
      <c r="O611" s="89"/>
      <c r="P611" s="89"/>
      <c r="Q611" s="89"/>
      <c r="R611" s="89"/>
      <c r="S611" s="89"/>
      <c r="T611" s="89"/>
      <c r="U611" s="89"/>
      <c r="V611" s="89"/>
      <c r="W611" s="89"/>
      <c r="X611" s="89"/>
      <c r="Y611" s="89"/>
      <c r="Z611" s="89"/>
      <c r="AA611" s="89"/>
    </row>
    <row r="612" spans="1:27" ht="13.8">
      <c r="A612" s="89"/>
      <c r="B612" s="89"/>
      <c r="C612" s="89"/>
      <c r="D612" s="89"/>
      <c r="E612" s="89"/>
      <c r="F612" s="110"/>
      <c r="G612" s="89"/>
      <c r="H612" s="89"/>
      <c r="I612" s="89"/>
      <c r="J612" s="89"/>
      <c r="K612" s="89"/>
      <c r="L612" s="89"/>
      <c r="M612" s="89"/>
      <c r="N612" s="89"/>
      <c r="O612" s="89"/>
      <c r="P612" s="89"/>
      <c r="Q612" s="89"/>
      <c r="R612" s="89"/>
      <c r="S612" s="89"/>
      <c r="T612" s="89"/>
      <c r="U612" s="89"/>
      <c r="V612" s="89"/>
      <c r="W612" s="89"/>
      <c r="X612" s="89"/>
      <c r="Y612" s="89"/>
      <c r="Z612" s="89"/>
      <c r="AA612" s="89"/>
    </row>
    <row r="613" spans="1:27" ht="13.8">
      <c r="A613" s="89"/>
      <c r="B613" s="89"/>
      <c r="C613" s="89"/>
      <c r="D613" s="89"/>
      <c r="E613" s="89"/>
      <c r="F613" s="110"/>
      <c r="G613" s="89"/>
      <c r="H613" s="89"/>
      <c r="I613" s="89"/>
      <c r="J613" s="89"/>
      <c r="K613" s="89"/>
      <c r="L613" s="89"/>
      <c r="M613" s="89"/>
      <c r="N613" s="89"/>
      <c r="O613" s="89"/>
      <c r="P613" s="89"/>
      <c r="Q613" s="89"/>
      <c r="R613" s="89"/>
      <c r="S613" s="89"/>
      <c r="T613" s="89"/>
      <c r="U613" s="89"/>
      <c r="V613" s="89"/>
      <c r="W613" s="89"/>
      <c r="X613" s="89"/>
      <c r="Y613" s="89"/>
      <c r="Z613" s="89"/>
      <c r="AA613" s="89"/>
    </row>
    <row r="614" spans="1:27" ht="13.8">
      <c r="A614" s="89"/>
      <c r="B614" s="89"/>
      <c r="C614" s="89"/>
      <c r="D614" s="89"/>
      <c r="E614" s="89"/>
      <c r="F614" s="110"/>
      <c r="G614" s="89"/>
      <c r="H614" s="89"/>
      <c r="I614" s="89"/>
      <c r="J614" s="89"/>
      <c r="K614" s="89"/>
      <c r="L614" s="89"/>
      <c r="M614" s="89"/>
      <c r="N614" s="89"/>
      <c r="O614" s="89"/>
      <c r="P614" s="89"/>
      <c r="Q614" s="89"/>
      <c r="R614" s="89"/>
      <c r="S614" s="89"/>
      <c r="T614" s="89"/>
      <c r="U614" s="89"/>
      <c r="V614" s="89"/>
      <c r="W614" s="89"/>
      <c r="X614" s="89"/>
      <c r="Y614" s="89"/>
      <c r="Z614" s="89"/>
      <c r="AA614" s="89"/>
    </row>
    <row r="615" spans="1:27" ht="13.8">
      <c r="A615" s="89"/>
      <c r="B615" s="89"/>
      <c r="C615" s="89"/>
      <c r="D615" s="89"/>
      <c r="E615" s="89"/>
      <c r="F615" s="110"/>
      <c r="G615" s="89"/>
      <c r="H615" s="89"/>
      <c r="I615" s="89"/>
      <c r="J615" s="89"/>
      <c r="K615" s="89"/>
      <c r="L615" s="89"/>
      <c r="M615" s="89"/>
      <c r="N615" s="89"/>
      <c r="O615" s="89"/>
      <c r="P615" s="89"/>
      <c r="Q615" s="89"/>
      <c r="R615" s="89"/>
      <c r="S615" s="89"/>
      <c r="T615" s="89"/>
      <c r="U615" s="89"/>
      <c r="V615" s="89"/>
      <c r="W615" s="89"/>
      <c r="X615" s="89"/>
      <c r="Y615" s="89"/>
      <c r="Z615" s="89"/>
      <c r="AA615" s="89"/>
    </row>
    <row r="616" spans="1:27" ht="13.8">
      <c r="A616" s="89"/>
      <c r="B616" s="89"/>
      <c r="C616" s="89"/>
      <c r="D616" s="89"/>
      <c r="E616" s="89"/>
      <c r="F616" s="110"/>
      <c r="G616" s="89"/>
      <c r="H616" s="89"/>
      <c r="I616" s="89"/>
      <c r="J616" s="89"/>
      <c r="K616" s="89"/>
      <c r="L616" s="89"/>
      <c r="M616" s="89"/>
      <c r="N616" s="89"/>
      <c r="O616" s="89"/>
      <c r="P616" s="89"/>
      <c r="Q616" s="89"/>
      <c r="R616" s="89"/>
      <c r="S616" s="89"/>
      <c r="T616" s="89"/>
      <c r="U616" s="89"/>
      <c r="V616" s="89"/>
      <c r="W616" s="89"/>
      <c r="X616" s="89"/>
      <c r="Y616" s="89"/>
      <c r="Z616" s="89"/>
      <c r="AA616" s="89"/>
    </row>
    <row r="617" spans="1:27" ht="13.8">
      <c r="A617" s="89"/>
      <c r="B617" s="89"/>
      <c r="C617" s="89"/>
      <c r="D617" s="89"/>
      <c r="E617" s="89"/>
      <c r="F617" s="110"/>
      <c r="G617" s="89"/>
      <c r="H617" s="89"/>
      <c r="I617" s="89"/>
      <c r="J617" s="89"/>
      <c r="K617" s="89"/>
      <c r="L617" s="89"/>
      <c r="M617" s="89"/>
      <c r="N617" s="89"/>
      <c r="O617" s="89"/>
      <c r="P617" s="89"/>
      <c r="Q617" s="89"/>
      <c r="R617" s="89"/>
      <c r="S617" s="89"/>
      <c r="T617" s="89"/>
      <c r="U617" s="89"/>
      <c r="V617" s="89"/>
      <c r="W617" s="89"/>
      <c r="X617" s="89"/>
      <c r="Y617" s="89"/>
      <c r="Z617" s="89"/>
      <c r="AA617" s="89"/>
    </row>
    <row r="618" spans="1:27" ht="13.8">
      <c r="A618" s="89"/>
      <c r="B618" s="89"/>
      <c r="C618" s="89"/>
      <c r="D618" s="89"/>
      <c r="E618" s="89"/>
      <c r="F618" s="110"/>
      <c r="G618" s="89"/>
      <c r="H618" s="89"/>
      <c r="I618" s="89"/>
      <c r="J618" s="89"/>
      <c r="K618" s="89"/>
      <c r="L618" s="89"/>
      <c r="M618" s="89"/>
      <c r="N618" s="89"/>
      <c r="O618" s="89"/>
      <c r="P618" s="89"/>
      <c r="Q618" s="89"/>
      <c r="R618" s="89"/>
      <c r="S618" s="89"/>
      <c r="T618" s="89"/>
      <c r="U618" s="89"/>
      <c r="V618" s="89"/>
      <c r="W618" s="89"/>
      <c r="X618" s="89"/>
      <c r="Y618" s="89"/>
      <c r="Z618" s="89"/>
      <c r="AA618" s="89"/>
    </row>
    <row r="619" spans="1:27" ht="13.8">
      <c r="A619" s="89"/>
      <c r="B619" s="89"/>
      <c r="C619" s="89"/>
      <c r="D619" s="89"/>
      <c r="E619" s="89"/>
      <c r="F619" s="110"/>
      <c r="G619" s="89"/>
      <c r="H619" s="89"/>
      <c r="I619" s="89"/>
      <c r="J619" s="89"/>
      <c r="K619" s="89"/>
      <c r="L619" s="89"/>
      <c r="M619" s="89"/>
      <c r="N619" s="89"/>
      <c r="O619" s="89"/>
      <c r="P619" s="89"/>
      <c r="Q619" s="89"/>
      <c r="R619" s="89"/>
      <c r="S619" s="89"/>
      <c r="T619" s="89"/>
      <c r="U619" s="89"/>
      <c r="V619" s="89"/>
      <c r="W619" s="89"/>
      <c r="X619" s="89"/>
      <c r="Y619" s="89"/>
      <c r="Z619" s="89"/>
      <c r="AA619" s="89"/>
    </row>
    <row r="620" spans="1:27" ht="13.8">
      <c r="A620" s="89"/>
      <c r="B620" s="89"/>
      <c r="C620" s="89"/>
      <c r="D620" s="89"/>
      <c r="E620" s="89"/>
      <c r="F620" s="110"/>
      <c r="G620" s="89"/>
      <c r="H620" s="89"/>
      <c r="I620" s="89"/>
      <c r="J620" s="89"/>
      <c r="K620" s="89"/>
      <c r="L620" s="89"/>
      <c r="M620" s="89"/>
      <c r="N620" s="89"/>
      <c r="O620" s="89"/>
      <c r="P620" s="89"/>
      <c r="Q620" s="89"/>
      <c r="R620" s="89"/>
      <c r="S620" s="89"/>
      <c r="T620" s="89"/>
      <c r="U620" s="89"/>
      <c r="V620" s="89"/>
      <c r="W620" s="89"/>
      <c r="X620" s="89"/>
      <c r="Y620" s="89"/>
      <c r="Z620" s="89"/>
      <c r="AA620" s="89"/>
    </row>
    <row r="621" spans="1:27" ht="13.8">
      <c r="A621" s="89"/>
      <c r="B621" s="89"/>
      <c r="C621" s="89"/>
      <c r="D621" s="89"/>
      <c r="E621" s="89"/>
      <c r="F621" s="110"/>
      <c r="G621" s="89"/>
      <c r="H621" s="89"/>
      <c r="I621" s="89"/>
      <c r="J621" s="89"/>
      <c r="K621" s="89"/>
      <c r="L621" s="89"/>
      <c r="M621" s="89"/>
      <c r="N621" s="89"/>
      <c r="O621" s="89"/>
      <c r="P621" s="89"/>
      <c r="Q621" s="89"/>
      <c r="R621" s="89"/>
      <c r="S621" s="89"/>
      <c r="T621" s="89"/>
      <c r="U621" s="89"/>
      <c r="V621" s="89"/>
      <c r="W621" s="89"/>
      <c r="X621" s="89"/>
      <c r="Y621" s="89"/>
      <c r="Z621" s="89"/>
      <c r="AA621" s="89"/>
    </row>
    <row r="622" spans="1:27" ht="13.8">
      <c r="A622" s="89"/>
      <c r="B622" s="89"/>
      <c r="C622" s="89"/>
      <c r="D622" s="89"/>
      <c r="E622" s="89"/>
      <c r="F622" s="110"/>
      <c r="G622" s="89"/>
      <c r="H622" s="89"/>
      <c r="I622" s="89"/>
      <c r="J622" s="89"/>
      <c r="K622" s="89"/>
      <c r="L622" s="89"/>
      <c r="M622" s="89"/>
      <c r="N622" s="89"/>
      <c r="O622" s="89"/>
      <c r="P622" s="89"/>
      <c r="Q622" s="89"/>
      <c r="R622" s="89"/>
      <c r="S622" s="89"/>
      <c r="T622" s="89"/>
      <c r="U622" s="89"/>
      <c r="V622" s="89"/>
      <c r="W622" s="89"/>
      <c r="X622" s="89"/>
      <c r="Y622" s="89"/>
      <c r="Z622" s="89"/>
      <c r="AA622" s="89"/>
    </row>
    <row r="623" spans="1:27" ht="13.8">
      <c r="A623" s="89"/>
      <c r="B623" s="89"/>
      <c r="C623" s="89"/>
      <c r="D623" s="89"/>
      <c r="E623" s="89"/>
      <c r="F623" s="110"/>
      <c r="G623" s="89"/>
      <c r="H623" s="89"/>
      <c r="I623" s="89"/>
      <c r="J623" s="89"/>
      <c r="K623" s="89"/>
      <c r="L623" s="89"/>
      <c r="M623" s="89"/>
      <c r="N623" s="89"/>
      <c r="O623" s="89"/>
      <c r="P623" s="89"/>
      <c r="Q623" s="89"/>
      <c r="R623" s="89"/>
      <c r="S623" s="89"/>
      <c r="T623" s="89"/>
      <c r="U623" s="89"/>
      <c r="V623" s="89"/>
      <c r="W623" s="89"/>
      <c r="X623" s="89"/>
      <c r="Y623" s="89"/>
      <c r="Z623" s="89"/>
      <c r="AA623" s="89"/>
    </row>
    <row r="624" spans="1:27" ht="13.8">
      <c r="A624" s="89"/>
      <c r="B624" s="89"/>
      <c r="C624" s="89"/>
      <c r="D624" s="89"/>
      <c r="E624" s="89"/>
      <c r="F624" s="110"/>
      <c r="G624" s="89"/>
      <c r="H624" s="89"/>
      <c r="I624" s="89"/>
      <c r="J624" s="89"/>
      <c r="K624" s="89"/>
      <c r="L624" s="89"/>
      <c r="M624" s="89"/>
      <c r="N624" s="89"/>
      <c r="O624" s="89"/>
      <c r="P624" s="89"/>
      <c r="Q624" s="89"/>
      <c r="R624" s="89"/>
      <c r="S624" s="89"/>
      <c r="T624" s="89"/>
      <c r="U624" s="89"/>
      <c r="V624" s="89"/>
      <c r="W624" s="89"/>
      <c r="X624" s="89"/>
      <c r="Y624" s="89"/>
      <c r="Z624" s="89"/>
      <c r="AA624" s="89"/>
    </row>
    <row r="625" spans="1:27" ht="13.8">
      <c r="A625" s="89"/>
      <c r="B625" s="89"/>
      <c r="C625" s="89"/>
      <c r="D625" s="89"/>
      <c r="E625" s="89"/>
      <c r="F625" s="110"/>
      <c r="G625" s="89"/>
      <c r="H625" s="89"/>
      <c r="I625" s="89"/>
      <c r="J625" s="89"/>
      <c r="K625" s="89"/>
      <c r="L625" s="89"/>
      <c r="M625" s="89"/>
      <c r="N625" s="89"/>
      <c r="O625" s="89"/>
      <c r="P625" s="89"/>
      <c r="Q625" s="89"/>
      <c r="R625" s="89"/>
      <c r="S625" s="89"/>
      <c r="T625" s="89"/>
      <c r="U625" s="89"/>
      <c r="V625" s="89"/>
      <c r="W625" s="89"/>
      <c r="X625" s="89"/>
      <c r="Y625" s="89"/>
      <c r="Z625" s="89"/>
      <c r="AA625" s="89"/>
    </row>
    <row r="626" spans="1:27" ht="13.8">
      <c r="A626" s="89"/>
      <c r="B626" s="89"/>
      <c r="C626" s="89"/>
      <c r="D626" s="89"/>
      <c r="E626" s="89"/>
      <c r="F626" s="110"/>
      <c r="G626" s="89"/>
      <c r="H626" s="89"/>
      <c r="I626" s="89"/>
      <c r="J626" s="89"/>
      <c r="K626" s="89"/>
      <c r="L626" s="89"/>
      <c r="M626" s="89"/>
      <c r="N626" s="89"/>
      <c r="O626" s="89"/>
      <c r="P626" s="89"/>
      <c r="Q626" s="89"/>
      <c r="R626" s="89"/>
      <c r="S626" s="89"/>
      <c r="T626" s="89"/>
      <c r="U626" s="89"/>
      <c r="V626" s="89"/>
      <c r="W626" s="89"/>
      <c r="X626" s="89"/>
      <c r="Y626" s="89"/>
      <c r="Z626" s="89"/>
      <c r="AA626" s="89"/>
    </row>
    <row r="627" spans="1:27" ht="13.8">
      <c r="A627" s="89"/>
      <c r="B627" s="89"/>
      <c r="C627" s="89"/>
      <c r="D627" s="89"/>
      <c r="E627" s="89"/>
      <c r="F627" s="110"/>
      <c r="G627" s="89"/>
      <c r="H627" s="89"/>
      <c r="I627" s="89"/>
      <c r="J627" s="89"/>
      <c r="K627" s="89"/>
      <c r="L627" s="89"/>
      <c r="M627" s="89"/>
      <c r="N627" s="89"/>
      <c r="O627" s="89"/>
      <c r="P627" s="89"/>
      <c r="Q627" s="89"/>
      <c r="R627" s="89"/>
      <c r="S627" s="89"/>
      <c r="T627" s="89"/>
      <c r="U627" s="89"/>
      <c r="V627" s="89"/>
      <c r="W627" s="89"/>
      <c r="X627" s="89"/>
      <c r="Y627" s="89"/>
      <c r="Z627" s="89"/>
      <c r="AA627" s="89"/>
    </row>
    <row r="628" spans="1:27" ht="13.8">
      <c r="A628" s="89"/>
      <c r="B628" s="89"/>
      <c r="C628" s="89"/>
      <c r="D628" s="89"/>
      <c r="E628" s="89"/>
      <c r="F628" s="110"/>
      <c r="G628" s="89"/>
      <c r="H628" s="89"/>
      <c r="I628" s="89"/>
      <c r="J628" s="89"/>
      <c r="K628" s="89"/>
      <c r="L628" s="89"/>
      <c r="M628" s="89"/>
      <c r="N628" s="89"/>
      <c r="O628" s="89"/>
      <c r="P628" s="89"/>
      <c r="Q628" s="89"/>
      <c r="R628" s="89"/>
      <c r="S628" s="89"/>
      <c r="T628" s="89"/>
      <c r="U628" s="89"/>
      <c r="V628" s="89"/>
      <c r="W628" s="89"/>
      <c r="X628" s="89"/>
      <c r="Y628" s="89"/>
      <c r="Z628" s="89"/>
      <c r="AA628" s="89"/>
    </row>
    <row r="629" spans="1:27" ht="13.8">
      <c r="A629" s="89"/>
      <c r="B629" s="89"/>
      <c r="C629" s="89"/>
      <c r="D629" s="89"/>
      <c r="E629" s="89"/>
      <c r="F629" s="110"/>
      <c r="G629" s="89"/>
      <c r="H629" s="89"/>
      <c r="I629" s="89"/>
      <c r="J629" s="89"/>
      <c r="K629" s="89"/>
      <c r="L629" s="89"/>
      <c r="M629" s="89"/>
      <c r="N629" s="89"/>
      <c r="O629" s="89"/>
      <c r="P629" s="89"/>
      <c r="Q629" s="89"/>
      <c r="R629" s="89"/>
      <c r="S629" s="89"/>
      <c r="T629" s="89"/>
      <c r="U629" s="89"/>
      <c r="V629" s="89"/>
      <c r="W629" s="89"/>
      <c r="X629" s="89"/>
      <c r="Y629" s="89"/>
      <c r="Z629" s="89"/>
      <c r="AA629" s="89"/>
    </row>
    <row r="630" spans="1:27" ht="13.8">
      <c r="A630" s="89"/>
      <c r="B630" s="89"/>
      <c r="C630" s="89"/>
      <c r="D630" s="89"/>
      <c r="E630" s="89"/>
      <c r="F630" s="110"/>
      <c r="G630" s="89"/>
      <c r="H630" s="89"/>
      <c r="I630" s="89"/>
      <c r="J630" s="89"/>
      <c r="K630" s="89"/>
      <c r="L630" s="89"/>
      <c r="M630" s="89"/>
      <c r="N630" s="89"/>
      <c r="O630" s="89"/>
      <c r="P630" s="89"/>
      <c r="Q630" s="89"/>
      <c r="R630" s="89"/>
      <c r="S630" s="89"/>
      <c r="T630" s="89"/>
      <c r="U630" s="89"/>
      <c r="V630" s="89"/>
      <c r="W630" s="89"/>
      <c r="X630" s="89"/>
      <c r="Y630" s="89"/>
      <c r="Z630" s="89"/>
      <c r="AA630" s="89"/>
    </row>
    <row r="631" spans="1:27" ht="13.8">
      <c r="A631" s="89"/>
      <c r="B631" s="89"/>
      <c r="C631" s="89"/>
      <c r="D631" s="89"/>
      <c r="E631" s="89"/>
      <c r="F631" s="110"/>
      <c r="G631" s="89"/>
      <c r="H631" s="89"/>
      <c r="I631" s="89"/>
      <c r="J631" s="89"/>
      <c r="K631" s="89"/>
      <c r="L631" s="89"/>
      <c r="M631" s="89"/>
      <c r="N631" s="89"/>
      <c r="O631" s="89"/>
      <c r="P631" s="89"/>
      <c r="Q631" s="89"/>
      <c r="R631" s="89"/>
      <c r="S631" s="89"/>
      <c r="T631" s="89"/>
      <c r="U631" s="89"/>
      <c r="V631" s="89"/>
      <c r="W631" s="89"/>
      <c r="X631" s="89"/>
      <c r="Y631" s="89"/>
      <c r="Z631" s="89"/>
      <c r="AA631" s="89"/>
    </row>
    <row r="632" spans="1:27" ht="13.8">
      <c r="A632" s="89"/>
      <c r="B632" s="89"/>
      <c r="C632" s="89"/>
      <c r="D632" s="89"/>
      <c r="E632" s="89"/>
      <c r="F632" s="110"/>
      <c r="G632" s="89"/>
      <c r="H632" s="89"/>
      <c r="I632" s="89"/>
      <c r="J632" s="89"/>
      <c r="K632" s="89"/>
      <c r="L632" s="89"/>
      <c r="M632" s="89"/>
      <c r="N632" s="89"/>
      <c r="O632" s="89"/>
      <c r="P632" s="89"/>
      <c r="Q632" s="89"/>
      <c r="R632" s="89"/>
      <c r="S632" s="89"/>
      <c r="T632" s="89"/>
      <c r="U632" s="89"/>
      <c r="V632" s="89"/>
      <c r="W632" s="89"/>
      <c r="X632" s="89"/>
      <c r="Y632" s="89"/>
      <c r="Z632" s="89"/>
      <c r="AA632" s="89"/>
    </row>
    <row r="633" spans="1:27" ht="13.8">
      <c r="A633" s="89"/>
      <c r="B633" s="89"/>
      <c r="C633" s="89"/>
      <c r="D633" s="89"/>
      <c r="E633" s="89"/>
      <c r="F633" s="110"/>
      <c r="G633" s="89"/>
      <c r="H633" s="89"/>
      <c r="I633" s="89"/>
      <c r="J633" s="89"/>
      <c r="K633" s="89"/>
      <c r="L633" s="89"/>
      <c r="M633" s="89"/>
      <c r="N633" s="89"/>
      <c r="O633" s="89"/>
      <c r="P633" s="89"/>
      <c r="Q633" s="89"/>
      <c r="R633" s="89"/>
      <c r="S633" s="89"/>
      <c r="T633" s="89"/>
      <c r="U633" s="89"/>
      <c r="V633" s="89"/>
      <c r="W633" s="89"/>
      <c r="X633" s="89"/>
      <c r="Y633" s="89"/>
      <c r="Z633" s="89"/>
      <c r="AA633" s="89"/>
    </row>
    <row r="634" spans="1:27" ht="13.8">
      <c r="A634" s="89"/>
      <c r="B634" s="89"/>
      <c r="C634" s="89"/>
      <c r="D634" s="89"/>
      <c r="E634" s="89"/>
      <c r="F634" s="110"/>
      <c r="G634" s="89"/>
      <c r="H634" s="89"/>
      <c r="I634" s="89"/>
      <c r="J634" s="89"/>
      <c r="K634" s="89"/>
      <c r="L634" s="89"/>
      <c r="M634" s="89"/>
      <c r="N634" s="89"/>
      <c r="O634" s="89"/>
      <c r="P634" s="89"/>
      <c r="Q634" s="89"/>
      <c r="R634" s="89"/>
      <c r="S634" s="89"/>
      <c r="T634" s="89"/>
      <c r="U634" s="89"/>
      <c r="V634" s="89"/>
      <c r="W634" s="89"/>
      <c r="X634" s="89"/>
      <c r="Y634" s="89"/>
      <c r="Z634" s="89"/>
      <c r="AA634" s="89"/>
    </row>
    <row r="635" spans="1:27" ht="13.8">
      <c r="A635" s="89"/>
      <c r="B635" s="89"/>
      <c r="C635" s="89"/>
      <c r="D635" s="89"/>
      <c r="E635" s="89"/>
      <c r="F635" s="110"/>
      <c r="G635" s="89"/>
      <c r="H635" s="89"/>
      <c r="I635" s="89"/>
      <c r="J635" s="89"/>
      <c r="K635" s="89"/>
      <c r="L635" s="89"/>
      <c r="M635" s="89"/>
      <c r="N635" s="89"/>
      <c r="O635" s="89"/>
      <c r="P635" s="89"/>
      <c r="Q635" s="89"/>
      <c r="R635" s="89"/>
      <c r="S635" s="89"/>
      <c r="T635" s="89"/>
      <c r="U635" s="89"/>
      <c r="V635" s="89"/>
      <c r="W635" s="89"/>
      <c r="X635" s="89"/>
      <c r="Y635" s="89"/>
      <c r="Z635" s="89"/>
      <c r="AA635" s="89"/>
    </row>
    <row r="636" spans="1:27" ht="13.8">
      <c r="A636" s="89"/>
      <c r="B636" s="89"/>
      <c r="C636" s="89"/>
      <c r="D636" s="89"/>
      <c r="E636" s="89"/>
      <c r="F636" s="110"/>
      <c r="G636" s="89"/>
      <c r="H636" s="89"/>
      <c r="I636" s="89"/>
      <c r="J636" s="89"/>
      <c r="K636" s="89"/>
      <c r="L636" s="89"/>
      <c r="M636" s="89"/>
      <c r="N636" s="89"/>
      <c r="O636" s="89"/>
      <c r="P636" s="89"/>
      <c r="Q636" s="89"/>
      <c r="R636" s="89"/>
      <c r="S636" s="89"/>
      <c r="T636" s="89"/>
      <c r="U636" s="89"/>
      <c r="V636" s="89"/>
      <c r="W636" s="89"/>
      <c r="X636" s="89"/>
      <c r="Y636" s="89"/>
      <c r="Z636" s="89"/>
      <c r="AA636" s="89"/>
    </row>
    <row r="637" spans="1:27" ht="13.8">
      <c r="A637" s="89"/>
      <c r="B637" s="89"/>
      <c r="C637" s="89"/>
      <c r="D637" s="89"/>
      <c r="E637" s="89"/>
      <c r="F637" s="110"/>
      <c r="G637" s="89"/>
      <c r="H637" s="89"/>
      <c r="I637" s="89"/>
      <c r="J637" s="89"/>
      <c r="K637" s="89"/>
      <c r="L637" s="89"/>
      <c r="M637" s="89"/>
      <c r="N637" s="89"/>
      <c r="O637" s="89"/>
      <c r="P637" s="89"/>
      <c r="Q637" s="89"/>
      <c r="R637" s="89"/>
      <c r="S637" s="89"/>
      <c r="T637" s="89"/>
      <c r="U637" s="89"/>
      <c r="V637" s="89"/>
      <c r="W637" s="89"/>
      <c r="X637" s="89"/>
      <c r="Y637" s="89"/>
      <c r="Z637" s="89"/>
      <c r="AA637" s="89"/>
    </row>
    <row r="638" spans="1:27" ht="13.8">
      <c r="A638" s="89"/>
      <c r="B638" s="89"/>
      <c r="C638" s="89"/>
      <c r="D638" s="89"/>
      <c r="E638" s="89"/>
      <c r="F638" s="110"/>
      <c r="G638" s="89"/>
      <c r="H638" s="89"/>
      <c r="I638" s="89"/>
      <c r="J638" s="89"/>
      <c r="K638" s="89"/>
      <c r="L638" s="89"/>
      <c r="M638" s="89"/>
      <c r="N638" s="89"/>
      <c r="O638" s="89"/>
      <c r="P638" s="89"/>
      <c r="Q638" s="89"/>
      <c r="R638" s="89"/>
      <c r="S638" s="89"/>
      <c r="T638" s="89"/>
      <c r="U638" s="89"/>
      <c r="V638" s="89"/>
      <c r="W638" s="89"/>
      <c r="X638" s="89"/>
      <c r="Y638" s="89"/>
      <c r="Z638" s="89"/>
      <c r="AA638" s="89"/>
    </row>
    <row r="639" spans="1:27" ht="13.8">
      <c r="A639" s="89"/>
      <c r="B639" s="89"/>
      <c r="C639" s="89"/>
      <c r="D639" s="89"/>
      <c r="E639" s="89"/>
      <c r="F639" s="110"/>
      <c r="G639" s="89"/>
      <c r="H639" s="89"/>
      <c r="I639" s="89"/>
      <c r="J639" s="89"/>
      <c r="K639" s="89"/>
      <c r="L639" s="89"/>
      <c r="M639" s="89"/>
      <c r="N639" s="89"/>
      <c r="O639" s="89"/>
      <c r="P639" s="89"/>
      <c r="Q639" s="89"/>
      <c r="R639" s="89"/>
      <c r="S639" s="89"/>
      <c r="T639" s="89"/>
      <c r="U639" s="89"/>
      <c r="V639" s="89"/>
      <c r="W639" s="89"/>
      <c r="X639" s="89"/>
      <c r="Y639" s="89"/>
      <c r="Z639" s="89"/>
      <c r="AA639" s="89"/>
    </row>
    <row r="640" spans="1:27" ht="13.8">
      <c r="A640" s="89"/>
      <c r="B640" s="89"/>
      <c r="C640" s="89"/>
      <c r="D640" s="89"/>
      <c r="E640" s="89"/>
      <c r="F640" s="110"/>
      <c r="G640" s="89"/>
      <c r="H640" s="89"/>
      <c r="I640" s="89"/>
      <c r="J640" s="89"/>
      <c r="K640" s="89"/>
      <c r="L640" s="89"/>
      <c r="M640" s="89"/>
      <c r="N640" s="89"/>
      <c r="O640" s="89"/>
      <c r="P640" s="89"/>
      <c r="Q640" s="89"/>
      <c r="R640" s="89"/>
      <c r="S640" s="89"/>
      <c r="T640" s="89"/>
      <c r="U640" s="89"/>
      <c r="V640" s="89"/>
      <c r="W640" s="89"/>
      <c r="X640" s="89"/>
      <c r="Y640" s="89"/>
      <c r="Z640" s="89"/>
      <c r="AA640" s="89"/>
    </row>
    <row r="641" spans="1:27" ht="13.8">
      <c r="A641" s="89"/>
      <c r="B641" s="89"/>
      <c r="C641" s="89"/>
      <c r="D641" s="89"/>
      <c r="E641" s="89"/>
      <c r="F641" s="110"/>
      <c r="G641" s="89"/>
      <c r="H641" s="89"/>
      <c r="I641" s="89"/>
      <c r="J641" s="89"/>
      <c r="K641" s="89"/>
      <c r="L641" s="89"/>
      <c r="M641" s="89"/>
      <c r="N641" s="89"/>
      <c r="O641" s="89"/>
      <c r="P641" s="89"/>
      <c r="Q641" s="89"/>
      <c r="R641" s="89"/>
      <c r="S641" s="89"/>
      <c r="T641" s="89"/>
      <c r="U641" s="89"/>
      <c r="V641" s="89"/>
      <c r="W641" s="89"/>
      <c r="X641" s="89"/>
      <c r="Y641" s="89"/>
      <c r="Z641" s="89"/>
      <c r="AA641" s="89"/>
    </row>
    <row r="642" spans="1:27" ht="13.8">
      <c r="A642" s="89"/>
      <c r="B642" s="89"/>
      <c r="C642" s="89"/>
      <c r="D642" s="89"/>
      <c r="E642" s="89"/>
      <c r="F642" s="110"/>
      <c r="G642" s="89"/>
      <c r="H642" s="89"/>
      <c r="I642" s="89"/>
      <c r="J642" s="89"/>
      <c r="K642" s="89"/>
      <c r="L642" s="89"/>
      <c r="M642" s="89"/>
      <c r="N642" s="89"/>
      <c r="O642" s="89"/>
      <c r="P642" s="89"/>
      <c r="Q642" s="89"/>
      <c r="R642" s="89"/>
      <c r="S642" s="89"/>
      <c r="T642" s="89"/>
      <c r="U642" s="89"/>
      <c r="V642" s="89"/>
      <c r="W642" s="89"/>
      <c r="X642" s="89"/>
      <c r="Y642" s="89"/>
      <c r="Z642" s="89"/>
      <c r="AA642" s="89"/>
    </row>
    <row r="643" spans="1:27" ht="13.8">
      <c r="A643" s="89"/>
      <c r="B643" s="89"/>
      <c r="C643" s="89"/>
      <c r="D643" s="89"/>
      <c r="E643" s="89"/>
      <c r="F643" s="110"/>
      <c r="G643" s="89"/>
      <c r="H643" s="89"/>
      <c r="I643" s="89"/>
      <c r="J643" s="89"/>
      <c r="K643" s="89"/>
      <c r="L643" s="89"/>
      <c r="M643" s="89"/>
      <c r="N643" s="89"/>
      <c r="O643" s="89"/>
      <c r="P643" s="89"/>
      <c r="Q643" s="89"/>
      <c r="R643" s="89"/>
      <c r="S643" s="89"/>
      <c r="T643" s="89"/>
      <c r="U643" s="89"/>
      <c r="V643" s="89"/>
      <c r="W643" s="89"/>
      <c r="X643" s="89"/>
      <c r="Y643" s="89"/>
      <c r="Z643" s="89"/>
      <c r="AA643" s="89"/>
    </row>
    <row r="644" spans="1:27" ht="13.8">
      <c r="A644" s="89"/>
      <c r="B644" s="89"/>
      <c r="C644" s="89"/>
      <c r="D644" s="89"/>
      <c r="E644" s="89"/>
      <c r="F644" s="110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</row>
    <row r="645" spans="1:27" ht="13.8">
      <c r="A645" s="89"/>
      <c r="B645" s="89"/>
      <c r="C645" s="89"/>
      <c r="D645" s="89"/>
      <c r="E645" s="89"/>
      <c r="F645" s="110"/>
      <c r="G645" s="89"/>
      <c r="H645" s="89"/>
      <c r="I645" s="89"/>
      <c r="J645" s="89"/>
      <c r="K645" s="89"/>
      <c r="L645" s="89"/>
      <c r="M645" s="89"/>
      <c r="N645" s="89"/>
      <c r="O645" s="89"/>
      <c r="P645" s="89"/>
      <c r="Q645" s="89"/>
      <c r="R645" s="89"/>
      <c r="S645" s="89"/>
      <c r="T645" s="89"/>
      <c r="U645" s="89"/>
      <c r="V645" s="89"/>
      <c r="W645" s="89"/>
      <c r="X645" s="89"/>
      <c r="Y645" s="89"/>
      <c r="Z645" s="89"/>
      <c r="AA645" s="89"/>
    </row>
    <row r="646" spans="1:27" ht="13.8">
      <c r="A646" s="89"/>
      <c r="B646" s="89"/>
      <c r="C646" s="89"/>
      <c r="D646" s="89"/>
      <c r="E646" s="89"/>
      <c r="F646" s="110"/>
      <c r="G646" s="89"/>
      <c r="H646" s="89"/>
      <c r="I646" s="89"/>
      <c r="J646" s="89"/>
      <c r="K646" s="89"/>
      <c r="L646" s="89"/>
      <c r="M646" s="89"/>
      <c r="N646" s="89"/>
      <c r="O646" s="89"/>
      <c r="P646" s="89"/>
      <c r="Q646" s="89"/>
      <c r="R646" s="89"/>
      <c r="S646" s="89"/>
      <c r="T646" s="89"/>
      <c r="U646" s="89"/>
      <c r="V646" s="89"/>
      <c r="W646" s="89"/>
      <c r="X646" s="89"/>
      <c r="Y646" s="89"/>
      <c r="Z646" s="89"/>
      <c r="AA646" s="89"/>
    </row>
    <row r="647" spans="1:27" ht="13.8">
      <c r="A647" s="89"/>
      <c r="B647" s="89"/>
      <c r="C647" s="89"/>
      <c r="D647" s="89"/>
      <c r="E647" s="89"/>
      <c r="F647" s="110"/>
      <c r="G647" s="89"/>
      <c r="H647" s="89"/>
      <c r="I647" s="89"/>
      <c r="J647" s="89"/>
      <c r="K647" s="89"/>
      <c r="L647" s="89"/>
      <c r="M647" s="89"/>
      <c r="N647" s="89"/>
      <c r="O647" s="89"/>
      <c r="P647" s="89"/>
      <c r="Q647" s="89"/>
      <c r="R647" s="89"/>
      <c r="S647" s="89"/>
      <c r="T647" s="89"/>
      <c r="U647" s="89"/>
      <c r="V647" s="89"/>
      <c r="W647" s="89"/>
      <c r="X647" s="89"/>
      <c r="Y647" s="89"/>
      <c r="Z647" s="89"/>
      <c r="AA647" s="89"/>
    </row>
    <row r="648" spans="1:27" ht="13.8">
      <c r="A648" s="89"/>
      <c r="B648" s="89"/>
      <c r="C648" s="89"/>
      <c r="D648" s="89"/>
      <c r="E648" s="89"/>
      <c r="F648" s="110"/>
      <c r="G648" s="89"/>
      <c r="H648" s="89"/>
      <c r="I648" s="89"/>
      <c r="J648" s="89"/>
      <c r="K648" s="89"/>
      <c r="L648" s="89"/>
      <c r="M648" s="89"/>
      <c r="N648" s="89"/>
      <c r="O648" s="89"/>
      <c r="P648" s="89"/>
      <c r="Q648" s="89"/>
      <c r="R648" s="89"/>
      <c r="S648" s="89"/>
      <c r="T648" s="89"/>
      <c r="U648" s="89"/>
      <c r="V648" s="89"/>
      <c r="W648" s="89"/>
      <c r="X648" s="89"/>
      <c r="Y648" s="89"/>
      <c r="Z648" s="89"/>
      <c r="AA648" s="89"/>
    </row>
    <row r="649" spans="1:27" ht="13.8">
      <c r="A649" s="89"/>
      <c r="B649" s="89"/>
      <c r="C649" s="89"/>
      <c r="D649" s="89"/>
      <c r="E649" s="89"/>
      <c r="F649" s="110"/>
      <c r="G649" s="89"/>
      <c r="H649" s="89"/>
      <c r="I649" s="89"/>
      <c r="J649" s="89"/>
      <c r="K649" s="89"/>
      <c r="L649" s="89"/>
      <c r="M649" s="89"/>
      <c r="N649" s="89"/>
      <c r="O649" s="89"/>
      <c r="P649" s="89"/>
      <c r="Q649" s="89"/>
      <c r="R649" s="89"/>
      <c r="S649" s="89"/>
      <c r="T649" s="89"/>
      <c r="U649" s="89"/>
      <c r="V649" s="89"/>
      <c r="W649" s="89"/>
      <c r="X649" s="89"/>
      <c r="Y649" s="89"/>
      <c r="Z649" s="89"/>
      <c r="AA649" s="89"/>
    </row>
    <row r="650" spans="1:27" ht="13.8">
      <c r="A650" s="89"/>
      <c r="B650" s="89"/>
      <c r="C650" s="89"/>
      <c r="D650" s="89"/>
      <c r="E650" s="89"/>
      <c r="F650" s="110"/>
      <c r="G650" s="89"/>
      <c r="H650" s="89"/>
      <c r="I650" s="89"/>
      <c r="J650" s="89"/>
      <c r="K650" s="89"/>
      <c r="L650" s="89"/>
      <c r="M650" s="89"/>
      <c r="N650" s="89"/>
      <c r="O650" s="89"/>
      <c r="P650" s="89"/>
      <c r="Q650" s="89"/>
      <c r="R650" s="89"/>
      <c r="S650" s="89"/>
      <c r="T650" s="89"/>
      <c r="U650" s="89"/>
      <c r="V650" s="89"/>
      <c r="W650" s="89"/>
      <c r="X650" s="89"/>
      <c r="Y650" s="89"/>
      <c r="Z650" s="89"/>
      <c r="AA650" s="89"/>
    </row>
    <row r="651" spans="1:27" ht="13.8">
      <c r="A651" s="89"/>
      <c r="B651" s="89"/>
      <c r="C651" s="89"/>
      <c r="D651" s="89"/>
      <c r="E651" s="89"/>
      <c r="F651" s="110"/>
      <c r="G651" s="89"/>
      <c r="H651" s="89"/>
      <c r="I651" s="89"/>
      <c r="J651" s="89"/>
      <c r="K651" s="89"/>
      <c r="L651" s="89"/>
      <c r="M651" s="89"/>
      <c r="N651" s="89"/>
      <c r="O651" s="89"/>
      <c r="P651" s="89"/>
      <c r="Q651" s="89"/>
      <c r="R651" s="89"/>
      <c r="S651" s="89"/>
      <c r="T651" s="89"/>
      <c r="U651" s="89"/>
      <c r="V651" s="89"/>
      <c r="W651" s="89"/>
      <c r="X651" s="89"/>
      <c r="Y651" s="89"/>
      <c r="Z651" s="89"/>
      <c r="AA651" s="89"/>
    </row>
    <row r="652" spans="1:27" ht="13.8">
      <c r="A652" s="89"/>
      <c r="B652" s="89"/>
      <c r="C652" s="89"/>
      <c r="D652" s="89"/>
      <c r="E652" s="89"/>
      <c r="F652" s="110"/>
      <c r="G652" s="89"/>
      <c r="H652" s="89"/>
      <c r="I652" s="89"/>
      <c r="J652" s="89"/>
      <c r="K652" s="89"/>
      <c r="L652" s="89"/>
      <c r="M652" s="89"/>
      <c r="N652" s="89"/>
      <c r="O652" s="89"/>
      <c r="P652" s="89"/>
      <c r="Q652" s="89"/>
      <c r="R652" s="89"/>
      <c r="S652" s="89"/>
      <c r="T652" s="89"/>
      <c r="U652" s="89"/>
      <c r="V652" s="89"/>
      <c r="W652" s="89"/>
      <c r="X652" s="89"/>
      <c r="Y652" s="89"/>
      <c r="Z652" s="89"/>
      <c r="AA652" s="89"/>
    </row>
    <row r="653" spans="1:27" ht="13.8">
      <c r="A653" s="89"/>
      <c r="B653" s="89"/>
      <c r="C653" s="89"/>
      <c r="D653" s="89"/>
      <c r="E653" s="89"/>
      <c r="F653" s="110"/>
      <c r="G653" s="89"/>
      <c r="H653" s="89"/>
      <c r="I653" s="89"/>
      <c r="J653" s="89"/>
      <c r="K653" s="89"/>
      <c r="L653" s="89"/>
      <c r="M653" s="89"/>
      <c r="N653" s="89"/>
      <c r="O653" s="89"/>
      <c r="P653" s="89"/>
      <c r="Q653" s="89"/>
      <c r="R653" s="89"/>
      <c r="S653" s="89"/>
      <c r="T653" s="89"/>
      <c r="U653" s="89"/>
      <c r="V653" s="89"/>
      <c r="W653" s="89"/>
      <c r="X653" s="89"/>
      <c r="Y653" s="89"/>
      <c r="Z653" s="89"/>
      <c r="AA653" s="89"/>
    </row>
    <row r="654" spans="1:27" ht="13.8">
      <c r="A654" s="89"/>
      <c r="B654" s="89"/>
      <c r="C654" s="89"/>
      <c r="D654" s="89"/>
      <c r="E654" s="89"/>
      <c r="F654" s="110"/>
      <c r="G654" s="89"/>
      <c r="H654" s="89"/>
      <c r="I654" s="89"/>
      <c r="J654" s="89"/>
      <c r="K654" s="89"/>
      <c r="L654" s="89"/>
      <c r="M654" s="89"/>
      <c r="N654" s="89"/>
      <c r="O654" s="89"/>
      <c r="P654" s="89"/>
      <c r="Q654" s="89"/>
      <c r="R654" s="89"/>
      <c r="S654" s="89"/>
      <c r="T654" s="89"/>
      <c r="U654" s="89"/>
      <c r="V654" s="89"/>
      <c r="W654" s="89"/>
      <c r="X654" s="89"/>
      <c r="Y654" s="89"/>
      <c r="Z654" s="89"/>
      <c r="AA654" s="89"/>
    </row>
    <row r="655" spans="1:27" ht="13.8">
      <c r="A655" s="89"/>
      <c r="B655" s="89"/>
      <c r="C655" s="89"/>
      <c r="D655" s="89"/>
      <c r="E655" s="89"/>
      <c r="F655" s="110"/>
      <c r="G655" s="89"/>
      <c r="H655" s="89"/>
      <c r="I655" s="89"/>
      <c r="J655" s="89"/>
      <c r="K655" s="89"/>
      <c r="L655" s="89"/>
      <c r="M655" s="89"/>
      <c r="N655" s="89"/>
      <c r="O655" s="89"/>
      <c r="P655" s="89"/>
      <c r="Q655" s="89"/>
      <c r="R655" s="89"/>
      <c r="S655" s="89"/>
      <c r="T655" s="89"/>
      <c r="U655" s="89"/>
      <c r="V655" s="89"/>
      <c r="W655" s="89"/>
      <c r="X655" s="89"/>
      <c r="Y655" s="89"/>
      <c r="Z655" s="89"/>
      <c r="AA655" s="89"/>
    </row>
    <row r="656" spans="1:27" ht="13.8">
      <c r="A656" s="89"/>
      <c r="B656" s="89"/>
      <c r="C656" s="89"/>
      <c r="D656" s="89"/>
      <c r="E656" s="89"/>
      <c r="F656" s="110"/>
      <c r="G656" s="89"/>
      <c r="H656" s="89"/>
      <c r="I656" s="89"/>
      <c r="J656" s="89"/>
      <c r="K656" s="89"/>
      <c r="L656" s="89"/>
      <c r="M656" s="89"/>
      <c r="N656" s="89"/>
      <c r="O656" s="89"/>
      <c r="P656" s="89"/>
      <c r="Q656" s="89"/>
      <c r="R656" s="89"/>
      <c r="S656" s="89"/>
      <c r="T656" s="89"/>
      <c r="U656" s="89"/>
      <c r="V656" s="89"/>
      <c r="W656" s="89"/>
      <c r="X656" s="89"/>
      <c r="Y656" s="89"/>
      <c r="Z656" s="89"/>
      <c r="AA656" s="89"/>
    </row>
    <row r="657" spans="1:27" ht="13.8">
      <c r="A657" s="89"/>
      <c r="B657" s="89"/>
      <c r="C657" s="89"/>
      <c r="D657" s="89"/>
      <c r="E657" s="89"/>
      <c r="F657" s="110"/>
      <c r="G657" s="89"/>
      <c r="H657" s="89"/>
      <c r="I657" s="89"/>
      <c r="J657" s="89"/>
      <c r="K657" s="89"/>
      <c r="L657" s="89"/>
      <c r="M657" s="89"/>
      <c r="N657" s="89"/>
      <c r="O657" s="89"/>
      <c r="P657" s="89"/>
      <c r="Q657" s="89"/>
      <c r="R657" s="89"/>
      <c r="S657" s="89"/>
      <c r="T657" s="89"/>
      <c r="U657" s="89"/>
      <c r="V657" s="89"/>
      <c r="W657" s="89"/>
      <c r="X657" s="89"/>
      <c r="Y657" s="89"/>
      <c r="Z657" s="89"/>
      <c r="AA657" s="89"/>
    </row>
    <row r="658" spans="1:27" ht="13.8">
      <c r="A658" s="89"/>
      <c r="B658" s="89"/>
      <c r="C658" s="89"/>
      <c r="D658" s="89"/>
      <c r="E658" s="89"/>
      <c r="F658" s="110"/>
      <c r="G658" s="89"/>
      <c r="H658" s="89"/>
      <c r="I658" s="89"/>
      <c r="J658" s="89"/>
      <c r="K658" s="89"/>
      <c r="L658" s="89"/>
      <c r="M658" s="89"/>
      <c r="N658" s="89"/>
      <c r="O658" s="89"/>
      <c r="P658" s="89"/>
      <c r="Q658" s="89"/>
      <c r="R658" s="89"/>
      <c r="S658" s="89"/>
      <c r="T658" s="89"/>
      <c r="U658" s="89"/>
      <c r="V658" s="89"/>
      <c r="W658" s="89"/>
      <c r="X658" s="89"/>
      <c r="Y658" s="89"/>
      <c r="Z658" s="89"/>
      <c r="AA658" s="89"/>
    </row>
    <row r="659" spans="1:27" ht="13.8">
      <c r="A659" s="89"/>
      <c r="B659" s="89"/>
      <c r="C659" s="89"/>
      <c r="D659" s="89"/>
      <c r="E659" s="89"/>
      <c r="F659" s="110"/>
      <c r="G659" s="89"/>
      <c r="H659" s="89"/>
      <c r="I659" s="89"/>
      <c r="J659" s="89"/>
      <c r="K659" s="89"/>
      <c r="L659" s="89"/>
      <c r="M659" s="89"/>
      <c r="N659" s="89"/>
      <c r="O659" s="89"/>
      <c r="P659" s="89"/>
      <c r="Q659" s="89"/>
      <c r="R659" s="89"/>
      <c r="S659" s="89"/>
      <c r="T659" s="89"/>
      <c r="U659" s="89"/>
      <c r="V659" s="89"/>
      <c r="W659" s="89"/>
      <c r="X659" s="89"/>
      <c r="Y659" s="89"/>
      <c r="Z659" s="89"/>
      <c r="AA659" s="89"/>
    </row>
    <row r="660" spans="1:27" ht="13.8">
      <c r="A660" s="89"/>
      <c r="B660" s="89"/>
      <c r="C660" s="89"/>
      <c r="D660" s="89"/>
      <c r="E660" s="89"/>
      <c r="F660" s="110"/>
      <c r="G660" s="89"/>
      <c r="H660" s="89"/>
      <c r="I660" s="89"/>
      <c r="J660" s="89"/>
      <c r="K660" s="89"/>
      <c r="L660" s="89"/>
      <c r="M660" s="89"/>
      <c r="N660" s="89"/>
      <c r="O660" s="89"/>
      <c r="P660" s="89"/>
      <c r="Q660" s="89"/>
      <c r="R660" s="89"/>
      <c r="S660" s="89"/>
      <c r="T660" s="89"/>
      <c r="U660" s="89"/>
      <c r="V660" s="89"/>
      <c r="W660" s="89"/>
      <c r="X660" s="89"/>
      <c r="Y660" s="89"/>
      <c r="Z660" s="89"/>
      <c r="AA660" s="89"/>
    </row>
    <row r="661" spans="1:27" ht="13.8">
      <c r="A661" s="89"/>
      <c r="B661" s="89"/>
      <c r="C661" s="89"/>
      <c r="D661" s="89"/>
      <c r="E661" s="89"/>
      <c r="F661" s="110"/>
      <c r="G661" s="89"/>
      <c r="H661" s="89"/>
      <c r="I661" s="89"/>
      <c r="J661" s="89"/>
      <c r="K661" s="89"/>
      <c r="L661" s="89"/>
      <c r="M661" s="89"/>
      <c r="N661" s="89"/>
      <c r="O661" s="89"/>
      <c r="P661" s="89"/>
      <c r="Q661" s="89"/>
      <c r="R661" s="89"/>
      <c r="S661" s="89"/>
      <c r="T661" s="89"/>
      <c r="U661" s="89"/>
      <c r="V661" s="89"/>
      <c r="W661" s="89"/>
      <c r="X661" s="89"/>
      <c r="Y661" s="89"/>
      <c r="Z661" s="89"/>
      <c r="AA661" s="89"/>
    </row>
    <row r="662" spans="1:27" ht="13.8">
      <c r="A662" s="89"/>
      <c r="B662" s="89"/>
      <c r="C662" s="89"/>
      <c r="D662" s="89"/>
      <c r="E662" s="89"/>
      <c r="F662" s="110"/>
      <c r="G662" s="89"/>
      <c r="H662" s="89"/>
      <c r="I662" s="89"/>
      <c r="J662" s="89"/>
      <c r="K662" s="89"/>
      <c r="L662" s="89"/>
      <c r="M662" s="89"/>
      <c r="N662" s="89"/>
      <c r="O662" s="89"/>
      <c r="P662" s="89"/>
      <c r="Q662" s="89"/>
      <c r="R662" s="89"/>
      <c r="S662" s="89"/>
      <c r="T662" s="89"/>
      <c r="U662" s="89"/>
      <c r="V662" s="89"/>
      <c r="W662" s="89"/>
      <c r="X662" s="89"/>
      <c r="Y662" s="89"/>
      <c r="Z662" s="89"/>
      <c r="AA662" s="89"/>
    </row>
    <row r="663" spans="1:27" ht="13.8">
      <c r="A663" s="89"/>
      <c r="B663" s="89"/>
      <c r="C663" s="89"/>
      <c r="D663" s="89"/>
      <c r="E663" s="89"/>
      <c r="F663" s="110"/>
      <c r="G663" s="89"/>
      <c r="H663" s="89"/>
      <c r="I663" s="89"/>
      <c r="J663" s="89"/>
      <c r="K663" s="89"/>
      <c r="L663" s="89"/>
      <c r="M663" s="89"/>
      <c r="N663" s="89"/>
      <c r="O663" s="89"/>
      <c r="P663" s="89"/>
      <c r="Q663" s="89"/>
      <c r="R663" s="89"/>
      <c r="S663" s="89"/>
      <c r="T663" s="89"/>
      <c r="U663" s="89"/>
      <c r="V663" s="89"/>
      <c r="W663" s="89"/>
      <c r="X663" s="89"/>
      <c r="Y663" s="89"/>
      <c r="Z663" s="89"/>
      <c r="AA663" s="89"/>
    </row>
    <row r="664" spans="1:27" ht="13.8">
      <c r="A664" s="89"/>
      <c r="B664" s="89"/>
      <c r="C664" s="89"/>
      <c r="D664" s="89"/>
      <c r="E664" s="89"/>
      <c r="F664" s="110"/>
      <c r="G664" s="89"/>
      <c r="H664" s="89"/>
      <c r="I664" s="89"/>
      <c r="J664" s="89"/>
      <c r="K664" s="89"/>
      <c r="L664" s="89"/>
      <c r="M664" s="89"/>
      <c r="N664" s="89"/>
      <c r="O664" s="89"/>
      <c r="P664" s="89"/>
      <c r="Q664" s="89"/>
      <c r="R664" s="89"/>
      <c r="S664" s="89"/>
      <c r="T664" s="89"/>
      <c r="U664" s="89"/>
      <c r="V664" s="89"/>
      <c r="W664" s="89"/>
      <c r="X664" s="89"/>
      <c r="Y664" s="89"/>
      <c r="Z664" s="89"/>
      <c r="AA664" s="89"/>
    </row>
    <row r="665" spans="1:27" ht="13.8">
      <c r="A665" s="89"/>
      <c r="B665" s="89"/>
      <c r="C665" s="89"/>
      <c r="D665" s="89"/>
      <c r="E665" s="89"/>
      <c r="F665" s="110"/>
      <c r="G665" s="89"/>
      <c r="H665" s="89"/>
      <c r="I665" s="89"/>
      <c r="J665" s="89"/>
      <c r="K665" s="89"/>
      <c r="L665" s="89"/>
      <c r="M665" s="89"/>
      <c r="N665" s="89"/>
      <c r="O665" s="89"/>
      <c r="P665" s="89"/>
      <c r="Q665" s="89"/>
      <c r="R665" s="89"/>
      <c r="S665" s="89"/>
      <c r="T665" s="89"/>
      <c r="U665" s="89"/>
      <c r="V665" s="89"/>
      <c r="W665" s="89"/>
      <c r="X665" s="89"/>
      <c r="Y665" s="89"/>
      <c r="Z665" s="89"/>
      <c r="AA665" s="89"/>
    </row>
    <row r="666" spans="1:27" ht="13.8">
      <c r="A666" s="89"/>
      <c r="B666" s="89"/>
      <c r="C666" s="89"/>
      <c r="D666" s="89"/>
      <c r="E666" s="89"/>
      <c r="F666" s="110"/>
      <c r="G666" s="89"/>
      <c r="H666" s="89"/>
      <c r="I666" s="89"/>
      <c r="J666" s="89"/>
      <c r="K666" s="89"/>
      <c r="L666" s="89"/>
      <c r="M666" s="89"/>
      <c r="N666" s="89"/>
      <c r="O666" s="89"/>
      <c r="P666" s="89"/>
      <c r="Q666" s="89"/>
      <c r="R666" s="89"/>
      <c r="S666" s="89"/>
      <c r="T666" s="89"/>
      <c r="U666" s="89"/>
      <c r="V666" s="89"/>
      <c r="W666" s="89"/>
      <c r="X666" s="89"/>
      <c r="Y666" s="89"/>
      <c r="Z666" s="89"/>
      <c r="AA666" s="89"/>
    </row>
    <row r="667" spans="1:27" ht="13.8">
      <c r="A667" s="89"/>
      <c r="B667" s="89"/>
      <c r="C667" s="89"/>
      <c r="D667" s="89"/>
      <c r="E667" s="89"/>
      <c r="F667" s="110"/>
      <c r="G667" s="89"/>
      <c r="H667" s="89"/>
      <c r="I667" s="89"/>
      <c r="J667" s="89"/>
      <c r="K667" s="89"/>
      <c r="L667" s="89"/>
      <c r="M667" s="89"/>
      <c r="N667" s="89"/>
      <c r="O667" s="89"/>
      <c r="P667" s="89"/>
      <c r="Q667" s="89"/>
      <c r="R667" s="89"/>
      <c r="S667" s="89"/>
      <c r="T667" s="89"/>
      <c r="U667" s="89"/>
      <c r="V667" s="89"/>
      <c r="W667" s="89"/>
      <c r="X667" s="89"/>
      <c r="Y667" s="89"/>
      <c r="Z667" s="89"/>
      <c r="AA667" s="89"/>
    </row>
    <row r="668" spans="1:27" ht="13.8">
      <c r="A668" s="89"/>
      <c r="B668" s="89"/>
      <c r="C668" s="89"/>
      <c r="D668" s="89"/>
      <c r="E668" s="89"/>
      <c r="F668" s="110"/>
      <c r="G668" s="89"/>
      <c r="H668" s="89"/>
      <c r="I668" s="89"/>
      <c r="J668" s="89"/>
      <c r="K668" s="89"/>
      <c r="L668" s="89"/>
      <c r="M668" s="89"/>
      <c r="N668" s="89"/>
      <c r="O668" s="89"/>
      <c r="P668" s="89"/>
      <c r="Q668" s="89"/>
      <c r="R668" s="89"/>
      <c r="S668" s="89"/>
      <c r="T668" s="89"/>
      <c r="U668" s="89"/>
      <c r="V668" s="89"/>
      <c r="W668" s="89"/>
      <c r="X668" s="89"/>
      <c r="Y668" s="89"/>
      <c r="Z668" s="89"/>
      <c r="AA668" s="89"/>
    </row>
    <row r="669" spans="1:27" ht="13.8">
      <c r="A669" s="89"/>
      <c r="B669" s="89"/>
      <c r="C669" s="89"/>
      <c r="D669" s="89"/>
      <c r="E669" s="89"/>
      <c r="F669" s="110"/>
      <c r="G669" s="89"/>
      <c r="H669" s="89"/>
      <c r="I669" s="89"/>
      <c r="J669" s="89"/>
      <c r="K669" s="89"/>
      <c r="L669" s="89"/>
      <c r="M669" s="89"/>
      <c r="N669" s="89"/>
      <c r="O669" s="89"/>
      <c r="P669" s="89"/>
      <c r="Q669" s="89"/>
      <c r="R669" s="89"/>
      <c r="S669" s="89"/>
      <c r="T669" s="89"/>
      <c r="U669" s="89"/>
      <c r="V669" s="89"/>
      <c r="W669" s="89"/>
      <c r="X669" s="89"/>
      <c r="Y669" s="89"/>
      <c r="Z669" s="89"/>
      <c r="AA669" s="89"/>
    </row>
    <row r="670" spans="1:27" ht="13.8">
      <c r="A670" s="89"/>
      <c r="B670" s="89"/>
      <c r="C670" s="89"/>
      <c r="D670" s="89"/>
      <c r="E670" s="89"/>
      <c r="F670" s="110"/>
      <c r="G670" s="89"/>
      <c r="H670" s="89"/>
      <c r="I670" s="89"/>
      <c r="J670" s="89"/>
      <c r="K670" s="89"/>
      <c r="L670" s="89"/>
      <c r="M670" s="89"/>
      <c r="N670" s="89"/>
      <c r="O670" s="89"/>
      <c r="P670" s="89"/>
      <c r="Q670" s="89"/>
      <c r="R670" s="89"/>
      <c r="S670" s="89"/>
      <c r="T670" s="89"/>
      <c r="U670" s="89"/>
      <c r="V670" s="89"/>
      <c r="W670" s="89"/>
      <c r="X670" s="89"/>
      <c r="Y670" s="89"/>
      <c r="Z670" s="89"/>
      <c r="AA670" s="89"/>
    </row>
    <row r="671" spans="1:27" ht="13.8">
      <c r="A671" s="89"/>
      <c r="B671" s="89"/>
      <c r="C671" s="89"/>
      <c r="D671" s="89"/>
      <c r="E671" s="89"/>
      <c r="F671" s="110"/>
      <c r="G671" s="89"/>
      <c r="H671" s="89"/>
      <c r="I671" s="89"/>
      <c r="J671" s="89"/>
      <c r="K671" s="89"/>
      <c r="L671" s="89"/>
      <c r="M671" s="89"/>
      <c r="N671" s="89"/>
      <c r="O671" s="89"/>
      <c r="P671" s="89"/>
      <c r="Q671" s="89"/>
      <c r="R671" s="89"/>
      <c r="S671" s="89"/>
      <c r="T671" s="89"/>
      <c r="U671" s="89"/>
      <c r="V671" s="89"/>
      <c r="W671" s="89"/>
      <c r="X671" s="89"/>
      <c r="Y671" s="89"/>
      <c r="Z671" s="89"/>
      <c r="AA671" s="89"/>
    </row>
    <row r="672" spans="1:27" ht="13.8">
      <c r="A672" s="89"/>
      <c r="B672" s="89"/>
      <c r="C672" s="89"/>
      <c r="D672" s="89"/>
      <c r="E672" s="89"/>
      <c r="F672" s="110"/>
      <c r="G672" s="89"/>
      <c r="H672" s="89"/>
      <c r="I672" s="89"/>
      <c r="J672" s="89"/>
      <c r="K672" s="89"/>
      <c r="L672" s="89"/>
      <c r="M672" s="89"/>
      <c r="N672" s="89"/>
      <c r="O672" s="89"/>
      <c r="P672" s="89"/>
      <c r="Q672" s="89"/>
      <c r="R672" s="89"/>
      <c r="S672" s="89"/>
      <c r="T672" s="89"/>
      <c r="U672" s="89"/>
      <c r="V672" s="89"/>
      <c r="W672" s="89"/>
      <c r="X672" s="89"/>
      <c r="Y672" s="89"/>
      <c r="Z672" s="89"/>
      <c r="AA672" s="89"/>
    </row>
    <row r="673" spans="1:27" ht="13.8">
      <c r="A673" s="89"/>
      <c r="B673" s="89"/>
      <c r="C673" s="89"/>
      <c r="D673" s="89"/>
      <c r="E673" s="89"/>
      <c r="F673" s="110"/>
      <c r="G673" s="89"/>
      <c r="H673" s="89"/>
      <c r="I673" s="89"/>
      <c r="J673" s="89"/>
      <c r="K673" s="89"/>
      <c r="L673" s="89"/>
      <c r="M673" s="89"/>
      <c r="N673" s="89"/>
      <c r="O673" s="89"/>
      <c r="P673" s="89"/>
      <c r="Q673" s="89"/>
      <c r="R673" s="89"/>
      <c r="S673" s="89"/>
      <c r="T673" s="89"/>
      <c r="U673" s="89"/>
      <c r="V673" s="89"/>
      <c r="W673" s="89"/>
      <c r="X673" s="89"/>
      <c r="Y673" s="89"/>
      <c r="Z673" s="89"/>
      <c r="AA673" s="89"/>
    </row>
    <row r="674" spans="1:27" ht="13.8">
      <c r="A674" s="89"/>
      <c r="B674" s="89"/>
      <c r="C674" s="89"/>
      <c r="D674" s="89"/>
      <c r="E674" s="89"/>
      <c r="F674" s="110"/>
      <c r="G674" s="89"/>
      <c r="H674" s="89"/>
      <c r="I674" s="89"/>
      <c r="J674" s="89"/>
      <c r="K674" s="89"/>
      <c r="L674" s="89"/>
      <c r="M674" s="89"/>
      <c r="N674" s="89"/>
      <c r="O674" s="89"/>
      <c r="P674" s="89"/>
      <c r="Q674" s="89"/>
      <c r="R674" s="89"/>
      <c r="S674" s="89"/>
      <c r="T674" s="89"/>
      <c r="U674" s="89"/>
      <c r="V674" s="89"/>
      <c r="W674" s="89"/>
      <c r="X674" s="89"/>
      <c r="Y674" s="89"/>
      <c r="Z674" s="89"/>
      <c r="AA674" s="89"/>
    </row>
    <row r="675" spans="1:27" ht="13.8">
      <c r="A675" s="89"/>
      <c r="B675" s="89"/>
      <c r="C675" s="89"/>
      <c r="D675" s="89"/>
      <c r="E675" s="89"/>
      <c r="F675" s="110"/>
      <c r="G675" s="89"/>
      <c r="H675" s="89"/>
      <c r="I675" s="89"/>
      <c r="J675" s="89"/>
      <c r="K675" s="89"/>
      <c r="L675" s="89"/>
      <c r="M675" s="89"/>
      <c r="N675" s="89"/>
      <c r="O675" s="89"/>
      <c r="P675" s="89"/>
      <c r="Q675" s="89"/>
      <c r="R675" s="89"/>
      <c r="S675" s="89"/>
      <c r="T675" s="89"/>
      <c r="U675" s="89"/>
      <c r="V675" s="89"/>
      <c r="W675" s="89"/>
      <c r="X675" s="89"/>
      <c r="Y675" s="89"/>
      <c r="Z675" s="89"/>
      <c r="AA675" s="89"/>
    </row>
    <row r="676" spans="1:27" ht="13.8">
      <c r="A676" s="89"/>
      <c r="B676" s="89"/>
      <c r="C676" s="89"/>
      <c r="D676" s="89"/>
      <c r="E676" s="89"/>
      <c r="F676" s="110"/>
      <c r="G676" s="89"/>
      <c r="H676" s="89"/>
      <c r="I676" s="89"/>
      <c r="J676" s="89"/>
      <c r="K676" s="89"/>
      <c r="L676" s="89"/>
      <c r="M676" s="89"/>
      <c r="N676" s="89"/>
      <c r="O676" s="89"/>
      <c r="P676" s="89"/>
      <c r="Q676" s="89"/>
      <c r="R676" s="89"/>
      <c r="S676" s="89"/>
      <c r="T676" s="89"/>
      <c r="U676" s="89"/>
      <c r="V676" s="89"/>
      <c r="W676" s="89"/>
      <c r="X676" s="89"/>
      <c r="Y676" s="89"/>
      <c r="Z676" s="89"/>
      <c r="AA676" s="89"/>
    </row>
    <row r="677" spans="1:27" ht="13.8">
      <c r="A677" s="89"/>
      <c r="B677" s="89"/>
      <c r="C677" s="89"/>
      <c r="D677" s="89"/>
      <c r="E677" s="89"/>
      <c r="F677" s="110"/>
      <c r="G677" s="89"/>
      <c r="H677" s="89"/>
      <c r="I677" s="89"/>
      <c r="J677" s="89"/>
      <c r="K677" s="89"/>
      <c r="L677" s="89"/>
      <c r="M677" s="89"/>
      <c r="N677" s="89"/>
      <c r="O677" s="89"/>
      <c r="P677" s="89"/>
      <c r="Q677" s="89"/>
      <c r="R677" s="89"/>
      <c r="S677" s="89"/>
      <c r="T677" s="89"/>
      <c r="U677" s="89"/>
      <c r="V677" s="89"/>
      <c r="W677" s="89"/>
      <c r="X677" s="89"/>
      <c r="Y677" s="89"/>
      <c r="Z677" s="89"/>
      <c r="AA677" s="89"/>
    </row>
    <row r="678" spans="1:27" ht="13.8">
      <c r="A678" s="89"/>
      <c r="B678" s="89"/>
      <c r="C678" s="89"/>
      <c r="D678" s="89"/>
      <c r="E678" s="89"/>
      <c r="F678" s="110"/>
      <c r="G678" s="89"/>
      <c r="H678" s="89"/>
      <c r="I678" s="89"/>
      <c r="J678" s="89"/>
      <c r="K678" s="89"/>
      <c r="L678" s="89"/>
      <c r="M678" s="89"/>
      <c r="N678" s="89"/>
      <c r="O678" s="89"/>
      <c r="P678" s="89"/>
      <c r="Q678" s="89"/>
      <c r="R678" s="89"/>
      <c r="S678" s="89"/>
      <c r="T678" s="89"/>
      <c r="U678" s="89"/>
      <c r="V678" s="89"/>
      <c r="W678" s="89"/>
      <c r="X678" s="89"/>
      <c r="Y678" s="89"/>
      <c r="Z678" s="89"/>
      <c r="AA678" s="89"/>
    </row>
    <row r="679" spans="1:27" ht="13.8">
      <c r="A679" s="89"/>
      <c r="B679" s="89"/>
      <c r="C679" s="89"/>
      <c r="D679" s="89"/>
      <c r="E679" s="89"/>
      <c r="F679" s="110"/>
      <c r="G679" s="89"/>
      <c r="H679" s="89"/>
      <c r="I679" s="89"/>
      <c r="J679" s="89"/>
      <c r="K679" s="89"/>
      <c r="L679" s="89"/>
      <c r="M679" s="89"/>
      <c r="N679" s="89"/>
      <c r="O679" s="89"/>
      <c r="P679" s="89"/>
      <c r="Q679" s="89"/>
      <c r="R679" s="89"/>
      <c r="S679" s="89"/>
      <c r="T679" s="89"/>
      <c r="U679" s="89"/>
      <c r="V679" s="89"/>
      <c r="W679" s="89"/>
      <c r="X679" s="89"/>
      <c r="Y679" s="89"/>
      <c r="Z679" s="89"/>
      <c r="AA679" s="89"/>
    </row>
    <row r="680" spans="1:27" ht="13.8">
      <c r="A680" s="89"/>
      <c r="B680" s="89"/>
      <c r="C680" s="89"/>
      <c r="D680" s="89"/>
      <c r="E680" s="89"/>
      <c r="F680" s="110"/>
      <c r="G680" s="89"/>
      <c r="H680" s="89"/>
      <c r="I680" s="89"/>
      <c r="J680" s="89"/>
      <c r="K680" s="89"/>
      <c r="L680" s="89"/>
      <c r="M680" s="89"/>
      <c r="N680" s="89"/>
      <c r="O680" s="89"/>
      <c r="P680" s="89"/>
      <c r="Q680" s="89"/>
      <c r="R680" s="89"/>
      <c r="S680" s="89"/>
      <c r="T680" s="89"/>
      <c r="U680" s="89"/>
      <c r="V680" s="89"/>
      <c r="W680" s="89"/>
      <c r="X680" s="89"/>
      <c r="Y680" s="89"/>
      <c r="Z680" s="89"/>
      <c r="AA680" s="89"/>
    </row>
    <row r="681" spans="1:27" ht="13.8">
      <c r="A681" s="89"/>
      <c r="B681" s="89"/>
      <c r="C681" s="89"/>
      <c r="D681" s="89"/>
      <c r="E681" s="89"/>
      <c r="F681" s="110"/>
      <c r="G681" s="89"/>
      <c r="H681" s="89"/>
      <c r="I681" s="89"/>
      <c r="J681" s="89"/>
      <c r="K681" s="89"/>
      <c r="L681" s="89"/>
      <c r="M681" s="89"/>
      <c r="N681" s="89"/>
      <c r="O681" s="89"/>
      <c r="P681" s="89"/>
      <c r="Q681" s="89"/>
      <c r="R681" s="89"/>
      <c r="S681" s="89"/>
      <c r="T681" s="89"/>
      <c r="U681" s="89"/>
      <c r="V681" s="89"/>
      <c r="W681" s="89"/>
      <c r="X681" s="89"/>
      <c r="Y681" s="89"/>
      <c r="Z681" s="89"/>
      <c r="AA681" s="89"/>
    </row>
    <row r="682" spans="1:27" ht="13.8">
      <c r="A682" s="89"/>
      <c r="B682" s="89"/>
      <c r="C682" s="89"/>
      <c r="D682" s="89"/>
      <c r="E682" s="89"/>
      <c r="F682" s="110"/>
      <c r="G682" s="89"/>
      <c r="H682" s="89"/>
      <c r="I682" s="89"/>
      <c r="J682" s="89"/>
      <c r="K682" s="89"/>
      <c r="L682" s="89"/>
      <c r="M682" s="89"/>
      <c r="N682" s="89"/>
      <c r="O682" s="89"/>
      <c r="P682" s="89"/>
      <c r="Q682" s="89"/>
      <c r="R682" s="89"/>
      <c r="S682" s="89"/>
      <c r="T682" s="89"/>
      <c r="U682" s="89"/>
      <c r="V682" s="89"/>
      <c r="W682" s="89"/>
      <c r="X682" s="89"/>
      <c r="Y682" s="89"/>
      <c r="Z682" s="89"/>
      <c r="AA682" s="89"/>
    </row>
    <row r="683" spans="1:27" ht="13.8">
      <c r="A683" s="89"/>
      <c r="B683" s="89"/>
      <c r="C683" s="89"/>
      <c r="D683" s="89"/>
      <c r="E683" s="89"/>
      <c r="F683" s="110"/>
      <c r="G683" s="89"/>
      <c r="H683" s="89"/>
      <c r="I683" s="89"/>
      <c r="J683" s="89"/>
      <c r="K683" s="89"/>
      <c r="L683" s="89"/>
      <c r="M683" s="89"/>
      <c r="N683" s="89"/>
      <c r="O683" s="89"/>
      <c r="P683" s="89"/>
      <c r="Q683" s="89"/>
      <c r="R683" s="89"/>
      <c r="S683" s="89"/>
      <c r="T683" s="89"/>
      <c r="U683" s="89"/>
      <c r="V683" s="89"/>
      <c r="W683" s="89"/>
      <c r="X683" s="89"/>
      <c r="Y683" s="89"/>
      <c r="Z683" s="89"/>
      <c r="AA683" s="89"/>
    </row>
    <row r="684" spans="1:27" ht="13.8">
      <c r="A684" s="89"/>
      <c r="B684" s="89"/>
      <c r="C684" s="89"/>
      <c r="D684" s="89"/>
      <c r="E684" s="89"/>
      <c r="F684" s="110"/>
      <c r="G684" s="89"/>
      <c r="H684" s="89"/>
      <c r="I684" s="89"/>
      <c r="J684" s="89"/>
      <c r="K684" s="89"/>
      <c r="L684" s="89"/>
      <c r="M684" s="89"/>
      <c r="N684" s="89"/>
      <c r="O684" s="89"/>
      <c r="P684" s="89"/>
      <c r="Q684" s="89"/>
      <c r="R684" s="89"/>
      <c r="S684" s="89"/>
      <c r="T684" s="89"/>
      <c r="U684" s="89"/>
      <c r="V684" s="89"/>
      <c r="W684" s="89"/>
      <c r="X684" s="89"/>
      <c r="Y684" s="89"/>
      <c r="Z684" s="89"/>
      <c r="AA684" s="89"/>
    </row>
    <row r="685" spans="1:27" ht="13.8">
      <c r="A685" s="89"/>
      <c r="B685" s="89"/>
      <c r="C685" s="89"/>
      <c r="D685" s="89"/>
      <c r="E685" s="89"/>
      <c r="F685" s="110"/>
      <c r="G685" s="89"/>
      <c r="H685" s="89"/>
      <c r="I685" s="89"/>
      <c r="J685" s="89"/>
      <c r="K685" s="89"/>
      <c r="L685" s="89"/>
      <c r="M685" s="89"/>
      <c r="N685" s="89"/>
      <c r="O685" s="89"/>
      <c r="P685" s="89"/>
      <c r="Q685" s="89"/>
      <c r="R685" s="89"/>
      <c r="S685" s="89"/>
      <c r="T685" s="89"/>
      <c r="U685" s="89"/>
      <c r="V685" s="89"/>
      <c r="W685" s="89"/>
      <c r="X685" s="89"/>
      <c r="Y685" s="89"/>
      <c r="Z685" s="89"/>
      <c r="AA685" s="89"/>
    </row>
    <row r="686" spans="1:27" ht="13.8">
      <c r="A686" s="89"/>
      <c r="B686" s="89"/>
      <c r="C686" s="89"/>
      <c r="D686" s="89"/>
      <c r="E686" s="89"/>
      <c r="F686" s="110"/>
      <c r="G686" s="89"/>
      <c r="H686" s="89"/>
      <c r="I686" s="89"/>
      <c r="J686" s="89"/>
      <c r="K686" s="89"/>
      <c r="L686" s="89"/>
      <c r="M686" s="89"/>
      <c r="N686" s="89"/>
      <c r="O686" s="89"/>
      <c r="P686" s="89"/>
      <c r="Q686" s="89"/>
      <c r="R686" s="89"/>
      <c r="S686" s="89"/>
      <c r="T686" s="89"/>
      <c r="U686" s="89"/>
      <c r="V686" s="89"/>
      <c r="W686" s="89"/>
      <c r="X686" s="89"/>
      <c r="Y686" s="89"/>
      <c r="Z686" s="89"/>
      <c r="AA686" s="89"/>
    </row>
    <row r="687" spans="1:27" ht="13.8">
      <c r="A687" s="89"/>
      <c r="B687" s="89"/>
      <c r="C687" s="89"/>
      <c r="D687" s="89"/>
      <c r="E687" s="89"/>
      <c r="F687" s="110"/>
      <c r="G687" s="89"/>
      <c r="H687" s="89"/>
      <c r="I687" s="89"/>
      <c r="J687" s="89"/>
      <c r="K687" s="89"/>
      <c r="L687" s="89"/>
      <c r="M687" s="89"/>
      <c r="N687" s="89"/>
      <c r="O687" s="89"/>
      <c r="P687" s="89"/>
      <c r="Q687" s="89"/>
      <c r="R687" s="89"/>
      <c r="S687" s="89"/>
      <c r="T687" s="89"/>
      <c r="U687" s="89"/>
      <c r="V687" s="89"/>
      <c r="W687" s="89"/>
      <c r="X687" s="89"/>
      <c r="Y687" s="89"/>
      <c r="Z687" s="89"/>
      <c r="AA687" s="89"/>
    </row>
    <row r="688" spans="1:27" ht="13.8">
      <c r="A688" s="89"/>
      <c r="B688" s="89"/>
      <c r="C688" s="89"/>
      <c r="D688" s="89"/>
      <c r="E688" s="89"/>
      <c r="F688" s="110"/>
      <c r="G688" s="89"/>
      <c r="H688" s="89"/>
      <c r="I688" s="89"/>
      <c r="J688" s="89"/>
      <c r="K688" s="89"/>
      <c r="L688" s="89"/>
      <c r="M688" s="89"/>
      <c r="N688" s="89"/>
      <c r="O688" s="89"/>
      <c r="P688" s="89"/>
      <c r="Q688" s="89"/>
      <c r="R688" s="89"/>
      <c r="S688" s="89"/>
      <c r="T688" s="89"/>
      <c r="U688" s="89"/>
      <c r="V688" s="89"/>
      <c r="W688" s="89"/>
      <c r="X688" s="89"/>
      <c r="Y688" s="89"/>
      <c r="Z688" s="89"/>
      <c r="AA688" s="89"/>
    </row>
    <row r="689" spans="1:27" ht="13.8">
      <c r="A689" s="89"/>
      <c r="B689" s="89"/>
      <c r="C689" s="89"/>
      <c r="D689" s="89"/>
      <c r="E689" s="89"/>
      <c r="F689" s="110"/>
      <c r="G689" s="89"/>
      <c r="H689" s="89"/>
      <c r="I689" s="89"/>
      <c r="J689" s="89"/>
      <c r="K689" s="89"/>
      <c r="L689" s="89"/>
      <c r="M689" s="89"/>
      <c r="N689" s="89"/>
      <c r="O689" s="89"/>
      <c r="P689" s="89"/>
      <c r="Q689" s="89"/>
      <c r="R689" s="89"/>
      <c r="S689" s="89"/>
      <c r="T689" s="89"/>
      <c r="U689" s="89"/>
      <c r="V689" s="89"/>
      <c r="W689" s="89"/>
      <c r="X689" s="89"/>
      <c r="Y689" s="89"/>
      <c r="Z689" s="89"/>
      <c r="AA689" s="89"/>
    </row>
    <row r="690" spans="1:27" ht="13.8">
      <c r="A690" s="89"/>
      <c r="B690" s="89"/>
      <c r="C690" s="89"/>
      <c r="D690" s="89"/>
      <c r="E690" s="89"/>
      <c r="F690" s="110"/>
      <c r="G690" s="89"/>
      <c r="H690" s="89"/>
      <c r="I690" s="89"/>
      <c r="J690" s="89"/>
      <c r="K690" s="89"/>
      <c r="L690" s="89"/>
      <c r="M690" s="89"/>
      <c r="N690" s="89"/>
      <c r="O690" s="89"/>
      <c r="P690" s="89"/>
      <c r="Q690" s="89"/>
      <c r="R690" s="89"/>
      <c r="S690" s="89"/>
      <c r="T690" s="89"/>
      <c r="U690" s="89"/>
      <c r="V690" s="89"/>
      <c r="W690" s="89"/>
      <c r="X690" s="89"/>
      <c r="Y690" s="89"/>
      <c r="Z690" s="89"/>
      <c r="AA690" s="89"/>
    </row>
    <row r="691" spans="1:27" ht="13.8">
      <c r="A691" s="89"/>
      <c r="B691" s="89"/>
      <c r="C691" s="89"/>
      <c r="D691" s="89"/>
      <c r="E691" s="89"/>
      <c r="F691" s="110"/>
      <c r="G691" s="89"/>
      <c r="H691" s="89"/>
      <c r="I691" s="89"/>
      <c r="J691" s="89"/>
      <c r="K691" s="89"/>
      <c r="L691" s="89"/>
      <c r="M691" s="89"/>
      <c r="N691" s="89"/>
      <c r="O691" s="89"/>
      <c r="P691" s="89"/>
      <c r="Q691" s="89"/>
      <c r="R691" s="89"/>
      <c r="S691" s="89"/>
      <c r="T691" s="89"/>
      <c r="U691" s="89"/>
      <c r="V691" s="89"/>
      <c r="W691" s="89"/>
      <c r="X691" s="89"/>
      <c r="Y691" s="89"/>
      <c r="Z691" s="89"/>
      <c r="AA691" s="89"/>
    </row>
    <row r="692" spans="1:27" ht="13.8">
      <c r="A692" s="89"/>
      <c r="B692" s="89"/>
      <c r="C692" s="89"/>
      <c r="D692" s="89"/>
      <c r="E692" s="89"/>
      <c r="F692" s="110"/>
      <c r="G692" s="89"/>
      <c r="H692" s="89"/>
      <c r="I692" s="89"/>
      <c r="J692" s="89"/>
      <c r="K692" s="89"/>
      <c r="L692" s="89"/>
      <c r="M692" s="89"/>
      <c r="N692" s="89"/>
      <c r="O692" s="89"/>
      <c r="P692" s="89"/>
      <c r="Q692" s="89"/>
      <c r="R692" s="89"/>
      <c r="S692" s="89"/>
      <c r="T692" s="89"/>
      <c r="U692" s="89"/>
      <c r="V692" s="89"/>
      <c r="W692" s="89"/>
      <c r="X692" s="89"/>
      <c r="Y692" s="89"/>
      <c r="Z692" s="89"/>
      <c r="AA692" s="89"/>
    </row>
    <row r="693" spans="1:27" ht="13.8">
      <c r="A693" s="89"/>
      <c r="B693" s="89"/>
      <c r="C693" s="89"/>
      <c r="D693" s="89"/>
      <c r="E693" s="89"/>
      <c r="F693" s="110"/>
      <c r="G693" s="89"/>
      <c r="H693" s="89"/>
      <c r="I693" s="89"/>
      <c r="J693" s="89"/>
      <c r="K693" s="89"/>
      <c r="L693" s="89"/>
      <c r="M693" s="89"/>
      <c r="N693" s="89"/>
      <c r="O693" s="89"/>
      <c r="P693" s="89"/>
      <c r="Q693" s="89"/>
      <c r="R693" s="89"/>
      <c r="S693" s="89"/>
      <c r="T693" s="89"/>
      <c r="U693" s="89"/>
      <c r="V693" s="89"/>
      <c r="W693" s="89"/>
      <c r="X693" s="89"/>
      <c r="Y693" s="89"/>
      <c r="Z693" s="89"/>
      <c r="AA693" s="89"/>
    </row>
    <row r="694" spans="1:27" ht="13.8">
      <c r="A694" s="89"/>
      <c r="B694" s="89"/>
      <c r="C694" s="89"/>
      <c r="D694" s="89"/>
      <c r="E694" s="89"/>
      <c r="F694" s="110"/>
      <c r="G694" s="89"/>
      <c r="H694" s="89"/>
      <c r="I694" s="89"/>
      <c r="J694" s="89"/>
      <c r="K694" s="89"/>
      <c r="L694" s="89"/>
      <c r="M694" s="89"/>
      <c r="N694" s="89"/>
      <c r="O694" s="89"/>
      <c r="P694" s="89"/>
      <c r="Q694" s="89"/>
      <c r="R694" s="89"/>
      <c r="S694" s="89"/>
      <c r="T694" s="89"/>
      <c r="U694" s="89"/>
      <c r="V694" s="89"/>
      <c r="W694" s="89"/>
      <c r="X694" s="89"/>
      <c r="Y694" s="89"/>
      <c r="Z694" s="89"/>
      <c r="AA694" s="89"/>
    </row>
    <row r="695" spans="1:27" ht="13.8">
      <c r="A695" s="89"/>
      <c r="B695" s="89"/>
      <c r="C695" s="89"/>
      <c r="D695" s="89"/>
      <c r="E695" s="89"/>
      <c r="F695" s="110"/>
      <c r="G695" s="89"/>
      <c r="H695" s="89"/>
      <c r="I695" s="89"/>
      <c r="J695" s="89"/>
      <c r="K695" s="89"/>
      <c r="L695" s="89"/>
      <c r="M695" s="89"/>
      <c r="N695" s="89"/>
      <c r="O695" s="89"/>
      <c r="P695" s="89"/>
      <c r="Q695" s="89"/>
      <c r="R695" s="89"/>
      <c r="S695" s="89"/>
      <c r="T695" s="89"/>
      <c r="U695" s="89"/>
      <c r="V695" s="89"/>
      <c r="W695" s="89"/>
      <c r="X695" s="89"/>
      <c r="Y695" s="89"/>
      <c r="Z695" s="89"/>
      <c r="AA695" s="89"/>
    </row>
    <row r="696" spans="1:27" ht="13.8">
      <c r="A696" s="89"/>
      <c r="B696" s="89"/>
      <c r="C696" s="89"/>
      <c r="D696" s="89"/>
      <c r="E696" s="89"/>
      <c r="F696" s="110"/>
      <c r="G696" s="89"/>
      <c r="H696" s="89"/>
      <c r="I696" s="89"/>
      <c r="J696" s="89"/>
      <c r="K696" s="89"/>
      <c r="L696" s="89"/>
      <c r="M696" s="89"/>
      <c r="N696" s="89"/>
      <c r="O696" s="89"/>
      <c r="P696" s="89"/>
      <c r="Q696" s="89"/>
      <c r="R696" s="89"/>
      <c r="S696" s="89"/>
      <c r="T696" s="89"/>
      <c r="U696" s="89"/>
      <c r="V696" s="89"/>
      <c r="W696" s="89"/>
      <c r="X696" s="89"/>
      <c r="Y696" s="89"/>
      <c r="Z696" s="89"/>
      <c r="AA696" s="89"/>
    </row>
    <row r="697" spans="1:27" ht="13.8">
      <c r="A697" s="89"/>
      <c r="B697" s="89"/>
      <c r="C697" s="89"/>
      <c r="D697" s="89"/>
      <c r="E697" s="89"/>
      <c r="F697" s="110"/>
      <c r="G697" s="89"/>
      <c r="H697" s="89"/>
      <c r="I697" s="89"/>
      <c r="J697" s="89"/>
      <c r="K697" s="89"/>
      <c r="L697" s="89"/>
      <c r="M697" s="89"/>
      <c r="N697" s="89"/>
      <c r="O697" s="89"/>
      <c r="P697" s="89"/>
      <c r="Q697" s="89"/>
      <c r="R697" s="89"/>
      <c r="S697" s="89"/>
      <c r="T697" s="89"/>
      <c r="U697" s="89"/>
      <c r="V697" s="89"/>
      <c r="W697" s="89"/>
      <c r="X697" s="89"/>
      <c r="Y697" s="89"/>
      <c r="Z697" s="89"/>
      <c r="AA697" s="89"/>
    </row>
    <row r="698" spans="1:27" ht="13.8">
      <c r="A698" s="89"/>
      <c r="B698" s="89"/>
      <c r="C698" s="89"/>
      <c r="D698" s="89"/>
      <c r="E698" s="89"/>
      <c r="F698" s="110"/>
      <c r="G698" s="89"/>
      <c r="H698" s="89"/>
      <c r="I698" s="89"/>
      <c r="J698" s="89"/>
      <c r="K698" s="89"/>
      <c r="L698" s="89"/>
      <c r="M698" s="89"/>
      <c r="N698" s="89"/>
      <c r="O698" s="89"/>
      <c r="P698" s="89"/>
      <c r="Q698" s="89"/>
      <c r="R698" s="89"/>
      <c r="S698" s="89"/>
      <c r="T698" s="89"/>
      <c r="U698" s="89"/>
      <c r="V698" s="89"/>
      <c r="W698" s="89"/>
      <c r="X698" s="89"/>
      <c r="Y698" s="89"/>
      <c r="Z698" s="89"/>
      <c r="AA698" s="89"/>
    </row>
    <row r="699" spans="1:27" ht="13.8">
      <c r="A699" s="89"/>
      <c r="B699" s="89"/>
      <c r="C699" s="89"/>
      <c r="D699" s="89"/>
      <c r="E699" s="89"/>
      <c r="F699" s="110"/>
      <c r="G699" s="89"/>
      <c r="H699" s="89"/>
      <c r="I699" s="89"/>
      <c r="J699" s="89"/>
      <c r="K699" s="89"/>
      <c r="L699" s="89"/>
      <c r="M699" s="89"/>
      <c r="N699" s="89"/>
      <c r="O699" s="89"/>
      <c r="P699" s="89"/>
      <c r="Q699" s="89"/>
      <c r="R699" s="89"/>
      <c r="S699" s="89"/>
      <c r="T699" s="89"/>
      <c r="U699" s="89"/>
      <c r="V699" s="89"/>
      <c r="W699" s="89"/>
      <c r="X699" s="89"/>
      <c r="Y699" s="89"/>
      <c r="Z699" s="89"/>
      <c r="AA699" s="89"/>
    </row>
    <row r="700" spans="1:27" ht="13.8">
      <c r="A700" s="89"/>
      <c r="B700" s="89"/>
      <c r="C700" s="89"/>
      <c r="D700" s="89"/>
      <c r="E700" s="89"/>
      <c r="F700" s="110"/>
      <c r="G700" s="89"/>
      <c r="H700" s="89"/>
      <c r="I700" s="89"/>
      <c r="J700" s="89"/>
      <c r="K700" s="89"/>
      <c r="L700" s="89"/>
      <c r="M700" s="89"/>
      <c r="N700" s="89"/>
      <c r="O700" s="89"/>
      <c r="P700" s="89"/>
      <c r="Q700" s="89"/>
      <c r="R700" s="89"/>
      <c r="S700" s="89"/>
      <c r="T700" s="89"/>
      <c r="U700" s="89"/>
      <c r="V700" s="89"/>
      <c r="W700" s="89"/>
      <c r="X700" s="89"/>
      <c r="Y700" s="89"/>
      <c r="Z700" s="89"/>
      <c r="AA700" s="89"/>
    </row>
    <row r="701" spans="1:27" ht="13.8">
      <c r="A701" s="89"/>
      <c r="B701" s="89"/>
      <c r="C701" s="89"/>
      <c r="D701" s="89"/>
      <c r="E701" s="89"/>
      <c r="F701" s="110"/>
      <c r="G701" s="89"/>
      <c r="H701" s="89"/>
      <c r="I701" s="89"/>
      <c r="J701" s="89"/>
      <c r="K701" s="89"/>
      <c r="L701" s="89"/>
      <c r="M701" s="89"/>
      <c r="N701" s="89"/>
      <c r="O701" s="89"/>
      <c r="P701" s="89"/>
      <c r="Q701" s="89"/>
      <c r="R701" s="89"/>
      <c r="S701" s="89"/>
      <c r="T701" s="89"/>
      <c r="U701" s="89"/>
      <c r="V701" s="89"/>
      <c r="W701" s="89"/>
      <c r="X701" s="89"/>
      <c r="Y701" s="89"/>
      <c r="Z701" s="89"/>
      <c r="AA701" s="89"/>
    </row>
    <row r="702" spans="1:27" ht="13.8">
      <c r="A702" s="89"/>
      <c r="B702" s="89"/>
      <c r="C702" s="89"/>
      <c r="D702" s="89"/>
      <c r="E702" s="89"/>
      <c r="F702" s="110"/>
      <c r="G702" s="89"/>
      <c r="H702" s="89"/>
      <c r="I702" s="89"/>
      <c r="J702" s="89"/>
      <c r="K702" s="89"/>
      <c r="L702" s="89"/>
      <c r="M702" s="89"/>
      <c r="N702" s="89"/>
      <c r="O702" s="89"/>
      <c r="P702" s="89"/>
      <c r="Q702" s="89"/>
      <c r="R702" s="89"/>
      <c r="S702" s="89"/>
      <c r="T702" s="89"/>
      <c r="U702" s="89"/>
      <c r="V702" s="89"/>
      <c r="W702" s="89"/>
      <c r="X702" s="89"/>
      <c r="Y702" s="89"/>
      <c r="Z702" s="89"/>
      <c r="AA702" s="89"/>
    </row>
    <row r="703" spans="1:27" ht="13.8">
      <c r="A703" s="89"/>
      <c r="B703" s="89"/>
      <c r="C703" s="89"/>
      <c r="D703" s="89"/>
      <c r="E703" s="89"/>
      <c r="F703" s="110"/>
      <c r="G703" s="89"/>
      <c r="H703" s="89"/>
      <c r="I703" s="89"/>
      <c r="J703" s="89"/>
      <c r="K703" s="89"/>
      <c r="L703" s="89"/>
      <c r="M703" s="89"/>
      <c r="N703" s="89"/>
      <c r="O703" s="89"/>
      <c r="P703" s="89"/>
      <c r="Q703" s="89"/>
      <c r="R703" s="89"/>
      <c r="S703" s="89"/>
      <c r="T703" s="89"/>
      <c r="U703" s="89"/>
      <c r="V703" s="89"/>
      <c r="W703" s="89"/>
      <c r="X703" s="89"/>
      <c r="Y703" s="89"/>
      <c r="Z703" s="89"/>
      <c r="AA703" s="89"/>
    </row>
    <row r="704" spans="1:27" ht="13.8">
      <c r="A704" s="89"/>
      <c r="B704" s="89"/>
      <c r="C704" s="89"/>
      <c r="D704" s="89"/>
      <c r="E704" s="89"/>
      <c r="F704" s="110"/>
      <c r="G704" s="89"/>
      <c r="H704" s="89"/>
      <c r="I704" s="89"/>
      <c r="J704" s="89"/>
      <c r="K704" s="89"/>
      <c r="L704" s="89"/>
      <c r="M704" s="89"/>
      <c r="N704" s="89"/>
      <c r="O704" s="89"/>
      <c r="P704" s="89"/>
      <c r="Q704" s="89"/>
      <c r="R704" s="89"/>
      <c r="S704" s="89"/>
      <c r="T704" s="89"/>
      <c r="U704" s="89"/>
      <c r="V704" s="89"/>
      <c r="W704" s="89"/>
      <c r="X704" s="89"/>
      <c r="Y704" s="89"/>
      <c r="Z704" s="89"/>
      <c r="AA704" s="89"/>
    </row>
    <row r="705" spans="1:27" ht="13.8">
      <c r="A705" s="89"/>
      <c r="B705" s="89"/>
      <c r="C705" s="89"/>
      <c r="D705" s="89"/>
      <c r="E705" s="89"/>
      <c r="F705" s="110"/>
      <c r="G705" s="89"/>
      <c r="H705" s="89"/>
      <c r="I705" s="89"/>
      <c r="J705" s="89"/>
      <c r="K705" s="89"/>
      <c r="L705" s="89"/>
      <c r="M705" s="89"/>
      <c r="N705" s="89"/>
      <c r="O705" s="89"/>
      <c r="P705" s="89"/>
      <c r="Q705" s="89"/>
      <c r="R705" s="89"/>
      <c r="S705" s="89"/>
      <c r="T705" s="89"/>
      <c r="U705" s="89"/>
      <c r="V705" s="89"/>
      <c r="W705" s="89"/>
      <c r="X705" s="89"/>
      <c r="Y705" s="89"/>
      <c r="Z705" s="89"/>
      <c r="AA705" s="89"/>
    </row>
    <row r="706" spans="1:27" ht="13.8">
      <c r="A706" s="89"/>
      <c r="B706" s="89"/>
      <c r="C706" s="89"/>
      <c r="D706" s="89"/>
      <c r="E706" s="89"/>
      <c r="F706" s="110"/>
      <c r="G706" s="89"/>
      <c r="H706" s="89"/>
      <c r="I706" s="89"/>
      <c r="J706" s="89"/>
      <c r="K706" s="89"/>
      <c r="L706" s="89"/>
      <c r="M706" s="89"/>
      <c r="N706" s="89"/>
      <c r="O706" s="89"/>
      <c r="P706" s="89"/>
      <c r="Q706" s="89"/>
      <c r="R706" s="89"/>
      <c r="S706" s="89"/>
      <c r="T706" s="89"/>
      <c r="U706" s="89"/>
      <c r="V706" s="89"/>
      <c r="W706" s="89"/>
      <c r="X706" s="89"/>
      <c r="Y706" s="89"/>
      <c r="Z706" s="89"/>
      <c r="AA706" s="89"/>
    </row>
    <row r="707" spans="1:27" ht="13.8">
      <c r="A707" s="89"/>
      <c r="B707" s="89"/>
      <c r="C707" s="89"/>
      <c r="D707" s="89"/>
      <c r="E707" s="89"/>
      <c r="F707" s="110"/>
      <c r="G707" s="89"/>
      <c r="H707" s="89"/>
      <c r="I707" s="89"/>
      <c r="J707" s="89"/>
      <c r="K707" s="89"/>
      <c r="L707" s="89"/>
      <c r="M707" s="89"/>
      <c r="N707" s="89"/>
      <c r="O707" s="89"/>
      <c r="P707" s="89"/>
      <c r="Q707" s="89"/>
      <c r="R707" s="89"/>
      <c r="S707" s="89"/>
      <c r="T707" s="89"/>
      <c r="U707" s="89"/>
      <c r="V707" s="89"/>
      <c r="W707" s="89"/>
      <c r="X707" s="89"/>
      <c r="Y707" s="89"/>
      <c r="Z707" s="89"/>
      <c r="AA707" s="89"/>
    </row>
    <row r="708" spans="1:27" ht="13.8">
      <c r="A708" s="89"/>
      <c r="B708" s="89"/>
      <c r="C708" s="89"/>
      <c r="D708" s="89"/>
      <c r="E708" s="89"/>
      <c r="F708" s="110"/>
      <c r="G708" s="89"/>
      <c r="H708" s="89"/>
      <c r="I708" s="89"/>
      <c r="J708" s="89"/>
      <c r="K708" s="89"/>
      <c r="L708" s="89"/>
      <c r="M708" s="89"/>
      <c r="N708" s="89"/>
      <c r="O708" s="89"/>
      <c r="P708" s="89"/>
      <c r="Q708" s="89"/>
      <c r="R708" s="89"/>
      <c r="S708" s="89"/>
      <c r="T708" s="89"/>
      <c r="U708" s="89"/>
      <c r="V708" s="89"/>
      <c r="W708" s="89"/>
      <c r="X708" s="89"/>
      <c r="Y708" s="89"/>
      <c r="Z708" s="89"/>
      <c r="AA708" s="89"/>
    </row>
    <row r="709" spans="1:27" ht="13.8">
      <c r="A709" s="89"/>
      <c r="B709" s="89"/>
      <c r="C709" s="89"/>
      <c r="D709" s="89"/>
      <c r="E709" s="89"/>
      <c r="F709" s="110"/>
      <c r="G709" s="89"/>
      <c r="H709" s="89"/>
      <c r="I709" s="89"/>
      <c r="J709" s="89"/>
      <c r="K709" s="89"/>
      <c r="L709" s="89"/>
      <c r="M709" s="89"/>
      <c r="N709" s="89"/>
      <c r="O709" s="89"/>
      <c r="P709" s="89"/>
      <c r="Q709" s="89"/>
      <c r="R709" s="89"/>
      <c r="S709" s="89"/>
      <c r="T709" s="89"/>
      <c r="U709" s="89"/>
      <c r="V709" s="89"/>
      <c r="W709" s="89"/>
      <c r="X709" s="89"/>
      <c r="Y709" s="89"/>
      <c r="Z709" s="89"/>
      <c r="AA709" s="89"/>
    </row>
    <row r="710" spans="1:27" ht="13.8">
      <c r="A710" s="89"/>
      <c r="B710" s="89"/>
      <c r="C710" s="89"/>
      <c r="D710" s="89"/>
      <c r="E710" s="89"/>
      <c r="F710" s="110"/>
      <c r="G710" s="89"/>
      <c r="H710" s="89"/>
      <c r="I710" s="89"/>
      <c r="J710" s="89"/>
      <c r="K710" s="89"/>
      <c r="L710" s="89"/>
      <c r="M710" s="89"/>
      <c r="N710" s="89"/>
      <c r="O710" s="89"/>
      <c r="P710" s="89"/>
      <c r="Q710" s="89"/>
      <c r="R710" s="89"/>
      <c r="S710" s="89"/>
      <c r="T710" s="89"/>
      <c r="U710" s="89"/>
      <c r="V710" s="89"/>
      <c r="W710" s="89"/>
      <c r="X710" s="89"/>
      <c r="Y710" s="89"/>
      <c r="Z710" s="89"/>
      <c r="AA710" s="89"/>
    </row>
    <row r="711" spans="1:27" ht="13.8">
      <c r="A711" s="89"/>
      <c r="B711" s="89"/>
      <c r="C711" s="89"/>
      <c r="D711" s="89"/>
      <c r="E711" s="89"/>
      <c r="F711" s="110"/>
      <c r="G711" s="89"/>
      <c r="H711" s="89"/>
      <c r="I711" s="89"/>
      <c r="J711" s="89"/>
      <c r="K711" s="89"/>
      <c r="L711" s="89"/>
      <c r="M711" s="89"/>
      <c r="N711" s="89"/>
      <c r="O711" s="89"/>
      <c r="P711" s="89"/>
      <c r="Q711" s="89"/>
      <c r="R711" s="89"/>
      <c r="S711" s="89"/>
      <c r="T711" s="89"/>
      <c r="U711" s="89"/>
      <c r="V711" s="89"/>
      <c r="W711" s="89"/>
      <c r="X711" s="89"/>
      <c r="Y711" s="89"/>
      <c r="Z711" s="89"/>
      <c r="AA711" s="89"/>
    </row>
    <row r="712" spans="1:27" ht="13.8">
      <c r="A712" s="89"/>
      <c r="B712" s="89"/>
      <c r="C712" s="89"/>
      <c r="D712" s="89"/>
      <c r="E712" s="89"/>
      <c r="F712" s="110"/>
      <c r="G712" s="89"/>
      <c r="H712" s="89"/>
      <c r="I712" s="89"/>
      <c r="J712" s="89"/>
      <c r="K712" s="89"/>
      <c r="L712" s="89"/>
      <c r="M712" s="89"/>
      <c r="N712" s="89"/>
      <c r="O712" s="89"/>
      <c r="P712" s="89"/>
      <c r="Q712" s="89"/>
      <c r="R712" s="89"/>
      <c r="S712" s="89"/>
      <c r="T712" s="89"/>
      <c r="U712" s="89"/>
      <c r="V712" s="89"/>
      <c r="W712" s="89"/>
      <c r="X712" s="89"/>
      <c r="Y712" s="89"/>
      <c r="Z712" s="89"/>
      <c r="AA712" s="89"/>
    </row>
    <row r="713" spans="1:27" ht="13.8">
      <c r="A713" s="89"/>
      <c r="B713" s="89"/>
      <c r="C713" s="89"/>
      <c r="D713" s="89"/>
      <c r="E713" s="89"/>
      <c r="F713" s="110"/>
      <c r="G713" s="89"/>
      <c r="H713" s="89"/>
      <c r="I713" s="89"/>
      <c r="J713" s="89"/>
      <c r="K713" s="89"/>
      <c r="L713" s="89"/>
      <c r="M713" s="89"/>
      <c r="N713" s="89"/>
      <c r="O713" s="89"/>
      <c r="P713" s="89"/>
      <c r="Q713" s="89"/>
      <c r="R713" s="89"/>
      <c r="S713" s="89"/>
      <c r="T713" s="89"/>
      <c r="U713" s="89"/>
      <c r="V713" s="89"/>
      <c r="W713" s="89"/>
      <c r="X713" s="89"/>
      <c r="Y713" s="89"/>
      <c r="Z713" s="89"/>
      <c r="AA713" s="89"/>
    </row>
    <row r="714" spans="1:27" ht="13.8">
      <c r="A714" s="89"/>
      <c r="B714" s="89"/>
      <c r="C714" s="89"/>
      <c r="D714" s="89"/>
      <c r="E714" s="89"/>
      <c r="F714" s="110"/>
      <c r="G714" s="89"/>
      <c r="H714" s="89"/>
      <c r="I714" s="89"/>
      <c r="J714" s="89"/>
      <c r="K714" s="89"/>
      <c r="L714" s="89"/>
      <c r="M714" s="89"/>
      <c r="N714" s="89"/>
      <c r="O714" s="89"/>
      <c r="P714" s="89"/>
      <c r="Q714" s="89"/>
      <c r="R714" s="89"/>
      <c r="S714" s="89"/>
      <c r="T714" s="89"/>
      <c r="U714" s="89"/>
      <c r="V714" s="89"/>
      <c r="W714" s="89"/>
      <c r="X714" s="89"/>
      <c r="Y714" s="89"/>
      <c r="Z714" s="89"/>
      <c r="AA714" s="89"/>
    </row>
    <row r="715" spans="1:27" ht="13.8">
      <c r="A715" s="89"/>
      <c r="B715" s="89"/>
      <c r="C715" s="89"/>
      <c r="D715" s="89"/>
      <c r="E715" s="89"/>
      <c r="F715" s="110"/>
      <c r="G715" s="89"/>
      <c r="H715" s="89"/>
      <c r="I715" s="89"/>
      <c r="J715" s="89"/>
      <c r="K715" s="89"/>
      <c r="L715" s="89"/>
      <c r="M715" s="89"/>
      <c r="N715" s="89"/>
      <c r="O715" s="89"/>
      <c r="P715" s="89"/>
      <c r="Q715" s="89"/>
      <c r="R715" s="89"/>
      <c r="S715" s="89"/>
      <c r="T715" s="89"/>
      <c r="U715" s="89"/>
      <c r="V715" s="89"/>
      <c r="W715" s="89"/>
      <c r="X715" s="89"/>
      <c r="Y715" s="89"/>
      <c r="Z715" s="89"/>
      <c r="AA715" s="89"/>
    </row>
    <row r="716" spans="1:27" ht="13.8">
      <c r="A716" s="89"/>
      <c r="B716" s="89"/>
      <c r="C716" s="89"/>
      <c r="D716" s="89"/>
      <c r="E716" s="89"/>
      <c r="F716" s="110"/>
      <c r="G716" s="89"/>
      <c r="H716" s="89"/>
      <c r="I716" s="89"/>
      <c r="J716" s="89"/>
      <c r="K716" s="89"/>
      <c r="L716" s="89"/>
      <c r="M716" s="89"/>
      <c r="N716" s="89"/>
      <c r="O716" s="89"/>
      <c r="P716" s="89"/>
      <c r="Q716" s="89"/>
      <c r="R716" s="89"/>
      <c r="S716" s="89"/>
      <c r="T716" s="89"/>
      <c r="U716" s="89"/>
      <c r="V716" s="89"/>
      <c r="W716" s="89"/>
      <c r="X716" s="89"/>
      <c r="Y716" s="89"/>
      <c r="Z716" s="89"/>
      <c r="AA716" s="89"/>
    </row>
    <row r="717" spans="1:27" ht="13.8">
      <c r="A717" s="89"/>
      <c r="B717" s="89"/>
      <c r="C717" s="89"/>
      <c r="D717" s="89"/>
      <c r="E717" s="89"/>
      <c r="F717" s="110"/>
      <c r="G717" s="89"/>
      <c r="H717" s="89"/>
      <c r="I717" s="89"/>
      <c r="J717" s="89"/>
      <c r="K717" s="89"/>
      <c r="L717" s="89"/>
      <c r="M717" s="89"/>
      <c r="N717" s="89"/>
      <c r="O717" s="89"/>
      <c r="P717" s="89"/>
      <c r="Q717" s="89"/>
      <c r="R717" s="89"/>
      <c r="S717" s="89"/>
      <c r="T717" s="89"/>
      <c r="U717" s="89"/>
      <c r="V717" s="89"/>
      <c r="W717" s="89"/>
      <c r="X717" s="89"/>
      <c r="Y717" s="89"/>
      <c r="Z717" s="89"/>
      <c r="AA717" s="89"/>
    </row>
    <row r="718" spans="1:27" ht="13.8">
      <c r="A718" s="89"/>
      <c r="B718" s="89"/>
      <c r="C718" s="89"/>
      <c r="D718" s="89"/>
      <c r="E718" s="89"/>
      <c r="F718" s="110"/>
      <c r="G718" s="89"/>
      <c r="H718" s="89"/>
      <c r="I718" s="89"/>
      <c r="J718" s="89"/>
      <c r="K718" s="89"/>
      <c r="L718" s="89"/>
      <c r="M718" s="89"/>
      <c r="N718" s="89"/>
      <c r="O718" s="89"/>
      <c r="P718" s="89"/>
      <c r="Q718" s="89"/>
      <c r="R718" s="89"/>
      <c r="S718" s="89"/>
      <c r="T718" s="89"/>
      <c r="U718" s="89"/>
      <c r="V718" s="89"/>
      <c r="W718" s="89"/>
      <c r="X718" s="89"/>
      <c r="Y718" s="89"/>
      <c r="Z718" s="89"/>
      <c r="AA718" s="89"/>
    </row>
    <row r="719" spans="1:27" ht="13.8">
      <c r="A719" s="89"/>
      <c r="B719" s="89"/>
      <c r="C719" s="89"/>
      <c r="D719" s="89"/>
      <c r="E719" s="89"/>
      <c r="F719" s="110"/>
      <c r="G719" s="89"/>
      <c r="H719" s="89"/>
      <c r="I719" s="89"/>
      <c r="J719" s="89"/>
      <c r="K719" s="89"/>
      <c r="L719" s="89"/>
      <c r="M719" s="89"/>
      <c r="N719" s="89"/>
      <c r="O719" s="89"/>
      <c r="P719" s="89"/>
      <c r="Q719" s="89"/>
      <c r="R719" s="89"/>
      <c r="S719" s="89"/>
      <c r="T719" s="89"/>
      <c r="U719" s="89"/>
      <c r="V719" s="89"/>
      <c r="W719" s="89"/>
      <c r="X719" s="89"/>
      <c r="Y719" s="89"/>
      <c r="Z719" s="89"/>
      <c r="AA719" s="89"/>
    </row>
    <row r="720" spans="1:27" ht="13.8">
      <c r="A720" s="89"/>
      <c r="B720" s="89"/>
      <c r="C720" s="89"/>
      <c r="D720" s="89"/>
      <c r="E720" s="89"/>
      <c r="F720" s="110"/>
      <c r="G720" s="89"/>
      <c r="H720" s="89"/>
      <c r="I720" s="89"/>
      <c r="J720" s="89"/>
      <c r="K720" s="89"/>
      <c r="L720" s="89"/>
      <c r="M720" s="89"/>
      <c r="N720" s="89"/>
      <c r="O720" s="89"/>
      <c r="P720" s="89"/>
      <c r="Q720" s="89"/>
      <c r="R720" s="89"/>
      <c r="S720" s="89"/>
      <c r="T720" s="89"/>
      <c r="U720" s="89"/>
      <c r="V720" s="89"/>
      <c r="W720" s="89"/>
      <c r="X720" s="89"/>
      <c r="Y720" s="89"/>
      <c r="Z720" s="89"/>
      <c r="AA720" s="89"/>
    </row>
    <row r="721" spans="1:27" ht="13.8">
      <c r="A721" s="89"/>
      <c r="B721" s="89"/>
      <c r="C721" s="89"/>
      <c r="D721" s="89"/>
      <c r="E721" s="89"/>
      <c r="F721" s="110"/>
      <c r="G721" s="89"/>
      <c r="H721" s="89"/>
      <c r="I721" s="89"/>
      <c r="J721" s="89"/>
      <c r="K721" s="89"/>
      <c r="L721" s="89"/>
      <c r="M721" s="89"/>
      <c r="N721" s="89"/>
      <c r="O721" s="89"/>
      <c r="P721" s="89"/>
      <c r="Q721" s="89"/>
      <c r="R721" s="89"/>
      <c r="S721" s="89"/>
      <c r="T721" s="89"/>
      <c r="U721" s="89"/>
      <c r="V721" s="89"/>
      <c r="W721" s="89"/>
      <c r="X721" s="89"/>
      <c r="Y721" s="89"/>
      <c r="Z721" s="89"/>
      <c r="AA721" s="89"/>
    </row>
    <row r="722" spans="1:27" ht="13.8">
      <c r="A722" s="89"/>
      <c r="B722" s="89"/>
      <c r="C722" s="89"/>
      <c r="D722" s="89"/>
      <c r="E722" s="89"/>
      <c r="F722" s="110"/>
      <c r="G722" s="89"/>
      <c r="H722" s="89"/>
      <c r="I722" s="89"/>
      <c r="J722" s="89"/>
      <c r="K722" s="89"/>
      <c r="L722" s="89"/>
      <c r="M722" s="89"/>
      <c r="N722" s="89"/>
      <c r="O722" s="89"/>
      <c r="P722" s="89"/>
      <c r="Q722" s="89"/>
      <c r="R722" s="89"/>
      <c r="S722" s="89"/>
      <c r="T722" s="89"/>
      <c r="U722" s="89"/>
      <c r="V722" s="89"/>
      <c r="W722" s="89"/>
      <c r="X722" s="89"/>
      <c r="Y722" s="89"/>
      <c r="Z722" s="89"/>
      <c r="AA722" s="89"/>
    </row>
    <row r="723" spans="1:27" ht="13.8">
      <c r="A723" s="89"/>
      <c r="B723" s="89"/>
      <c r="C723" s="89"/>
      <c r="D723" s="89"/>
      <c r="E723" s="89"/>
      <c r="F723" s="110"/>
      <c r="G723" s="89"/>
      <c r="H723" s="89"/>
      <c r="I723" s="89"/>
      <c r="J723" s="89"/>
      <c r="K723" s="89"/>
      <c r="L723" s="89"/>
      <c r="M723" s="89"/>
      <c r="N723" s="89"/>
      <c r="O723" s="89"/>
      <c r="P723" s="89"/>
      <c r="Q723" s="89"/>
      <c r="R723" s="89"/>
      <c r="S723" s="89"/>
      <c r="T723" s="89"/>
      <c r="U723" s="89"/>
      <c r="V723" s="89"/>
      <c r="W723" s="89"/>
      <c r="X723" s="89"/>
      <c r="Y723" s="89"/>
      <c r="Z723" s="89"/>
      <c r="AA723" s="89"/>
    </row>
    <row r="724" spans="1:27" ht="13.8">
      <c r="A724" s="89"/>
      <c r="B724" s="89"/>
      <c r="C724" s="89"/>
      <c r="D724" s="89"/>
      <c r="E724" s="89"/>
      <c r="F724" s="110"/>
      <c r="G724" s="89"/>
      <c r="H724" s="89"/>
      <c r="I724" s="89"/>
      <c r="J724" s="89"/>
      <c r="K724" s="89"/>
      <c r="L724" s="89"/>
      <c r="M724" s="89"/>
      <c r="N724" s="89"/>
      <c r="O724" s="89"/>
      <c r="P724" s="89"/>
      <c r="Q724" s="89"/>
      <c r="R724" s="89"/>
      <c r="S724" s="89"/>
      <c r="T724" s="89"/>
      <c r="U724" s="89"/>
      <c r="V724" s="89"/>
      <c r="W724" s="89"/>
      <c r="X724" s="89"/>
      <c r="Y724" s="89"/>
      <c r="Z724" s="89"/>
      <c r="AA724" s="89"/>
    </row>
    <row r="725" spans="1:27" ht="13.8">
      <c r="A725" s="89"/>
      <c r="B725" s="89"/>
      <c r="C725" s="89"/>
      <c r="D725" s="89"/>
      <c r="E725" s="89"/>
      <c r="F725" s="110"/>
      <c r="G725" s="89"/>
      <c r="H725" s="89"/>
      <c r="I725" s="89"/>
      <c r="J725" s="89"/>
      <c r="K725" s="89"/>
      <c r="L725" s="89"/>
      <c r="M725" s="89"/>
      <c r="N725" s="89"/>
      <c r="O725" s="89"/>
      <c r="P725" s="89"/>
      <c r="Q725" s="89"/>
      <c r="R725" s="89"/>
      <c r="S725" s="89"/>
      <c r="T725" s="89"/>
      <c r="U725" s="89"/>
      <c r="V725" s="89"/>
      <c r="W725" s="89"/>
      <c r="X725" s="89"/>
      <c r="Y725" s="89"/>
      <c r="Z725" s="89"/>
      <c r="AA725" s="89"/>
    </row>
    <row r="726" spans="1:27" ht="13.8">
      <c r="A726" s="89"/>
      <c r="B726" s="89"/>
      <c r="C726" s="89"/>
      <c r="D726" s="89"/>
      <c r="E726" s="89"/>
      <c r="F726" s="110"/>
      <c r="G726" s="89"/>
      <c r="H726" s="89"/>
      <c r="I726" s="89"/>
      <c r="J726" s="89"/>
      <c r="K726" s="89"/>
      <c r="L726" s="89"/>
      <c r="M726" s="89"/>
      <c r="N726" s="89"/>
      <c r="O726" s="89"/>
      <c r="P726" s="89"/>
      <c r="Q726" s="89"/>
      <c r="R726" s="89"/>
      <c r="S726" s="89"/>
      <c r="T726" s="89"/>
      <c r="U726" s="89"/>
      <c r="V726" s="89"/>
      <c r="W726" s="89"/>
      <c r="X726" s="89"/>
      <c r="Y726" s="89"/>
      <c r="Z726" s="89"/>
      <c r="AA726" s="89"/>
    </row>
    <row r="727" spans="1:27" ht="13.8">
      <c r="A727" s="89"/>
      <c r="B727" s="89"/>
      <c r="C727" s="89"/>
      <c r="D727" s="89"/>
      <c r="E727" s="89"/>
      <c r="F727" s="110"/>
      <c r="G727" s="89"/>
      <c r="H727" s="89"/>
      <c r="I727" s="89"/>
      <c r="J727" s="89"/>
      <c r="K727" s="89"/>
      <c r="L727" s="89"/>
      <c r="M727" s="89"/>
      <c r="N727" s="89"/>
      <c r="O727" s="89"/>
      <c r="P727" s="89"/>
      <c r="Q727" s="89"/>
      <c r="R727" s="89"/>
      <c r="S727" s="89"/>
      <c r="T727" s="89"/>
      <c r="U727" s="89"/>
      <c r="V727" s="89"/>
      <c r="W727" s="89"/>
      <c r="X727" s="89"/>
      <c r="Y727" s="89"/>
      <c r="Z727" s="89"/>
      <c r="AA727" s="89"/>
    </row>
    <row r="728" spans="1:27" ht="13.8">
      <c r="A728" s="89"/>
      <c r="B728" s="89"/>
      <c r="C728" s="89"/>
      <c r="D728" s="89"/>
      <c r="E728" s="89"/>
      <c r="F728" s="110"/>
      <c r="G728" s="89"/>
      <c r="H728" s="89"/>
      <c r="I728" s="89"/>
      <c r="J728" s="89"/>
      <c r="K728" s="89"/>
      <c r="L728" s="89"/>
      <c r="M728" s="89"/>
      <c r="N728" s="89"/>
      <c r="O728" s="89"/>
      <c r="P728" s="89"/>
      <c r="Q728" s="89"/>
      <c r="R728" s="89"/>
      <c r="S728" s="89"/>
      <c r="T728" s="89"/>
      <c r="U728" s="89"/>
      <c r="V728" s="89"/>
      <c r="W728" s="89"/>
      <c r="X728" s="89"/>
      <c r="Y728" s="89"/>
      <c r="Z728" s="89"/>
      <c r="AA728" s="89"/>
    </row>
    <row r="729" spans="1:27" ht="13.8">
      <c r="A729" s="89"/>
      <c r="B729" s="89"/>
      <c r="C729" s="89"/>
      <c r="D729" s="89"/>
      <c r="E729" s="89"/>
      <c r="F729" s="110"/>
      <c r="G729" s="89"/>
      <c r="H729" s="89"/>
      <c r="I729" s="89"/>
      <c r="J729" s="89"/>
      <c r="K729" s="89"/>
      <c r="L729" s="89"/>
      <c r="M729" s="89"/>
      <c r="N729" s="89"/>
      <c r="O729" s="89"/>
      <c r="P729" s="89"/>
      <c r="Q729" s="89"/>
      <c r="R729" s="89"/>
      <c r="S729" s="89"/>
      <c r="T729" s="89"/>
      <c r="U729" s="89"/>
      <c r="V729" s="89"/>
      <c r="W729" s="89"/>
      <c r="X729" s="89"/>
      <c r="Y729" s="89"/>
      <c r="Z729" s="89"/>
      <c r="AA729" s="89"/>
    </row>
    <row r="730" spans="1:27" ht="13.8">
      <c r="A730" s="89"/>
      <c r="B730" s="89"/>
      <c r="C730" s="89"/>
      <c r="D730" s="89"/>
      <c r="E730" s="89"/>
      <c r="F730" s="110"/>
      <c r="G730" s="89"/>
      <c r="H730" s="89"/>
      <c r="I730" s="89"/>
      <c r="J730" s="89"/>
      <c r="K730" s="89"/>
      <c r="L730" s="89"/>
      <c r="M730" s="89"/>
      <c r="N730" s="89"/>
      <c r="O730" s="89"/>
      <c r="P730" s="89"/>
      <c r="Q730" s="89"/>
      <c r="R730" s="89"/>
      <c r="S730" s="89"/>
      <c r="T730" s="89"/>
      <c r="U730" s="89"/>
      <c r="V730" s="89"/>
      <c r="W730" s="89"/>
      <c r="X730" s="89"/>
      <c r="Y730" s="89"/>
      <c r="Z730" s="89"/>
      <c r="AA730" s="89"/>
    </row>
    <row r="731" spans="1:27" ht="13.8">
      <c r="A731" s="89"/>
      <c r="B731" s="89"/>
      <c r="C731" s="89"/>
      <c r="D731" s="89"/>
      <c r="E731" s="89"/>
      <c r="F731" s="110"/>
      <c r="G731" s="89"/>
      <c r="H731" s="89"/>
      <c r="I731" s="89"/>
      <c r="J731" s="89"/>
      <c r="K731" s="89"/>
      <c r="L731" s="89"/>
      <c r="M731" s="89"/>
      <c r="N731" s="89"/>
      <c r="O731" s="89"/>
      <c r="P731" s="89"/>
      <c r="Q731" s="89"/>
      <c r="R731" s="89"/>
      <c r="S731" s="89"/>
      <c r="T731" s="89"/>
      <c r="U731" s="89"/>
      <c r="V731" s="89"/>
      <c r="W731" s="89"/>
      <c r="X731" s="89"/>
      <c r="Y731" s="89"/>
      <c r="Z731" s="89"/>
      <c r="AA731" s="89"/>
    </row>
    <row r="732" spans="1:27" ht="13.8">
      <c r="A732" s="89"/>
      <c r="B732" s="89"/>
      <c r="C732" s="89"/>
      <c r="D732" s="89"/>
      <c r="E732" s="89"/>
      <c r="F732" s="110"/>
      <c r="G732" s="89"/>
      <c r="H732" s="89"/>
      <c r="I732" s="89"/>
      <c r="J732" s="89"/>
      <c r="K732" s="89"/>
      <c r="L732" s="89"/>
      <c r="M732" s="89"/>
      <c r="N732" s="89"/>
      <c r="O732" s="89"/>
      <c r="P732" s="89"/>
      <c r="Q732" s="89"/>
      <c r="R732" s="89"/>
      <c r="S732" s="89"/>
      <c r="T732" s="89"/>
      <c r="U732" s="89"/>
      <c r="V732" s="89"/>
      <c r="W732" s="89"/>
      <c r="X732" s="89"/>
      <c r="Y732" s="89"/>
      <c r="Z732" s="89"/>
      <c r="AA732" s="89"/>
    </row>
    <row r="733" spans="1:27" ht="13.8">
      <c r="A733" s="89"/>
      <c r="B733" s="89"/>
      <c r="C733" s="89"/>
      <c r="D733" s="89"/>
      <c r="E733" s="89"/>
      <c r="F733" s="110"/>
      <c r="G733" s="89"/>
      <c r="H733" s="89"/>
      <c r="I733" s="89"/>
      <c r="J733" s="89"/>
      <c r="K733" s="89"/>
      <c r="L733" s="89"/>
      <c r="M733" s="89"/>
      <c r="N733" s="89"/>
      <c r="O733" s="89"/>
      <c r="P733" s="89"/>
      <c r="Q733" s="89"/>
      <c r="R733" s="89"/>
      <c r="S733" s="89"/>
      <c r="T733" s="89"/>
      <c r="U733" s="89"/>
      <c r="V733" s="89"/>
      <c r="W733" s="89"/>
      <c r="X733" s="89"/>
      <c r="Y733" s="89"/>
      <c r="Z733" s="89"/>
      <c r="AA733" s="89"/>
    </row>
    <row r="734" spans="1:27" ht="13.8">
      <c r="A734" s="89"/>
      <c r="B734" s="89"/>
      <c r="C734" s="89"/>
      <c r="D734" s="89"/>
      <c r="E734" s="89"/>
      <c r="F734" s="110"/>
      <c r="G734" s="89"/>
      <c r="H734" s="89"/>
      <c r="I734" s="89"/>
      <c r="J734" s="89"/>
      <c r="K734" s="89"/>
      <c r="L734" s="89"/>
      <c r="M734" s="89"/>
      <c r="N734" s="89"/>
      <c r="O734" s="89"/>
      <c r="P734" s="89"/>
      <c r="Q734" s="89"/>
      <c r="R734" s="89"/>
      <c r="S734" s="89"/>
      <c r="T734" s="89"/>
      <c r="U734" s="89"/>
      <c r="V734" s="89"/>
      <c r="W734" s="89"/>
      <c r="X734" s="89"/>
      <c r="Y734" s="89"/>
      <c r="Z734" s="89"/>
      <c r="AA734" s="89"/>
    </row>
    <row r="735" spans="1:27" ht="13.8">
      <c r="A735" s="89"/>
      <c r="B735" s="89"/>
      <c r="C735" s="89"/>
      <c r="D735" s="89"/>
      <c r="E735" s="89"/>
      <c r="F735" s="110"/>
      <c r="G735" s="89"/>
      <c r="H735" s="89"/>
      <c r="I735" s="89"/>
      <c r="J735" s="89"/>
      <c r="K735" s="89"/>
      <c r="L735" s="89"/>
      <c r="M735" s="89"/>
      <c r="N735" s="89"/>
      <c r="O735" s="89"/>
      <c r="P735" s="89"/>
      <c r="Q735" s="89"/>
      <c r="R735" s="89"/>
      <c r="S735" s="89"/>
      <c r="T735" s="89"/>
      <c r="U735" s="89"/>
      <c r="V735" s="89"/>
      <c r="W735" s="89"/>
      <c r="X735" s="89"/>
      <c r="Y735" s="89"/>
      <c r="Z735" s="89"/>
      <c r="AA735" s="89"/>
    </row>
    <row r="736" spans="1:27" ht="13.8">
      <c r="A736" s="89"/>
      <c r="B736" s="89"/>
      <c r="C736" s="89"/>
      <c r="D736" s="89"/>
      <c r="E736" s="89"/>
      <c r="F736" s="110"/>
      <c r="G736" s="89"/>
      <c r="H736" s="89"/>
      <c r="I736" s="89"/>
      <c r="J736" s="89"/>
      <c r="K736" s="89"/>
      <c r="L736" s="89"/>
      <c r="M736" s="89"/>
      <c r="N736" s="89"/>
      <c r="O736" s="89"/>
      <c r="P736" s="89"/>
      <c r="Q736" s="89"/>
      <c r="R736" s="89"/>
      <c r="S736" s="89"/>
      <c r="T736" s="89"/>
      <c r="U736" s="89"/>
      <c r="V736" s="89"/>
      <c r="W736" s="89"/>
      <c r="X736" s="89"/>
      <c r="Y736" s="89"/>
      <c r="Z736" s="89"/>
      <c r="AA736" s="89"/>
    </row>
    <row r="737" spans="1:27" ht="13.8">
      <c r="A737" s="89"/>
      <c r="B737" s="89"/>
      <c r="C737" s="89"/>
      <c r="D737" s="89"/>
      <c r="E737" s="89"/>
      <c r="F737" s="110"/>
      <c r="G737" s="89"/>
      <c r="H737" s="89"/>
      <c r="I737" s="89"/>
      <c r="J737" s="89"/>
      <c r="K737" s="89"/>
      <c r="L737" s="89"/>
      <c r="M737" s="89"/>
      <c r="N737" s="89"/>
      <c r="O737" s="89"/>
      <c r="P737" s="89"/>
      <c r="Q737" s="89"/>
      <c r="R737" s="89"/>
      <c r="S737" s="89"/>
      <c r="T737" s="89"/>
      <c r="U737" s="89"/>
      <c r="V737" s="89"/>
      <c r="W737" s="89"/>
      <c r="X737" s="89"/>
      <c r="Y737" s="89"/>
      <c r="Z737" s="89"/>
      <c r="AA737" s="89"/>
    </row>
    <row r="738" spans="1:27" ht="13.8">
      <c r="A738" s="89"/>
      <c r="B738" s="89"/>
      <c r="C738" s="89"/>
      <c r="D738" s="89"/>
      <c r="E738" s="89"/>
      <c r="F738" s="110"/>
      <c r="G738" s="89"/>
      <c r="H738" s="89"/>
      <c r="I738" s="89"/>
      <c r="J738" s="89"/>
      <c r="K738" s="89"/>
      <c r="L738" s="89"/>
      <c r="M738" s="89"/>
      <c r="N738" s="89"/>
      <c r="O738" s="89"/>
      <c r="P738" s="89"/>
      <c r="Q738" s="89"/>
      <c r="R738" s="89"/>
      <c r="S738" s="89"/>
      <c r="T738" s="89"/>
      <c r="U738" s="89"/>
      <c r="V738" s="89"/>
      <c r="W738" s="89"/>
      <c r="X738" s="89"/>
      <c r="Y738" s="89"/>
      <c r="Z738" s="89"/>
      <c r="AA738" s="89"/>
    </row>
    <row r="739" spans="1:27" ht="13.8">
      <c r="A739" s="89"/>
      <c r="B739" s="89"/>
      <c r="C739" s="89"/>
      <c r="D739" s="89"/>
      <c r="E739" s="89"/>
      <c r="F739" s="110"/>
      <c r="G739" s="89"/>
      <c r="H739" s="89"/>
      <c r="I739" s="89"/>
      <c r="J739" s="89"/>
      <c r="K739" s="89"/>
      <c r="L739" s="89"/>
      <c r="M739" s="89"/>
      <c r="N739" s="89"/>
      <c r="O739" s="89"/>
      <c r="P739" s="89"/>
      <c r="Q739" s="89"/>
      <c r="R739" s="89"/>
      <c r="S739" s="89"/>
      <c r="T739" s="89"/>
      <c r="U739" s="89"/>
      <c r="V739" s="89"/>
      <c r="W739" s="89"/>
      <c r="X739" s="89"/>
      <c r="Y739" s="89"/>
      <c r="Z739" s="89"/>
      <c r="AA739" s="89"/>
    </row>
    <row r="740" spans="1:27" ht="13.8">
      <c r="A740" s="89"/>
      <c r="B740" s="89"/>
      <c r="C740" s="89"/>
      <c r="D740" s="89"/>
      <c r="E740" s="89"/>
      <c r="F740" s="110"/>
      <c r="G740" s="89"/>
      <c r="H740" s="89"/>
      <c r="I740" s="89"/>
      <c r="J740" s="89"/>
      <c r="K740" s="89"/>
      <c r="L740" s="89"/>
      <c r="M740" s="89"/>
      <c r="N740" s="89"/>
      <c r="O740" s="89"/>
      <c r="P740" s="89"/>
      <c r="Q740" s="89"/>
      <c r="R740" s="89"/>
      <c r="S740" s="89"/>
      <c r="T740" s="89"/>
      <c r="U740" s="89"/>
      <c r="V740" s="89"/>
      <c r="W740" s="89"/>
      <c r="X740" s="89"/>
      <c r="Y740" s="89"/>
      <c r="Z740" s="89"/>
      <c r="AA740" s="89"/>
    </row>
    <row r="741" spans="1:27" ht="13.8">
      <c r="A741" s="89"/>
      <c r="B741" s="89"/>
      <c r="C741" s="89"/>
      <c r="D741" s="89"/>
      <c r="E741" s="89"/>
      <c r="F741" s="110"/>
      <c r="G741" s="89"/>
      <c r="H741" s="89"/>
      <c r="I741" s="89"/>
      <c r="J741" s="89"/>
      <c r="K741" s="89"/>
      <c r="L741" s="89"/>
      <c r="M741" s="89"/>
      <c r="N741" s="89"/>
      <c r="O741" s="89"/>
      <c r="P741" s="89"/>
      <c r="Q741" s="89"/>
      <c r="R741" s="89"/>
      <c r="S741" s="89"/>
      <c r="T741" s="89"/>
      <c r="U741" s="89"/>
      <c r="V741" s="89"/>
      <c r="W741" s="89"/>
      <c r="X741" s="89"/>
      <c r="Y741" s="89"/>
      <c r="Z741" s="89"/>
      <c r="AA741" s="89"/>
    </row>
    <row r="742" spans="1:27" ht="13.8">
      <c r="A742" s="89"/>
      <c r="B742" s="89"/>
      <c r="C742" s="89"/>
      <c r="D742" s="89"/>
      <c r="E742" s="89"/>
      <c r="F742" s="110"/>
      <c r="G742" s="89"/>
      <c r="H742" s="89"/>
      <c r="I742" s="89"/>
      <c r="J742" s="89"/>
      <c r="K742" s="89"/>
      <c r="L742" s="89"/>
      <c r="M742" s="89"/>
      <c r="N742" s="89"/>
      <c r="O742" s="89"/>
      <c r="P742" s="89"/>
      <c r="Q742" s="89"/>
      <c r="R742" s="89"/>
      <c r="S742" s="89"/>
      <c r="T742" s="89"/>
      <c r="U742" s="89"/>
      <c r="V742" s="89"/>
      <c r="W742" s="89"/>
      <c r="X742" s="89"/>
      <c r="Y742" s="89"/>
      <c r="Z742" s="89"/>
      <c r="AA742" s="89"/>
    </row>
    <row r="743" spans="1:27" ht="13.8">
      <c r="A743" s="89"/>
      <c r="B743" s="89"/>
      <c r="C743" s="89"/>
      <c r="D743" s="89"/>
      <c r="E743" s="89"/>
      <c r="F743" s="110"/>
      <c r="G743" s="89"/>
      <c r="H743" s="89"/>
      <c r="I743" s="89"/>
      <c r="J743" s="89"/>
      <c r="K743" s="89"/>
      <c r="L743" s="89"/>
      <c r="M743" s="89"/>
      <c r="N743" s="89"/>
      <c r="O743" s="89"/>
      <c r="P743" s="89"/>
      <c r="Q743" s="89"/>
      <c r="R743" s="89"/>
      <c r="S743" s="89"/>
      <c r="T743" s="89"/>
      <c r="U743" s="89"/>
      <c r="V743" s="89"/>
      <c r="W743" s="89"/>
      <c r="X743" s="89"/>
      <c r="Y743" s="89"/>
      <c r="Z743" s="89"/>
      <c r="AA743" s="89"/>
    </row>
    <row r="744" spans="1:27" ht="13.8">
      <c r="A744" s="89"/>
      <c r="B744" s="89"/>
      <c r="C744" s="89"/>
      <c r="D744" s="89"/>
      <c r="E744" s="89"/>
      <c r="F744" s="110"/>
      <c r="G744" s="89"/>
      <c r="H744" s="89"/>
      <c r="I744" s="89"/>
      <c r="J744" s="89"/>
      <c r="K744" s="89"/>
      <c r="L744" s="89"/>
      <c r="M744" s="89"/>
      <c r="N744" s="89"/>
      <c r="O744" s="89"/>
      <c r="P744" s="89"/>
      <c r="Q744" s="89"/>
      <c r="R744" s="89"/>
      <c r="S744" s="89"/>
      <c r="T744" s="89"/>
      <c r="U744" s="89"/>
      <c r="V744" s="89"/>
      <c r="W744" s="89"/>
      <c r="X744" s="89"/>
      <c r="Y744" s="89"/>
      <c r="Z744" s="89"/>
      <c r="AA744" s="89"/>
    </row>
    <row r="745" spans="1:27" ht="13.8">
      <c r="A745" s="89"/>
      <c r="B745" s="89"/>
      <c r="C745" s="89"/>
      <c r="D745" s="89"/>
      <c r="E745" s="89"/>
      <c r="F745" s="110"/>
      <c r="G745" s="89"/>
      <c r="H745" s="89"/>
      <c r="I745" s="89"/>
      <c r="J745" s="89"/>
      <c r="K745" s="89"/>
      <c r="L745" s="89"/>
      <c r="M745" s="89"/>
      <c r="N745" s="89"/>
      <c r="O745" s="89"/>
      <c r="P745" s="89"/>
      <c r="Q745" s="89"/>
      <c r="R745" s="89"/>
      <c r="S745" s="89"/>
      <c r="T745" s="89"/>
      <c r="U745" s="89"/>
      <c r="V745" s="89"/>
      <c r="W745" s="89"/>
      <c r="X745" s="89"/>
      <c r="Y745" s="89"/>
      <c r="Z745" s="89"/>
      <c r="AA745" s="89"/>
    </row>
    <row r="746" spans="1:27" ht="13.8">
      <c r="A746" s="89"/>
      <c r="B746" s="89"/>
      <c r="C746" s="89"/>
      <c r="D746" s="89"/>
      <c r="E746" s="89"/>
      <c r="F746" s="110"/>
      <c r="G746" s="89"/>
      <c r="H746" s="89"/>
      <c r="I746" s="89"/>
      <c r="J746" s="89"/>
      <c r="K746" s="89"/>
      <c r="L746" s="89"/>
      <c r="M746" s="89"/>
      <c r="N746" s="89"/>
      <c r="O746" s="89"/>
      <c r="P746" s="89"/>
      <c r="Q746" s="89"/>
      <c r="R746" s="89"/>
      <c r="S746" s="89"/>
      <c r="T746" s="89"/>
      <c r="U746" s="89"/>
      <c r="V746" s="89"/>
      <c r="W746" s="89"/>
      <c r="X746" s="89"/>
      <c r="Y746" s="89"/>
      <c r="Z746" s="89"/>
      <c r="AA746" s="89"/>
    </row>
    <row r="747" spans="1:27" ht="13.8">
      <c r="A747" s="89"/>
      <c r="B747" s="89"/>
      <c r="C747" s="89"/>
      <c r="D747" s="89"/>
      <c r="E747" s="89"/>
      <c r="F747" s="110"/>
      <c r="G747" s="89"/>
      <c r="H747" s="89"/>
      <c r="I747" s="89"/>
      <c r="J747" s="89"/>
      <c r="K747" s="89"/>
      <c r="L747" s="89"/>
      <c r="M747" s="89"/>
      <c r="N747" s="89"/>
      <c r="O747" s="89"/>
      <c r="P747" s="89"/>
      <c r="Q747" s="89"/>
      <c r="R747" s="89"/>
      <c r="S747" s="89"/>
      <c r="T747" s="89"/>
      <c r="U747" s="89"/>
      <c r="V747" s="89"/>
      <c r="W747" s="89"/>
      <c r="X747" s="89"/>
      <c r="Y747" s="89"/>
      <c r="Z747" s="89"/>
      <c r="AA747" s="89"/>
    </row>
    <row r="748" spans="1:27" ht="13.8">
      <c r="A748" s="89"/>
      <c r="B748" s="89"/>
      <c r="C748" s="89"/>
      <c r="D748" s="89"/>
      <c r="E748" s="89"/>
      <c r="F748" s="110"/>
      <c r="G748" s="89"/>
      <c r="H748" s="89"/>
      <c r="I748" s="89"/>
      <c r="J748" s="89"/>
      <c r="K748" s="89"/>
      <c r="L748" s="89"/>
      <c r="M748" s="89"/>
      <c r="N748" s="89"/>
      <c r="O748" s="89"/>
      <c r="P748" s="89"/>
      <c r="Q748" s="89"/>
      <c r="R748" s="89"/>
      <c r="S748" s="89"/>
      <c r="T748" s="89"/>
      <c r="U748" s="89"/>
      <c r="V748" s="89"/>
      <c r="W748" s="89"/>
      <c r="X748" s="89"/>
      <c r="Y748" s="89"/>
      <c r="Z748" s="89"/>
      <c r="AA748" s="89"/>
    </row>
    <row r="749" spans="1:27" ht="13.8">
      <c r="A749" s="89"/>
      <c r="B749" s="89"/>
      <c r="C749" s="89"/>
      <c r="D749" s="89"/>
      <c r="E749" s="89"/>
      <c r="F749" s="110"/>
      <c r="G749" s="89"/>
      <c r="H749" s="89"/>
      <c r="I749" s="89"/>
      <c r="J749" s="89"/>
      <c r="K749" s="89"/>
      <c r="L749" s="89"/>
      <c r="M749" s="89"/>
      <c r="N749" s="89"/>
      <c r="O749" s="89"/>
      <c r="P749" s="89"/>
      <c r="Q749" s="89"/>
      <c r="R749" s="89"/>
      <c r="S749" s="89"/>
      <c r="T749" s="89"/>
      <c r="U749" s="89"/>
      <c r="V749" s="89"/>
      <c r="W749" s="89"/>
      <c r="X749" s="89"/>
      <c r="Y749" s="89"/>
      <c r="Z749" s="89"/>
      <c r="AA749" s="89"/>
    </row>
    <row r="750" spans="1:27" ht="13.8">
      <c r="A750" s="89"/>
      <c r="B750" s="89"/>
      <c r="C750" s="89"/>
      <c r="D750" s="89"/>
      <c r="E750" s="89"/>
      <c r="F750" s="110"/>
      <c r="G750" s="89"/>
      <c r="H750" s="89"/>
      <c r="I750" s="89"/>
      <c r="J750" s="89"/>
      <c r="K750" s="89"/>
      <c r="L750" s="89"/>
      <c r="M750" s="89"/>
      <c r="N750" s="89"/>
      <c r="O750" s="89"/>
      <c r="P750" s="89"/>
      <c r="Q750" s="89"/>
      <c r="R750" s="89"/>
      <c r="S750" s="89"/>
      <c r="T750" s="89"/>
      <c r="U750" s="89"/>
      <c r="V750" s="89"/>
      <c r="W750" s="89"/>
      <c r="X750" s="89"/>
      <c r="Y750" s="89"/>
      <c r="Z750" s="89"/>
      <c r="AA750" s="89"/>
    </row>
    <row r="751" spans="1:27" ht="13.8">
      <c r="A751" s="89"/>
      <c r="B751" s="89"/>
      <c r="C751" s="89"/>
      <c r="D751" s="89"/>
      <c r="E751" s="89"/>
      <c r="F751" s="110"/>
      <c r="G751" s="89"/>
      <c r="H751" s="89"/>
      <c r="I751" s="89"/>
      <c r="J751" s="89"/>
      <c r="K751" s="89"/>
      <c r="L751" s="89"/>
      <c r="M751" s="89"/>
      <c r="N751" s="89"/>
      <c r="O751" s="89"/>
      <c r="P751" s="89"/>
      <c r="Q751" s="89"/>
      <c r="R751" s="89"/>
      <c r="S751" s="89"/>
      <c r="T751" s="89"/>
      <c r="U751" s="89"/>
      <c r="V751" s="89"/>
      <c r="W751" s="89"/>
      <c r="X751" s="89"/>
      <c r="Y751" s="89"/>
      <c r="Z751" s="89"/>
      <c r="AA751" s="89"/>
    </row>
    <row r="752" spans="1:27" ht="13.8">
      <c r="A752" s="89"/>
      <c r="B752" s="89"/>
      <c r="C752" s="89"/>
      <c r="D752" s="89"/>
      <c r="E752" s="89"/>
      <c r="F752" s="110"/>
      <c r="G752" s="89"/>
      <c r="H752" s="89"/>
      <c r="I752" s="89"/>
      <c r="J752" s="89"/>
      <c r="K752" s="89"/>
      <c r="L752" s="89"/>
      <c r="M752" s="89"/>
      <c r="N752" s="89"/>
      <c r="O752" s="89"/>
      <c r="P752" s="89"/>
      <c r="Q752" s="89"/>
      <c r="R752" s="89"/>
      <c r="S752" s="89"/>
      <c r="T752" s="89"/>
      <c r="U752" s="89"/>
      <c r="V752" s="89"/>
      <c r="W752" s="89"/>
      <c r="X752" s="89"/>
      <c r="Y752" s="89"/>
      <c r="Z752" s="89"/>
      <c r="AA752" s="89"/>
    </row>
    <row r="753" spans="1:27" ht="13.8">
      <c r="A753" s="89"/>
      <c r="B753" s="89"/>
      <c r="C753" s="89"/>
      <c r="D753" s="89"/>
      <c r="E753" s="89"/>
      <c r="F753" s="110"/>
      <c r="G753" s="89"/>
      <c r="H753" s="89"/>
      <c r="I753" s="89"/>
      <c r="J753" s="89"/>
      <c r="K753" s="89"/>
      <c r="L753" s="89"/>
      <c r="M753" s="89"/>
      <c r="N753" s="89"/>
      <c r="O753" s="89"/>
      <c r="P753" s="89"/>
      <c r="Q753" s="89"/>
      <c r="R753" s="89"/>
      <c r="S753" s="89"/>
      <c r="T753" s="89"/>
      <c r="U753" s="89"/>
      <c r="V753" s="89"/>
      <c r="W753" s="89"/>
      <c r="X753" s="89"/>
      <c r="Y753" s="89"/>
      <c r="Z753" s="89"/>
      <c r="AA753" s="89"/>
    </row>
    <row r="754" spans="1:27" ht="13.8">
      <c r="A754" s="89"/>
      <c r="B754" s="89"/>
      <c r="C754" s="89"/>
      <c r="D754" s="89"/>
      <c r="E754" s="89"/>
      <c r="F754" s="110"/>
      <c r="G754" s="89"/>
      <c r="H754" s="89"/>
      <c r="I754" s="89"/>
      <c r="J754" s="89"/>
      <c r="K754" s="89"/>
      <c r="L754" s="89"/>
      <c r="M754" s="89"/>
      <c r="N754" s="89"/>
      <c r="O754" s="89"/>
      <c r="P754" s="89"/>
      <c r="Q754" s="89"/>
      <c r="R754" s="89"/>
      <c r="S754" s="89"/>
      <c r="T754" s="89"/>
      <c r="U754" s="89"/>
      <c r="V754" s="89"/>
      <c r="W754" s="89"/>
      <c r="X754" s="89"/>
      <c r="Y754" s="89"/>
      <c r="Z754" s="89"/>
      <c r="AA754" s="89"/>
    </row>
    <row r="755" spans="1:27" ht="13.8">
      <c r="A755" s="89"/>
      <c r="B755" s="89"/>
      <c r="C755" s="89"/>
      <c r="D755" s="89"/>
      <c r="E755" s="89"/>
      <c r="F755" s="110"/>
      <c r="G755" s="89"/>
      <c r="H755" s="89"/>
      <c r="I755" s="89"/>
      <c r="J755" s="89"/>
      <c r="K755" s="89"/>
      <c r="L755" s="89"/>
      <c r="M755" s="89"/>
      <c r="N755" s="89"/>
      <c r="O755" s="89"/>
      <c r="P755" s="89"/>
      <c r="Q755" s="89"/>
      <c r="R755" s="89"/>
      <c r="S755" s="89"/>
      <c r="T755" s="89"/>
      <c r="U755" s="89"/>
      <c r="V755" s="89"/>
      <c r="W755" s="89"/>
      <c r="X755" s="89"/>
      <c r="Y755" s="89"/>
      <c r="Z755" s="89"/>
      <c r="AA755" s="89"/>
    </row>
    <row r="756" spans="1:27" ht="13.8">
      <c r="A756" s="89"/>
      <c r="B756" s="89"/>
      <c r="C756" s="89"/>
      <c r="D756" s="89"/>
      <c r="E756" s="89"/>
      <c r="F756" s="110"/>
      <c r="G756" s="89"/>
      <c r="H756" s="89"/>
      <c r="I756" s="89"/>
      <c r="J756" s="89"/>
      <c r="K756" s="89"/>
      <c r="L756" s="89"/>
      <c r="M756" s="89"/>
      <c r="N756" s="89"/>
      <c r="O756" s="89"/>
      <c r="P756" s="89"/>
      <c r="Q756" s="89"/>
      <c r="R756" s="89"/>
      <c r="S756" s="89"/>
      <c r="T756" s="89"/>
      <c r="U756" s="89"/>
      <c r="V756" s="89"/>
      <c r="W756" s="89"/>
      <c r="X756" s="89"/>
      <c r="Y756" s="89"/>
      <c r="Z756" s="89"/>
      <c r="AA756" s="89"/>
    </row>
    <row r="757" spans="1:27" ht="13.8">
      <c r="A757" s="89"/>
      <c r="B757" s="89"/>
      <c r="C757" s="89"/>
      <c r="D757" s="89"/>
      <c r="E757" s="89"/>
      <c r="F757" s="110"/>
      <c r="G757" s="89"/>
      <c r="H757" s="89"/>
      <c r="I757" s="89"/>
      <c r="J757" s="89"/>
      <c r="K757" s="89"/>
      <c r="L757" s="89"/>
      <c r="M757" s="89"/>
      <c r="N757" s="89"/>
      <c r="O757" s="89"/>
      <c r="P757" s="89"/>
      <c r="Q757" s="89"/>
      <c r="R757" s="89"/>
      <c r="S757" s="89"/>
      <c r="T757" s="89"/>
      <c r="U757" s="89"/>
      <c r="V757" s="89"/>
      <c r="W757" s="89"/>
      <c r="X757" s="89"/>
      <c r="Y757" s="89"/>
      <c r="Z757" s="89"/>
      <c r="AA757" s="89"/>
    </row>
    <row r="758" spans="1:27" ht="13.8">
      <c r="A758" s="89"/>
      <c r="B758" s="89"/>
      <c r="C758" s="89"/>
      <c r="D758" s="89"/>
      <c r="E758" s="89"/>
      <c r="F758" s="110"/>
      <c r="G758" s="89"/>
      <c r="H758" s="89"/>
      <c r="I758" s="89"/>
      <c r="J758" s="89"/>
      <c r="K758" s="89"/>
      <c r="L758" s="89"/>
      <c r="M758" s="89"/>
      <c r="N758" s="89"/>
      <c r="O758" s="89"/>
      <c r="P758" s="89"/>
      <c r="Q758" s="89"/>
      <c r="R758" s="89"/>
      <c r="S758" s="89"/>
      <c r="T758" s="89"/>
      <c r="U758" s="89"/>
      <c r="V758" s="89"/>
      <c r="W758" s="89"/>
      <c r="X758" s="89"/>
      <c r="Y758" s="89"/>
      <c r="Z758" s="89"/>
      <c r="AA758" s="89"/>
    </row>
    <row r="759" spans="1:27" ht="13.8">
      <c r="A759" s="89"/>
      <c r="B759" s="89"/>
      <c r="C759" s="89"/>
      <c r="D759" s="89"/>
      <c r="E759" s="89"/>
      <c r="F759" s="110"/>
      <c r="G759" s="89"/>
      <c r="H759" s="89"/>
      <c r="I759" s="89"/>
      <c r="J759" s="89"/>
      <c r="K759" s="89"/>
      <c r="L759" s="89"/>
      <c r="M759" s="89"/>
      <c r="N759" s="89"/>
      <c r="O759" s="89"/>
      <c r="P759" s="89"/>
      <c r="Q759" s="89"/>
      <c r="R759" s="89"/>
      <c r="S759" s="89"/>
      <c r="T759" s="89"/>
      <c r="U759" s="89"/>
      <c r="V759" s="89"/>
      <c r="W759" s="89"/>
      <c r="X759" s="89"/>
      <c r="Y759" s="89"/>
      <c r="Z759" s="89"/>
      <c r="AA759" s="89"/>
    </row>
    <row r="760" spans="1:27" ht="13.8">
      <c r="A760" s="89"/>
      <c r="B760" s="89"/>
      <c r="C760" s="89"/>
      <c r="D760" s="89"/>
      <c r="E760" s="89"/>
      <c r="F760" s="110"/>
      <c r="G760" s="89"/>
      <c r="H760" s="89"/>
      <c r="I760" s="89"/>
      <c r="J760" s="89"/>
      <c r="K760" s="89"/>
      <c r="L760" s="89"/>
      <c r="M760" s="89"/>
      <c r="N760" s="89"/>
      <c r="O760" s="89"/>
      <c r="P760" s="89"/>
      <c r="Q760" s="89"/>
      <c r="R760" s="89"/>
      <c r="S760" s="89"/>
      <c r="T760" s="89"/>
      <c r="U760" s="89"/>
      <c r="V760" s="89"/>
      <c r="W760" s="89"/>
      <c r="X760" s="89"/>
      <c r="Y760" s="89"/>
      <c r="Z760" s="89"/>
      <c r="AA760" s="89"/>
    </row>
    <row r="761" spans="1:27" ht="13.8">
      <c r="A761" s="89"/>
      <c r="B761" s="89"/>
      <c r="C761" s="89"/>
      <c r="D761" s="89"/>
      <c r="E761" s="89"/>
      <c r="F761" s="110"/>
      <c r="G761" s="89"/>
      <c r="H761" s="89"/>
      <c r="I761" s="89"/>
      <c r="J761" s="89"/>
      <c r="K761" s="89"/>
      <c r="L761" s="89"/>
      <c r="M761" s="89"/>
      <c r="N761" s="89"/>
      <c r="O761" s="89"/>
      <c r="P761" s="89"/>
      <c r="Q761" s="89"/>
      <c r="R761" s="89"/>
      <c r="S761" s="89"/>
      <c r="T761" s="89"/>
      <c r="U761" s="89"/>
      <c r="V761" s="89"/>
      <c r="W761" s="89"/>
      <c r="X761" s="89"/>
      <c r="Y761" s="89"/>
      <c r="Z761" s="89"/>
      <c r="AA761" s="89"/>
    </row>
    <row r="762" spans="1:27" ht="13.8">
      <c r="A762" s="89"/>
      <c r="B762" s="89"/>
      <c r="C762" s="89"/>
      <c r="D762" s="89"/>
      <c r="E762" s="89"/>
      <c r="F762" s="110"/>
      <c r="G762" s="89"/>
      <c r="H762" s="89"/>
      <c r="I762" s="89"/>
      <c r="J762" s="89"/>
      <c r="K762" s="89"/>
      <c r="L762" s="89"/>
      <c r="M762" s="89"/>
      <c r="N762" s="89"/>
      <c r="O762" s="89"/>
      <c r="P762" s="89"/>
      <c r="Q762" s="89"/>
      <c r="R762" s="89"/>
      <c r="S762" s="89"/>
      <c r="T762" s="89"/>
      <c r="U762" s="89"/>
      <c r="V762" s="89"/>
      <c r="W762" s="89"/>
      <c r="X762" s="89"/>
      <c r="Y762" s="89"/>
      <c r="Z762" s="89"/>
      <c r="AA762" s="89"/>
    </row>
    <row r="763" spans="1:27" ht="13.8">
      <c r="A763" s="89"/>
      <c r="B763" s="89"/>
      <c r="C763" s="89"/>
      <c r="D763" s="89"/>
      <c r="E763" s="89"/>
      <c r="F763" s="110"/>
      <c r="G763" s="89"/>
      <c r="H763" s="89"/>
      <c r="I763" s="89"/>
      <c r="J763" s="89"/>
      <c r="K763" s="89"/>
      <c r="L763" s="89"/>
      <c r="M763" s="89"/>
      <c r="N763" s="89"/>
      <c r="O763" s="89"/>
      <c r="P763" s="89"/>
      <c r="Q763" s="89"/>
      <c r="R763" s="89"/>
      <c r="S763" s="89"/>
      <c r="T763" s="89"/>
      <c r="U763" s="89"/>
      <c r="V763" s="89"/>
      <c r="W763" s="89"/>
      <c r="X763" s="89"/>
      <c r="Y763" s="89"/>
      <c r="Z763" s="89"/>
      <c r="AA763" s="89"/>
    </row>
    <row r="764" spans="1:27" ht="13.8">
      <c r="A764" s="89"/>
      <c r="B764" s="89"/>
      <c r="C764" s="89"/>
      <c r="D764" s="89"/>
      <c r="E764" s="89"/>
      <c r="F764" s="110"/>
      <c r="G764" s="89"/>
      <c r="H764" s="89"/>
      <c r="I764" s="89"/>
      <c r="J764" s="89"/>
      <c r="K764" s="89"/>
      <c r="L764" s="89"/>
      <c r="M764" s="89"/>
      <c r="N764" s="89"/>
      <c r="O764" s="89"/>
      <c r="P764" s="89"/>
      <c r="Q764" s="89"/>
      <c r="R764" s="89"/>
      <c r="S764" s="89"/>
      <c r="T764" s="89"/>
      <c r="U764" s="89"/>
      <c r="V764" s="89"/>
      <c r="W764" s="89"/>
      <c r="X764" s="89"/>
      <c r="Y764" s="89"/>
      <c r="Z764" s="89"/>
      <c r="AA764" s="89"/>
    </row>
    <row r="765" spans="1:27" ht="13.8">
      <c r="A765" s="89"/>
      <c r="B765" s="89"/>
      <c r="C765" s="89"/>
      <c r="D765" s="89"/>
      <c r="E765" s="89"/>
      <c r="F765" s="110"/>
      <c r="G765" s="89"/>
      <c r="H765" s="89"/>
      <c r="I765" s="89"/>
      <c r="J765" s="89"/>
      <c r="K765" s="89"/>
      <c r="L765" s="89"/>
      <c r="M765" s="89"/>
      <c r="N765" s="89"/>
      <c r="O765" s="89"/>
      <c r="P765" s="89"/>
      <c r="Q765" s="89"/>
      <c r="R765" s="89"/>
      <c r="S765" s="89"/>
      <c r="T765" s="89"/>
      <c r="U765" s="89"/>
      <c r="V765" s="89"/>
      <c r="W765" s="89"/>
      <c r="X765" s="89"/>
      <c r="Y765" s="89"/>
      <c r="Z765" s="89"/>
      <c r="AA765" s="89"/>
    </row>
    <row r="766" spans="1:27" ht="13.8">
      <c r="A766" s="89"/>
      <c r="B766" s="89"/>
      <c r="C766" s="89"/>
      <c r="D766" s="89"/>
      <c r="E766" s="89"/>
      <c r="F766" s="110"/>
      <c r="G766" s="89"/>
      <c r="H766" s="89"/>
      <c r="I766" s="89"/>
      <c r="J766" s="89"/>
      <c r="K766" s="89"/>
      <c r="L766" s="89"/>
      <c r="M766" s="89"/>
      <c r="N766" s="89"/>
      <c r="O766" s="89"/>
      <c r="P766" s="89"/>
      <c r="Q766" s="89"/>
      <c r="R766" s="89"/>
      <c r="S766" s="89"/>
      <c r="T766" s="89"/>
      <c r="U766" s="89"/>
      <c r="V766" s="89"/>
      <c r="W766" s="89"/>
      <c r="X766" s="89"/>
      <c r="Y766" s="89"/>
      <c r="Z766" s="89"/>
      <c r="AA766" s="89"/>
    </row>
    <row r="767" spans="1:27" ht="13.8">
      <c r="A767" s="89"/>
      <c r="B767" s="89"/>
      <c r="C767" s="89"/>
      <c r="D767" s="89"/>
      <c r="E767" s="89"/>
      <c r="F767" s="110"/>
      <c r="G767" s="89"/>
      <c r="H767" s="89"/>
      <c r="I767" s="89"/>
      <c r="J767" s="89"/>
      <c r="K767" s="89"/>
      <c r="L767" s="89"/>
      <c r="M767" s="89"/>
      <c r="N767" s="89"/>
      <c r="O767" s="89"/>
      <c r="P767" s="89"/>
      <c r="Q767" s="89"/>
      <c r="R767" s="89"/>
      <c r="S767" s="89"/>
      <c r="T767" s="89"/>
      <c r="U767" s="89"/>
      <c r="V767" s="89"/>
      <c r="W767" s="89"/>
      <c r="X767" s="89"/>
      <c r="Y767" s="89"/>
      <c r="Z767" s="89"/>
      <c r="AA767" s="89"/>
    </row>
    <row r="768" spans="1:27" ht="13.8">
      <c r="A768" s="89"/>
      <c r="B768" s="89"/>
      <c r="C768" s="89"/>
      <c r="D768" s="89"/>
      <c r="E768" s="89"/>
      <c r="F768" s="110"/>
      <c r="G768" s="89"/>
      <c r="H768" s="89"/>
      <c r="I768" s="89"/>
      <c r="J768" s="89"/>
      <c r="K768" s="89"/>
      <c r="L768" s="89"/>
      <c r="M768" s="89"/>
      <c r="N768" s="89"/>
      <c r="O768" s="89"/>
      <c r="P768" s="89"/>
      <c r="Q768" s="89"/>
      <c r="R768" s="89"/>
      <c r="S768" s="89"/>
      <c r="T768" s="89"/>
      <c r="U768" s="89"/>
      <c r="V768" s="89"/>
      <c r="W768" s="89"/>
      <c r="X768" s="89"/>
      <c r="Y768" s="89"/>
      <c r="Z768" s="89"/>
      <c r="AA768" s="89"/>
    </row>
    <row r="769" spans="1:27" ht="13.8">
      <c r="A769" s="89"/>
      <c r="B769" s="89"/>
      <c r="C769" s="89"/>
      <c r="D769" s="89"/>
      <c r="E769" s="89"/>
      <c r="F769" s="110"/>
      <c r="G769" s="89"/>
      <c r="H769" s="89"/>
      <c r="I769" s="89"/>
      <c r="J769" s="89"/>
      <c r="K769" s="89"/>
      <c r="L769" s="89"/>
      <c r="M769" s="89"/>
      <c r="N769" s="89"/>
      <c r="O769" s="89"/>
      <c r="P769" s="89"/>
      <c r="Q769" s="89"/>
      <c r="R769" s="89"/>
      <c r="S769" s="89"/>
      <c r="T769" s="89"/>
      <c r="U769" s="89"/>
      <c r="V769" s="89"/>
      <c r="W769" s="89"/>
      <c r="X769" s="89"/>
      <c r="Y769" s="89"/>
      <c r="Z769" s="89"/>
      <c r="AA769" s="89"/>
    </row>
    <row r="770" spans="1:27" ht="13.8">
      <c r="A770" s="89"/>
      <c r="B770" s="89"/>
      <c r="C770" s="89"/>
      <c r="D770" s="89"/>
      <c r="E770" s="89"/>
      <c r="F770" s="110"/>
      <c r="G770" s="89"/>
      <c r="H770" s="89"/>
      <c r="I770" s="89"/>
      <c r="J770" s="89"/>
      <c r="K770" s="89"/>
      <c r="L770" s="89"/>
      <c r="M770" s="89"/>
      <c r="N770" s="89"/>
      <c r="O770" s="89"/>
      <c r="P770" s="89"/>
      <c r="Q770" s="89"/>
      <c r="R770" s="89"/>
      <c r="S770" s="89"/>
      <c r="T770" s="89"/>
      <c r="U770" s="89"/>
      <c r="V770" s="89"/>
      <c r="W770" s="89"/>
      <c r="X770" s="89"/>
      <c r="Y770" s="89"/>
      <c r="Z770" s="89"/>
      <c r="AA770" s="89"/>
    </row>
    <row r="771" spans="1:27" ht="13.8">
      <c r="A771" s="89"/>
      <c r="B771" s="89"/>
      <c r="C771" s="89"/>
      <c r="D771" s="89"/>
      <c r="E771" s="89"/>
      <c r="F771" s="110"/>
      <c r="G771" s="89"/>
      <c r="H771" s="89"/>
      <c r="I771" s="89"/>
      <c r="J771" s="89"/>
      <c r="K771" s="89"/>
      <c r="L771" s="89"/>
      <c r="M771" s="89"/>
      <c r="N771" s="89"/>
      <c r="O771" s="89"/>
      <c r="P771" s="89"/>
      <c r="Q771" s="89"/>
      <c r="R771" s="89"/>
      <c r="S771" s="89"/>
      <c r="T771" s="89"/>
      <c r="U771" s="89"/>
      <c r="V771" s="89"/>
      <c r="W771" s="89"/>
      <c r="X771" s="89"/>
      <c r="Y771" s="89"/>
      <c r="Z771" s="89"/>
      <c r="AA771" s="89"/>
    </row>
    <row r="772" spans="1:27" ht="13.8">
      <c r="A772" s="89"/>
      <c r="B772" s="89"/>
      <c r="C772" s="89"/>
      <c r="D772" s="89"/>
      <c r="E772" s="89"/>
      <c r="F772" s="110"/>
      <c r="G772" s="89"/>
      <c r="H772" s="89"/>
      <c r="I772" s="89"/>
      <c r="J772" s="89"/>
      <c r="K772" s="89"/>
      <c r="L772" s="89"/>
      <c r="M772" s="89"/>
      <c r="N772" s="89"/>
      <c r="O772" s="89"/>
      <c r="P772" s="89"/>
      <c r="Q772" s="89"/>
      <c r="R772" s="89"/>
      <c r="S772" s="89"/>
      <c r="T772" s="89"/>
      <c r="U772" s="89"/>
      <c r="V772" s="89"/>
      <c r="W772" s="89"/>
      <c r="X772" s="89"/>
      <c r="Y772" s="89"/>
      <c r="Z772" s="89"/>
      <c r="AA772" s="89"/>
    </row>
    <row r="773" spans="1:27" ht="13.8">
      <c r="A773" s="89"/>
      <c r="B773" s="89"/>
      <c r="C773" s="89"/>
      <c r="D773" s="89"/>
      <c r="E773" s="89"/>
      <c r="F773" s="110"/>
      <c r="G773" s="89"/>
      <c r="H773" s="89"/>
      <c r="I773" s="89"/>
      <c r="J773" s="89"/>
      <c r="K773" s="89"/>
      <c r="L773" s="89"/>
      <c r="M773" s="89"/>
      <c r="N773" s="89"/>
      <c r="O773" s="89"/>
      <c r="P773" s="89"/>
      <c r="Q773" s="89"/>
      <c r="R773" s="89"/>
      <c r="S773" s="89"/>
      <c r="T773" s="89"/>
      <c r="U773" s="89"/>
      <c r="V773" s="89"/>
      <c r="W773" s="89"/>
      <c r="X773" s="89"/>
      <c r="Y773" s="89"/>
      <c r="Z773" s="89"/>
      <c r="AA773" s="89"/>
    </row>
    <row r="774" spans="1:27" ht="13.8">
      <c r="A774" s="89"/>
      <c r="B774" s="89"/>
      <c r="C774" s="89"/>
      <c r="D774" s="89"/>
      <c r="E774" s="89"/>
      <c r="F774" s="110"/>
      <c r="G774" s="89"/>
      <c r="H774" s="89"/>
      <c r="I774" s="89"/>
      <c r="J774" s="89"/>
      <c r="K774" s="89"/>
      <c r="L774" s="89"/>
      <c r="M774" s="89"/>
      <c r="N774" s="89"/>
      <c r="O774" s="89"/>
      <c r="P774" s="89"/>
      <c r="Q774" s="89"/>
      <c r="R774" s="89"/>
      <c r="S774" s="89"/>
      <c r="T774" s="89"/>
      <c r="U774" s="89"/>
      <c r="V774" s="89"/>
      <c r="W774" s="89"/>
      <c r="X774" s="89"/>
      <c r="Y774" s="89"/>
      <c r="Z774" s="89"/>
      <c r="AA774" s="89"/>
    </row>
    <row r="775" spans="1:27" ht="13.8">
      <c r="A775" s="89"/>
      <c r="B775" s="89"/>
      <c r="C775" s="89"/>
      <c r="D775" s="89"/>
      <c r="E775" s="89"/>
      <c r="F775" s="110"/>
      <c r="G775" s="89"/>
      <c r="H775" s="89"/>
      <c r="I775" s="89"/>
      <c r="J775" s="89"/>
      <c r="K775" s="89"/>
      <c r="L775" s="89"/>
      <c r="M775" s="89"/>
      <c r="N775" s="89"/>
      <c r="O775" s="89"/>
      <c r="P775" s="89"/>
      <c r="Q775" s="89"/>
      <c r="R775" s="89"/>
      <c r="S775" s="89"/>
      <c r="T775" s="89"/>
      <c r="U775" s="89"/>
      <c r="V775" s="89"/>
      <c r="W775" s="89"/>
      <c r="X775" s="89"/>
      <c r="Y775" s="89"/>
      <c r="Z775" s="89"/>
      <c r="AA775" s="89"/>
    </row>
    <row r="776" spans="1:27" ht="13.8">
      <c r="A776" s="89"/>
      <c r="B776" s="89"/>
      <c r="C776" s="89"/>
      <c r="D776" s="89"/>
      <c r="E776" s="89"/>
      <c r="F776" s="110"/>
      <c r="G776" s="89"/>
      <c r="H776" s="89"/>
      <c r="I776" s="89"/>
      <c r="J776" s="89"/>
      <c r="K776" s="89"/>
      <c r="L776" s="89"/>
      <c r="M776" s="89"/>
      <c r="N776" s="89"/>
      <c r="O776" s="89"/>
      <c r="P776" s="89"/>
      <c r="Q776" s="89"/>
      <c r="R776" s="89"/>
      <c r="S776" s="89"/>
      <c r="T776" s="89"/>
      <c r="U776" s="89"/>
      <c r="V776" s="89"/>
      <c r="W776" s="89"/>
      <c r="X776" s="89"/>
      <c r="Y776" s="89"/>
      <c r="Z776" s="89"/>
      <c r="AA776" s="89"/>
    </row>
    <row r="777" spans="1:27" ht="13.8">
      <c r="A777" s="89"/>
      <c r="B777" s="89"/>
      <c r="C777" s="89"/>
      <c r="D777" s="89"/>
      <c r="E777" s="89"/>
      <c r="F777" s="110"/>
      <c r="G777" s="89"/>
      <c r="H777" s="89"/>
      <c r="I777" s="89"/>
      <c r="J777" s="89"/>
      <c r="K777" s="89"/>
      <c r="L777" s="89"/>
      <c r="M777" s="89"/>
      <c r="N777" s="89"/>
      <c r="O777" s="89"/>
      <c r="P777" s="89"/>
      <c r="Q777" s="89"/>
      <c r="R777" s="89"/>
      <c r="S777" s="89"/>
      <c r="T777" s="89"/>
      <c r="U777" s="89"/>
      <c r="V777" s="89"/>
      <c r="W777" s="89"/>
      <c r="X777" s="89"/>
      <c r="Y777" s="89"/>
      <c r="Z777" s="89"/>
      <c r="AA777" s="89"/>
    </row>
    <row r="778" spans="1:27" ht="13.8">
      <c r="A778" s="89"/>
      <c r="B778" s="89"/>
      <c r="C778" s="89"/>
      <c r="D778" s="89"/>
      <c r="E778" s="89"/>
      <c r="F778" s="110"/>
      <c r="G778" s="89"/>
      <c r="H778" s="89"/>
      <c r="I778" s="89"/>
      <c r="J778" s="89"/>
      <c r="K778" s="89"/>
      <c r="L778" s="89"/>
      <c r="M778" s="89"/>
      <c r="N778" s="89"/>
      <c r="O778" s="89"/>
      <c r="P778" s="89"/>
      <c r="Q778" s="89"/>
      <c r="R778" s="89"/>
      <c r="S778" s="89"/>
      <c r="T778" s="89"/>
      <c r="U778" s="89"/>
      <c r="V778" s="89"/>
      <c r="W778" s="89"/>
      <c r="X778" s="89"/>
      <c r="Y778" s="89"/>
      <c r="Z778" s="89"/>
      <c r="AA778" s="89"/>
    </row>
    <row r="779" spans="1:27" ht="13.8">
      <c r="A779" s="89"/>
      <c r="B779" s="89"/>
      <c r="C779" s="89"/>
      <c r="D779" s="89"/>
      <c r="E779" s="89"/>
      <c r="F779" s="110"/>
      <c r="G779" s="89"/>
      <c r="H779" s="89"/>
      <c r="I779" s="89"/>
      <c r="J779" s="89"/>
      <c r="K779" s="89"/>
      <c r="L779" s="89"/>
      <c r="M779" s="89"/>
      <c r="N779" s="89"/>
      <c r="O779" s="89"/>
      <c r="P779" s="89"/>
      <c r="Q779" s="89"/>
      <c r="R779" s="89"/>
      <c r="S779" s="89"/>
      <c r="T779" s="89"/>
      <c r="U779" s="89"/>
      <c r="V779" s="89"/>
      <c r="W779" s="89"/>
      <c r="X779" s="89"/>
      <c r="Y779" s="89"/>
      <c r="Z779" s="89"/>
      <c r="AA779" s="89"/>
    </row>
    <row r="780" spans="1:27" ht="13.8">
      <c r="A780" s="89"/>
      <c r="B780" s="89"/>
      <c r="C780" s="89"/>
      <c r="D780" s="89"/>
      <c r="E780" s="89"/>
      <c r="F780" s="110"/>
      <c r="G780" s="89"/>
      <c r="H780" s="89"/>
      <c r="I780" s="89"/>
      <c r="J780" s="89"/>
      <c r="K780" s="89"/>
      <c r="L780" s="89"/>
      <c r="M780" s="89"/>
      <c r="N780" s="89"/>
      <c r="O780" s="89"/>
      <c r="P780" s="89"/>
      <c r="Q780" s="89"/>
      <c r="R780" s="89"/>
      <c r="S780" s="89"/>
      <c r="T780" s="89"/>
      <c r="U780" s="89"/>
      <c r="V780" s="89"/>
      <c r="W780" s="89"/>
      <c r="X780" s="89"/>
      <c r="Y780" s="89"/>
      <c r="Z780" s="89"/>
      <c r="AA780" s="89"/>
    </row>
    <row r="781" spans="1:27" ht="13.8">
      <c r="A781" s="89"/>
      <c r="B781" s="89"/>
      <c r="C781" s="89"/>
      <c r="D781" s="89"/>
      <c r="E781" s="89"/>
      <c r="F781" s="110"/>
      <c r="G781" s="89"/>
      <c r="H781" s="89"/>
      <c r="I781" s="89"/>
      <c r="J781" s="89"/>
      <c r="K781" s="89"/>
      <c r="L781" s="89"/>
      <c r="M781" s="89"/>
      <c r="N781" s="89"/>
      <c r="O781" s="89"/>
      <c r="P781" s="89"/>
      <c r="Q781" s="89"/>
      <c r="R781" s="89"/>
      <c r="S781" s="89"/>
      <c r="T781" s="89"/>
      <c r="U781" s="89"/>
      <c r="V781" s="89"/>
      <c r="W781" s="89"/>
      <c r="X781" s="89"/>
      <c r="Y781" s="89"/>
      <c r="Z781" s="89"/>
      <c r="AA781" s="89"/>
    </row>
    <row r="782" spans="1:27" ht="13.8">
      <c r="A782" s="89"/>
      <c r="B782" s="89"/>
      <c r="C782" s="89"/>
      <c r="D782" s="89"/>
      <c r="E782" s="89"/>
      <c r="F782" s="110"/>
      <c r="G782" s="89"/>
      <c r="H782" s="89"/>
      <c r="I782" s="89"/>
      <c r="J782" s="89"/>
      <c r="K782" s="89"/>
      <c r="L782" s="89"/>
      <c r="M782" s="89"/>
      <c r="N782" s="89"/>
      <c r="O782" s="89"/>
      <c r="P782" s="89"/>
      <c r="Q782" s="89"/>
      <c r="R782" s="89"/>
      <c r="S782" s="89"/>
      <c r="T782" s="89"/>
      <c r="U782" s="89"/>
      <c r="V782" s="89"/>
      <c r="W782" s="89"/>
      <c r="X782" s="89"/>
      <c r="Y782" s="89"/>
      <c r="Z782" s="89"/>
      <c r="AA782" s="89"/>
    </row>
    <row r="783" spans="1:27" ht="13.8">
      <c r="A783" s="89"/>
      <c r="B783" s="89"/>
      <c r="C783" s="89"/>
      <c r="D783" s="89"/>
      <c r="E783" s="89"/>
      <c r="F783" s="110"/>
      <c r="G783" s="89"/>
      <c r="H783" s="89"/>
      <c r="I783" s="89"/>
      <c r="J783" s="89"/>
      <c r="K783" s="89"/>
      <c r="L783" s="89"/>
      <c r="M783" s="89"/>
      <c r="N783" s="89"/>
      <c r="O783" s="89"/>
      <c r="P783" s="89"/>
      <c r="Q783" s="89"/>
      <c r="R783" s="89"/>
      <c r="S783" s="89"/>
      <c r="T783" s="89"/>
      <c r="U783" s="89"/>
      <c r="V783" s="89"/>
      <c r="W783" s="89"/>
      <c r="X783" s="89"/>
      <c r="Y783" s="89"/>
      <c r="Z783" s="89"/>
      <c r="AA783" s="89"/>
    </row>
    <row r="784" spans="1:27" ht="13.8">
      <c r="A784" s="89"/>
      <c r="B784" s="89"/>
      <c r="C784" s="89"/>
      <c r="D784" s="89"/>
      <c r="E784" s="89"/>
      <c r="F784" s="110"/>
      <c r="G784" s="89"/>
      <c r="H784" s="89"/>
      <c r="I784" s="89"/>
      <c r="J784" s="89"/>
      <c r="K784" s="89"/>
      <c r="L784" s="89"/>
      <c r="M784" s="89"/>
      <c r="N784" s="89"/>
      <c r="O784" s="89"/>
      <c r="P784" s="89"/>
      <c r="Q784" s="89"/>
      <c r="R784" s="89"/>
      <c r="S784" s="89"/>
      <c r="T784" s="89"/>
      <c r="U784" s="89"/>
      <c r="V784" s="89"/>
      <c r="W784" s="89"/>
      <c r="X784" s="89"/>
      <c r="Y784" s="89"/>
      <c r="Z784" s="89"/>
      <c r="AA784" s="89"/>
    </row>
    <row r="785" spans="1:27" ht="13.8">
      <c r="A785" s="89"/>
      <c r="B785" s="89"/>
      <c r="C785" s="89"/>
      <c r="D785" s="89"/>
      <c r="E785" s="89"/>
      <c r="F785" s="110"/>
      <c r="G785" s="89"/>
      <c r="H785" s="89"/>
      <c r="I785" s="89"/>
      <c r="J785" s="89"/>
      <c r="K785" s="89"/>
      <c r="L785" s="89"/>
      <c r="M785" s="89"/>
      <c r="N785" s="89"/>
      <c r="O785" s="89"/>
      <c r="P785" s="89"/>
      <c r="Q785" s="89"/>
      <c r="R785" s="89"/>
      <c r="S785" s="89"/>
      <c r="T785" s="89"/>
      <c r="U785" s="89"/>
      <c r="V785" s="89"/>
      <c r="W785" s="89"/>
      <c r="X785" s="89"/>
      <c r="Y785" s="89"/>
      <c r="Z785" s="89"/>
      <c r="AA785" s="89"/>
    </row>
    <row r="786" spans="1:27" ht="13.8">
      <c r="A786" s="89"/>
      <c r="B786" s="89"/>
      <c r="C786" s="89"/>
      <c r="D786" s="89"/>
      <c r="E786" s="89"/>
      <c r="F786" s="110"/>
      <c r="G786" s="89"/>
      <c r="H786" s="89"/>
      <c r="I786" s="89"/>
      <c r="J786" s="89"/>
      <c r="K786" s="89"/>
      <c r="L786" s="89"/>
      <c r="M786" s="89"/>
      <c r="N786" s="89"/>
      <c r="O786" s="89"/>
      <c r="P786" s="89"/>
      <c r="Q786" s="89"/>
      <c r="R786" s="89"/>
      <c r="S786" s="89"/>
      <c r="T786" s="89"/>
      <c r="U786" s="89"/>
      <c r="V786" s="89"/>
      <c r="W786" s="89"/>
      <c r="X786" s="89"/>
      <c r="Y786" s="89"/>
      <c r="Z786" s="89"/>
      <c r="AA786" s="89"/>
    </row>
    <row r="787" spans="1:27" ht="13.8">
      <c r="A787" s="89"/>
      <c r="B787" s="89"/>
      <c r="C787" s="89"/>
      <c r="D787" s="89"/>
      <c r="E787" s="89"/>
      <c r="F787" s="110"/>
      <c r="G787" s="89"/>
      <c r="H787" s="89"/>
      <c r="I787" s="89"/>
      <c r="J787" s="89"/>
      <c r="K787" s="89"/>
      <c r="L787" s="89"/>
      <c r="M787" s="89"/>
      <c r="N787" s="89"/>
      <c r="O787" s="89"/>
      <c r="P787" s="89"/>
      <c r="Q787" s="89"/>
      <c r="R787" s="89"/>
      <c r="S787" s="89"/>
      <c r="T787" s="89"/>
      <c r="U787" s="89"/>
      <c r="V787" s="89"/>
      <c r="W787" s="89"/>
      <c r="X787" s="89"/>
      <c r="Y787" s="89"/>
      <c r="Z787" s="89"/>
      <c r="AA787" s="89"/>
    </row>
    <row r="788" spans="1:27" ht="13.8">
      <c r="A788" s="89"/>
      <c r="B788" s="89"/>
      <c r="C788" s="89"/>
      <c r="D788" s="89"/>
      <c r="E788" s="89"/>
      <c r="F788" s="110"/>
      <c r="G788" s="89"/>
      <c r="H788" s="89"/>
      <c r="I788" s="89"/>
      <c r="J788" s="89"/>
      <c r="K788" s="89"/>
      <c r="L788" s="89"/>
      <c r="M788" s="89"/>
      <c r="N788" s="89"/>
      <c r="O788" s="89"/>
      <c r="P788" s="89"/>
      <c r="Q788" s="89"/>
      <c r="R788" s="89"/>
      <c r="S788" s="89"/>
      <c r="T788" s="89"/>
      <c r="U788" s="89"/>
      <c r="V788" s="89"/>
      <c r="W788" s="89"/>
      <c r="X788" s="89"/>
      <c r="Y788" s="89"/>
      <c r="Z788" s="89"/>
      <c r="AA788" s="89"/>
    </row>
    <row r="789" spans="1:27" ht="13.8">
      <c r="A789" s="89"/>
      <c r="B789" s="89"/>
      <c r="C789" s="89"/>
      <c r="D789" s="89"/>
      <c r="E789" s="89"/>
      <c r="F789" s="110"/>
      <c r="G789" s="89"/>
      <c r="H789" s="89"/>
      <c r="I789" s="89"/>
      <c r="J789" s="89"/>
      <c r="K789" s="89"/>
      <c r="L789" s="89"/>
      <c r="M789" s="89"/>
      <c r="N789" s="89"/>
      <c r="O789" s="89"/>
      <c r="P789" s="89"/>
      <c r="Q789" s="89"/>
      <c r="R789" s="89"/>
      <c r="S789" s="89"/>
      <c r="T789" s="89"/>
      <c r="U789" s="89"/>
      <c r="V789" s="89"/>
      <c r="W789" s="89"/>
      <c r="X789" s="89"/>
      <c r="Y789" s="89"/>
      <c r="Z789" s="89"/>
      <c r="AA789" s="89"/>
    </row>
    <row r="790" spans="1:27" ht="13.8">
      <c r="A790" s="89"/>
      <c r="B790" s="89"/>
      <c r="C790" s="89"/>
      <c r="D790" s="89"/>
      <c r="E790" s="89"/>
      <c r="F790" s="110"/>
      <c r="G790" s="89"/>
      <c r="H790" s="89"/>
      <c r="I790" s="89"/>
      <c r="J790" s="89"/>
      <c r="K790" s="89"/>
      <c r="L790" s="89"/>
      <c r="M790" s="89"/>
      <c r="N790" s="89"/>
      <c r="O790" s="89"/>
      <c r="P790" s="89"/>
      <c r="Q790" s="89"/>
      <c r="R790" s="89"/>
      <c r="S790" s="89"/>
      <c r="T790" s="89"/>
      <c r="U790" s="89"/>
      <c r="V790" s="89"/>
      <c r="W790" s="89"/>
      <c r="X790" s="89"/>
      <c r="Y790" s="89"/>
      <c r="Z790" s="89"/>
      <c r="AA790" s="89"/>
    </row>
    <row r="791" spans="1:27" ht="13.8">
      <c r="A791" s="89"/>
      <c r="B791" s="89"/>
      <c r="C791" s="89"/>
      <c r="D791" s="89"/>
      <c r="E791" s="89"/>
      <c r="F791" s="110"/>
      <c r="G791" s="89"/>
      <c r="H791" s="89"/>
      <c r="I791" s="89"/>
      <c r="J791" s="89"/>
      <c r="K791" s="89"/>
      <c r="L791" s="89"/>
      <c r="M791" s="89"/>
      <c r="N791" s="89"/>
      <c r="O791" s="89"/>
      <c r="P791" s="89"/>
      <c r="Q791" s="89"/>
      <c r="R791" s="89"/>
      <c r="S791" s="89"/>
      <c r="T791" s="89"/>
      <c r="U791" s="89"/>
      <c r="V791" s="89"/>
      <c r="W791" s="89"/>
      <c r="X791" s="89"/>
      <c r="Y791" s="89"/>
      <c r="Z791" s="89"/>
      <c r="AA791" s="89"/>
    </row>
    <row r="792" spans="1:27" ht="13.8">
      <c r="A792" s="89"/>
      <c r="B792" s="89"/>
      <c r="C792" s="89"/>
      <c r="D792" s="89"/>
      <c r="E792" s="89"/>
      <c r="F792" s="110"/>
      <c r="G792" s="89"/>
      <c r="H792" s="89"/>
      <c r="I792" s="89"/>
      <c r="J792" s="89"/>
      <c r="K792" s="89"/>
      <c r="L792" s="89"/>
      <c r="M792" s="89"/>
      <c r="N792" s="89"/>
      <c r="O792" s="89"/>
      <c r="P792" s="89"/>
      <c r="Q792" s="89"/>
      <c r="R792" s="89"/>
      <c r="S792" s="89"/>
      <c r="T792" s="89"/>
      <c r="U792" s="89"/>
      <c r="V792" s="89"/>
      <c r="W792" s="89"/>
      <c r="X792" s="89"/>
      <c r="Y792" s="89"/>
      <c r="Z792" s="89"/>
      <c r="AA792" s="89"/>
    </row>
    <row r="793" spans="1:27" ht="13.8">
      <c r="A793" s="89"/>
      <c r="B793" s="89"/>
      <c r="C793" s="89"/>
      <c r="D793" s="89"/>
      <c r="E793" s="89"/>
      <c r="F793" s="110"/>
      <c r="G793" s="89"/>
      <c r="H793" s="89"/>
      <c r="I793" s="89"/>
      <c r="J793" s="89"/>
      <c r="K793" s="89"/>
      <c r="L793" s="89"/>
      <c r="M793" s="89"/>
      <c r="N793" s="89"/>
      <c r="O793" s="89"/>
      <c r="P793" s="89"/>
      <c r="Q793" s="89"/>
      <c r="R793" s="89"/>
      <c r="S793" s="89"/>
      <c r="T793" s="89"/>
      <c r="U793" s="89"/>
      <c r="V793" s="89"/>
      <c r="W793" s="89"/>
      <c r="X793" s="89"/>
      <c r="Y793" s="89"/>
      <c r="Z793" s="89"/>
      <c r="AA793" s="89"/>
    </row>
    <row r="794" spans="1:27" ht="13.8">
      <c r="A794" s="89"/>
      <c r="B794" s="89"/>
      <c r="C794" s="89"/>
      <c r="D794" s="89"/>
      <c r="E794" s="89"/>
      <c r="F794" s="110"/>
      <c r="G794" s="89"/>
      <c r="H794" s="89"/>
      <c r="I794" s="89"/>
      <c r="J794" s="89"/>
      <c r="K794" s="89"/>
      <c r="L794" s="89"/>
      <c r="M794" s="89"/>
      <c r="N794" s="89"/>
      <c r="O794" s="89"/>
      <c r="P794" s="89"/>
      <c r="Q794" s="89"/>
      <c r="R794" s="89"/>
      <c r="S794" s="89"/>
      <c r="T794" s="89"/>
      <c r="U794" s="89"/>
      <c r="V794" s="89"/>
      <c r="W794" s="89"/>
      <c r="X794" s="89"/>
      <c r="Y794" s="89"/>
      <c r="Z794" s="89"/>
      <c r="AA794" s="89"/>
    </row>
    <row r="795" spans="1:27" ht="13.8">
      <c r="A795" s="89"/>
      <c r="B795" s="89"/>
      <c r="C795" s="89"/>
      <c r="D795" s="89"/>
      <c r="E795" s="89"/>
      <c r="F795" s="110"/>
      <c r="G795" s="89"/>
      <c r="H795" s="89"/>
      <c r="I795" s="89"/>
      <c r="J795" s="89"/>
      <c r="K795" s="89"/>
      <c r="L795" s="89"/>
      <c r="M795" s="89"/>
      <c r="N795" s="89"/>
      <c r="O795" s="89"/>
      <c r="P795" s="89"/>
      <c r="Q795" s="89"/>
      <c r="R795" s="89"/>
      <c r="S795" s="89"/>
      <c r="T795" s="89"/>
      <c r="U795" s="89"/>
      <c r="V795" s="89"/>
      <c r="W795" s="89"/>
      <c r="X795" s="89"/>
      <c r="Y795" s="89"/>
      <c r="Z795" s="89"/>
      <c r="AA795" s="89"/>
    </row>
    <row r="796" spans="1:27" ht="13.8">
      <c r="A796" s="89"/>
      <c r="B796" s="89"/>
      <c r="C796" s="89"/>
      <c r="D796" s="89"/>
      <c r="E796" s="89"/>
      <c r="F796" s="110"/>
      <c r="G796" s="89"/>
      <c r="H796" s="89"/>
      <c r="I796" s="89"/>
      <c r="J796" s="89"/>
      <c r="K796" s="89"/>
      <c r="L796" s="89"/>
      <c r="M796" s="89"/>
      <c r="N796" s="89"/>
      <c r="O796" s="89"/>
      <c r="P796" s="89"/>
      <c r="Q796" s="89"/>
      <c r="R796" s="89"/>
      <c r="S796" s="89"/>
      <c r="T796" s="89"/>
      <c r="U796" s="89"/>
      <c r="V796" s="89"/>
      <c r="W796" s="89"/>
      <c r="X796" s="89"/>
      <c r="Y796" s="89"/>
      <c r="Z796" s="89"/>
      <c r="AA796" s="89"/>
    </row>
    <row r="797" spans="1:27" ht="13.8">
      <c r="A797" s="89"/>
      <c r="B797" s="89"/>
      <c r="C797" s="89"/>
      <c r="D797" s="89"/>
      <c r="E797" s="89"/>
      <c r="F797" s="110"/>
      <c r="G797" s="89"/>
      <c r="H797" s="89"/>
      <c r="I797" s="89"/>
      <c r="J797" s="89"/>
      <c r="K797" s="89"/>
      <c r="L797" s="89"/>
      <c r="M797" s="89"/>
      <c r="N797" s="89"/>
      <c r="O797" s="89"/>
      <c r="P797" s="89"/>
      <c r="Q797" s="89"/>
      <c r="R797" s="89"/>
      <c r="S797" s="89"/>
      <c r="T797" s="89"/>
      <c r="U797" s="89"/>
      <c r="V797" s="89"/>
      <c r="W797" s="89"/>
      <c r="X797" s="89"/>
      <c r="Y797" s="89"/>
      <c r="Z797" s="89"/>
      <c r="AA797" s="89"/>
    </row>
    <row r="798" spans="1:27" ht="13.8">
      <c r="A798" s="89"/>
      <c r="B798" s="89"/>
      <c r="C798" s="89"/>
      <c r="D798" s="89"/>
      <c r="E798" s="89"/>
      <c r="F798" s="110"/>
      <c r="G798" s="89"/>
      <c r="H798" s="89"/>
      <c r="I798" s="89"/>
      <c r="J798" s="89"/>
      <c r="K798" s="89"/>
      <c r="L798" s="89"/>
      <c r="M798" s="89"/>
      <c r="N798" s="89"/>
      <c r="O798" s="89"/>
      <c r="P798" s="89"/>
      <c r="Q798" s="89"/>
      <c r="R798" s="89"/>
      <c r="S798" s="89"/>
      <c r="T798" s="89"/>
      <c r="U798" s="89"/>
      <c r="V798" s="89"/>
      <c r="W798" s="89"/>
      <c r="X798" s="89"/>
      <c r="Y798" s="89"/>
      <c r="Z798" s="89"/>
      <c r="AA798" s="89"/>
    </row>
    <row r="799" spans="1:27" ht="13.8">
      <c r="A799" s="89"/>
      <c r="B799" s="89"/>
      <c r="C799" s="89"/>
      <c r="D799" s="89"/>
      <c r="E799" s="89"/>
      <c r="F799" s="110"/>
      <c r="G799" s="89"/>
      <c r="H799" s="89"/>
      <c r="I799" s="89"/>
      <c r="J799" s="89"/>
      <c r="K799" s="89"/>
      <c r="L799" s="89"/>
      <c r="M799" s="89"/>
      <c r="N799" s="89"/>
      <c r="O799" s="89"/>
      <c r="P799" s="89"/>
      <c r="Q799" s="89"/>
      <c r="R799" s="89"/>
      <c r="S799" s="89"/>
      <c r="T799" s="89"/>
      <c r="U799" s="89"/>
      <c r="V799" s="89"/>
      <c r="W799" s="89"/>
      <c r="X799" s="89"/>
      <c r="Y799" s="89"/>
      <c r="Z799" s="89"/>
      <c r="AA799" s="89"/>
    </row>
    <row r="800" spans="1:27" ht="13.8">
      <c r="A800" s="89"/>
      <c r="B800" s="89"/>
      <c r="C800" s="89"/>
      <c r="D800" s="89"/>
      <c r="E800" s="89"/>
      <c r="F800" s="110"/>
      <c r="G800" s="89"/>
      <c r="H800" s="89"/>
      <c r="I800" s="89"/>
      <c r="J800" s="89"/>
      <c r="K800" s="89"/>
      <c r="L800" s="89"/>
      <c r="M800" s="89"/>
      <c r="N800" s="89"/>
      <c r="O800" s="89"/>
      <c r="P800" s="89"/>
      <c r="Q800" s="89"/>
      <c r="R800" s="89"/>
      <c r="S800" s="89"/>
      <c r="T800" s="89"/>
      <c r="U800" s="89"/>
      <c r="V800" s="89"/>
      <c r="W800" s="89"/>
      <c r="X800" s="89"/>
      <c r="Y800" s="89"/>
      <c r="Z800" s="89"/>
      <c r="AA800" s="89"/>
    </row>
    <row r="801" spans="1:27" ht="13.8">
      <c r="A801" s="89"/>
      <c r="B801" s="89"/>
      <c r="C801" s="89"/>
      <c r="D801" s="89"/>
      <c r="E801" s="89"/>
      <c r="F801" s="110"/>
      <c r="G801" s="89"/>
      <c r="H801" s="89"/>
      <c r="I801" s="89"/>
      <c r="J801" s="89"/>
      <c r="K801" s="89"/>
      <c r="L801" s="89"/>
      <c r="M801" s="89"/>
      <c r="N801" s="89"/>
      <c r="O801" s="89"/>
      <c r="P801" s="89"/>
      <c r="Q801" s="89"/>
      <c r="R801" s="89"/>
      <c r="S801" s="89"/>
      <c r="T801" s="89"/>
      <c r="U801" s="89"/>
      <c r="V801" s="89"/>
      <c r="W801" s="89"/>
      <c r="X801" s="89"/>
      <c r="Y801" s="89"/>
      <c r="Z801" s="89"/>
      <c r="AA801" s="89"/>
    </row>
    <row r="802" spans="1:27" ht="13.8">
      <c r="A802" s="89"/>
      <c r="B802" s="89"/>
      <c r="C802" s="89"/>
      <c r="D802" s="89"/>
      <c r="E802" s="89"/>
      <c r="F802" s="110"/>
      <c r="G802" s="89"/>
      <c r="H802" s="89"/>
      <c r="I802" s="89"/>
      <c r="J802" s="89"/>
      <c r="K802" s="89"/>
      <c r="L802" s="89"/>
      <c r="M802" s="89"/>
      <c r="N802" s="89"/>
      <c r="O802" s="89"/>
      <c r="P802" s="89"/>
      <c r="Q802" s="89"/>
      <c r="R802" s="89"/>
      <c r="S802" s="89"/>
      <c r="T802" s="89"/>
      <c r="U802" s="89"/>
      <c r="V802" s="89"/>
      <c r="W802" s="89"/>
      <c r="X802" s="89"/>
      <c r="Y802" s="89"/>
      <c r="Z802" s="89"/>
      <c r="AA802" s="89"/>
    </row>
    <row r="803" spans="1:27" ht="13.8">
      <c r="A803" s="89"/>
      <c r="B803" s="89"/>
      <c r="C803" s="89"/>
      <c r="D803" s="89"/>
      <c r="E803" s="89"/>
      <c r="F803" s="110"/>
      <c r="G803" s="89"/>
      <c r="H803" s="89"/>
      <c r="I803" s="89"/>
      <c r="J803" s="89"/>
      <c r="K803" s="89"/>
      <c r="L803" s="89"/>
      <c r="M803" s="89"/>
      <c r="N803" s="89"/>
      <c r="O803" s="89"/>
      <c r="P803" s="89"/>
      <c r="Q803" s="89"/>
      <c r="R803" s="89"/>
      <c r="S803" s="89"/>
      <c r="T803" s="89"/>
      <c r="U803" s="89"/>
      <c r="V803" s="89"/>
      <c r="W803" s="89"/>
      <c r="X803" s="89"/>
      <c r="Y803" s="89"/>
      <c r="Z803" s="89"/>
      <c r="AA803" s="89"/>
    </row>
    <row r="804" spans="1:27" ht="13.8">
      <c r="A804" s="89"/>
      <c r="B804" s="89"/>
      <c r="C804" s="89"/>
      <c r="D804" s="89"/>
      <c r="E804" s="89"/>
      <c r="F804" s="110"/>
      <c r="G804" s="89"/>
      <c r="H804" s="89"/>
      <c r="I804" s="89"/>
      <c r="J804" s="89"/>
      <c r="K804" s="89"/>
      <c r="L804" s="89"/>
      <c r="M804" s="89"/>
      <c r="N804" s="89"/>
      <c r="O804" s="89"/>
      <c r="P804" s="89"/>
      <c r="Q804" s="89"/>
      <c r="R804" s="89"/>
      <c r="S804" s="89"/>
      <c r="T804" s="89"/>
      <c r="U804" s="89"/>
      <c r="V804" s="89"/>
      <c r="W804" s="89"/>
      <c r="X804" s="89"/>
      <c r="Y804" s="89"/>
      <c r="Z804" s="89"/>
      <c r="AA804" s="89"/>
    </row>
    <row r="805" spans="1:27" ht="13.8">
      <c r="A805" s="89"/>
      <c r="B805" s="89"/>
      <c r="C805" s="89"/>
      <c r="D805" s="89"/>
      <c r="E805" s="89"/>
      <c r="F805" s="110"/>
      <c r="G805" s="89"/>
      <c r="H805" s="89"/>
      <c r="I805" s="89"/>
      <c r="J805" s="89"/>
      <c r="K805" s="89"/>
      <c r="L805" s="89"/>
      <c r="M805" s="89"/>
      <c r="N805" s="89"/>
      <c r="O805" s="89"/>
      <c r="P805" s="89"/>
      <c r="Q805" s="89"/>
      <c r="R805" s="89"/>
      <c r="S805" s="89"/>
      <c r="T805" s="89"/>
      <c r="U805" s="89"/>
      <c r="V805" s="89"/>
      <c r="W805" s="89"/>
      <c r="X805" s="89"/>
      <c r="Y805" s="89"/>
      <c r="Z805" s="89"/>
      <c r="AA805" s="89"/>
    </row>
    <row r="806" spans="1:27" ht="13.8">
      <c r="A806" s="89"/>
      <c r="B806" s="89"/>
      <c r="C806" s="89"/>
      <c r="D806" s="89"/>
      <c r="E806" s="89"/>
      <c r="F806" s="110"/>
      <c r="G806" s="89"/>
      <c r="H806" s="89"/>
      <c r="I806" s="89"/>
      <c r="J806" s="89"/>
      <c r="K806" s="89"/>
      <c r="L806" s="89"/>
      <c r="M806" s="89"/>
      <c r="N806" s="89"/>
      <c r="O806" s="89"/>
      <c r="P806" s="89"/>
      <c r="Q806" s="89"/>
      <c r="R806" s="89"/>
      <c r="S806" s="89"/>
      <c r="T806" s="89"/>
      <c r="U806" s="89"/>
      <c r="V806" s="89"/>
      <c r="W806" s="89"/>
      <c r="X806" s="89"/>
      <c r="Y806" s="89"/>
      <c r="Z806" s="89"/>
      <c r="AA806" s="89"/>
    </row>
    <row r="807" spans="1:27" ht="13.8">
      <c r="A807" s="89"/>
      <c r="B807" s="89"/>
      <c r="C807" s="89"/>
      <c r="D807" s="89"/>
      <c r="E807" s="89"/>
      <c r="F807" s="110"/>
      <c r="G807" s="89"/>
      <c r="H807" s="89"/>
      <c r="I807" s="89"/>
      <c r="J807" s="89"/>
      <c r="K807" s="89"/>
      <c r="L807" s="89"/>
      <c r="M807" s="89"/>
      <c r="N807" s="89"/>
      <c r="O807" s="89"/>
      <c r="P807" s="89"/>
      <c r="Q807" s="89"/>
      <c r="R807" s="89"/>
      <c r="S807" s="89"/>
      <c r="T807" s="89"/>
      <c r="U807" s="89"/>
      <c r="V807" s="89"/>
      <c r="W807" s="89"/>
      <c r="X807" s="89"/>
      <c r="Y807" s="89"/>
      <c r="Z807" s="89"/>
      <c r="AA807" s="89"/>
    </row>
    <row r="808" spans="1:27" ht="13.8">
      <c r="A808" s="89"/>
      <c r="B808" s="89"/>
      <c r="C808" s="89"/>
      <c r="D808" s="89"/>
      <c r="E808" s="89"/>
      <c r="F808" s="110"/>
      <c r="G808" s="89"/>
      <c r="H808" s="89"/>
      <c r="I808" s="89"/>
      <c r="J808" s="89"/>
      <c r="K808" s="89"/>
      <c r="L808" s="89"/>
      <c r="M808" s="89"/>
      <c r="N808" s="89"/>
      <c r="O808" s="89"/>
      <c r="P808" s="89"/>
      <c r="Q808" s="89"/>
      <c r="R808" s="89"/>
      <c r="S808" s="89"/>
      <c r="T808" s="89"/>
      <c r="U808" s="89"/>
      <c r="V808" s="89"/>
      <c r="W808" s="89"/>
      <c r="X808" s="89"/>
      <c r="Y808" s="89"/>
      <c r="Z808" s="89"/>
      <c r="AA808" s="89"/>
    </row>
    <row r="809" spans="1:27" ht="13.8">
      <c r="A809" s="89"/>
      <c r="B809" s="89"/>
      <c r="C809" s="89"/>
      <c r="D809" s="89"/>
      <c r="E809" s="89"/>
      <c r="F809" s="110"/>
      <c r="G809" s="89"/>
      <c r="H809" s="89"/>
      <c r="I809" s="89"/>
      <c r="J809" s="89"/>
      <c r="K809" s="89"/>
      <c r="L809" s="89"/>
      <c r="M809" s="89"/>
      <c r="N809" s="89"/>
      <c r="O809" s="89"/>
      <c r="P809" s="89"/>
      <c r="Q809" s="89"/>
      <c r="R809" s="89"/>
      <c r="S809" s="89"/>
      <c r="T809" s="89"/>
      <c r="U809" s="89"/>
      <c r="V809" s="89"/>
      <c r="W809" s="89"/>
      <c r="X809" s="89"/>
      <c r="Y809" s="89"/>
      <c r="Z809" s="89"/>
      <c r="AA809" s="89"/>
    </row>
    <row r="810" spans="1:27" ht="13.8">
      <c r="A810" s="89"/>
      <c r="B810" s="89"/>
      <c r="C810" s="89"/>
      <c r="D810" s="89"/>
      <c r="E810" s="89"/>
      <c r="F810" s="110"/>
      <c r="G810" s="89"/>
      <c r="H810" s="89"/>
      <c r="I810" s="89"/>
      <c r="J810" s="89"/>
      <c r="K810" s="89"/>
      <c r="L810" s="89"/>
      <c r="M810" s="89"/>
      <c r="N810" s="89"/>
      <c r="O810" s="89"/>
      <c r="P810" s="89"/>
      <c r="Q810" s="89"/>
      <c r="R810" s="89"/>
      <c r="S810" s="89"/>
      <c r="T810" s="89"/>
      <c r="U810" s="89"/>
      <c r="V810" s="89"/>
      <c r="W810" s="89"/>
      <c r="X810" s="89"/>
      <c r="Y810" s="89"/>
      <c r="Z810" s="89"/>
      <c r="AA810" s="89"/>
    </row>
    <row r="811" spans="1:27" ht="13.8">
      <c r="A811" s="89"/>
      <c r="B811" s="89"/>
      <c r="C811" s="89"/>
      <c r="D811" s="89"/>
      <c r="E811" s="89"/>
      <c r="F811" s="110"/>
      <c r="G811" s="89"/>
      <c r="H811" s="89"/>
      <c r="I811" s="89"/>
      <c r="J811" s="89"/>
      <c r="K811" s="89"/>
      <c r="L811" s="89"/>
      <c r="M811" s="89"/>
      <c r="N811" s="89"/>
      <c r="O811" s="89"/>
      <c r="P811" s="89"/>
      <c r="Q811" s="89"/>
      <c r="R811" s="89"/>
      <c r="S811" s="89"/>
      <c r="T811" s="89"/>
      <c r="U811" s="89"/>
      <c r="V811" s="89"/>
      <c r="W811" s="89"/>
      <c r="X811" s="89"/>
      <c r="Y811" s="89"/>
      <c r="Z811" s="89"/>
      <c r="AA811" s="89"/>
    </row>
    <row r="812" spans="1:27" ht="13.8">
      <c r="A812" s="89"/>
      <c r="B812" s="89"/>
      <c r="C812" s="89"/>
      <c r="D812" s="89"/>
      <c r="E812" s="89"/>
      <c r="F812" s="110"/>
      <c r="G812" s="89"/>
      <c r="H812" s="89"/>
      <c r="I812" s="89"/>
      <c r="J812" s="89"/>
      <c r="K812" s="89"/>
      <c r="L812" s="89"/>
      <c r="M812" s="89"/>
      <c r="N812" s="89"/>
      <c r="O812" s="89"/>
      <c r="P812" s="89"/>
      <c r="Q812" s="89"/>
      <c r="R812" s="89"/>
      <c r="S812" s="89"/>
      <c r="T812" s="89"/>
      <c r="U812" s="89"/>
      <c r="V812" s="89"/>
      <c r="W812" s="89"/>
      <c r="X812" s="89"/>
      <c r="Y812" s="89"/>
      <c r="Z812" s="89"/>
      <c r="AA812" s="89"/>
    </row>
    <row r="813" spans="1:27" ht="13.8">
      <c r="A813" s="89"/>
      <c r="B813" s="89"/>
      <c r="C813" s="89"/>
      <c r="D813" s="89"/>
      <c r="E813" s="89"/>
      <c r="F813" s="110"/>
      <c r="G813" s="89"/>
      <c r="H813" s="89"/>
      <c r="I813" s="89"/>
      <c r="J813" s="89"/>
      <c r="K813" s="89"/>
      <c r="L813" s="89"/>
      <c r="M813" s="89"/>
      <c r="N813" s="89"/>
      <c r="O813" s="89"/>
      <c r="P813" s="89"/>
      <c r="Q813" s="89"/>
      <c r="R813" s="89"/>
      <c r="S813" s="89"/>
      <c r="T813" s="89"/>
      <c r="U813" s="89"/>
      <c r="V813" s="89"/>
      <c r="W813" s="89"/>
      <c r="X813" s="89"/>
      <c r="Y813" s="89"/>
      <c r="Z813" s="89"/>
      <c r="AA813" s="89"/>
    </row>
    <row r="814" spans="1:27" ht="13.8">
      <c r="A814" s="89"/>
      <c r="B814" s="89"/>
      <c r="C814" s="89"/>
      <c r="D814" s="89"/>
      <c r="E814" s="89"/>
      <c r="F814" s="110"/>
      <c r="G814" s="89"/>
      <c r="H814" s="89"/>
      <c r="I814" s="89"/>
      <c r="J814" s="89"/>
      <c r="K814" s="89"/>
      <c r="L814" s="89"/>
      <c r="M814" s="89"/>
      <c r="N814" s="89"/>
      <c r="O814" s="89"/>
      <c r="P814" s="89"/>
      <c r="Q814" s="89"/>
      <c r="R814" s="89"/>
      <c r="S814" s="89"/>
      <c r="T814" s="89"/>
      <c r="U814" s="89"/>
      <c r="V814" s="89"/>
      <c r="W814" s="89"/>
      <c r="X814" s="89"/>
      <c r="Y814" s="89"/>
      <c r="Z814" s="89"/>
      <c r="AA814" s="89"/>
    </row>
    <row r="815" spans="1:27" ht="13.8">
      <c r="A815" s="89"/>
      <c r="B815" s="89"/>
      <c r="C815" s="89"/>
      <c r="D815" s="89"/>
      <c r="E815" s="89"/>
      <c r="F815" s="110"/>
      <c r="G815" s="89"/>
      <c r="H815" s="89"/>
      <c r="I815" s="89"/>
      <c r="J815" s="89"/>
      <c r="K815" s="89"/>
      <c r="L815" s="89"/>
      <c r="M815" s="89"/>
      <c r="N815" s="89"/>
      <c r="O815" s="89"/>
      <c r="P815" s="89"/>
      <c r="Q815" s="89"/>
      <c r="R815" s="89"/>
      <c r="S815" s="89"/>
      <c r="T815" s="89"/>
      <c r="U815" s="89"/>
      <c r="V815" s="89"/>
      <c r="W815" s="89"/>
      <c r="X815" s="89"/>
      <c r="Y815" s="89"/>
      <c r="Z815" s="89"/>
      <c r="AA815" s="89"/>
    </row>
    <row r="816" spans="1:27" ht="13.8">
      <c r="A816" s="89"/>
      <c r="B816" s="89"/>
      <c r="C816" s="89"/>
      <c r="D816" s="89"/>
      <c r="E816" s="89"/>
      <c r="F816" s="110"/>
      <c r="G816" s="89"/>
      <c r="H816" s="89"/>
      <c r="I816" s="89"/>
      <c r="J816" s="89"/>
      <c r="K816" s="89"/>
      <c r="L816" s="89"/>
      <c r="M816" s="89"/>
      <c r="N816" s="89"/>
      <c r="O816" s="89"/>
      <c r="P816" s="89"/>
      <c r="Q816" s="89"/>
      <c r="R816" s="89"/>
      <c r="S816" s="89"/>
      <c r="T816" s="89"/>
      <c r="U816" s="89"/>
      <c r="V816" s="89"/>
      <c r="W816" s="89"/>
      <c r="X816" s="89"/>
      <c r="Y816" s="89"/>
      <c r="Z816" s="89"/>
      <c r="AA816" s="89"/>
    </row>
    <row r="817" spans="1:27" ht="13.8">
      <c r="A817" s="89"/>
      <c r="B817" s="89"/>
      <c r="C817" s="89"/>
      <c r="D817" s="89"/>
      <c r="E817" s="89"/>
      <c r="F817" s="110"/>
      <c r="G817" s="89"/>
      <c r="H817" s="89"/>
      <c r="I817" s="89"/>
      <c r="J817" s="89"/>
      <c r="K817" s="89"/>
      <c r="L817" s="89"/>
      <c r="M817" s="89"/>
      <c r="N817" s="89"/>
      <c r="O817" s="89"/>
      <c r="P817" s="89"/>
      <c r="Q817" s="89"/>
      <c r="R817" s="89"/>
      <c r="S817" s="89"/>
      <c r="T817" s="89"/>
      <c r="U817" s="89"/>
      <c r="V817" s="89"/>
      <c r="W817" s="89"/>
      <c r="X817" s="89"/>
      <c r="Y817" s="89"/>
      <c r="Z817" s="89"/>
      <c r="AA817" s="89"/>
    </row>
    <row r="818" spans="1:27" ht="13.8">
      <c r="A818" s="89"/>
      <c r="B818" s="89"/>
      <c r="C818" s="89"/>
      <c r="D818" s="89"/>
      <c r="E818" s="89"/>
      <c r="F818" s="110"/>
      <c r="G818" s="89"/>
      <c r="H818" s="89"/>
      <c r="I818" s="89"/>
      <c r="J818" s="89"/>
      <c r="K818" s="89"/>
      <c r="L818" s="89"/>
      <c r="M818" s="89"/>
      <c r="N818" s="89"/>
      <c r="O818" s="89"/>
      <c r="P818" s="89"/>
      <c r="Q818" s="89"/>
      <c r="R818" s="89"/>
      <c r="S818" s="89"/>
      <c r="T818" s="89"/>
      <c r="U818" s="89"/>
      <c r="V818" s="89"/>
      <c r="W818" s="89"/>
      <c r="X818" s="89"/>
      <c r="Y818" s="89"/>
      <c r="Z818" s="89"/>
      <c r="AA818" s="89"/>
    </row>
    <row r="819" spans="1:27" ht="13.8">
      <c r="A819" s="89"/>
      <c r="B819" s="89"/>
      <c r="C819" s="89"/>
      <c r="D819" s="89"/>
      <c r="E819" s="89"/>
      <c r="F819" s="110"/>
      <c r="G819" s="89"/>
      <c r="H819" s="89"/>
      <c r="I819" s="89"/>
      <c r="J819" s="89"/>
      <c r="K819" s="89"/>
      <c r="L819" s="89"/>
      <c r="M819" s="89"/>
      <c r="N819" s="89"/>
      <c r="O819" s="89"/>
      <c r="P819" s="89"/>
      <c r="Q819" s="89"/>
      <c r="R819" s="89"/>
      <c r="S819" s="89"/>
      <c r="T819" s="89"/>
      <c r="U819" s="89"/>
      <c r="V819" s="89"/>
      <c r="W819" s="89"/>
      <c r="X819" s="89"/>
      <c r="Y819" s="89"/>
      <c r="Z819" s="89"/>
      <c r="AA819" s="89"/>
    </row>
    <row r="820" spans="1:27" ht="13.8">
      <c r="A820" s="89"/>
      <c r="B820" s="89"/>
      <c r="C820" s="89"/>
      <c r="D820" s="89"/>
      <c r="E820" s="89"/>
      <c r="F820" s="110"/>
      <c r="G820" s="89"/>
      <c r="H820" s="89"/>
      <c r="I820" s="89"/>
      <c r="J820" s="89"/>
      <c r="K820" s="89"/>
      <c r="L820" s="89"/>
      <c r="M820" s="89"/>
      <c r="N820" s="89"/>
      <c r="O820" s="89"/>
      <c r="P820" s="89"/>
      <c r="Q820" s="89"/>
      <c r="R820" s="89"/>
      <c r="S820" s="89"/>
      <c r="T820" s="89"/>
      <c r="U820" s="89"/>
      <c r="V820" s="89"/>
      <c r="W820" s="89"/>
      <c r="X820" s="89"/>
      <c r="Y820" s="89"/>
      <c r="Z820" s="89"/>
      <c r="AA820" s="89"/>
    </row>
    <row r="821" spans="1:27" ht="13.8">
      <c r="A821" s="89"/>
      <c r="B821" s="89"/>
      <c r="C821" s="89"/>
      <c r="D821" s="89"/>
      <c r="E821" s="89"/>
      <c r="F821" s="110"/>
      <c r="G821" s="89"/>
      <c r="H821" s="89"/>
      <c r="I821" s="89"/>
      <c r="J821" s="89"/>
      <c r="K821" s="89"/>
      <c r="L821" s="89"/>
      <c r="M821" s="89"/>
      <c r="N821" s="89"/>
      <c r="O821" s="89"/>
      <c r="P821" s="89"/>
      <c r="Q821" s="89"/>
      <c r="R821" s="89"/>
      <c r="S821" s="89"/>
      <c r="T821" s="89"/>
      <c r="U821" s="89"/>
      <c r="V821" s="89"/>
      <c r="W821" s="89"/>
      <c r="X821" s="89"/>
      <c r="Y821" s="89"/>
      <c r="Z821" s="89"/>
      <c r="AA821" s="89"/>
    </row>
    <row r="822" spans="1:27" ht="13.8">
      <c r="A822" s="89"/>
      <c r="B822" s="89"/>
      <c r="C822" s="89"/>
      <c r="D822" s="89"/>
      <c r="E822" s="89"/>
      <c r="F822" s="110"/>
      <c r="G822" s="89"/>
      <c r="H822" s="89"/>
      <c r="I822" s="89"/>
      <c r="J822" s="89"/>
      <c r="K822" s="89"/>
      <c r="L822" s="89"/>
      <c r="M822" s="89"/>
      <c r="N822" s="89"/>
      <c r="O822" s="89"/>
      <c r="P822" s="89"/>
      <c r="Q822" s="89"/>
      <c r="R822" s="89"/>
      <c r="S822" s="89"/>
      <c r="T822" s="89"/>
      <c r="U822" s="89"/>
      <c r="V822" s="89"/>
      <c r="W822" s="89"/>
      <c r="X822" s="89"/>
      <c r="Y822" s="89"/>
      <c r="Z822" s="89"/>
      <c r="AA822" s="89"/>
    </row>
    <row r="823" spans="1:27" ht="13.8">
      <c r="A823" s="89"/>
      <c r="B823" s="89"/>
      <c r="C823" s="89"/>
      <c r="D823" s="89"/>
      <c r="E823" s="89"/>
      <c r="F823" s="110"/>
      <c r="G823" s="89"/>
      <c r="H823" s="89"/>
      <c r="I823" s="89"/>
      <c r="J823" s="89"/>
      <c r="K823" s="89"/>
      <c r="L823" s="89"/>
      <c r="M823" s="89"/>
      <c r="N823" s="89"/>
      <c r="O823" s="89"/>
      <c r="P823" s="89"/>
      <c r="Q823" s="89"/>
      <c r="R823" s="89"/>
      <c r="S823" s="89"/>
      <c r="T823" s="89"/>
      <c r="U823" s="89"/>
      <c r="V823" s="89"/>
      <c r="W823" s="89"/>
      <c r="X823" s="89"/>
      <c r="Y823" s="89"/>
      <c r="Z823" s="89"/>
      <c r="AA823" s="89"/>
    </row>
    <row r="824" spans="1:27" ht="13.8">
      <c r="A824" s="89"/>
      <c r="B824" s="89"/>
      <c r="C824" s="89"/>
      <c r="D824" s="89"/>
      <c r="E824" s="89"/>
      <c r="F824" s="110"/>
      <c r="G824" s="89"/>
      <c r="H824" s="89"/>
      <c r="I824" s="89"/>
      <c r="J824" s="89"/>
      <c r="K824" s="89"/>
      <c r="L824" s="89"/>
      <c r="M824" s="89"/>
      <c r="N824" s="89"/>
      <c r="O824" s="89"/>
      <c r="P824" s="89"/>
      <c r="Q824" s="89"/>
      <c r="R824" s="89"/>
      <c r="S824" s="89"/>
      <c r="T824" s="89"/>
      <c r="U824" s="89"/>
      <c r="V824" s="89"/>
      <c r="W824" s="89"/>
      <c r="X824" s="89"/>
      <c r="Y824" s="89"/>
      <c r="Z824" s="89"/>
      <c r="AA824" s="89"/>
    </row>
    <row r="825" spans="1:27" ht="13.8">
      <c r="A825" s="89"/>
      <c r="B825" s="89"/>
      <c r="C825" s="89"/>
      <c r="D825" s="89"/>
      <c r="E825" s="89"/>
      <c r="F825" s="110"/>
      <c r="G825" s="89"/>
      <c r="H825" s="89"/>
      <c r="I825" s="89"/>
      <c r="J825" s="89"/>
      <c r="K825" s="89"/>
      <c r="L825" s="89"/>
      <c r="M825" s="89"/>
      <c r="N825" s="89"/>
      <c r="O825" s="89"/>
      <c r="P825" s="89"/>
      <c r="Q825" s="89"/>
      <c r="R825" s="89"/>
      <c r="S825" s="89"/>
      <c r="T825" s="89"/>
      <c r="U825" s="89"/>
      <c r="V825" s="89"/>
      <c r="W825" s="89"/>
      <c r="X825" s="89"/>
      <c r="Y825" s="89"/>
      <c r="Z825" s="89"/>
      <c r="AA825" s="89"/>
    </row>
    <row r="826" spans="1:27" ht="13.8">
      <c r="A826" s="89"/>
      <c r="B826" s="89"/>
      <c r="C826" s="89"/>
      <c r="D826" s="89"/>
      <c r="E826" s="89"/>
      <c r="F826" s="110"/>
      <c r="G826" s="89"/>
      <c r="H826" s="89"/>
      <c r="I826" s="89"/>
      <c r="J826" s="89"/>
      <c r="K826" s="89"/>
      <c r="L826" s="89"/>
      <c r="M826" s="89"/>
      <c r="N826" s="89"/>
      <c r="O826" s="89"/>
      <c r="P826" s="89"/>
      <c r="Q826" s="89"/>
      <c r="R826" s="89"/>
      <c r="S826" s="89"/>
      <c r="T826" s="89"/>
      <c r="U826" s="89"/>
      <c r="V826" s="89"/>
      <c r="W826" s="89"/>
      <c r="X826" s="89"/>
      <c r="Y826" s="89"/>
      <c r="Z826" s="89"/>
      <c r="AA826" s="89"/>
    </row>
    <row r="827" spans="1:27" ht="13.8">
      <c r="A827" s="89"/>
      <c r="B827" s="89"/>
      <c r="C827" s="89"/>
      <c r="D827" s="89"/>
      <c r="E827" s="89"/>
      <c r="F827" s="110"/>
      <c r="G827" s="89"/>
      <c r="H827" s="89"/>
      <c r="I827" s="89"/>
      <c r="J827" s="89"/>
      <c r="K827" s="89"/>
      <c r="L827" s="89"/>
      <c r="M827" s="89"/>
      <c r="N827" s="89"/>
      <c r="O827" s="89"/>
      <c r="P827" s="89"/>
      <c r="Q827" s="89"/>
      <c r="R827" s="89"/>
      <c r="S827" s="89"/>
      <c r="T827" s="89"/>
      <c r="U827" s="89"/>
      <c r="V827" s="89"/>
      <c r="W827" s="89"/>
      <c r="X827" s="89"/>
      <c r="Y827" s="89"/>
      <c r="Z827" s="89"/>
      <c r="AA827" s="89"/>
    </row>
    <row r="828" spans="1:27" ht="13.8">
      <c r="A828" s="89"/>
      <c r="B828" s="89"/>
      <c r="C828" s="89"/>
      <c r="D828" s="89"/>
      <c r="E828" s="89"/>
      <c r="F828" s="110"/>
      <c r="G828" s="89"/>
      <c r="H828" s="89"/>
      <c r="I828" s="89"/>
      <c r="J828" s="89"/>
      <c r="K828" s="89"/>
      <c r="L828" s="89"/>
      <c r="M828" s="89"/>
      <c r="N828" s="89"/>
      <c r="O828" s="89"/>
      <c r="P828" s="89"/>
      <c r="Q828" s="89"/>
      <c r="R828" s="89"/>
      <c r="S828" s="89"/>
      <c r="T828" s="89"/>
      <c r="U828" s="89"/>
      <c r="V828" s="89"/>
      <c r="W828" s="89"/>
      <c r="X828" s="89"/>
      <c r="Y828" s="89"/>
      <c r="Z828" s="89"/>
      <c r="AA828" s="89"/>
    </row>
    <row r="829" spans="1:27" ht="13.8">
      <c r="A829" s="89"/>
      <c r="B829" s="89"/>
      <c r="C829" s="89"/>
      <c r="D829" s="89"/>
      <c r="E829" s="89"/>
      <c r="F829" s="110"/>
      <c r="G829" s="89"/>
      <c r="H829" s="89"/>
      <c r="I829" s="89"/>
      <c r="J829" s="89"/>
      <c r="K829" s="89"/>
      <c r="L829" s="89"/>
      <c r="M829" s="89"/>
      <c r="N829" s="89"/>
      <c r="O829" s="89"/>
      <c r="P829" s="89"/>
      <c r="Q829" s="89"/>
      <c r="R829" s="89"/>
      <c r="S829" s="89"/>
      <c r="T829" s="89"/>
      <c r="U829" s="89"/>
      <c r="V829" s="89"/>
      <c r="W829" s="89"/>
      <c r="X829" s="89"/>
      <c r="Y829" s="89"/>
      <c r="Z829" s="89"/>
      <c r="AA829" s="89"/>
    </row>
    <row r="830" spans="1:27" ht="13.8">
      <c r="A830" s="89"/>
      <c r="B830" s="89"/>
      <c r="C830" s="89"/>
      <c r="D830" s="89"/>
      <c r="E830" s="89"/>
      <c r="F830" s="110"/>
      <c r="G830" s="89"/>
      <c r="H830" s="89"/>
      <c r="I830" s="89"/>
      <c r="J830" s="89"/>
      <c r="K830" s="89"/>
      <c r="L830" s="89"/>
      <c r="M830" s="89"/>
      <c r="N830" s="89"/>
      <c r="O830" s="89"/>
      <c r="P830" s="89"/>
      <c r="Q830" s="89"/>
      <c r="R830" s="89"/>
      <c r="S830" s="89"/>
      <c r="T830" s="89"/>
      <c r="U830" s="89"/>
      <c r="V830" s="89"/>
      <c r="W830" s="89"/>
      <c r="X830" s="89"/>
      <c r="Y830" s="89"/>
      <c r="Z830" s="89"/>
      <c r="AA830" s="89"/>
    </row>
    <row r="831" spans="1:27" ht="13.8">
      <c r="A831" s="89"/>
      <c r="B831" s="89"/>
      <c r="C831" s="89"/>
      <c r="D831" s="89"/>
      <c r="E831" s="89"/>
      <c r="F831" s="110"/>
      <c r="G831" s="89"/>
      <c r="H831" s="89"/>
      <c r="I831" s="89"/>
      <c r="J831" s="89"/>
      <c r="K831" s="89"/>
      <c r="L831" s="89"/>
      <c r="M831" s="89"/>
      <c r="N831" s="89"/>
      <c r="O831" s="89"/>
      <c r="P831" s="89"/>
      <c r="Q831" s="89"/>
      <c r="R831" s="89"/>
      <c r="S831" s="89"/>
      <c r="T831" s="89"/>
      <c r="U831" s="89"/>
      <c r="V831" s="89"/>
      <c r="W831" s="89"/>
      <c r="X831" s="89"/>
      <c r="Y831" s="89"/>
      <c r="Z831" s="89"/>
      <c r="AA831" s="89"/>
    </row>
    <row r="832" spans="1:27" ht="13.8">
      <c r="A832" s="89"/>
      <c r="B832" s="89"/>
      <c r="C832" s="89"/>
      <c r="D832" s="89"/>
      <c r="E832" s="89"/>
      <c r="F832" s="110"/>
      <c r="G832" s="89"/>
      <c r="H832" s="89"/>
      <c r="I832" s="89"/>
      <c r="J832" s="89"/>
      <c r="K832" s="89"/>
      <c r="L832" s="89"/>
      <c r="M832" s="89"/>
      <c r="N832" s="89"/>
      <c r="O832" s="89"/>
      <c r="P832" s="89"/>
      <c r="Q832" s="89"/>
      <c r="R832" s="89"/>
      <c r="S832" s="89"/>
      <c r="T832" s="89"/>
      <c r="U832" s="89"/>
      <c r="V832" s="89"/>
      <c r="W832" s="89"/>
      <c r="X832" s="89"/>
      <c r="Y832" s="89"/>
      <c r="Z832" s="89"/>
      <c r="AA832" s="89"/>
    </row>
    <row r="833" spans="1:27" ht="13.8">
      <c r="A833" s="89"/>
      <c r="B833" s="89"/>
      <c r="C833" s="89"/>
      <c r="D833" s="89"/>
      <c r="E833" s="89"/>
      <c r="F833" s="110"/>
      <c r="G833" s="89"/>
      <c r="H833" s="89"/>
      <c r="I833" s="89"/>
      <c r="J833" s="89"/>
      <c r="K833" s="89"/>
      <c r="L833" s="89"/>
      <c r="M833" s="89"/>
      <c r="N833" s="89"/>
      <c r="O833" s="89"/>
      <c r="P833" s="89"/>
      <c r="Q833" s="89"/>
      <c r="R833" s="89"/>
      <c r="S833" s="89"/>
      <c r="T833" s="89"/>
      <c r="U833" s="89"/>
      <c r="V833" s="89"/>
      <c r="W833" s="89"/>
      <c r="X833" s="89"/>
      <c r="Y833" s="89"/>
      <c r="Z833" s="89"/>
      <c r="AA833" s="89"/>
    </row>
    <row r="834" spans="1:27" ht="13.8">
      <c r="A834" s="89"/>
      <c r="B834" s="89"/>
      <c r="C834" s="89"/>
      <c r="D834" s="89"/>
      <c r="E834" s="89"/>
      <c r="F834" s="110"/>
      <c r="G834" s="89"/>
      <c r="H834" s="89"/>
      <c r="I834" s="89"/>
      <c r="J834" s="89"/>
      <c r="K834" s="89"/>
      <c r="L834" s="89"/>
      <c r="M834" s="89"/>
      <c r="N834" s="89"/>
      <c r="O834" s="89"/>
      <c r="P834" s="89"/>
      <c r="Q834" s="89"/>
      <c r="R834" s="89"/>
      <c r="S834" s="89"/>
      <c r="T834" s="89"/>
      <c r="U834" s="89"/>
      <c r="V834" s="89"/>
      <c r="W834" s="89"/>
      <c r="X834" s="89"/>
      <c r="Y834" s="89"/>
      <c r="Z834" s="89"/>
      <c r="AA834" s="89"/>
    </row>
    <row r="835" spans="1:27" ht="13.8">
      <c r="A835" s="89"/>
      <c r="B835" s="89"/>
      <c r="C835" s="89"/>
      <c r="D835" s="89"/>
      <c r="E835" s="89"/>
      <c r="F835" s="110"/>
      <c r="G835" s="89"/>
      <c r="H835" s="89"/>
      <c r="I835" s="89"/>
      <c r="J835" s="89"/>
      <c r="K835" s="89"/>
      <c r="L835" s="89"/>
      <c r="M835" s="89"/>
      <c r="N835" s="89"/>
      <c r="O835" s="89"/>
      <c r="P835" s="89"/>
      <c r="Q835" s="89"/>
      <c r="R835" s="89"/>
      <c r="S835" s="89"/>
      <c r="T835" s="89"/>
      <c r="U835" s="89"/>
      <c r="V835" s="89"/>
      <c r="W835" s="89"/>
      <c r="X835" s="89"/>
      <c r="Y835" s="89"/>
      <c r="Z835" s="89"/>
      <c r="AA835" s="89"/>
    </row>
    <row r="836" spans="1:27" ht="13.8">
      <c r="A836" s="89"/>
      <c r="B836" s="89"/>
      <c r="C836" s="89"/>
      <c r="D836" s="89"/>
      <c r="E836" s="89"/>
      <c r="F836" s="110"/>
      <c r="G836" s="89"/>
      <c r="H836" s="89"/>
      <c r="I836" s="89"/>
      <c r="J836" s="89"/>
      <c r="K836" s="89"/>
      <c r="L836" s="89"/>
      <c r="M836" s="89"/>
      <c r="N836" s="89"/>
      <c r="O836" s="89"/>
      <c r="P836" s="89"/>
      <c r="Q836" s="89"/>
      <c r="R836" s="89"/>
      <c r="S836" s="89"/>
      <c r="T836" s="89"/>
      <c r="U836" s="89"/>
      <c r="V836" s="89"/>
      <c r="W836" s="89"/>
      <c r="X836" s="89"/>
      <c r="Y836" s="89"/>
      <c r="Z836" s="89"/>
      <c r="AA836" s="89"/>
    </row>
    <row r="837" spans="1:27" ht="13.8">
      <c r="A837" s="89"/>
      <c r="B837" s="89"/>
      <c r="C837" s="89"/>
      <c r="D837" s="89"/>
      <c r="E837" s="89"/>
      <c r="F837" s="110"/>
      <c r="G837" s="89"/>
      <c r="H837" s="89"/>
      <c r="I837" s="89"/>
      <c r="J837" s="89"/>
      <c r="K837" s="89"/>
      <c r="L837" s="89"/>
      <c r="M837" s="89"/>
      <c r="N837" s="89"/>
      <c r="O837" s="89"/>
      <c r="P837" s="89"/>
      <c r="Q837" s="89"/>
      <c r="R837" s="89"/>
      <c r="S837" s="89"/>
      <c r="T837" s="89"/>
      <c r="U837" s="89"/>
      <c r="V837" s="89"/>
      <c r="W837" s="89"/>
      <c r="X837" s="89"/>
      <c r="Y837" s="89"/>
      <c r="Z837" s="89"/>
      <c r="AA837" s="89"/>
    </row>
    <row r="838" spans="1:27" ht="13.8">
      <c r="A838" s="89"/>
      <c r="B838" s="89"/>
      <c r="C838" s="89"/>
      <c r="D838" s="89"/>
      <c r="E838" s="89"/>
      <c r="F838" s="110"/>
      <c r="G838" s="89"/>
      <c r="H838" s="89"/>
      <c r="I838" s="89"/>
      <c r="J838" s="89"/>
      <c r="K838" s="89"/>
      <c r="L838" s="89"/>
      <c r="M838" s="89"/>
      <c r="N838" s="89"/>
      <c r="O838" s="89"/>
      <c r="P838" s="89"/>
      <c r="Q838" s="89"/>
      <c r="R838" s="89"/>
      <c r="S838" s="89"/>
      <c r="T838" s="89"/>
      <c r="U838" s="89"/>
      <c r="V838" s="89"/>
      <c r="W838" s="89"/>
      <c r="X838" s="89"/>
      <c r="Y838" s="89"/>
      <c r="Z838" s="89"/>
      <c r="AA838" s="89"/>
    </row>
    <row r="839" spans="1:27" ht="13.8">
      <c r="A839" s="89"/>
      <c r="B839" s="89"/>
      <c r="C839" s="89"/>
      <c r="D839" s="89"/>
      <c r="E839" s="89"/>
      <c r="F839" s="110"/>
      <c r="G839" s="89"/>
      <c r="H839" s="89"/>
      <c r="I839" s="89"/>
      <c r="J839" s="89"/>
      <c r="K839" s="89"/>
      <c r="L839" s="89"/>
      <c r="M839" s="89"/>
      <c r="N839" s="89"/>
      <c r="O839" s="89"/>
      <c r="P839" s="89"/>
      <c r="Q839" s="89"/>
      <c r="R839" s="89"/>
      <c r="S839" s="89"/>
      <c r="T839" s="89"/>
      <c r="U839" s="89"/>
      <c r="V839" s="89"/>
      <c r="W839" s="89"/>
      <c r="X839" s="89"/>
      <c r="Y839" s="89"/>
      <c r="Z839" s="89"/>
      <c r="AA839" s="89"/>
    </row>
    <row r="840" spans="1:27" ht="13.8">
      <c r="A840" s="89"/>
      <c r="B840" s="89"/>
      <c r="C840" s="89"/>
      <c r="D840" s="89"/>
      <c r="E840" s="89"/>
      <c r="F840" s="110"/>
      <c r="G840" s="89"/>
      <c r="H840" s="89"/>
      <c r="I840" s="89"/>
      <c r="J840" s="89"/>
      <c r="K840" s="89"/>
      <c r="L840" s="89"/>
      <c r="M840" s="89"/>
      <c r="N840" s="89"/>
      <c r="O840" s="89"/>
      <c r="P840" s="89"/>
      <c r="Q840" s="89"/>
      <c r="R840" s="89"/>
      <c r="S840" s="89"/>
      <c r="T840" s="89"/>
      <c r="U840" s="89"/>
      <c r="V840" s="89"/>
      <c r="W840" s="89"/>
      <c r="X840" s="89"/>
      <c r="Y840" s="89"/>
      <c r="Z840" s="89"/>
      <c r="AA840" s="89"/>
    </row>
    <row r="841" spans="1:27" ht="13.8">
      <c r="A841" s="89"/>
      <c r="B841" s="89"/>
      <c r="C841" s="89"/>
      <c r="D841" s="89"/>
      <c r="E841" s="89"/>
      <c r="F841" s="110"/>
      <c r="G841" s="89"/>
      <c r="H841" s="89"/>
      <c r="I841" s="89"/>
      <c r="J841" s="89"/>
      <c r="K841" s="89"/>
      <c r="L841" s="89"/>
      <c r="M841" s="89"/>
      <c r="N841" s="89"/>
      <c r="O841" s="89"/>
      <c r="P841" s="89"/>
      <c r="Q841" s="89"/>
      <c r="R841" s="89"/>
      <c r="S841" s="89"/>
      <c r="T841" s="89"/>
      <c r="U841" s="89"/>
      <c r="V841" s="89"/>
      <c r="W841" s="89"/>
      <c r="X841" s="89"/>
      <c r="Y841" s="89"/>
      <c r="Z841" s="89"/>
      <c r="AA841" s="89"/>
    </row>
    <row r="842" spans="1:27" ht="13.8">
      <c r="A842" s="89"/>
      <c r="B842" s="89"/>
      <c r="C842" s="89"/>
      <c r="D842" s="89"/>
      <c r="E842" s="89"/>
      <c r="F842" s="110"/>
      <c r="G842" s="89"/>
      <c r="H842" s="89"/>
      <c r="I842" s="89"/>
      <c r="J842" s="89"/>
      <c r="K842" s="89"/>
      <c r="L842" s="89"/>
      <c r="M842" s="89"/>
      <c r="N842" s="89"/>
      <c r="O842" s="89"/>
      <c r="P842" s="89"/>
      <c r="Q842" s="89"/>
      <c r="R842" s="89"/>
      <c r="S842" s="89"/>
      <c r="T842" s="89"/>
      <c r="U842" s="89"/>
      <c r="V842" s="89"/>
      <c r="W842" s="89"/>
      <c r="X842" s="89"/>
      <c r="Y842" s="89"/>
      <c r="Z842" s="89"/>
      <c r="AA842" s="89"/>
    </row>
    <row r="843" spans="1:27" ht="13.8">
      <c r="A843" s="89"/>
      <c r="B843" s="89"/>
      <c r="C843" s="89"/>
      <c r="D843" s="89"/>
      <c r="E843" s="89"/>
      <c r="F843" s="110"/>
      <c r="G843" s="89"/>
      <c r="H843" s="89"/>
      <c r="I843" s="89"/>
      <c r="J843" s="89"/>
      <c r="K843" s="89"/>
      <c r="L843" s="89"/>
      <c r="M843" s="89"/>
      <c r="N843" s="89"/>
      <c r="O843" s="89"/>
      <c r="P843" s="89"/>
      <c r="Q843" s="89"/>
      <c r="R843" s="89"/>
      <c r="S843" s="89"/>
      <c r="T843" s="89"/>
      <c r="U843" s="89"/>
      <c r="V843" s="89"/>
      <c r="W843" s="89"/>
      <c r="X843" s="89"/>
      <c r="Y843" s="89"/>
      <c r="Z843" s="89"/>
      <c r="AA843" s="89"/>
    </row>
    <row r="844" spans="1:27" ht="13.8">
      <c r="A844" s="89"/>
      <c r="B844" s="89"/>
      <c r="C844" s="89"/>
      <c r="D844" s="89"/>
      <c r="E844" s="89"/>
      <c r="F844" s="110"/>
      <c r="G844" s="89"/>
      <c r="H844" s="89"/>
      <c r="I844" s="89"/>
      <c r="J844" s="89"/>
      <c r="K844" s="89"/>
      <c r="L844" s="89"/>
      <c r="M844" s="89"/>
      <c r="N844" s="89"/>
      <c r="O844" s="89"/>
      <c r="P844" s="89"/>
      <c r="Q844" s="89"/>
      <c r="R844" s="89"/>
      <c r="S844" s="89"/>
      <c r="T844" s="89"/>
      <c r="U844" s="89"/>
      <c r="V844" s="89"/>
      <c r="W844" s="89"/>
      <c r="X844" s="89"/>
      <c r="Y844" s="89"/>
      <c r="Z844" s="89"/>
      <c r="AA844" s="89"/>
    </row>
    <row r="845" spans="1:27" ht="13.8">
      <c r="A845" s="89"/>
      <c r="B845" s="89"/>
      <c r="C845" s="89"/>
      <c r="D845" s="89"/>
      <c r="E845" s="89"/>
      <c r="F845" s="110"/>
      <c r="G845" s="89"/>
      <c r="H845" s="89"/>
      <c r="I845" s="89"/>
      <c r="J845" s="89"/>
      <c r="K845" s="89"/>
      <c r="L845" s="89"/>
      <c r="M845" s="89"/>
      <c r="N845" s="89"/>
      <c r="O845" s="89"/>
      <c r="P845" s="89"/>
      <c r="Q845" s="89"/>
      <c r="R845" s="89"/>
      <c r="S845" s="89"/>
      <c r="T845" s="89"/>
      <c r="U845" s="89"/>
      <c r="V845" s="89"/>
      <c r="W845" s="89"/>
      <c r="X845" s="89"/>
      <c r="Y845" s="89"/>
      <c r="Z845" s="89"/>
      <c r="AA845" s="89"/>
    </row>
    <row r="846" spans="1:27" ht="13.8">
      <c r="A846" s="89"/>
      <c r="B846" s="89"/>
      <c r="C846" s="89"/>
      <c r="D846" s="89"/>
      <c r="E846" s="89"/>
      <c r="F846" s="110"/>
      <c r="G846" s="89"/>
      <c r="H846" s="89"/>
      <c r="I846" s="89"/>
      <c r="J846" s="89"/>
      <c r="K846" s="89"/>
      <c r="L846" s="89"/>
      <c r="M846" s="89"/>
      <c r="N846" s="89"/>
      <c r="O846" s="89"/>
      <c r="P846" s="89"/>
      <c r="Q846" s="89"/>
      <c r="R846" s="89"/>
      <c r="S846" s="89"/>
      <c r="T846" s="89"/>
      <c r="U846" s="89"/>
      <c r="V846" s="89"/>
      <c r="W846" s="89"/>
      <c r="X846" s="89"/>
      <c r="Y846" s="89"/>
      <c r="Z846" s="89"/>
      <c r="AA846" s="89"/>
    </row>
    <row r="847" spans="1:27" ht="13.8">
      <c r="A847" s="89"/>
      <c r="B847" s="89"/>
      <c r="C847" s="89"/>
      <c r="D847" s="89"/>
      <c r="E847" s="89"/>
      <c r="F847" s="110"/>
      <c r="G847" s="89"/>
      <c r="H847" s="89"/>
      <c r="I847" s="89"/>
      <c r="J847" s="89"/>
      <c r="K847" s="89"/>
      <c r="L847" s="89"/>
      <c r="M847" s="89"/>
      <c r="N847" s="89"/>
      <c r="O847" s="89"/>
      <c r="P847" s="89"/>
      <c r="Q847" s="89"/>
      <c r="R847" s="89"/>
      <c r="S847" s="89"/>
      <c r="T847" s="89"/>
      <c r="U847" s="89"/>
      <c r="V847" s="89"/>
      <c r="W847" s="89"/>
      <c r="X847" s="89"/>
      <c r="Y847" s="89"/>
      <c r="Z847" s="89"/>
      <c r="AA847" s="89"/>
    </row>
    <row r="848" spans="1:27" ht="13.8">
      <c r="A848" s="89"/>
      <c r="B848" s="89"/>
      <c r="C848" s="89"/>
      <c r="D848" s="89"/>
      <c r="E848" s="89"/>
      <c r="F848" s="110"/>
      <c r="G848" s="89"/>
      <c r="H848" s="89"/>
      <c r="I848" s="89"/>
      <c r="J848" s="89"/>
      <c r="K848" s="89"/>
      <c r="L848" s="89"/>
      <c r="M848" s="89"/>
      <c r="N848" s="89"/>
      <c r="O848" s="89"/>
      <c r="P848" s="89"/>
      <c r="Q848" s="89"/>
      <c r="R848" s="89"/>
      <c r="S848" s="89"/>
      <c r="T848" s="89"/>
      <c r="U848" s="89"/>
      <c r="V848" s="89"/>
      <c r="W848" s="89"/>
      <c r="X848" s="89"/>
      <c r="Y848" s="89"/>
      <c r="Z848" s="89"/>
      <c r="AA848" s="89"/>
    </row>
    <row r="849" spans="1:27" ht="13.8">
      <c r="A849" s="89"/>
      <c r="B849" s="89"/>
      <c r="C849" s="89"/>
      <c r="D849" s="89"/>
      <c r="E849" s="89"/>
      <c r="F849" s="110"/>
      <c r="G849" s="89"/>
      <c r="H849" s="89"/>
      <c r="I849" s="89"/>
      <c r="J849" s="89"/>
      <c r="K849" s="89"/>
      <c r="L849" s="89"/>
      <c r="M849" s="89"/>
      <c r="N849" s="89"/>
      <c r="O849" s="89"/>
      <c r="P849" s="89"/>
      <c r="Q849" s="89"/>
      <c r="R849" s="89"/>
      <c r="S849" s="89"/>
      <c r="T849" s="89"/>
      <c r="U849" s="89"/>
      <c r="V849" s="89"/>
      <c r="W849" s="89"/>
      <c r="X849" s="89"/>
      <c r="Y849" s="89"/>
      <c r="Z849" s="89"/>
      <c r="AA849" s="89"/>
    </row>
    <row r="850" spans="1:27" ht="13.8">
      <c r="A850" s="89"/>
      <c r="B850" s="89"/>
      <c r="C850" s="89"/>
      <c r="D850" s="89"/>
      <c r="E850" s="89"/>
      <c r="F850" s="110"/>
      <c r="G850" s="89"/>
      <c r="H850" s="89"/>
      <c r="I850" s="89"/>
      <c r="J850" s="89"/>
      <c r="K850" s="89"/>
      <c r="L850" s="89"/>
      <c r="M850" s="89"/>
      <c r="N850" s="89"/>
      <c r="O850" s="89"/>
      <c r="P850" s="89"/>
      <c r="Q850" s="89"/>
      <c r="R850" s="89"/>
      <c r="S850" s="89"/>
      <c r="T850" s="89"/>
      <c r="U850" s="89"/>
      <c r="V850" s="89"/>
      <c r="W850" s="89"/>
      <c r="X850" s="89"/>
      <c r="Y850" s="89"/>
      <c r="Z850" s="89"/>
      <c r="AA850" s="89"/>
    </row>
    <row r="851" spans="1:27" ht="13.8">
      <c r="A851" s="89"/>
      <c r="B851" s="89"/>
      <c r="C851" s="89"/>
      <c r="D851" s="89"/>
      <c r="E851" s="89"/>
      <c r="F851" s="110"/>
      <c r="G851" s="89"/>
      <c r="H851" s="89"/>
      <c r="I851" s="89"/>
      <c r="J851" s="89"/>
      <c r="K851" s="89"/>
      <c r="L851" s="89"/>
      <c r="M851" s="89"/>
      <c r="N851" s="89"/>
      <c r="O851" s="89"/>
      <c r="P851" s="89"/>
      <c r="Q851" s="89"/>
      <c r="R851" s="89"/>
      <c r="S851" s="89"/>
      <c r="T851" s="89"/>
      <c r="U851" s="89"/>
      <c r="V851" s="89"/>
      <c r="W851" s="89"/>
      <c r="X851" s="89"/>
      <c r="Y851" s="89"/>
      <c r="Z851" s="89"/>
      <c r="AA851" s="89"/>
    </row>
    <row r="852" spans="1:27" ht="13.8">
      <c r="A852" s="89"/>
      <c r="B852" s="89"/>
      <c r="C852" s="89"/>
      <c r="D852" s="89"/>
      <c r="E852" s="89"/>
      <c r="F852" s="110"/>
      <c r="G852" s="89"/>
      <c r="H852" s="89"/>
      <c r="I852" s="89"/>
      <c r="J852" s="89"/>
      <c r="K852" s="89"/>
      <c r="L852" s="89"/>
      <c r="M852" s="89"/>
      <c r="N852" s="89"/>
      <c r="O852" s="89"/>
      <c r="P852" s="89"/>
      <c r="Q852" s="89"/>
      <c r="R852" s="89"/>
      <c r="S852" s="89"/>
      <c r="T852" s="89"/>
      <c r="U852" s="89"/>
      <c r="V852" s="89"/>
      <c r="W852" s="89"/>
      <c r="X852" s="89"/>
      <c r="Y852" s="89"/>
      <c r="Z852" s="89"/>
      <c r="AA852" s="89"/>
    </row>
    <row r="853" spans="1:27" ht="13.8">
      <c r="A853" s="89"/>
      <c r="B853" s="89"/>
      <c r="C853" s="89"/>
      <c r="D853" s="89"/>
      <c r="E853" s="89"/>
      <c r="F853" s="110"/>
      <c r="G853" s="89"/>
      <c r="H853" s="89"/>
      <c r="I853" s="89"/>
      <c r="J853" s="89"/>
      <c r="K853" s="89"/>
      <c r="L853" s="89"/>
      <c r="M853" s="89"/>
      <c r="N853" s="89"/>
      <c r="O853" s="89"/>
      <c r="P853" s="89"/>
      <c r="Q853" s="89"/>
      <c r="R853" s="89"/>
      <c r="S853" s="89"/>
      <c r="T853" s="89"/>
      <c r="U853" s="89"/>
      <c r="V853" s="89"/>
      <c r="W853" s="89"/>
      <c r="X853" s="89"/>
      <c r="Y853" s="89"/>
      <c r="Z853" s="89"/>
      <c r="AA853" s="89"/>
    </row>
    <row r="854" spans="1:27" ht="13.8">
      <c r="A854" s="89"/>
      <c r="B854" s="89"/>
      <c r="C854" s="89"/>
      <c r="D854" s="89"/>
      <c r="E854" s="89"/>
      <c r="F854" s="110"/>
      <c r="G854" s="89"/>
      <c r="H854" s="89"/>
      <c r="I854" s="89"/>
      <c r="J854" s="89"/>
      <c r="K854" s="89"/>
      <c r="L854" s="89"/>
      <c r="M854" s="89"/>
      <c r="N854" s="89"/>
      <c r="O854" s="89"/>
      <c r="P854" s="89"/>
      <c r="Q854" s="89"/>
      <c r="R854" s="89"/>
      <c r="S854" s="89"/>
      <c r="T854" s="89"/>
      <c r="U854" s="89"/>
      <c r="V854" s="89"/>
      <c r="W854" s="89"/>
      <c r="X854" s="89"/>
      <c r="Y854" s="89"/>
      <c r="Z854" s="89"/>
      <c r="AA854" s="89"/>
    </row>
    <row r="855" spans="1:27" ht="13.8">
      <c r="A855" s="89"/>
      <c r="B855" s="89"/>
      <c r="C855" s="89"/>
      <c r="D855" s="89"/>
      <c r="E855" s="89"/>
      <c r="F855" s="110"/>
      <c r="G855" s="89"/>
      <c r="H855" s="89"/>
      <c r="I855" s="89"/>
      <c r="J855" s="89"/>
      <c r="K855" s="89"/>
      <c r="L855" s="89"/>
      <c r="M855" s="89"/>
      <c r="N855" s="89"/>
      <c r="O855" s="89"/>
      <c r="P855" s="89"/>
      <c r="Q855" s="89"/>
      <c r="R855" s="89"/>
      <c r="S855" s="89"/>
      <c r="T855" s="89"/>
      <c r="U855" s="89"/>
      <c r="V855" s="89"/>
      <c r="W855" s="89"/>
      <c r="X855" s="89"/>
      <c r="Y855" s="89"/>
      <c r="Z855" s="89"/>
      <c r="AA855" s="89"/>
    </row>
    <row r="856" spans="1:27" ht="13.8">
      <c r="A856" s="89"/>
      <c r="B856" s="89"/>
      <c r="C856" s="89"/>
      <c r="D856" s="89"/>
      <c r="E856" s="89"/>
      <c r="F856" s="110"/>
      <c r="G856" s="89"/>
      <c r="H856" s="89"/>
      <c r="I856" s="89"/>
      <c r="J856" s="89"/>
      <c r="K856" s="89"/>
      <c r="L856" s="89"/>
      <c r="M856" s="89"/>
      <c r="N856" s="89"/>
      <c r="O856" s="89"/>
      <c r="P856" s="89"/>
      <c r="Q856" s="89"/>
      <c r="R856" s="89"/>
      <c r="S856" s="89"/>
      <c r="T856" s="89"/>
      <c r="U856" s="89"/>
      <c r="V856" s="89"/>
      <c r="W856" s="89"/>
      <c r="X856" s="89"/>
      <c r="Y856" s="89"/>
      <c r="Z856" s="89"/>
      <c r="AA856" s="89"/>
    </row>
    <row r="857" spans="1:27" ht="13.8">
      <c r="A857" s="89"/>
      <c r="B857" s="89"/>
      <c r="C857" s="89"/>
      <c r="D857" s="89"/>
      <c r="E857" s="89"/>
      <c r="F857" s="110"/>
      <c r="G857" s="89"/>
      <c r="H857" s="89"/>
      <c r="I857" s="89"/>
      <c r="J857" s="89"/>
      <c r="K857" s="89"/>
      <c r="L857" s="89"/>
      <c r="M857" s="89"/>
      <c r="N857" s="89"/>
      <c r="O857" s="89"/>
      <c r="P857" s="89"/>
      <c r="Q857" s="89"/>
      <c r="R857" s="89"/>
      <c r="S857" s="89"/>
      <c r="T857" s="89"/>
      <c r="U857" s="89"/>
      <c r="V857" s="89"/>
      <c r="W857" s="89"/>
      <c r="X857" s="89"/>
      <c r="Y857" s="89"/>
      <c r="Z857" s="89"/>
      <c r="AA857" s="89"/>
    </row>
    <row r="858" spans="1:27" ht="13.8">
      <c r="A858" s="89"/>
      <c r="B858" s="89"/>
      <c r="C858" s="89"/>
      <c r="D858" s="89"/>
      <c r="E858" s="89"/>
      <c r="F858" s="110"/>
      <c r="G858" s="89"/>
      <c r="H858" s="89"/>
      <c r="I858" s="89"/>
      <c r="J858" s="89"/>
      <c r="K858" s="89"/>
      <c r="L858" s="89"/>
      <c r="M858" s="89"/>
      <c r="N858" s="89"/>
      <c r="O858" s="89"/>
      <c r="P858" s="89"/>
      <c r="Q858" s="89"/>
      <c r="R858" s="89"/>
      <c r="S858" s="89"/>
      <c r="T858" s="89"/>
      <c r="U858" s="89"/>
      <c r="V858" s="89"/>
      <c r="W858" s="89"/>
      <c r="X858" s="89"/>
      <c r="Y858" s="89"/>
      <c r="Z858" s="89"/>
      <c r="AA858" s="89"/>
    </row>
    <row r="859" spans="1:27" ht="13.8">
      <c r="A859" s="89"/>
      <c r="B859" s="89"/>
      <c r="C859" s="89"/>
      <c r="D859" s="89"/>
      <c r="E859" s="89"/>
      <c r="F859" s="110"/>
      <c r="G859" s="89"/>
      <c r="H859" s="89"/>
      <c r="I859" s="89"/>
      <c r="J859" s="89"/>
      <c r="K859" s="89"/>
      <c r="L859" s="89"/>
      <c r="M859" s="89"/>
      <c r="N859" s="89"/>
      <c r="O859" s="89"/>
      <c r="P859" s="89"/>
      <c r="Q859" s="89"/>
      <c r="R859" s="89"/>
      <c r="S859" s="89"/>
      <c r="T859" s="89"/>
      <c r="U859" s="89"/>
      <c r="V859" s="89"/>
      <c r="W859" s="89"/>
      <c r="X859" s="89"/>
      <c r="Y859" s="89"/>
      <c r="Z859" s="89"/>
      <c r="AA859" s="89"/>
    </row>
    <row r="860" spans="1:27" ht="13.8">
      <c r="A860" s="89"/>
      <c r="B860" s="89"/>
      <c r="C860" s="89"/>
      <c r="D860" s="89"/>
      <c r="E860" s="89"/>
      <c r="F860" s="110"/>
      <c r="G860" s="89"/>
      <c r="H860" s="89"/>
      <c r="I860" s="89"/>
      <c r="J860" s="89"/>
      <c r="K860" s="89"/>
      <c r="L860" s="89"/>
      <c r="M860" s="89"/>
      <c r="N860" s="89"/>
      <c r="O860" s="89"/>
      <c r="P860" s="89"/>
      <c r="Q860" s="89"/>
      <c r="R860" s="89"/>
      <c r="S860" s="89"/>
      <c r="T860" s="89"/>
      <c r="U860" s="89"/>
      <c r="V860" s="89"/>
      <c r="W860" s="89"/>
      <c r="X860" s="89"/>
      <c r="Y860" s="89"/>
      <c r="Z860" s="89"/>
      <c r="AA860" s="89"/>
    </row>
    <row r="861" spans="1:27" ht="13.8">
      <c r="A861" s="89"/>
      <c r="B861" s="89"/>
      <c r="C861" s="89"/>
      <c r="D861" s="89"/>
      <c r="E861" s="89"/>
      <c r="F861" s="110"/>
      <c r="G861" s="89"/>
      <c r="H861" s="89"/>
      <c r="I861" s="89"/>
      <c r="J861" s="89"/>
      <c r="K861" s="89"/>
      <c r="L861" s="89"/>
      <c r="M861" s="89"/>
      <c r="N861" s="89"/>
      <c r="O861" s="89"/>
      <c r="P861" s="89"/>
      <c r="Q861" s="89"/>
      <c r="R861" s="89"/>
      <c r="S861" s="89"/>
      <c r="T861" s="89"/>
      <c r="U861" s="89"/>
      <c r="V861" s="89"/>
      <c r="W861" s="89"/>
      <c r="X861" s="89"/>
      <c r="Y861" s="89"/>
      <c r="Z861" s="89"/>
      <c r="AA861" s="89"/>
    </row>
    <row r="862" spans="1:27" ht="13.8">
      <c r="A862" s="89"/>
      <c r="B862" s="89"/>
      <c r="C862" s="89"/>
      <c r="D862" s="89"/>
      <c r="E862" s="89"/>
      <c r="F862" s="110"/>
      <c r="G862" s="89"/>
      <c r="H862" s="89"/>
      <c r="I862" s="89"/>
      <c r="J862" s="89"/>
      <c r="K862" s="89"/>
      <c r="L862" s="89"/>
      <c r="M862" s="89"/>
      <c r="N862" s="89"/>
      <c r="O862" s="89"/>
      <c r="P862" s="89"/>
      <c r="Q862" s="89"/>
      <c r="R862" s="89"/>
      <c r="S862" s="89"/>
      <c r="T862" s="89"/>
      <c r="U862" s="89"/>
      <c r="V862" s="89"/>
      <c r="W862" s="89"/>
      <c r="X862" s="89"/>
      <c r="Y862" s="89"/>
      <c r="Z862" s="89"/>
      <c r="AA862" s="89"/>
    </row>
    <row r="863" spans="1:27" ht="13.8">
      <c r="A863" s="89"/>
      <c r="B863" s="89"/>
      <c r="C863" s="89"/>
      <c r="D863" s="89"/>
      <c r="E863" s="89"/>
      <c r="F863" s="110"/>
      <c r="G863" s="89"/>
      <c r="H863" s="89"/>
      <c r="I863" s="89"/>
      <c r="J863" s="89"/>
      <c r="K863" s="89"/>
      <c r="L863" s="89"/>
      <c r="M863" s="89"/>
      <c r="N863" s="89"/>
      <c r="O863" s="89"/>
      <c r="P863" s="89"/>
      <c r="Q863" s="89"/>
      <c r="R863" s="89"/>
      <c r="S863" s="89"/>
      <c r="T863" s="89"/>
      <c r="U863" s="89"/>
      <c r="V863" s="89"/>
      <c r="W863" s="89"/>
      <c r="X863" s="89"/>
      <c r="Y863" s="89"/>
      <c r="Z863" s="89"/>
      <c r="AA863" s="89"/>
    </row>
    <row r="864" spans="1:27" ht="13.8">
      <c r="A864" s="89"/>
      <c r="B864" s="89"/>
      <c r="C864" s="89"/>
      <c r="D864" s="89"/>
      <c r="E864" s="89"/>
      <c r="F864" s="110"/>
      <c r="G864" s="89"/>
      <c r="H864" s="89"/>
      <c r="I864" s="89"/>
      <c r="J864" s="89"/>
      <c r="K864" s="89"/>
      <c r="L864" s="89"/>
      <c r="M864" s="89"/>
      <c r="N864" s="89"/>
      <c r="O864" s="89"/>
      <c r="P864" s="89"/>
      <c r="Q864" s="89"/>
      <c r="R864" s="89"/>
      <c r="S864" s="89"/>
      <c r="T864" s="89"/>
      <c r="U864" s="89"/>
      <c r="V864" s="89"/>
      <c r="W864" s="89"/>
      <c r="X864" s="89"/>
      <c r="Y864" s="89"/>
      <c r="Z864" s="89"/>
      <c r="AA864" s="89"/>
    </row>
    <row r="865" spans="1:27" ht="13.8">
      <c r="A865" s="89"/>
      <c r="B865" s="89"/>
      <c r="C865" s="89"/>
      <c r="D865" s="89"/>
      <c r="E865" s="89"/>
      <c r="F865" s="110"/>
      <c r="G865" s="89"/>
      <c r="H865" s="89"/>
      <c r="I865" s="89"/>
      <c r="J865" s="89"/>
      <c r="K865" s="89"/>
      <c r="L865" s="89"/>
      <c r="M865" s="89"/>
      <c r="N865" s="89"/>
      <c r="O865" s="89"/>
      <c r="P865" s="89"/>
      <c r="Q865" s="89"/>
      <c r="R865" s="89"/>
      <c r="S865" s="89"/>
      <c r="T865" s="89"/>
      <c r="U865" s="89"/>
      <c r="V865" s="89"/>
      <c r="W865" s="89"/>
      <c r="X865" s="89"/>
      <c r="Y865" s="89"/>
      <c r="Z865" s="89"/>
      <c r="AA865" s="89"/>
    </row>
    <row r="866" spans="1:27" ht="13.8">
      <c r="A866" s="89"/>
      <c r="B866" s="89"/>
      <c r="C866" s="89"/>
      <c r="D866" s="89"/>
      <c r="E866" s="89"/>
      <c r="F866" s="110"/>
      <c r="G866" s="89"/>
      <c r="H866" s="89"/>
      <c r="I866" s="89"/>
      <c r="J866" s="89"/>
      <c r="K866" s="89"/>
      <c r="L866" s="89"/>
      <c r="M866" s="89"/>
      <c r="N866" s="89"/>
      <c r="O866" s="89"/>
      <c r="P866" s="89"/>
      <c r="Q866" s="89"/>
      <c r="R866" s="89"/>
      <c r="S866" s="89"/>
      <c r="T866" s="89"/>
      <c r="U866" s="89"/>
      <c r="V866" s="89"/>
      <c r="W866" s="89"/>
      <c r="X866" s="89"/>
      <c r="Y866" s="89"/>
      <c r="Z866" s="89"/>
      <c r="AA866" s="89"/>
    </row>
    <row r="867" spans="1:27" ht="13.8">
      <c r="A867" s="89"/>
      <c r="B867" s="89"/>
      <c r="C867" s="89"/>
      <c r="D867" s="89"/>
      <c r="E867" s="89"/>
      <c r="F867" s="110"/>
      <c r="G867" s="89"/>
      <c r="H867" s="89"/>
      <c r="I867" s="89"/>
      <c r="J867" s="89"/>
      <c r="K867" s="89"/>
      <c r="L867" s="89"/>
      <c r="M867" s="89"/>
      <c r="N867" s="89"/>
      <c r="O867" s="89"/>
      <c r="P867" s="89"/>
      <c r="Q867" s="89"/>
      <c r="R867" s="89"/>
      <c r="S867" s="89"/>
      <c r="T867" s="89"/>
      <c r="U867" s="89"/>
      <c r="V867" s="89"/>
      <c r="W867" s="89"/>
      <c r="X867" s="89"/>
      <c r="Y867" s="89"/>
      <c r="Z867" s="89"/>
      <c r="AA867" s="89"/>
    </row>
    <row r="868" spans="1:27" ht="13.8">
      <c r="A868" s="89"/>
      <c r="B868" s="89"/>
      <c r="C868" s="89"/>
      <c r="D868" s="89"/>
      <c r="E868" s="89"/>
      <c r="F868" s="110"/>
      <c r="G868" s="89"/>
      <c r="H868" s="89"/>
      <c r="I868" s="89"/>
      <c r="J868" s="89"/>
      <c r="K868" s="89"/>
      <c r="L868" s="89"/>
      <c r="M868" s="89"/>
      <c r="N868" s="89"/>
      <c r="O868" s="89"/>
      <c r="P868" s="89"/>
      <c r="Q868" s="89"/>
      <c r="R868" s="89"/>
      <c r="S868" s="89"/>
      <c r="T868" s="89"/>
      <c r="U868" s="89"/>
      <c r="V868" s="89"/>
      <c r="W868" s="89"/>
      <c r="X868" s="89"/>
      <c r="Y868" s="89"/>
      <c r="Z868" s="89"/>
      <c r="AA868" s="89"/>
    </row>
    <row r="869" spans="1:27" ht="13.8">
      <c r="A869" s="89"/>
      <c r="B869" s="89"/>
      <c r="C869" s="89"/>
      <c r="D869" s="89"/>
      <c r="E869" s="89"/>
      <c r="F869" s="110"/>
      <c r="G869" s="89"/>
      <c r="H869" s="89"/>
      <c r="I869" s="89"/>
      <c r="J869" s="89"/>
      <c r="K869" s="89"/>
      <c r="L869" s="89"/>
      <c r="M869" s="89"/>
      <c r="N869" s="89"/>
      <c r="O869" s="89"/>
      <c r="P869" s="89"/>
      <c r="Q869" s="89"/>
      <c r="R869" s="89"/>
      <c r="S869" s="89"/>
      <c r="T869" s="89"/>
      <c r="U869" s="89"/>
      <c r="V869" s="89"/>
      <c r="W869" s="89"/>
      <c r="X869" s="89"/>
      <c r="Y869" s="89"/>
      <c r="Z869" s="89"/>
      <c r="AA869" s="89"/>
    </row>
    <row r="870" spans="1:27" ht="13.8">
      <c r="A870" s="89"/>
      <c r="B870" s="89"/>
      <c r="C870" s="89"/>
      <c r="D870" s="89"/>
      <c r="E870" s="89"/>
      <c r="F870" s="110"/>
      <c r="G870" s="89"/>
      <c r="H870" s="89"/>
      <c r="I870" s="89"/>
      <c r="J870" s="89"/>
      <c r="K870" s="89"/>
      <c r="L870" s="89"/>
      <c r="M870" s="89"/>
      <c r="N870" s="89"/>
      <c r="O870" s="89"/>
      <c r="P870" s="89"/>
      <c r="Q870" s="89"/>
      <c r="R870" s="89"/>
      <c r="S870" s="89"/>
      <c r="T870" s="89"/>
      <c r="U870" s="89"/>
      <c r="V870" s="89"/>
      <c r="W870" s="89"/>
      <c r="X870" s="89"/>
      <c r="Y870" s="89"/>
      <c r="Z870" s="89"/>
      <c r="AA870" s="89"/>
    </row>
    <row r="871" spans="1:27" ht="13.8">
      <c r="A871" s="89"/>
      <c r="B871" s="89"/>
      <c r="C871" s="89"/>
      <c r="D871" s="89"/>
      <c r="E871" s="89"/>
      <c r="F871" s="110"/>
      <c r="G871" s="89"/>
      <c r="H871" s="89"/>
      <c r="I871" s="89"/>
      <c r="J871" s="89"/>
      <c r="K871" s="89"/>
      <c r="L871" s="89"/>
      <c r="M871" s="89"/>
      <c r="N871" s="89"/>
      <c r="O871" s="89"/>
      <c r="P871" s="89"/>
      <c r="Q871" s="89"/>
      <c r="R871" s="89"/>
      <c r="S871" s="89"/>
      <c r="T871" s="89"/>
      <c r="U871" s="89"/>
      <c r="V871" s="89"/>
      <c r="W871" s="89"/>
      <c r="X871" s="89"/>
      <c r="Y871" s="89"/>
      <c r="Z871" s="89"/>
      <c r="AA871" s="89"/>
    </row>
    <row r="872" spans="1:27" ht="13.8">
      <c r="A872" s="89"/>
      <c r="B872" s="89"/>
      <c r="C872" s="89"/>
      <c r="D872" s="89"/>
      <c r="E872" s="89"/>
      <c r="F872" s="110"/>
      <c r="G872" s="89"/>
      <c r="H872" s="89"/>
      <c r="I872" s="89"/>
      <c r="J872" s="89"/>
      <c r="K872" s="89"/>
      <c r="L872" s="89"/>
      <c r="M872" s="89"/>
      <c r="N872" s="89"/>
      <c r="O872" s="89"/>
      <c r="P872" s="89"/>
      <c r="Q872" s="89"/>
      <c r="R872" s="89"/>
      <c r="S872" s="89"/>
      <c r="T872" s="89"/>
      <c r="U872" s="89"/>
      <c r="V872" s="89"/>
      <c r="W872" s="89"/>
      <c r="X872" s="89"/>
      <c r="Y872" s="89"/>
      <c r="Z872" s="89"/>
      <c r="AA872" s="89"/>
    </row>
    <row r="873" spans="1:27" ht="13.8">
      <c r="A873" s="89"/>
      <c r="B873" s="89"/>
      <c r="C873" s="89"/>
      <c r="D873" s="89"/>
      <c r="E873" s="89"/>
      <c r="F873" s="110"/>
      <c r="G873" s="89"/>
      <c r="H873" s="89"/>
      <c r="I873" s="89"/>
      <c r="J873" s="89"/>
      <c r="K873" s="89"/>
      <c r="L873" s="89"/>
      <c r="M873" s="89"/>
      <c r="N873" s="89"/>
      <c r="O873" s="89"/>
      <c r="P873" s="89"/>
      <c r="Q873" s="89"/>
      <c r="R873" s="89"/>
      <c r="S873" s="89"/>
      <c r="T873" s="89"/>
      <c r="U873" s="89"/>
      <c r="V873" s="89"/>
      <c r="W873" s="89"/>
      <c r="X873" s="89"/>
      <c r="Y873" s="89"/>
      <c r="Z873" s="89"/>
      <c r="AA873" s="89"/>
    </row>
    <row r="874" spans="1:27" ht="13.8">
      <c r="A874" s="89"/>
      <c r="B874" s="89"/>
      <c r="C874" s="89"/>
      <c r="D874" s="89"/>
      <c r="E874" s="89"/>
      <c r="F874" s="110"/>
      <c r="G874" s="89"/>
      <c r="H874" s="89"/>
      <c r="I874" s="89"/>
      <c r="J874" s="89"/>
      <c r="K874" s="89"/>
      <c r="L874" s="89"/>
      <c r="M874" s="89"/>
      <c r="N874" s="89"/>
      <c r="O874" s="89"/>
      <c r="P874" s="89"/>
      <c r="Q874" s="89"/>
      <c r="R874" s="89"/>
      <c r="S874" s="89"/>
      <c r="T874" s="89"/>
      <c r="U874" s="89"/>
      <c r="V874" s="89"/>
      <c r="W874" s="89"/>
      <c r="X874" s="89"/>
      <c r="Y874" s="89"/>
      <c r="Z874" s="89"/>
      <c r="AA874" s="89"/>
    </row>
    <row r="875" spans="1:27" ht="13.8">
      <c r="A875" s="89"/>
      <c r="B875" s="89"/>
      <c r="C875" s="89"/>
      <c r="D875" s="89"/>
      <c r="E875" s="89"/>
      <c r="F875" s="110"/>
      <c r="G875" s="89"/>
      <c r="H875" s="89"/>
      <c r="I875" s="89"/>
      <c r="J875" s="89"/>
      <c r="K875" s="89"/>
      <c r="L875" s="89"/>
      <c r="M875" s="89"/>
      <c r="N875" s="89"/>
      <c r="O875" s="89"/>
      <c r="P875" s="89"/>
      <c r="Q875" s="89"/>
      <c r="R875" s="89"/>
      <c r="S875" s="89"/>
      <c r="T875" s="89"/>
      <c r="U875" s="89"/>
      <c r="V875" s="89"/>
      <c r="W875" s="89"/>
      <c r="X875" s="89"/>
      <c r="Y875" s="89"/>
      <c r="Z875" s="89"/>
      <c r="AA875" s="89"/>
    </row>
    <row r="876" spans="1:27" ht="13.8">
      <c r="A876" s="89"/>
      <c r="B876" s="89"/>
      <c r="C876" s="89"/>
      <c r="D876" s="89"/>
      <c r="E876" s="89"/>
      <c r="F876" s="110"/>
      <c r="G876" s="89"/>
      <c r="H876" s="89"/>
      <c r="I876" s="89"/>
      <c r="J876" s="89"/>
      <c r="K876" s="89"/>
      <c r="L876" s="89"/>
      <c r="M876" s="89"/>
      <c r="N876" s="89"/>
      <c r="O876" s="89"/>
      <c r="P876" s="89"/>
      <c r="Q876" s="89"/>
      <c r="R876" s="89"/>
      <c r="S876" s="89"/>
      <c r="T876" s="89"/>
      <c r="U876" s="89"/>
      <c r="V876" s="89"/>
      <c r="W876" s="89"/>
      <c r="X876" s="89"/>
      <c r="Y876" s="89"/>
      <c r="Z876" s="89"/>
      <c r="AA876" s="89"/>
    </row>
    <row r="877" spans="1:27" ht="13.8">
      <c r="A877" s="89"/>
      <c r="B877" s="89"/>
      <c r="C877" s="89"/>
      <c r="D877" s="89"/>
      <c r="E877" s="89"/>
      <c r="F877" s="110"/>
      <c r="G877" s="89"/>
      <c r="H877" s="89"/>
      <c r="I877" s="89"/>
      <c r="J877" s="89"/>
      <c r="K877" s="89"/>
      <c r="L877" s="89"/>
      <c r="M877" s="89"/>
      <c r="N877" s="89"/>
      <c r="O877" s="89"/>
      <c r="P877" s="89"/>
      <c r="Q877" s="89"/>
      <c r="R877" s="89"/>
      <c r="S877" s="89"/>
      <c r="T877" s="89"/>
      <c r="U877" s="89"/>
      <c r="V877" s="89"/>
      <c r="W877" s="89"/>
      <c r="X877" s="89"/>
      <c r="Y877" s="89"/>
      <c r="Z877" s="89"/>
      <c r="AA877" s="89"/>
    </row>
    <row r="878" spans="1:27" ht="13.8">
      <c r="A878" s="89"/>
      <c r="B878" s="89"/>
      <c r="C878" s="89"/>
      <c r="D878" s="89"/>
      <c r="E878" s="89"/>
      <c r="F878" s="110"/>
      <c r="G878" s="89"/>
      <c r="H878" s="89"/>
      <c r="I878" s="89"/>
      <c r="J878" s="89"/>
      <c r="K878" s="89"/>
      <c r="L878" s="89"/>
      <c r="M878" s="89"/>
      <c r="N878" s="89"/>
      <c r="O878" s="89"/>
      <c r="P878" s="89"/>
      <c r="Q878" s="89"/>
      <c r="R878" s="89"/>
      <c r="S878" s="89"/>
      <c r="T878" s="89"/>
      <c r="U878" s="89"/>
      <c r="V878" s="89"/>
      <c r="W878" s="89"/>
      <c r="X878" s="89"/>
      <c r="Y878" s="89"/>
      <c r="Z878" s="89"/>
      <c r="AA878" s="89"/>
    </row>
    <row r="879" spans="1:27" ht="13.8">
      <c r="A879" s="89"/>
      <c r="B879" s="89"/>
      <c r="C879" s="89"/>
      <c r="D879" s="89"/>
      <c r="E879" s="89"/>
      <c r="F879" s="110"/>
      <c r="G879" s="89"/>
      <c r="H879" s="89"/>
      <c r="I879" s="89"/>
      <c r="J879" s="89"/>
      <c r="K879" s="89"/>
      <c r="L879" s="89"/>
      <c r="M879" s="89"/>
      <c r="N879" s="89"/>
      <c r="O879" s="89"/>
      <c r="P879" s="89"/>
      <c r="Q879" s="89"/>
      <c r="R879" s="89"/>
      <c r="S879" s="89"/>
      <c r="T879" s="89"/>
      <c r="U879" s="89"/>
      <c r="V879" s="89"/>
      <c r="W879" s="89"/>
      <c r="X879" s="89"/>
      <c r="Y879" s="89"/>
      <c r="Z879" s="89"/>
      <c r="AA879" s="89"/>
    </row>
    <row r="880" spans="1:27" ht="13.8">
      <c r="A880" s="89"/>
      <c r="B880" s="89"/>
      <c r="C880" s="89"/>
      <c r="D880" s="89"/>
      <c r="E880" s="89"/>
      <c r="F880" s="110"/>
      <c r="G880" s="89"/>
      <c r="H880" s="89"/>
      <c r="I880" s="89"/>
      <c r="J880" s="89"/>
      <c r="K880" s="89"/>
      <c r="L880" s="89"/>
      <c r="M880" s="89"/>
      <c r="N880" s="89"/>
      <c r="O880" s="89"/>
      <c r="P880" s="89"/>
      <c r="Q880" s="89"/>
      <c r="R880" s="89"/>
      <c r="S880" s="89"/>
      <c r="T880" s="89"/>
      <c r="U880" s="89"/>
      <c r="V880" s="89"/>
      <c r="W880" s="89"/>
      <c r="X880" s="89"/>
      <c r="Y880" s="89"/>
      <c r="Z880" s="89"/>
      <c r="AA880" s="89"/>
    </row>
    <row r="881" spans="1:27" ht="13.8">
      <c r="A881" s="89"/>
      <c r="B881" s="89"/>
      <c r="C881" s="89"/>
      <c r="D881" s="89"/>
      <c r="E881" s="89"/>
      <c r="F881" s="110"/>
      <c r="G881" s="89"/>
      <c r="H881" s="89"/>
      <c r="I881" s="89"/>
      <c r="J881" s="89"/>
      <c r="K881" s="89"/>
      <c r="L881" s="89"/>
      <c r="M881" s="89"/>
      <c r="N881" s="89"/>
      <c r="O881" s="89"/>
      <c r="P881" s="89"/>
      <c r="Q881" s="89"/>
      <c r="R881" s="89"/>
      <c r="S881" s="89"/>
      <c r="T881" s="89"/>
      <c r="U881" s="89"/>
      <c r="V881" s="89"/>
      <c r="W881" s="89"/>
      <c r="X881" s="89"/>
      <c r="Y881" s="89"/>
      <c r="Z881" s="89"/>
      <c r="AA881" s="89"/>
    </row>
    <row r="882" spans="1:27" ht="13.8">
      <c r="A882" s="89"/>
      <c r="B882" s="89"/>
      <c r="C882" s="89"/>
      <c r="D882" s="89"/>
      <c r="E882" s="89"/>
      <c r="F882" s="110"/>
      <c r="G882" s="89"/>
      <c r="H882" s="89"/>
      <c r="I882" s="89"/>
      <c r="J882" s="89"/>
      <c r="K882" s="89"/>
      <c r="L882" s="89"/>
      <c r="M882" s="89"/>
      <c r="N882" s="89"/>
      <c r="O882" s="89"/>
      <c r="P882" s="89"/>
      <c r="Q882" s="89"/>
      <c r="R882" s="89"/>
      <c r="S882" s="89"/>
      <c r="T882" s="89"/>
      <c r="U882" s="89"/>
      <c r="V882" s="89"/>
      <c r="W882" s="89"/>
      <c r="X882" s="89"/>
      <c r="Y882" s="89"/>
      <c r="Z882" s="89"/>
      <c r="AA882" s="89"/>
    </row>
    <row r="883" spans="1:27" ht="13.8">
      <c r="A883" s="89"/>
      <c r="B883" s="89"/>
      <c r="C883" s="89"/>
      <c r="D883" s="89"/>
      <c r="E883" s="89"/>
      <c r="F883" s="110"/>
      <c r="G883" s="89"/>
      <c r="H883" s="89"/>
      <c r="I883" s="89"/>
      <c r="J883" s="89"/>
      <c r="K883" s="89"/>
      <c r="L883" s="89"/>
      <c r="M883" s="89"/>
      <c r="N883" s="89"/>
      <c r="O883" s="89"/>
      <c r="P883" s="89"/>
      <c r="Q883" s="89"/>
      <c r="R883" s="89"/>
      <c r="S883" s="89"/>
      <c r="T883" s="89"/>
      <c r="U883" s="89"/>
      <c r="V883" s="89"/>
      <c r="W883" s="89"/>
      <c r="X883" s="89"/>
      <c r="Y883" s="89"/>
      <c r="Z883" s="89"/>
      <c r="AA883" s="89"/>
    </row>
    <row r="884" spans="1:27" ht="13.8">
      <c r="A884" s="89"/>
      <c r="B884" s="89"/>
      <c r="C884" s="89"/>
      <c r="D884" s="89"/>
      <c r="E884" s="89"/>
      <c r="F884" s="110"/>
      <c r="G884" s="89"/>
      <c r="H884" s="89"/>
      <c r="I884" s="89"/>
      <c r="J884" s="89"/>
      <c r="K884" s="89"/>
      <c r="L884" s="89"/>
      <c r="M884" s="89"/>
      <c r="N884" s="89"/>
      <c r="O884" s="89"/>
      <c r="P884" s="89"/>
      <c r="Q884" s="89"/>
      <c r="R884" s="89"/>
      <c r="S884" s="89"/>
      <c r="T884" s="89"/>
      <c r="U884" s="89"/>
      <c r="V884" s="89"/>
      <c r="W884" s="89"/>
      <c r="X884" s="89"/>
      <c r="Y884" s="89"/>
      <c r="Z884" s="89"/>
      <c r="AA884" s="89"/>
    </row>
    <row r="885" spans="1:27" ht="13.8">
      <c r="A885" s="89"/>
      <c r="B885" s="89"/>
      <c r="C885" s="89"/>
      <c r="D885" s="89"/>
      <c r="E885" s="89"/>
      <c r="F885" s="110"/>
      <c r="G885" s="89"/>
      <c r="H885" s="89"/>
      <c r="I885" s="89"/>
      <c r="J885" s="89"/>
      <c r="K885" s="89"/>
      <c r="L885" s="89"/>
      <c r="M885" s="89"/>
      <c r="N885" s="89"/>
      <c r="O885" s="89"/>
      <c r="P885" s="89"/>
      <c r="Q885" s="89"/>
      <c r="R885" s="89"/>
      <c r="S885" s="89"/>
      <c r="T885" s="89"/>
      <c r="U885" s="89"/>
      <c r="V885" s="89"/>
      <c r="W885" s="89"/>
      <c r="X885" s="89"/>
      <c r="Y885" s="89"/>
      <c r="Z885" s="89"/>
      <c r="AA885" s="89"/>
    </row>
    <row r="886" spans="1:27" ht="13.8">
      <c r="A886" s="89"/>
      <c r="B886" s="89"/>
      <c r="C886" s="89"/>
      <c r="D886" s="89"/>
      <c r="E886" s="89"/>
      <c r="F886" s="110"/>
      <c r="G886" s="89"/>
      <c r="H886" s="89"/>
      <c r="I886" s="89"/>
      <c r="J886" s="89"/>
      <c r="K886" s="89"/>
      <c r="L886" s="89"/>
      <c r="M886" s="89"/>
      <c r="N886" s="89"/>
      <c r="O886" s="89"/>
      <c r="P886" s="89"/>
      <c r="Q886" s="89"/>
      <c r="R886" s="89"/>
      <c r="S886" s="89"/>
      <c r="T886" s="89"/>
      <c r="U886" s="89"/>
      <c r="V886" s="89"/>
      <c r="W886" s="89"/>
      <c r="X886" s="89"/>
      <c r="Y886" s="89"/>
      <c r="Z886" s="89"/>
      <c r="AA886" s="89"/>
    </row>
    <row r="887" spans="1:27" ht="13.8">
      <c r="A887" s="89"/>
      <c r="B887" s="89"/>
      <c r="C887" s="89"/>
      <c r="D887" s="89"/>
      <c r="E887" s="89"/>
      <c r="F887" s="110"/>
      <c r="G887" s="89"/>
      <c r="H887" s="89"/>
      <c r="I887" s="89"/>
      <c r="J887" s="89"/>
      <c r="K887" s="89"/>
      <c r="L887" s="89"/>
      <c r="M887" s="89"/>
      <c r="N887" s="89"/>
      <c r="O887" s="89"/>
      <c r="P887" s="89"/>
      <c r="Q887" s="89"/>
      <c r="R887" s="89"/>
      <c r="S887" s="89"/>
      <c r="T887" s="89"/>
      <c r="U887" s="89"/>
      <c r="V887" s="89"/>
      <c r="W887" s="89"/>
      <c r="X887" s="89"/>
      <c r="Y887" s="89"/>
      <c r="Z887" s="89"/>
      <c r="AA887" s="89"/>
    </row>
    <row r="888" spans="1:27" ht="13.8">
      <c r="A888" s="89"/>
      <c r="B888" s="89"/>
      <c r="C888" s="89"/>
      <c r="D888" s="89"/>
      <c r="E888" s="89"/>
      <c r="F888" s="110"/>
      <c r="G888" s="89"/>
      <c r="H888" s="89"/>
      <c r="I888" s="89"/>
      <c r="J888" s="89"/>
      <c r="K888" s="89"/>
      <c r="L888" s="89"/>
      <c r="M888" s="89"/>
      <c r="N888" s="89"/>
      <c r="O888" s="89"/>
      <c r="P888" s="89"/>
      <c r="Q888" s="89"/>
      <c r="R888" s="89"/>
      <c r="S888" s="89"/>
      <c r="T888" s="89"/>
      <c r="U888" s="89"/>
      <c r="V888" s="89"/>
      <c r="W888" s="89"/>
      <c r="X888" s="89"/>
      <c r="Y888" s="89"/>
      <c r="Z888" s="89"/>
      <c r="AA888" s="89"/>
    </row>
    <row r="889" spans="1:27" ht="13.8">
      <c r="A889" s="89"/>
      <c r="B889" s="89"/>
      <c r="C889" s="89"/>
      <c r="D889" s="89"/>
      <c r="E889" s="89"/>
      <c r="F889" s="110"/>
      <c r="G889" s="89"/>
      <c r="H889" s="89"/>
      <c r="I889" s="89"/>
      <c r="J889" s="89"/>
      <c r="K889" s="89"/>
      <c r="L889" s="89"/>
      <c r="M889" s="89"/>
      <c r="N889" s="89"/>
      <c r="O889" s="89"/>
      <c r="P889" s="89"/>
      <c r="Q889" s="89"/>
      <c r="R889" s="89"/>
      <c r="S889" s="89"/>
      <c r="T889" s="89"/>
      <c r="U889" s="89"/>
      <c r="V889" s="89"/>
      <c r="W889" s="89"/>
      <c r="X889" s="89"/>
      <c r="Y889" s="89"/>
      <c r="Z889" s="89"/>
      <c r="AA889" s="89"/>
    </row>
    <row r="890" spans="1:27" ht="13.8">
      <c r="A890" s="89"/>
      <c r="B890" s="89"/>
      <c r="C890" s="89"/>
      <c r="D890" s="89"/>
      <c r="E890" s="89"/>
      <c r="F890" s="110"/>
      <c r="G890" s="89"/>
      <c r="H890" s="89"/>
      <c r="I890" s="89"/>
      <c r="J890" s="89"/>
      <c r="K890" s="89"/>
      <c r="L890" s="89"/>
      <c r="M890" s="89"/>
      <c r="N890" s="89"/>
      <c r="O890" s="89"/>
      <c r="P890" s="89"/>
      <c r="Q890" s="89"/>
      <c r="R890" s="89"/>
      <c r="S890" s="89"/>
      <c r="T890" s="89"/>
      <c r="U890" s="89"/>
      <c r="V890" s="89"/>
      <c r="W890" s="89"/>
      <c r="X890" s="89"/>
      <c r="Y890" s="89"/>
      <c r="Z890" s="89"/>
      <c r="AA890" s="89"/>
    </row>
    <row r="891" spans="1:27" ht="13.8">
      <c r="A891" s="89"/>
      <c r="B891" s="89"/>
      <c r="C891" s="89"/>
      <c r="D891" s="89"/>
      <c r="E891" s="89"/>
      <c r="F891" s="110"/>
      <c r="G891" s="89"/>
      <c r="H891" s="89"/>
      <c r="I891" s="89"/>
      <c r="J891" s="89"/>
      <c r="K891" s="89"/>
      <c r="L891" s="89"/>
      <c r="M891" s="89"/>
      <c r="N891" s="89"/>
      <c r="O891" s="89"/>
      <c r="P891" s="89"/>
      <c r="Q891" s="89"/>
      <c r="R891" s="89"/>
      <c r="S891" s="89"/>
      <c r="T891" s="89"/>
      <c r="U891" s="89"/>
      <c r="V891" s="89"/>
      <c r="W891" s="89"/>
      <c r="X891" s="89"/>
      <c r="Y891" s="89"/>
      <c r="Z891" s="89"/>
      <c r="AA891" s="89"/>
    </row>
    <row r="892" spans="1:27" ht="13.8">
      <c r="A892" s="89"/>
      <c r="B892" s="89"/>
      <c r="C892" s="89"/>
      <c r="D892" s="89"/>
      <c r="E892" s="89"/>
      <c r="F892" s="110"/>
      <c r="G892" s="89"/>
      <c r="H892" s="89"/>
      <c r="I892" s="89"/>
      <c r="J892" s="89"/>
      <c r="K892" s="89"/>
      <c r="L892" s="89"/>
      <c r="M892" s="89"/>
      <c r="N892" s="89"/>
      <c r="O892" s="89"/>
      <c r="P892" s="89"/>
      <c r="Q892" s="89"/>
      <c r="R892" s="89"/>
      <c r="S892" s="89"/>
      <c r="T892" s="89"/>
      <c r="U892" s="89"/>
      <c r="V892" s="89"/>
      <c r="W892" s="89"/>
      <c r="X892" s="89"/>
      <c r="Y892" s="89"/>
      <c r="Z892" s="89"/>
      <c r="AA892" s="89"/>
    </row>
    <row r="893" spans="1:27" ht="13.8">
      <c r="A893" s="89"/>
      <c r="B893" s="89"/>
      <c r="C893" s="89"/>
      <c r="D893" s="89"/>
      <c r="E893" s="89"/>
      <c r="F893" s="110"/>
      <c r="G893" s="89"/>
      <c r="H893" s="89"/>
      <c r="I893" s="89"/>
      <c r="J893" s="89"/>
      <c r="K893" s="89"/>
      <c r="L893" s="89"/>
      <c r="M893" s="89"/>
      <c r="N893" s="89"/>
      <c r="O893" s="89"/>
      <c r="P893" s="89"/>
      <c r="Q893" s="89"/>
      <c r="R893" s="89"/>
      <c r="S893" s="89"/>
      <c r="T893" s="89"/>
      <c r="U893" s="89"/>
      <c r="V893" s="89"/>
      <c r="W893" s="89"/>
      <c r="X893" s="89"/>
      <c r="Y893" s="89"/>
      <c r="Z893" s="89"/>
      <c r="AA893" s="89"/>
    </row>
    <row r="894" spans="1:27" ht="13.8">
      <c r="A894" s="89"/>
      <c r="B894" s="89"/>
      <c r="C894" s="89"/>
      <c r="D894" s="89"/>
      <c r="E894" s="89"/>
      <c r="F894" s="110"/>
      <c r="G894" s="89"/>
      <c r="H894" s="89"/>
      <c r="I894" s="89"/>
      <c r="J894" s="89"/>
      <c r="K894" s="89"/>
      <c r="L894" s="89"/>
      <c r="M894" s="89"/>
      <c r="N894" s="89"/>
      <c r="O894" s="89"/>
      <c r="P894" s="89"/>
      <c r="Q894" s="89"/>
      <c r="R894" s="89"/>
      <c r="S894" s="89"/>
      <c r="T894" s="89"/>
      <c r="U894" s="89"/>
      <c r="V894" s="89"/>
      <c r="W894" s="89"/>
      <c r="X894" s="89"/>
      <c r="Y894" s="89"/>
      <c r="Z894" s="89"/>
      <c r="AA894" s="89"/>
    </row>
    <row r="895" spans="1:27" ht="13.8">
      <c r="A895" s="89"/>
      <c r="B895" s="89"/>
      <c r="C895" s="89"/>
      <c r="D895" s="89"/>
      <c r="E895" s="89"/>
      <c r="F895" s="110"/>
      <c r="G895" s="89"/>
      <c r="H895" s="89"/>
      <c r="I895" s="89"/>
      <c r="J895" s="89"/>
      <c r="K895" s="89"/>
      <c r="L895" s="89"/>
      <c r="M895" s="89"/>
      <c r="N895" s="89"/>
      <c r="O895" s="89"/>
      <c r="P895" s="89"/>
      <c r="Q895" s="89"/>
      <c r="R895" s="89"/>
      <c r="S895" s="89"/>
      <c r="T895" s="89"/>
      <c r="U895" s="89"/>
      <c r="V895" s="89"/>
      <c r="W895" s="89"/>
      <c r="X895" s="89"/>
      <c r="Y895" s="89"/>
      <c r="Z895" s="89"/>
      <c r="AA895" s="89"/>
    </row>
    <row r="896" spans="1:27" ht="13.8">
      <c r="A896" s="89"/>
      <c r="B896" s="89"/>
      <c r="C896" s="89"/>
      <c r="D896" s="89"/>
      <c r="E896" s="89"/>
      <c r="F896" s="110"/>
      <c r="G896" s="89"/>
      <c r="H896" s="89"/>
      <c r="I896" s="89"/>
      <c r="J896" s="89"/>
      <c r="K896" s="89"/>
      <c r="L896" s="89"/>
      <c r="M896" s="89"/>
      <c r="N896" s="89"/>
      <c r="O896" s="89"/>
      <c r="P896" s="89"/>
      <c r="Q896" s="89"/>
      <c r="R896" s="89"/>
      <c r="S896" s="89"/>
      <c r="T896" s="89"/>
      <c r="U896" s="89"/>
      <c r="V896" s="89"/>
      <c r="W896" s="89"/>
      <c r="X896" s="89"/>
      <c r="Y896" s="89"/>
      <c r="Z896" s="89"/>
      <c r="AA896" s="89"/>
    </row>
    <row r="897" spans="1:27" ht="13.8">
      <c r="A897" s="89"/>
      <c r="B897" s="89"/>
      <c r="C897" s="89"/>
      <c r="D897" s="89"/>
      <c r="E897" s="89"/>
      <c r="F897" s="110"/>
      <c r="G897" s="89"/>
      <c r="H897" s="89"/>
      <c r="I897" s="89"/>
      <c r="J897" s="89"/>
      <c r="K897" s="89"/>
      <c r="L897" s="89"/>
      <c r="M897" s="89"/>
      <c r="N897" s="89"/>
      <c r="O897" s="89"/>
      <c r="P897" s="89"/>
      <c r="Q897" s="89"/>
      <c r="R897" s="89"/>
      <c r="S897" s="89"/>
      <c r="T897" s="89"/>
      <c r="U897" s="89"/>
      <c r="V897" s="89"/>
      <c r="W897" s="89"/>
      <c r="X897" s="89"/>
      <c r="Y897" s="89"/>
      <c r="Z897" s="89"/>
      <c r="AA897" s="89"/>
    </row>
    <row r="898" spans="1:27" ht="13.8">
      <c r="A898" s="89"/>
      <c r="B898" s="89"/>
      <c r="C898" s="89"/>
      <c r="D898" s="89"/>
      <c r="E898" s="89"/>
      <c r="F898" s="110"/>
      <c r="G898" s="89"/>
      <c r="H898" s="89"/>
      <c r="I898" s="89"/>
      <c r="J898" s="89"/>
      <c r="K898" s="89"/>
      <c r="L898" s="89"/>
      <c r="M898" s="89"/>
      <c r="N898" s="89"/>
      <c r="O898" s="89"/>
      <c r="P898" s="89"/>
      <c r="Q898" s="89"/>
      <c r="R898" s="89"/>
      <c r="S898" s="89"/>
      <c r="T898" s="89"/>
      <c r="U898" s="89"/>
      <c r="V898" s="89"/>
      <c r="W898" s="89"/>
      <c r="X898" s="89"/>
      <c r="Y898" s="89"/>
      <c r="Z898" s="89"/>
      <c r="AA898" s="89"/>
    </row>
    <row r="899" spans="1:27" ht="13.8">
      <c r="A899" s="89"/>
      <c r="B899" s="89"/>
      <c r="C899" s="89"/>
      <c r="D899" s="89"/>
      <c r="E899" s="89"/>
      <c r="F899" s="110"/>
      <c r="G899" s="89"/>
      <c r="H899" s="89"/>
      <c r="I899" s="89"/>
      <c r="J899" s="89"/>
      <c r="K899" s="89"/>
      <c r="L899" s="89"/>
      <c r="M899" s="89"/>
      <c r="N899" s="89"/>
      <c r="O899" s="89"/>
      <c r="P899" s="89"/>
      <c r="Q899" s="89"/>
      <c r="R899" s="89"/>
      <c r="S899" s="89"/>
      <c r="T899" s="89"/>
      <c r="U899" s="89"/>
      <c r="V899" s="89"/>
      <c r="W899" s="89"/>
      <c r="X899" s="89"/>
      <c r="Y899" s="89"/>
      <c r="Z899" s="89"/>
      <c r="AA899" s="89"/>
    </row>
    <row r="900" spans="1:27" ht="13.8">
      <c r="A900" s="89"/>
      <c r="B900" s="89"/>
      <c r="C900" s="89"/>
      <c r="D900" s="89"/>
      <c r="E900" s="89"/>
      <c r="F900" s="110"/>
      <c r="G900" s="89"/>
      <c r="H900" s="89"/>
      <c r="I900" s="89"/>
      <c r="J900" s="89"/>
      <c r="K900" s="89"/>
      <c r="L900" s="89"/>
      <c r="M900" s="89"/>
      <c r="N900" s="89"/>
      <c r="O900" s="89"/>
      <c r="P900" s="89"/>
      <c r="Q900" s="89"/>
      <c r="R900" s="89"/>
      <c r="S900" s="89"/>
      <c r="T900" s="89"/>
      <c r="U900" s="89"/>
      <c r="V900" s="89"/>
      <c r="W900" s="89"/>
      <c r="X900" s="89"/>
      <c r="Y900" s="89"/>
      <c r="Z900" s="89"/>
      <c r="AA900" s="89"/>
    </row>
    <row r="901" spans="1:27" ht="13.8">
      <c r="A901" s="89"/>
      <c r="B901" s="89"/>
      <c r="C901" s="89"/>
      <c r="D901" s="89"/>
      <c r="E901" s="89"/>
      <c r="F901" s="110"/>
      <c r="G901" s="89"/>
      <c r="H901" s="89"/>
      <c r="I901" s="89"/>
      <c r="J901" s="89"/>
      <c r="K901" s="89"/>
      <c r="L901" s="89"/>
      <c r="M901" s="89"/>
      <c r="N901" s="89"/>
      <c r="O901" s="89"/>
      <c r="P901" s="89"/>
      <c r="Q901" s="89"/>
      <c r="R901" s="89"/>
      <c r="S901" s="89"/>
      <c r="T901" s="89"/>
      <c r="U901" s="89"/>
      <c r="V901" s="89"/>
      <c r="W901" s="89"/>
      <c r="X901" s="89"/>
      <c r="Y901" s="89"/>
      <c r="Z901" s="89"/>
      <c r="AA901" s="89"/>
    </row>
    <row r="902" spans="1:27" ht="13.8">
      <c r="A902" s="89"/>
      <c r="B902" s="89"/>
      <c r="C902" s="89"/>
      <c r="D902" s="89"/>
      <c r="E902" s="89"/>
      <c r="F902" s="110"/>
      <c r="G902" s="89"/>
      <c r="H902" s="89"/>
      <c r="I902" s="89"/>
      <c r="J902" s="89"/>
      <c r="K902" s="89"/>
      <c r="L902" s="89"/>
      <c r="M902" s="89"/>
      <c r="N902" s="89"/>
      <c r="O902" s="89"/>
      <c r="P902" s="89"/>
      <c r="Q902" s="89"/>
      <c r="R902" s="89"/>
      <c r="S902" s="89"/>
      <c r="T902" s="89"/>
      <c r="U902" s="89"/>
      <c r="V902" s="89"/>
      <c r="W902" s="89"/>
      <c r="X902" s="89"/>
      <c r="Y902" s="89"/>
      <c r="Z902" s="89"/>
      <c r="AA902" s="89"/>
    </row>
    <row r="903" spans="1:27" ht="13.8">
      <c r="A903" s="89"/>
      <c r="B903" s="89"/>
      <c r="C903" s="89"/>
      <c r="D903" s="89"/>
      <c r="E903" s="89"/>
      <c r="F903" s="110"/>
      <c r="G903" s="89"/>
      <c r="H903" s="89"/>
      <c r="I903" s="89"/>
      <c r="J903" s="89"/>
      <c r="K903" s="89"/>
      <c r="L903" s="89"/>
      <c r="M903" s="89"/>
      <c r="N903" s="89"/>
      <c r="O903" s="89"/>
      <c r="P903" s="89"/>
      <c r="Q903" s="89"/>
      <c r="R903" s="89"/>
      <c r="S903" s="89"/>
      <c r="T903" s="89"/>
      <c r="U903" s="89"/>
      <c r="V903" s="89"/>
      <c r="W903" s="89"/>
      <c r="X903" s="89"/>
      <c r="Y903" s="89"/>
      <c r="Z903" s="89"/>
      <c r="AA903" s="89"/>
    </row>
    <row r="904" spans="1:27" ht="13.8">
      <c r="A904" s="89"/>
      <c r="B904" s="89"/>
      <c r="C904" s="89"/>
      <c r="D904" s="89"/>
      <c r="E904" s="89"/>
      <c r="F904" s="110"/>
      <c r="G904" s="89"/>
      <c r="H904" s="89"/>
      <c r="I904" s="89"/>
      <c r="J904" s="89"/>
      <c r="K904" s="89"/>
      <c r="L904" s="89"/>
      <c r="M904" s="89"/>
      <c r="N904" s="89"/>
      <c r="O904" s="89"/>
      <c r="P904" s="89"/>
      <c r="Q904" s="89"/>
      <c r="R904" s="89"/>
      <c r="S904" s="89"/>
      <c r="T904" s="89"/>
      <c r="U904" s="89"/>
      <c r="V904" s="89"/>
      <c r="W904" s="89"/>
      <c r="X904" s="89"/>
      <c r="Y904" s="89"/>
      <c r="Z904" s="89"/>
      <c r="AA904" s="89"/>
    </row>
    <row r="905" spans="1:27" ht="13.8">
      <c r="A905" s="89"/>
      <c r="B905" s="89"/>
      <c r="C905" s="89"/>
      <c r="D905" s="89"/>
      <c r="E905" s="89"/>
      <c r="F905" s="110"/>
      <c r="G905" s="89"/>
      <c r="H905" s="89"/>
      <c r="I905" s="89"/>
      <c r="J905" s="89"/>
      <c r="K905" s="89"/>
      <c r="L905" s="89"/>
      <c r="M905" s="89"/>
      <c r="N905" s="89"/>
      <c r="O905" s="89"/>
      <c r="P905" s="89"/>
      <c r="Q905" s="89"/>
      <c r="R905" s="89"/>
      <c r="S905" s="89"/>
      <c r="T905" s="89"/>
      <c r="U905" s="89"/>
      <c r="V905" s="89"/>
      <c r="W905" s="89"/>
      <c r="X905" s="89"/>
      <c r="Y905" s="89"/>
      <c r="Z905" s="89"/>
      <c r="AA905" s="89"/>
    </row>
    <row r="906" spans="1:27" ht="13.8">
      <c r="A906" s="89"/>
      <c r="B906" s="89"/>
      <c r="C906" s="89"/>
      <c r="D906" s="89"/>
      <c r="E906" s="89"/>
      <c r="F906" s="110"/>
      <c r="G906" s="89"/>
      <c r="H906" s="89"/>
      <c r="I906" s="89"/>
      <c r="J906" s="89"/>
      <c r="K906" s="89"/>
      <c r="L906" s="89"/>
      <c r="M906" s="89"/>
      <c r="N906" s="89"/>
      <c r="O906" s="89"/>
      <c r="P906" s="89"/>
      <c r="Q906" s="89"/>
      <c r="R906" s="89"/>
      <c r="S906" s="89"/>
      <c r="T906" s="89"/>
      <c r="U906" s="89"/>
      <c r="V906" s="89"/>
      <c r="W906" s="89"/>
      <c r="X906" s="89"/>
      <c r="Y906" s="89"/>
      <c r="Z906" s="89"/>
      <c r="AA906" s="89"/>
    </row>
    <row r="907" spans="1:27" ht="13.8">
      <c r="A907" s="89"/>
      <c r="B907" s="89"/>
      <c r="C907" s="89"/>
      <c r="D907" s="89"/>
      <c r="E907" s="89"/>
      <c r="F907" s="110"/>
      <c r="G907" s="89"/>
      <c r="H907" s="89"/>
      <c r="I907" s="89"/>
      <c r="J907" s="89"/>
      <c r="K907" s="89"/>
      <c r="L907" s="89"/>
      <c r="M907" s="89"/>
      <c r="N907" s="89"/>
      <c r="O907" s="89"/>
      <c r="P907" s="89"/>
      <c r="Q907" s="89"/>
      <c r="R907" s="89"/>
      <c r="S907" s="89"/>
      <c r="T907" s="89"/>
      <c r="U907" s="89"/>
      <c r="V907" s="89"/>
      <c r="W907" s="89"/>
      <c r="X907" s="89"/>
      <c r="Y907" s="89"/>
      <c r="Z907" s="89"/>
      <c r="AA907" s="89"/>
    </row>
    <row r="908" spans="1:27" ht="13.8">
      <c r="A908" s="89"/>
      <c r="B908" s="89"/>
      <c r="C908" s="89"/>
      <c r="D908" s="89"/>
      <c r="E908" s="89"/>
      <c r="F908" s="110"/>
      <c r="G908" s="89"/>
      <c r="H908" s="89"/>
      <c r="I908" s="89"/>
      <c r="J908" s="89"/>
      <c r="K908" s="89"/>
      <c r="L908" s="89"/>
      <c r="M908" s="89"/>
      <c r="N908" s="89"/>
      <c r="O908" s="89"/>
      <c r="P908" s="89"/>
      <c r="Q908" s="89"/>
      <c r="R908" s="89"/>
      <c r="S908" s="89"/>
      <c r="T908" s="89"/>
      <c r="U908" s="89"/>
      <c r="V908" s="89"/>
      <c r="W908" s="89"/>
      <c r="X908" s="89"/>
      <c r="Y908" s="89"/>
      <c r="Z908" s="89"/>
      <c r="AA908" s="89"/>
    </row>
    <row r="909" spans="1:27" ht="13.8">
      <c r="A909" s="89"/>
      <c r="B909" s="89"/>
      <c r="C909" s="89"/>
      <c r="D909" s="89"/>
      <c r="E909" s="89"/>
      <c r="F909" s="110"/>
      <c r="G909" s="89"/>
      <c r="H909" s="89"/>
      <c r="I909" s="89"/>
      <c r="J909" s="89"/>
      <c r="K909" s="89"/>
      <c r="L909" s="89"/>
      <c r="M909" s="89"/>
      <c r="N909" s="89"/>
      <c r="O909" s="89"/>
      <c r="P909" s="89"/>
      <c r="Q909" s="89"/>
      <c r="R909" s="89"/>
      <c r="S909" s="89"/>
      <c r="T909" s="89"/>
      <c r="U909" s="89"/>
      <c r="V909" s="89"/>
      <c r="W909" s="89"/>
      <c r="X909" s="89"/>
      <c r="Y909" s="89"/>
      <c r="Z909" s="89"/>
      <c r="AA909" s="89"/>
    </row>
    <row r="910" spans="1:27" ht="13.8">
      <c r="A910" s="89"/>
      <c r="B910" s="89"/>
      <c r="C910" s="89"/>
      <c r="D910" s="89"/>
      <c r="E910" s="89"/>
      <c r="F910" s="110"/>
      <c r="G910" s="89"/>
      <c r="H910" s="89"/>
      <c r="I910" s="89"/>
      <c r="J910" s="89"/>
      <c r="K910" s="89"/>
      <c r="L910" s="89"/>
      <c r="M910" s="89"/>
      <c r="N910" s="89"/>
      <c r="O910" s="89"/>
      <c r="P910" s="89"/>
      <c r="Q910" s="89"/>
      <c r="R910" s="89"/>
      <c r="S910" s="89"/>
      <c r="T910" s="89"/>
      <c r="U910" s="89"/>
      <c r="V910" s="89"/>
      <c r="W910" s="89"/>
      <c r="X910" s="89"/>
      <c r="Y910" s="89"/>
      <c r="Z910" s="89"/>
      <c r="AA910" s="89"/>
    </row>
    <row r="911" spans="1:27" ht="13.8">
      <c r="A911" s="89"/>
      <c r="B911" s="89"/>
      <c r="C911" s="89"/>
      <c r="D911" s="89"/>
      <c r="E911" s="89"/>
      <c r="F911" s="110"/>
      <c r="G911" s="89"/>
      <c r="H911" s="89"/>
      <c r="I911" s="89"/>
      <c r="J911" s="89"/>
      <c r="K911" s="89"/>
      <c r="L911" s="89"/>
      <c r="M911" s="89"/>
      <c r="N911" s="89"/>
      <c r="O911" s="89"/>
      <c r="P911" s="89"/>
      <c r="Q911" s="89"/>
      <c r="R911" s="89"/>
      <c r="S911" s="89"/>
      <c r="T911" s="89"/>
      <c r="U911" s="89"/>
      <c r="V911" s="89"/>
      <c r="W911" s="89"/>
      <c r="X911" s="89"/>
      <c r="Y911" s="89"/>
      <c r="Z911" s="89"/>
      <c r="AA911" s="89"/>
    </row>
    <row r="912" spans="1:27" ht="13.8">
      <c r="A912" s="89"/>
      <c r="B912" s="89"/>
      <c r="C912" s="89"/>
      <c r="D912" s="89"/>
      <c r="E912" s="89"/>
      <c r="F912" s="110"/>
      <c r="G912" s="89"/>
      <c r="H912" s="89"/>
      <c r="I912" s="89"/>
      <c r="J912" s="89"/>
      <c r="K912" s="89"/>
      <c r="L912" s="89"/>
      <c r="M912" s="89"/>
      <c r="N912" s="89"/>
      <c r="O912" s="89"/>
      <c r="P912" s="89"/>
      <c r="Q912" s="89"/>
      <c r="R912" s="89"/>
      <c r="S912" s="89"/>
      <c r="T912" s="89"/>
      <c r="U912" s="89"/>
      <c r="V912" s="89"/>
      <c r="W912" s="89"/>
      <c r="X912" s="89"/>
      <c r="Y912" s="89"/>
      <c r="Z912" s="89"/>
      <c r="AA912" s="89"/>
    </row>
    <row r="913" spans="1:27" ht="13.8">
      <c r="A913" s="89"/>
      <c r="B913" s="89"/>
      <c r="C913" s="89"/>
      <c r="D913" s="89"/>
      <c r="E913" s="89"/>
      <c r="F913" s="110"/>
      <c r="G913" s="89"/>
      <c r="H913" s="89"/>
      <c r="I913" s="89"/>
      <c r="J913" s="89"/>
      <c r="K913" s="89"/>
      <c r="L913" s="89"/>
      <c r="M913" s="89"/>
      <c r="N913" s="89"/>
      <c r="O913" s="89"/>
      <c r="P913" s="89"/>
      <c r="Q913" s="89"/>
      <c r="R913" s="89"/>
      <c r="S913" s="89"/>
      <c r="T913" s="89"/>
      <c r="U913" s="89"/>
      <c r="V913" s="89"/>
      <c r="W913" s="89"/>
      <c r="X913" s="89"/>
      <c r="Y913" s="89"/>
      <c r="Z913" s="89"/>
      <c r="AA913" s="89"/>
    </row>
    <row r="914" spans="1:27" ht="13.8">
      <c r="A914" s="89"/>
      <c r="B914" s="89"/>
      <c r="C914" s="89"/>
      <c r="D914" s="89"/>
      <c r="E914" s="89"/>
      <c r="F914" s="110"/>
      <c r="G914" s="89"/>
      <c r="H914" s="89"/>
      <c r="I914" s="89"/>
      <c r="J914" s="89"/>
      <c r="K914" s="89"/>
      <c r="L914" s="89"/>
      <c r="M914" s="89"/>
      <c r="N914" s="89"/>
      <c r="O914" s="89"/>
      <c r="P914" s="89"/>
      <c r="Q914" s="89"/>
      <c r="R914" s="89"/>
      <c r="S914" s="89"/>
      <c r="T914" s="89"/>
      <c r="U914" s="89"/>
      <c r="V914" s="89"/>
      <c r="W914" s="89"/>
      <c r="X914" s="89"/>
      <c r="Y914" s="89"/>
      <c r="Z914" s="89"/>
      <c r="AA914" s="89"/>
    </row>
    <row r="915" spans="1:27" ht="13.8">
      <c r="A915" s="89"/>
      <c r="B915" s="89"/>
      <c r="C915" s="89"/>
      <c r="D915" s="89"/>
      <c r="E915" s="89"/>
      <c r="F915" s="110"/>
      <c r="G915" s="89"/>
      <c r="H915" s="89"/>
      <c r="I915" s="89"/>
      <c r="J915" s="89"/>
      <c r="K915" s="89"/>
      <c r="L915" s="89"/>
      <c r="M915" s="89"/>
      <c r="N915" s="89"/>
      <c r="O915" s="89"/>
      <c r="P915" s="89"/>
      <c r="Q915" s="89"/>
      <c r="R915" s="89"/>
      <c r="S915" s="89"/>
      <c r="T915" s="89"/>
      <c r="U915" s="89"/>
      <c r="V915" s="89"/>
      <c r="W915" s="89"/>
      <c r="X915" s="89"/>
      <c r="Y915" s="89"/>
      <c r="Z915" s="89"/>
      <c r="AA915" s="89"/>
    </row>
    <row r="916" spans="1:27" ht="13.8">
      <c r="A916" s="89"/>
      <c r="B916" s="89"/>
      <c r="C916" s="89"/>
      <c r="D916" s="89"/>
      <c r="E916" s="89"/>
      <c r="F916" s="110"/>
      <c r="G916" s="89"/>
      <c r="H916" s="89"/>
      <c r="I916" s="89"/>
      <c r="J916" s="89"/>
      <c r="K916" s="89"/>
      <c r="L916" s="89"/>
      <c r="M916" s="89"/>
      <c r="N916" s="89"/>
      <c r="O916" s="89"/>
      <c r="P916" s="89"/>
      <c r="Q916" s="89"/>
      <c r="R916" s="89"/>
      <c r="S916" s="89"/>
      <c r="T916" s="89"/>
      <c r="U916" s="89"/>
      <c r="V916" s="89"/>
      <c r="W916" s="89"/>
      <c r="X916" s="89"/>
      <c r="Y916" s="89"/>
      <c r="Z916" s="89"/>
      <c r="AA916" s="89"/>
    </row>
    <row r="917" spans="1:27" ht="13.8">
      <c r="A917" s="89"/>
      <c r="B917" s="89"/>
      <c r="C917" s="89"/>
      <c r="D917" s="89"/>
      <c r="E917" s="89"/>
      <c r="F917" s="110"/>
      <c r="G917" s="89"/>
      <c r="H917" s="89"/>
      <c r="I917" s="89"/>
      <c r="J917" s="89"/>
      <c r="K917" s="89"/>
      <c r="L917" s="89"/>
      <c r="M917" s="89"/>
      <c r="N917" s="89"/>
      <c r="O917" s="89"/>
      <c r="P917" s="89"/>
      <c r="Q917" s="89"/>
      <c r="R917" s="89"/>
      <c r="S917" s="89"/>
      <c r="T917" s="89"/>
      <c r="U917" s="89"/>
      <c r="V917" s="89"/>
      <c r="W917" s="89"/>
      <c r="X917" s="89"/>
      <c r="Y917" s="89"/>
      <c r="Z917" s="89"/>
      <c r="AA917" s="89"/>
    </row>
    <row r="918" spans="1:27" ht="13.8">
      <c r="A918" s="89"/>
      <c r="B918" s="89"/>
      <c r="C918" s="89"/>
      <c r="D918" s="89"/>
      <c r="E918" s="89"/>
      <c r="F918" s="110"/>
      <c r="G918" s="89"/>
      <c r="H918" s="89"/>
      <c r="I918" s="89"/>
      <c r="J918" s="89"/>
      <c r="K918" s="89"/>
      <c r="L918" s="89"/>
      <c r="M918" s="89"/>
      <c r="N918" s="89"/>
      <c r="O918" s="89"/>
      <c r="P918" s="89"/>
      <c r="Q918" s="89"/>
      <c r="R918" s="89"/>
      <c r="S918" s="89"/>
      <c r="T918" s="89"/>
      <c r="U918" s="89"/>
      <c r="V918" s="89"/>
      <c r="W918" s="89"/>
      <c r="X918" s="89"/>
      <c r="Y918" s="89"/>
      <c r="Z918" s="89"/>
      <c r="AA918" s="89"/>
    </row>
    <row r="919" spans="1:27" ht="13.8">
      <c r="A919" s="89"/>
      <c r="B919" s="89"/>
      <c r="C919" s="89"/>
      <c r="D919" s="89"/>
      <c r="E919" s="89"/>
      <c r="F919" s="110"/>
      <c r="G919" s="89"/>
      <c r="H919" s="89"/>
      <c r="I919" s="89"/>
      <c r="J919" s="89"/>
      <c r="K919" s="89"/>
      <c r="L919" s="89"/>
      <c r="M919" s="89"/>
      <c r="N919" s="89"/>
      <c r="O919" s="89"/>
      <c r="P919" s="89"/>
      <c r="Q919" s="89"/>
      <c r="R919" s="89"/>
      <c r="S919" s="89"/>
      <c r="T919" s="89"/>
      <c r="U919" s="89"/>
      <c r="V919" s="89"/>
      <c r="W919" s="89"/>
      <c r="X919" s="89"/>
      <c r="Y919" s="89"/>
      <c r="Z919" s="89"/>
      <c r="AA919" s="89"/>
    </row>
    <row r="920" spans="1:27" ht="13.8">
      <c r="A920" s="89"/>
      <c r="B920" s="89"/>
      <c r="C920" s="89"/>
      <c r="D920" s="89"/>
      <c r="E920" s="89"/>
      <c r="F920" s="110"/>
      <c r="G920" s="89"/>
      <c r="H920" s="89"/>
      <c r="I920" s="89"/>
      <c r="J920" s="89"/>
      <c r="K920" s="89"/>
      <c r="L920" s="89"/>
      <c r="M920" s="89"/>
      <c r="N920" s="89"/>
      <c r="O920" s="89"/>
      <c r="P920" s="89"/>
      <c r="Q920" s="89"/>
      <c r="R920" s="89"/>
      <c r="S920" s="89"/>
      <c r="T920" s="89"/>
      <c r="U920" s="89"/>
      <c r="V920" s="89"/>
      <c r="W920" s="89"/>
      <c r="X920" s="89"/>
      <c r="Y920" s="89"/>
      <c r="Z920" s="89"/>
      <c r="AA920" s="89"/>
    </row>
    <row r="921" spans="1:27" ht="13.8">
      <c r="A921" s="89"/>
      <c r="B921" s="89"/>
      <c r="C921" s="89"/>
      <c r="D921" s="89"/>
      <c r="E921" s="89"/>
      <c r="F921" s="110"/>
      <c r="G921" s="89"/>
      <c r="H921" s="89"/>
      <c r="I921" s="89"/>
      <c r="J921" s="89"/>
      <c r="K921" s="89"/>
      <c r="L921" s="89"/>
      <c r="M921" s="89"/>
      <c r="N921" s="89"/>
      <c r="O921" s="89"/>
      <c r="P921" s="89"/>
      <c r="Q921" s="89"/>
      <c r="R921" s="89"/>
      <c r="S921" s="89"/>
      <c r="T921" s="89"/>
      <c r="U921" s="89"/>
      <c r="V921" s="89"/>
      <c r="W921" s="89"/>
      <c r="X921" s="89"/>
      <c r="Y921" s="89"/>
      <c r="Z921" s="89"/>
      <c r="AA921" s="89"/>
    </row>
    <row r="922" spans="1:27" ht="13.8">
      <c r="A922" s="89"/>
      <c r="B922" s="89"/>
      <c r="C922" s="89"/>
      <c r="D922" s="89"/>
      <c r="E922" s="89"/>
      <c r="F922" s="110"/>
      <c r="G922" s="89"/>
      <c r="H922" s="89"/>
      <c r="I922" s="89"/>
      <c r="J922" s="89"/>
      <c r="K922" s="89"/>
      <c r="L922" s="89"/>
      <c r="M922" s="89"/>
      <c r="N922" s="89"/>
      <c r="O922" s="89"/>
      <c r="P922" s="89"/>
      <c r="Q922" s="89"/>
      <c r="R922" s="89"/>
      <c r="S922" s="89"/>
      <c r="T922" s="89"/>
      <c r="U922" s="89"/>
      <c r="V922" s="89"/>
      <c r="W922" s="89"/>
      <c r="X922" s="89"/>
      <c r="Y922" s="89"/>
      <c r="Z922" s="89"/>
      <c r="AA922" s="89"/>
    </row>
    <row r="923" spans="1:27" ht="13.8">
      <c r="A923" s="89"/>
      <c r="B923" s="89"/>
      <c r="C923" s="89"/>
      <c r="D923" s="89"/>
      <c r="E923" s="89"/>
      <c r="F923" s="110"/>
      <c r="G923" s="89"/>
      <c r="H923" s="89"/>
      <c r="I923" s="89"/>
      <c r="J923" s="89"/>
      <c r="K923" s="89"/>
      <c r="L923" s="89"/>
      <c r="M923" s="89"/>
      <c r="N923" s="89"/>
      <c r="O923" s="89"/>
      <c r="P923" s="89"/>
      <c r="Q923" s="89"/>
      <c r="R923" s="89"/>
      <c r="S923" s="89"/>
      <c r="T923" s="89"/>
      <c r="U923" s="89"/>
      <c r="V923" s="89"/>
      <c r="W923" s="89"/>
      <c r="X923" s="89"/>
      <c r="Y923" s="89"/>
      <c r="Z923" s="89"/>
      <c r="AA923" s="89"/>
    </row>
    <row r="924" spans="1:27" ht="13.8">
      <c r="A924" s="89"/>
      <c r="B924" s="89"/>
      <c r="C924" s="89"/>
      <c r="D924" s="89"/>
      <c r="E924" s="89"/>
      <c r="F924" s="110"/>
      <c r="G924" s="89"/>
      <c r="H924" s="89"/>
      <c r="I924" s="89"/>
      <c r="J924" s="89"/>
      <c r="K924" s="89"/>
      <c r="L924" s="89"/>
      <c r="M924" s="89"/>
      <c r="N924" s="89"/>
      <c r="O924" s="89"/>
      <c r="P924" s="89"/>
      <c r="Q924" s="89"/>
      <c r="R924" s="89"/>
      <c r="S924" s="89"/>
      <c r="T924" s="89"/>
      <c r="U924" s="89"/>
      <c r="V924" s="89"/>
      <c r="W924" s="89"/>
      <c r="X924" s="89"/>
      <c r="Y924" s="89"/>
      <c r="Z924" s="89"/>
      <c r="AA924" s="89"/>
    </row>
    <row r="925" spans="1:27" ht="13.8">
      <c r="A925" s="89"/>
      <c r="B925" s="89"/>
      <c r="C925" s="89"/>
      <c r="D925" s="89"/>
      <c r="E925" s="89"/>
      <c r="F925" s="110"/>
      <c r="G925" s="89"/>
      <c r="H925" s="89"/>
      <c r="I925" s="89"/>
      <c r="J925" s="89"/>
      <c r="K925" s="89"/>
      <c r="L925" s="89"/>
      <c r="M925" s="89"/>
      <c r="N925" s="89"/>
      <c r="O925" s="89"/>
      <c r="P925" s="89"/>
      <c r="Q925" s="89"/>
      <c r="R925" s="89"/>
      <c r="S925" s="89"/>
      <c r="T925" s="89"/>
      <c r="U925" s="89"/>
      <c r="V925" s="89"/>
      <c r="W925" s="89"/>
      <c r="X925" s="89"/>
      <c r="Y925" s="89"/>
      <c r="Z925" s="89"/>
      <c r="AA925" s="89"/>
    </row>
    <row r="926" spans="1:27" ht="13.8">
      <c r="A926" s="89"/>
      <c r="B926" s="89"/>
      <c r="C926" s="89"/>
      <c r="D926" s="89"/>
      <c r="E926" s="89"/>
      <c r="F926" s="110"/>
      <c r="G926" s="89"/>
      <c r="H926" s="89"/>
      <c r="I926" s="89"/>
      <c r="J926" s="89"/>
      <c r="K926" s="89"/>
      <c r="L926" s="89"/>
      <c r="M926" s="89"/>
      <c r="N926" s="89"/>
      <c r="O926" s="89"/>
      <c r="P926" s="89"/>
      <c r="Q926" s="89"/>
      <c r="R926" s="89"/>
      <c r="S926" s="89"/>
      <c r="T926" s="89"/>
      <c r="U926" s="89"/>
      <c r="V926" s="89"/>
      <c r="W926" s="89"/>
      <c r="X926" s="89"/>
      <c r="Y926" s="89"/>
      <c r="Z926" s="89"/>
      <c r="AA926" s="89"/>
    </row>
    <row r="927" spans="1:27" ht="13.8">
      <c r="A927" s="89"/>
      <c r="B927" s="89"/>
      <c r="C927" s="89"/>
      <c r="D927" s="89"/>
      <c r="E927" s="89"/>
      <c r="F927" s="110"/>
      <c r="G927" s="89"/>
      <c r="H927" s="89"/>
      <c r="I927" s="89"/>
      <c r="J927" s="89"/>
      <c r="K927" s="89"/>
      <c r="L927" s="89"/>
      <c r="M927" s="89"/>
      <c r="N927" s="89"/>
      <c r="O927" s="89"/>
      <c r="P927" s="89"/>
      <c r="Q927" s="89"/>
      <c r="R927" s="89"/>
      <c r="S927" s="89"/>
      <c r="T927" s="89"/>
      <c r="U927" s="89"/>
      <c r="V927" s="89"/>
      <c r="W927" s="89"/>
      <c r="X927" s="89"/>
      <c r="Y927" s="89"/>
      <c r="Z927" s="89"/>
      <c r="AA927" s="89"/>
    </row>
    <row r="928" spans="1:27" ht="13.8">
      <c r="A928" s="89"/>
      <c r="B928" s="89"/>
      <c r="C928" s="89"/>
      <c r="D928" s="89"/>
      <c r="E928" s="89"/>
      <c r="F928" s="110"/>
      <c r="G928" s="89"/>
      <c r="H928" s="89"/>
      <c r="I928" s="89"/>
      <c r="J928" s="89"/>
      <c r="K928" s="89"/>
      <c r="L928" s="89"/>
      <c r="M928" s="89"/>
      <c r="N928" s="89"/>
      <c r="O928" s="89"/>
      <c r="P928" s="89"/>
      <c r="Q928" s="89"/>
      <c r="R928" s="89"/>
      <c r="S928" s="89"/>
      <c r="T928" s="89"/>
      <c r="U928" s="89"/>
      <c r="V928" s="89"/>
      <c r="W928" s="89"/>
      <c r="X928" s="89"/>
      <c r="Y928" s="89"/>
      <c r="Z928" s="89"/>
      <c r="AA928" s="89"/>
    </row>
    <row r="929" spans="1:27" ht="13.8">
      <c r="A929" s="89"/>
      <c r="B929" s="89"/>
      <c r="C929" s="89"/>
      <c r="D929" s="89"/>
      <c r="E929" s="89"/>
      <c r="F929" s="110"/>
      <c r="G929" s="89"/>
      <c r="H929" s="89"/>
      <c r="I929" s="89"/>
      <c r="J929" s="89"/>
      <c r="K929" s="89"/>
      <c r="L929" s="89"/>
      <c r="M929" s="89"/>
      <c r="N929" s="89"/>
      <c r="O929" s="89"/>
      <c r="P929" s="89"/>
      <c r="Q929" s="89"/>
      <c r="R929" s="89"/>
      <c r="S929" s="89"/>
      <c r="T929" s="89"/>
      <c r="U929" s="89"/>
      <c r="V929" s="89"/>
      <c r="W929" s="89"/>
      <c r="X929" s="89"/>
      <c r="Y929" s="89"/>
      <c r="Z929" s="89"/>
      <c r="AA929" s="89"/>
    </row>
    <row r="930" spans="1:27" ht="13.8">
      <c r="A930" s="89"/>
      <c r="B930" s="89"/>
      <c r="C930" s="89"/>
      <c r="D930" s="89"/>
      <c r="E930" s="89"/>
      <c r="F930" s="110"/>
      <c r="G930" s="89"/>
      <c r="H930" s="89"/>
      <c r="I930" s="89"/>
      <c r="J930" s="89"/>
      <c r="K930" s="89"/>
      <c r="L930" s="89"/>
      <c r="M930" s="89"/>
      <c r="N930" s="89"/>
      <c r="O930" s="89"/>
      <c r="P930" s="89"/>
      <c r="Q930" s="89"/>
      <c r="R930" s="89"/>
      <c r="S930" s="89"/>
      <c r="T930" s="89"/>
      <c r="U930" s="89"/>
      <c r="V930" s="89"/>
      <c r="W930" s="89"/>
      <c r="X930" s="89"/>
      <c r="Y930" s="89"/>
      <c r="Z930" s="89"/>
      <c r="AA930" s="89"/>
    </row>
    <row r="931" spans="1:27" ht="13.8">
      <c r="A931" s="89"/>
      <c r="B931" s="89"/>
      <c r="C931" s="89"/>
      <c r="D931" s="89"/>
      <c r="E931" s="89"/>
      <c r="F931" s="110"/>
      <c r="G931" s="89"/>
      <c r="H931" s="89"/>
      <c r="I931" s="89"/>
      <c r="J931" s="89"/>
      <c r="K931" s="89"/>
      <c r="L931" s="89"/>
      <c r="M931" s="89"/>
      <c r="N931" s="89"/>
      <c r="O931" s="89"/>
      <c r="P931" s="89"/>
      <c r="Q931" s="89"/>
      <c r="R931" s="89"/>
      <c r="S931" s="89"/>
      <c r="T931" s="89"/>
      <c r="U931" s="89"/>
      <c r="V931" s="89"/>
      <c r="W931" s="89"/>
      <c r="X931" s="89"/>
      <c r="Y931" s="89"/>
      <c r="Z931" s="89"/>
      <c r="AA931" s="89"/>
    </row>
    <row r="932" spans="1:27" ht="13.8">
      <c r="A932" s="89"/>
      <c r="B932" s="89"/>
      <c r="C932" s="89"/>
      <c r="D932" s="89"/>
      <c r="E932" s="89"/>
      <c r="F932" s="110"/>
      <c r="G932" s="89"/>
      <c r="H932" s="89"/>
      <c r="I932" s="89"/>
      <c r="J932" s="89"/>
      <c r="K932" s="89"/>
      <c r="L932" s="89"/>
      <c r="M932" s="89"/>
      <c r="N932" s="89"/>
      <c r="O932" s="89"/>
      <c r="P932" s="89"/>
      <c r="Q932" s="89"/>
      <c r="R932" s="89"/>
      <c r="S932" s="89"/>
      <c r="T932" s="89"/>
      <c r="U932" s="89"/>
      <c r="V932" s="89"/>
      <c r="W932" s="89"/>
      <c r="X932" s="89"/>
      <c r="Y932" s="89"/>
      <c r="Z932" s="89"/>
      <c r="AA932" s="89"/>
    </row>
    <row r="933" spans="1:27" ht="13.8">
      <c r="A933" s="89"/>
      <c r="B933" s="89"/>
      <c r="C933" s="89"/>
      <c r="D933" s="89"/>
      <c r="E933" s="89"/>
      <c r="F933" s="110"/>
      <c r="G933" s="89"/>
      <c r="H933" s="89"/>
      <c r="I933" s="89"/>
      <c r="J933" s="89"/>
      <c r="K933" s="89"/>
      <c r="L933" s="89"/>
      <c r="M933" s="89"/>
      <c r="N933" s="89"/>
      <c r="O933" s="89"/>
      <c r="P933" s="89"/>
      <c r="Q933" s="89"/>
      <c r="R933" s="89"/>
      <c r="S933" s="89"/>
      <c r="T933" s="89"/>
      <c r="U933" s="89"/>
      <c r="V933" s="89"/>
      <c r="W933" s="89"/>
      <c r="X933" s="89"/>
      <c r="Y933" s="89"/>
      <c r="Z933" s="89"/>
      <c r="AA933" s="89"/>
    </row>
    <row r="934" spans="1:27" ht="13.8">
      <c r="A934" s="89"/>
      <c r="B934" s="89"/>
      <c r="C934" s="89"/>
      <c r="D934" s="89"/>
      <c r="E934" s="89"/>
      <c r="F934" s="110"/>
      <c r="G934" s="89"/>
      <c r="H934" s="89"/>
      <c r="I934" s="89"/>
      <c r="J934" s="89"/>
      <c r="K934" s="89"/>
      <c r="L934" s="89"/>
      <c r="M934" s="89"/>
      <c r="N934" s="89"/>
      <c r="O934" s="89"/>
      <c r="P934" s="89"/>
      <c r="Q934" s="89"/>
      <c r="R934" s="89"/>
      <c r="S934" s="89"/>
      <c r="T934" s="89"/>
      <c r="U934" s="89"/>
      <c r="V934" s="89"/>
      <c r="W934" s="89"/>
      <c r="X934" s="89"/>
      <c r="Y934" s="89"/>
      <c r="Z934" s="89"/>
      <c r="AA934" s="89"/>
    </row>
    <row r="935" spans="1:27" ht="13.8">
      <c r="A935" s="89"/>
      <c r="B935" s="89"/>
      <c r="C935" s="89"/>
      <c r="D935" s="89"/>
      <c r="E935" s="89"/>
      <c r="F935" s="110"/>
      <c r="G935" s="89"/>
      <c r="H935" s="89"/>
      <c r="I935" s="89"/>
      <c r="J935" s="89"/>
      <c r="K935" s="89"/>
      <c r="L935" s="89"/>
      <c r="M935" s="89"/>
      <c r="N935" s="89"/>
      <c r="O935" s="89"/>
      <c r="P935" s="89"/>
      <c r="Q935" s="89"/>
      <c r="R935" s="89"/>
      <c r="S935" s="89"/>
      <c r="T935" s="89"/>
      <c r="U935" s="89"/>
      <c r="V935" s="89"/>
      <c r="W935" s="89"/>
      <c r="X935" s="89"/>
      <c r="Y935" s="89"/>
      <c r="Z935" s="89"/>
      <c r="AA935" s="89"/>
    </row>
    <row r="936" spans="1:27" ht="13.8">
      <c r="A936" s="89"/>
      <c r="B936" s="89"/>
      <c r="C936" s="89"/>
      <c r="D936" s="89"/>
      <c r="E936" s="89"/>
      <c r="F936" s="110"/>
      <c r="G936" s="89"/>
      <c r="H936" s="89"/>
      <c r="I936" s="89"/>
      <c r="J936" s="89"/>
      <c r="K936" s="89"/>
      <c r="L936" s="89"/>
      <c r="M936" s="89"/>
      <c r="N936" s="89"/>
      <c r="O936" s="89"/>
      <c r="P936" s="89"/>
      <c r="Q936" s="89"/>
      <c r="R936" s="89"/>
      <c r="S936" s="89"/>
      <c r="T936" s="89"/>
      <c r="U936" s="89"/>
      <c r="V936" s="89"/>
      <c r="W936" s="89"/>
      <c r="X936" s="89"/>
      <c r="Y936" s="89"/>
      <c r="Z936" s="89"/>
      <c r="AA936" s="89"/>
    </row>
    <row r="937" spans="1:27" ht="13.8">
      <c r="A937" s="89"/>
      <c r="B937" s="89"/>
      <c r="C937" s="89"/>
      <c r="D937" s="89"/>
      <c r="E937" s="89"/>
      <c r="F937" s="110"/>
      <c r="G937" s="89"/>
      <c r="H937" s="89"/>
      <c r="I937" s="89"/>
      <c r="J937" s="89"/>
      <c r="K937" s="89"/>
      <c r="L937" s="89"/>
      <c r="M937" s="89"/>
      <c r="N937" s="89"/>
      <c r="O937" s="89"/>
      <c r="P937" s="89"/>
      <c r="Q937" s="89"/>
      <c r="R937" s="89"/>
      <c r="S937" s="89"/>
      <c r="T937" s="89"/>
      <c r="U937" s="89"/>
      <c r="V937" s="89"/>
      <c r="W937" s="89"/>
      <c r="X937" s="89"/>
      <c r="Y937" s="89"/>
      <c r="Z937" s="89"/>
      <c r="AA937" s="89"/>
    </row>
    <row r="938" spans="1:27" ht="13.8">
      <c r="A938" s="89"/>
      <c r="B938" s="89"/>
      <c r="C938" s="89"/>
      <c r="D938" s="89"/>
      <c r="E938" s="89"/>
      <c r="F938" s="110"/>
      <c r="G938" s="89"/>
      <c r="H938" s="89"/>
      <c r="I938" s="89"/>
      <c r="J938" s="89"/>
      <c r="K938" s="89"/>
      <c r="L938" s="89"/>
      <c r="M938" s="89"/>
      <c r="N938" s="89"/>
      <c r="O938" s="89"/>
      <c r="P938" s="89"/>
      <c r="Q938" s="89"/>
      <c r="R938" s="89"/>
      <c r="S938" s="89"/>
      <c r="T938" s="89"/>
      <c r="U938" s="89"/>
      <c r="V938" s="89"/>
      <c r="W938" s="89"/>
      <c r="X938" s="89"/>
      <c r="Y938" s="89"/>
      <c r="Z938" s="89"/>
      <c r="AA938" s="89"/>
    </row>
    <row r="939" spans="1:27" ht="13.8">
      <c r="A939" s="89"/>
      <c r="B939" s="89"/>
      <c r="C939" s="89"/>
      <c r="D939" s="89"/>
      <c r="E939" s="89"/>
      <c r="F939" s="110"/>
      <c r="G939" s="89"/>
      <c r="H939" s="89"/>
      <c r="I939" s="89"/>
      <c r="J939" s="89"/>
      <c r="K939" s="89"/>
      <c r="L939" s="89"/>
      <c r="M939" s="89"/>
      <c r="N939" s="89"/>
      <c r="O939" s="89"/>
      <c r="P939" s="89"/>
      <c r="Q939" s="89"/>
      <c r="R939" s="89"/>
      <c r="S939" s="89"/>
      <c r="T939" s="89"/>
      <c r="U939" s="89"/>
      <c r="V939" s="89"/>
      <c r="W939" s="89"/>
      <c r="X939" s="89"/>
      <c r="Y939" s="89"/>
      <c r="Z939" s="89"/>
      <c r="AA939" s="89"/>
    </row>
    <row r="940" spans="1:27" ht="13.8">
      <c r="A940" s="89"/>
      <c r="B940" s="89"/>
      <c r="C940" s="89"/>
      <c r="D940" s="89"/>
      <c r="E940" s="89"/>
      <c r="F940" s="110"/>
      <c r="G940" s="89"/>
      <c r="H940" s="89"/>
      <c r="I940" s="89"/>
      <c r="J940" s="89"/>
      <c r="K940" s="89"/>
      <c r="L940" s="89"/>
      <c r="M940" s="89"/>
      <c r="N940" s="89"/>
      <c r="O940" s="89"/>
      <c r="P940" s="89"/>
      <c r="Q940" s="89"/>
      <c r="R940" s="89"/>
      <c r="S940" s="89"/>
      <c r="T940" s="89"/>
      <c r="U940" s="89"/>
      <c r="V940" s="89"/>
      <c r="W940" s="89"/>
      <c r="X940" s="89"/>
      <c r="Y940" s="89"/>
      <c r="Z940" s="89"/>
      <c r="AA940" s="89"/>
    </row>
    <row r="941" spans="1:27" ht="13.8">
      <c r="A941" s="89"/>
      <c r="B941" s="89"/>
      <c r="C941" s="89"/>
      <c r="D941" s="89"/>
      <c r="E941" s="89"/>
      <c r="F941" s="110"/>
      <c r="G941" s="89"/>
      <c r="H941" s="89"/>
      <c r="I941" s="89"/>
      <c r="J941" s="89"/>
      <c r="K941" s="89"/>
      <c r="L941" s="89"/>
      <c r="M941" s="89"/>
      <c r="N941" s="89"/>
      <c r="O941" s="89"/>
      <c r="P941" s="89"/>
      <c r="Q941" s="89"/>
      <c r="R941" s="89"/>
      <c r="S941" s="89"/>
      <c r="T941" s="89"/>
      <c r="U941" s="89"/>
      <c r="V941" s="89"/>
      <c r="W941" s="89"/>
      <c r="X941" s="89"/>
      <c r="Y941" s="89"/>
      <c r="Z941" s="89"/>
      <c r="AA941" s="89"/>
    </row>
    <row r="942" spans="1:27" ht="13.8">
      <c r="A942" s="89"/>
      <c r="B942" s="89"/>
      <c r="C942" s="89"/>
      <c r="D942" s="89"/>
      <c r="E942" s="89"/>
      <c r="F942" s="110"/>
      <c r="G942" s="89"/>
      <c r="H942" s="89"/>
      <c r="I942" s="89"/>
      <c r="J942" s="89"/>
      <c r="K942" s="89"/>
      <c r="L942" s="89"/>
      <c r="M942" s="89"/>
      <c r="N942" s="89"/>
      <c r="O942" s="89"/>
      <c r="P942" s="89"/>
      <c r="Q942" s="89"/>
      <c r="R942" s="89"/>
      <c r="S942" s="89"/>
      <c r="T942" s="89"/>
      <c r="U942" s="89"/>
      <c r="V942" s="89"/>
      <c r="W942" s="89"/>
      <c r="X942" s="89"/>
      <c r="Y942" s="89"/>
      <c r="Z942" s="89"/>
      <c r="AA942" s="89"/>
    </row>
    <row r="943" spans="1:27" ht="13.8">
      <c r="A943" s="89"/>
      <c r="B943" s="89"/>
      <c r="C943" s="89"/>
      <c r="D943" s="89"/>
      <c r="E943" s="89"/>
      <c r="F943" s="110"/>
      <c r="G943" s="89"/>
      <c r="H943" s="89"/>
      <c r="I943" s="89"/>
      <c r="J943" s="89"/>
      <c r="K943" s="89"/>
      <c r="L943" s="89"/>
      <c r="M943" s="89"/>
      <c r="N943" s="89"/>
      <c r="O943" s="89"/>
      <c r="P943" s="89"/>
      <c r="Q943" s="89"/>
      <c r="R943" s="89"/>
      <c r="S943" s="89"/>
      <c r="T943" s="89"/>
      <c r="U943" s="89"/>
      <c r="V943" s="89"/>
      <c r="W943" s="89"/>
      <c r="X943" s="89"/>
      <c r="Y943" s="89"/>
      <c r="Z943" s="89"/>
      <c r="AA943" s="89"/>
    </row>
    <row r="944" spans="1:27" ht="13.8">
      <c r="A944" s="89"/>
      <c r="B944" s="89"/>
      <c r="C944" s="89"/>
      <c r="D944" s="89"/>
      <c r="E944" s="89"/>
      <c r="F944" s="110"/>
      <c r="G944" s="89"/>
      <c r="H944" s="89"/>
      <c r="I944" s="89"/>
      <c r="J944" s="89"/>
      <c r="K944" s="89"/>
      <c r="L944" s="89"/>
      <c r="M944" s="89"/>
      <c r="N944" s="89"/>
      <c r="O944" s="89"/>
      <c r="P944" s="89"/>
      <c r="Q944" s="89"/>
      <c r="R944" s="89"/>
      <c r="S944" s="89"/>
      <c r="T944" s="89"/>
      <c r="U944" s="89"/>
      <c r="V944" s="89"/>
      <c r="W944" s="89"/>
      <c r="X944" s="89"/>
      <c r="Y944" s="89"/>
      <c r="Z944" s="89"/>
      <c r="AA944" s="89"/>
    </row>
    <row r="945" spans="1:27" ht="13.8">
      <c r="A945" s="89"/>
      <c r="B945" s="89"/>
      <c r="C945" s="89"/>
      <c r="D945" s="89"/>
      <c r="E945" s="89"/>
      <c r="F945" s="110"/>
      <c r="G945" s="89"/>
      <c r="H945" s="89"/>
      <c r="I945" s="89"/>
      <c r="J945" s="89"/>
      <c r="K945" s="89"/>
      <c r="L945" s="89"/>
      <c r="M945" s="89"/>
      <c r="N945" s="89"/>
      <c r="O945" s="89"/>
      <c r="P945" s="89"/>
      <c r="Q945" s="89"/>
      <c r="R945" s="89"/>
      <c r="S945" s="89"/>
      <c r="T945" s="89"/>
      <c r="U945" s="89"/>
      <c r="V945" s="89"/>
      <c r="W945" s="89"/>
      <c r="X945" s="89"/>
      <c r="Y945" s="89"/>
      <c r="Z945" s="89"/>
      <c r="AA945" s="89"/>
    </row>
    <row r="946" spans="1:27" ht="13.8">
      <c r="A946" s="89"/>
      <c r="B946" s="89"/>
      <c r="C946" s="89"/>
      <c r="D946" s="89"/>
      <c r="E946" s="89"/>
      <c r="F946" s="110"/>
      <c r="G946" s="89"/>
      <c r="H946" s="89"/>
      <c r="I946" s="89"/>
      <c r="J946" s="89"/>
      <c r="K946" s="89"/>
      <c r="L946" s="89"/>
      <c r="M946" s="89"/>
      <c r="N946" s="89"/>
      <c r="O946" s="89"/>
      <c r="P946" s="89"/>
      <c r="Q946" s="89"/>
      <c r="R946" s="89"/>
      <c r="S946" s="89"/>
      <c r="T946" s="89"/>
      <c r="U946" s="89"/>
      <c r="V946" s="89"/>
      <c r="W946" s="89"/>
      <c r="X946" s="89"/>
      <c r="Y946" s="89"/>
      <c r="Z946" s="89"/>
      <c r="AA946" s="89"/>
    </row>
    <row r="947" spans="1:27" ht="13.8">
      <c r="A947" s="89"/>
      <c r="B947" s="89"/>
      <c r="C947" s="89"/>
      <c r="D947" s="89"/>
      <c r="E947" s="89"/>
      <c r="F947" s="110"/>
      <c r="G947" s="89"/>
      <c r="H947" s="89"/>
      <c r="I947" s="89"/>
      <c r="J947" s="89"/>
      <c r="K947" s="89"/>
      <c r="L947" s="89"/>
      <c r="M947" s="89"/>
      <c r="N947" s="89"/>
      <c r="O947" s="89"/>
      <c r="P947" s="89"/>
      <c r="Q947" s="89"/>
      <c r="R947" s="89"/>
      <c r="S947" s="89"/>
      <c r="T947" s="89"/>
      <c r="U947" s="89"/>
      <c r="V947" s="89"/>
      <c r="W947" s="89"/>
      <c r="X947" s="89"/>
      <c r="Y947" s="89"/>
      <c r="Z947" s="89"/>
      <c r="AA947" s="89"/>
    </row>
    <row r="948" spans="1:27" ht="13.8">
      <c r="A948" s="89"/>
      <c r="B948" s="89"/>
      <c r="C948" s="89"/>
      <c r="D948" s="89"/>
      <c r="E948" s="89"/>
      <c r="F948" s="110"/>
      <c r="G948" s="89"/>
      <c r="H948" s="89"/>
      <c r="I948" s="89"/>
      <c r="J948" s="89"/>
      <c r="K948" s="89"/>
      <c r="L948" s="89"/>
      <c r="M948" s="89"/>
      <c r="N948" s="89"/>
      <c r="O948" s="89"/>
      <c r="P948" s="89"/>
      <c r="Q948" s="89"/>
      <c r="R948" s="89"/>
      <c r="S948" s="89"/>
      <c r="T948" s="89"/>
      <c r="U948" s="89"/>
      <c r="V948" s="89"/>
      <c r="W948" s="89"/>
      <c r="X948" s="89"/>
      <c r="Y948" s="89"/>
      <c r="Z948" s="89"/>
      <c r="AA948" s="89"/>
    </row>
    <row r="949" spans="1:27" ht="13.8">
      <c r="A949" s="89"/>
      <c r="B949" s="89"/>
      <c r="C949" s="89"/>
      <c r="D949" s="89"/>
      <c r="E949" s="89"/>
      <c r="F949" s="110"/>
      <c r="G949" s="89"/>
      <c r="H949" s="89"/>
      <c r="I949" s="89"/>
      <c r="J949" s="89"/>
      <c r="K949" s="89"/>
      <c r="L949" s="89"/>
      <c r="M949" s="89"/>
      <c r="N949" s="89"/>
      <c r="O949" s="89"/>
      <c r="P949" s="89"/>
      <c r="Q949" s="89"/>
      <c r="R949" s="89"/>
      <c r="S949" s="89"/>
      <c r="T949" s="89"/>
      <c r="U949" s="89"/>
      <c r="V949" s="89"/>
      <c r="W949" s="89"/>
      <c r="X949" s="89"/>
      <c r="Y949" s="89"/>
      <c r="Z949" s="89"/>
      <c r="AA949" s="89"/>
    </row>
    <row r="950" spans="1:27" ht="13.8">
      <c r="A950" s="89"/>
      <c r="B950" s="89"/>
      <c r="C950" s="89"/>
      <c r="D950" s="89"/>
      <c r="E950" s="89"/>
      <c r="F950" s="110"/>
      <c r="G950" s="89"/>
      <c r="H950" s="89"/>
      <c r="I950" s="89"/>
      <c r="J950" s="89"/>
      <c r="K950" s="89"/>
      <c r="L950" s="89"/>
      <c r="M950" s="89"/>
      <c r="N950" s="89"/>
      <c r="O950" s="89"/>
      <c r="P950" s="89"/>
      <c r="Q950" s="89"/>
      <c r="R950" s="89"/>
      <c r="S950" s="89"/>
      <c r="T950" s="89"/>
      <c r="U950" s="89"/>
      <c r="V950" s="89"/>
      <c r="W950" s="89"/>
      <c r="X950" s="89"/>
      <c r="Y950" s="89"/>
      <c r="Z950" s="89"/>
      <c r="AA950" s="89"/>
    </row>
    <row r="951" spans="1:27" ht="13.8">
      <c r="A951" s="89"/>
      <c r="B951" s="89"/>
      <c r="C951" s="89"/>
      <c r="D951" s="89"/>
      <c r="E951" s="89"/>
      <c r="F951" s="110"/>
      <c r="G951" s="89"/>
      <c r="H951" s="89"/>
      <c r="I951" s="89"/>
      <c r="J951" s="89"/>
      <c r="K951" s="89"/>
      <c r="L951" s="89"/>
      <c r="M951" s="89"/>
      <c r="N951" s="89"/>
      <c r="O951" s="89"/>
      <c r="P951" s="89"/>
      <c r="Q951" s="89"/>
      <c r="R951" s="89"/>
      <c r="S951" s="89"/>
      <c r="T951" s="89"/>
      <c r="U951" s="89"/>
      <c r="V951" s="89"/>
      <c r="W951" s="89"/>
      <c r="X951" s="89"/>
      <c r="Y951" s="89"/>
      <c r="Z951" s="89"/>
      <c r="AA951" s="89"/>
    </row>
    <row r="952" spans="1:27" ht="13.8">
      <c r="A952" s="89"/>
      <c r="B952" s="89"/>
      <c r="C952" s="89"/>
      <c r="D952" s="89"/>
      <c r="E952" s="89"/>
      <c r="F952" s="110"/>
      <c r="G952" s="89"/>
      <c r="H952" s="89"/>
      <c r="I952" s="89"/>
      <c r="J952" s="89"/>
      <c r="K952" s="89"/>
      <c r="L952" s="89"/>
      <c r="M952" s="89"/>
      <c r="N952" s="89"/>
      <c r="O952" s="89"/>
      <c r="P952" s="89"/>
      <c r="Q952" s="89"/>
      <c r="R952" s="89"/>
      <c r="S952" s="89"/>
      <c r="T952" s="89"/>
      <c r="U952" s="89"/>
      <c r="V952" s="89"/>
      <c r="W952" s="89"/>
      <c r="X952" s="89"/>
      <c r="Y952" s="89"/>
      <c r="Z952" s="89"/>
      <c r="AA952" s="89"/>
    </row>
    <row r="953" spans="1:27" ht="13.8">
      <c r="A953" s="89"/>
      <c r="B953" s="89"/>
      <c r="C953" s="89"/>
      <c r="D953" s="89"/>
      <c r="E953" s="89"/>
      <c r="F953" s="110"/>
      <c r="G953" s="89"/>
      <c r="H953" s="89"/>
      <c r="I953" s="89"/>
      <c r="J953" s="89"/>
      <c r="K953" s="89"/>
      <c r="L953" s="89"/>
      <c r="M953" s="89"/>
      <c r="N953" s="89"/>
      <c r="O953" s="89"/>
      <c r="P953" s="89"/>
      <c r="Q953" s="89"/>
      <c r="R953" s="89"/>
      <c r="S953" s="89"/>
      <c r="T953" s="89"/>
      <c r="U953" s="89"/>
      <c r="V953" s="89"/>
      <c r="W953" s="89"/>
      <c r="X953" s="89"/>
      <c r="Y953" s="89"/>
      <c r="Z953" s="89"/>
      <c r="AA953" s="89"/>
    </row>
    <row r="954" spans="1:27" ht="13.8">
      <c r="A954" s="89"/>
      <c r="B954" s="89"/>
      <c r="C954" s="89"/>
      <c r="D954" s="89"/>
      <c r="E954" s="89"/>
      <c r="F954" s="110"/>
      <c r="G954" s="89"/>
      <c r="H954" s="89"/>
      <c r="I954" s="89"/>
      <c r="J954" s="89"/>
      <c r="K954" s="89"/>
      <c r="L954" s="89"/>
      <c r="M954" s="89"/>
      <c r="N954" s="89"/>
      <c r="O954" s="89"/>
      <c r="P954" s="89"/>
      <c r="Q954" s="89"/>
      <c r="R954" s="89"/>
      <c r="S954" s="89"/>
      <c r="T954" s="89"/>
      <c r="U954" s="89"/>
      <c r="V954" s="89"/>
      <c r="W954" s="89"/>
      <c r="X954" s="89"/>
      <c r="Y954" s="89"/>
      <c r="Z954" s="89"/>
      <c r="AA954" s="89"/>
    </row>
    <row r="955" spans="1:27" ht="13.8">
      <c r="A955" s="89"/>
      <c r="B955" s="89"/>
      <c r="C955" s="89"/>
      <c r="D955" s="89"/>
      <c r="E955" s="89"/>
      <c r="F955" s="110"/>
      <c r="G955" s="89"/>
      <c r="H955" s="89"/>
      <c r="I955" s="89"/>
      <c r="J955" s="89"/>
      <c r="K955" s="89"/>
      <c r="L955" s="89"/>
      <c r="M955" s="89"/>
      <c r="N955" s="89"/>
      <c r="O955" s="89"/>
      <c r="P955" s="89"/>
      <c r="Q955" s="89"/>
      <c r="R955" s="89"/>
      <c r="S955" s="89"/>
      <c r="T955" s="89"/>
      <c r="U955" s="89"/>
      <c r="V955" s="89"/>
      <c r="W955" s="89"/>
      <c r="X955" s="89"/>
      <c r="Y955" s="89"/>
      <c r="Z955" s="89"/>
      <c r="AA955" s="89"/>
    </row>
    <row r="956" spans="1:27" ht="13.8">
      <c r="A956" s="89"/>
      <c r="B956" s="89"/>
      <c r="C956" s="89"/>
      <c r="D956" s="89"/>
      <c r="E956" s="89"/>
      <c r="F956" s="110"/>
      <c r="G956" s="89"/>
      <c r="H956" s="89"/>
      <c r="I956" s="89"/>
      <c r="J956" s="89"/>
      <c r="K956" s="89"/>
      <c r="L956" s="89"/>
      <c r="M956" s="89"/>
      <c r="N956" s="89"/>
      <c r="O956" s="89"/>
      <c r="P956" s="89"/>
      <c r="Q956" s="89"/>
      <c r="R956" s="89"/>
      <c r="S956" s="89"/>
      <c r="T956" s="89"/>
      <c r="U956" s="89"/>
      <c r="V956" s="89"/>
      <c r="W956" s="89"/>
      <c r="X956" s="89"/>
      <c r="Y956" s="89"/>
      <c r="Z956" s="89"/>
      <c r="AA956" s="89"/>
    </row>
    <row r="957" spans="1:27" ht="13.8">
      <c r="A957" s="89"/>
      <c r="B957" s="89"/>
      <c r="C957" s="89"/>
      <c r="D957" s="89"/>
      <c r="E957" s="89"/>
      <c r="F957" s="110"/>
      <c r="G957" s="89"/>
      <c r="H957" s="89"/>
      <c r="I957" s="89"/>
      <c r="J957" s="89"/>
      <c r="K957" s="89"/>
      <c r="L957" s="89"/>
      <c r="M957" s="89"/>
      <c r="N957" s="89"/>
      <c r="O957" s="89"/>
      <c r="P957" s="89"/>
      <c r="Q957" s="89"/>
      <c r="R957" s="89"/>
      <c r="S957" s="89"/>
      <c r="T957" s="89"/>
      <c r="U957" s="89"/>
      <c r="V957" s="89"/>
      <c r="W957" s="89"/>
      <c r="X957" s="89"/>
      <c r="Y957" s="89"/>
      <c r="Z957" s="89"/>
      <c r="AA957" s="89"/>
    </row>
    <row r="958" spans="1:27" ht="13.8">
      <c r="A958" s="89"/>
      <c r="B958" s="89"/>
      <c r="C958" s="89"/>
      <c r="D958" s="89"/>
      <c r="E958" s="89"/>
      <c r="F958" s="110"/>
      <c r="G958" s="89"/>
      <c r="H958" s="89"/>
      <c r="I958" s="89"/>
      <c r="J958" s="89"/>
      <c r="K958" s="89"/>
      <c r="L958" s="89"/>
      <c r="M958" s="89"/>
      <c r="N958" s="89"/>
      <c r="O958" s="89"/>
      <c r="P958" s="89"/>
      <c r="Q958" s="89"/>
      <c r="R958" s="89"/>
      <c r="S958" s="89"/>
      <c r="T958" s="89"/>
      <c r="U958" s="89"/>
      <c r="V958" s="89"/>
      <c r="W958" s="89"/>
      <c r="X958" s="89"/>
      <c r="Y958" s="89"/>
      <c r="Z958" s="89"/>
      <c r="AA958" s="89"/>
    </row>
    <row r="959" spans="1:27" ht="13.8">
      <c r="A959" s="89"/>
      <c r="B959" s="89"/>
      <c r="C959" s="89"/>
      <c r="D959" s="89"/>
      <c r="E959" s="89"/>
      <c r="F959" s="110"/>
      <c r="G959" s="89"/>
      <c r="H959" s="89"/>
      <c r="I959" s="89"/>
      <c r="J959" s="89"/>
      <c r="K959" s="89"/>
      <c r="L959" s="89"/>
      <c r="M959" s="89"/>
      <c r="N959" s="89"/>
      <c r="O959" s="89"/>
      <c r="P959" s="89"/>
      <c r="Q959" s="89"/>
      <c r="R959" s="89"/>
      <c r="S959" s="89"/>
      <c r="T959" s="89"/>
      <c r="U959" s="89"/>
      <c r="V959" s="89"/>
      <c r="W959" s="89"/>
      <c r="X959" s="89"/>
      <c r="Y959" s="89"/>
      <c r="Z959" s="89"/>
      <c r="AA959" s="89"/>
    </row>
    <row r="960" spans="1:27" ht="13.8">
      <c r="A960" s="89"/>
      <c r="B960" s="89"/>
      <c r="C960" s="89"/>
      <c r="D960" s="89"/>
      <c r="E960" s="89"/>
      <c r="F960" s="110"/>
      <c r="G960" s="89"/>
      <c r="H960" s="89"/>
      <c r="I960" s="89"/>
      <c r="J960" s="89"/>
      <c r="K960" s="89"/>
      <c r="L960" s="89"/>
      <c r="M960" s="89"/>
      <c r="N960" s="89"/>
      <c r="O960" s="89"/>
      <c r="P960" s="89"/>
      <c r="Q960" s="89"/>
      <c r="R960" s="89"/>
      <c r="S960" s="89"/>
      <c r="T960" s="89"/>
      <c r="U960" s="89"/>
      <c r="V960" s="89"/>
      <c r="W960" s="89"/>
      <c r="X960" s="89"/>
      <c r="Y960" s="89"/>
      <c r="Z960" s="89"/>
      <c r="AA960" s="89"/>
    </row>
    <row r="961" spans="1:27" ht="13.8">
      <c r="A961" s="89"/>
      <c r="B961" s="89"/>
      <c r="C961" s="89"/>
      <c r="D961" s="89"/>
      <c r="E961" s="89"/>
      <c r="F961" s="110"/>
      <c r="G961" s="89"/>
      <c r="H961" s="89"/>
      <c r="I961" s="89"/>
      <c r="J961" s="89"/>
      <c r="K961" s="89"/>
      <c r="L961" s="89"/>
      <c r="M961" s="89"/>
      <c r="N961" s="89"/>
      <c r="O961" s="89"/>
      <c r="P961" s="89"/>
      <c r="Q961" s="89"/>
      <c r="R961" s="89"/>
      <c r="S961" s="89"/>
      <c r="T961" s="89"/>
      <c r="U961" s="89"/>
      <c r="V961" s="89"/>
      <c r="W961" s="89"/>
      <c r="X961" s="89"/>
      <c r="Y961" s="89"/>
      <c r="Z961" s="89"/>
      <c r="AA961" s="89"/>
    </row>
    <row r="962" spans="1:27" ht="13.8">
      <c r="A962" s="89"/>
      <c r="B962" s="89"/>
      <c r="C962" s="89"/>
      <c r="D962" s="89"/>
      <c r="E962" s="89"/>
      <c r="F962" s="110"/>
      <c r="G962" s="89"/>
      <c r="H962" s="89"/>
      <c r="I962" s="89"/>
      <c r="J962" s="89"/>
      <c r="K962" s="89"/>
      <c r="L962" s="89"/>
      <c r="M962" s="89"/>
      <c r="N962" s="89"/>
      <c r="O962" s="89"/>
      <c r="P962" s="89"/>
      <c r="Q962" s="89"/>
      <c r="R962" s="89"/>
      <c r="S962" s="89"/>
      <c r="T962" s="89"/>
      <c r="U962" s="89"/>
      <c r="V962" s="89"/>
      <c r="W962" s="89"/>
      <c r="X962" s="89"/>
      <c r="Y962" s="89"/>
      <c r="Z962" s="89"/>
      <c r="AA962" s="89"/>
    </row>
    <row r="963" spans="1:27" ht="13.8">
      <c r="A963" s="89"/>
      <c r="B963" s="89"/>
      <c r="C963" s="89"/>
      <c r="D963" s="89"/>
      <c r="E963" s="89"/>
      <c r="F963" s="110"/>
      <c r="G963" s="89"/>
      <c r="H963" s="89"/>
      <c r="I963" s="89"/>
      <c r="J963" s="89"/>
      <c r="K963" s="89"/>
      <c r="L963" s="89"/>
      <c r="M963" s="89"/>
      <c r="N963" s="89"/>
      <c r="O963" s="89"/>
      <c r="P963" s="89"/>
      <c r="Q963" s="89"/>
      <c r="R963" s="89"/>
      <c r="S963" s="89"/>
      <c r="T963" s="89"/>
      <c r="U963" s="89"/>
      <c r="V963" s="89"/>
      <c r="W963" s="89"/>
      <c r="X963" s="89"/>
      <c r="Y963" s="89"/>
      <c r="Z963" s="89"/>
      <c r="AA963" s="89"/>
    </row>
    <row r="964" spans="1:27" ht="13.8">
      <c r="A964" s="89"/>
      <c r="B964" s="89"/>
      <c r="C964" s="89"/>
      <c r="D964" s="89"/>
      <c r="E964" s="89"/>
      <c r="F964" s="110"/>
      <c r="G964" s="89"/>
      <c r="H964" s="89"/>
      <c r="I964" s="89"/>
      <c r="J964" s="89"/>
      <c r="K964" s="89"/>
      <c r="L964" s="89"/>
      <c r="M964" s="89"/>
      <c r="N964" s="89"/>
      <c r="O964" s="89"/>
      <c r="P964" s="89"/>
      <c r="Q964" s="89"/>
      <c r="R964" s="89"/>
      <c r="S964" s="89"/>
      <c r="T964" s="89"/>
      <c r="U964" s="89"/>
      <c r="V964" s="89"/>
      <c r="W964" s="89"/>
      <c r="X964" s="89"/>
      <c r="Y964" s="89"/>
      <c r="Z964" s="89"/>
      <c r="AA964" s="89"/>
    </row>
    <row r="965" spans="1:27" ht="13.8">
      <c r="A965" s="89"/>
      <c r="B965" s="89"/>
      <c r="C965" s="89"/>
      <c r="D965" s="89"/>
      <c r="E965" s="89"/>
      <c r="F965" s="110"/>
      <c r="G965" s="89"/>
      <c r="H965" s="89"/>
      <c r="I965" s="89"/>
      <c r="J965" s="89"/>
      <c r="K965" s="89"/>
      <c r="L965" s="89"/>
      <c r="M965" s="89"/>
      <c r="N965" s="89"/>
      <c r="O965" s="89"/>
      <c r="P965" s="89"/>
      <c r="Q965" s="89"/>
      <c r="R965" s="89"/>
      <c r="S965" s="89"/>
      <c r="T965" s="89"/>
      <c r="U965" s="89"/>
      <c r="V965" s="89"/>
      <c r="W965" s="89"/>
      <c r="X965" s="89"/>
      <c r="Y965" s="89"/>
      <c r="Z965" s="89"/>
      <c r="AA965" s="89"/>
    </row>
    <row r="966" spans="1:27" ht="13.8">
      <c r="A966" s="89"/>
      <c r="B966" s="89"/>
      <c r="C966" s="89"/>
      <c r="D966" s="89"/>
      <c r="E966" s="89"/>
      <c r="F966" s="110"/>
      <c r="G966" s="89"/>
      <c r="H966" s="89"/>
      <c r="I966" s="89"/>
      <c r="J966" s="89"/>
      <c r="K966" s="89"/>
      <c r="L966" s="89"/>
      <c r="M966" s="89"/>
      <c r="N966" s="89"/>
      <c r="O966" s="89"/>
      <c r="P966" s="89"/>
      <c r="Q966" s="89"/>
      <c r="R966" s="89"/>
      <c r="S966" s="89"/>
      <c r="T966" s="89"/>
      <c r="U966" s="89"/>
      <c r="V966" s="89"/>
      <c r="W966" s="89"/>
      <c r="X966" s="89"/>
      <c r="Y966" s="89"/>
      <c r="Z966" s="89"/>
      <c r="AA966" s="89"/>
    </row>
    <row r="967" spans="1:27" ht="13.8">
      <c r="A967" s="89"/>
      <c r="B967" s="89"/>
      <c r="C967" s="89"/>
      <c r="D967" s="89"/>
      <c r="E967" s="89"/>
      <c r="F967" s="110"/>
      <c r="G967" s="89"/>
      <c r="H967" s="89"/>
      <c r="I967" s="89"/>
      <c r="J967" s="89"/>
      <c r="K967" s="89"/>
      <c r="L967" s="89"/>
      <c r="M967" s="89"/>
      <c r="N967" s="89"/>
      <c r="O967" s="89"/>
      <c r="P967" s="89"/>
      <c r="Q967" s="89"/>
      <c r="R967" s="89"/>
      <c r="S967" s="89"/>
      <c r="T967" s="89"/>
      <c r="U967" s="89"/>
      <c r="V967" s="89"/>
      <c r="W967" s="89"/>
      <c r="X967" s="89"/>
      <c r="Y967" s="89"/>
      <c r="Z967" s="89"/>
      <c r="AA967" s="89"/>
    </row>
    <row r="968" spans="1:27" ht="13.8">
      <c r="A968" s="89"/>
      <c r="B968" s="89"/>
      <c r="C968" s="89"/>
      <c r="D968" s="89"/>
      <c r="E968" s="89"/>
      <c r="F968" s="110"/>
      <c r="G968" s="89"/>
      <c r="H968" s="89"/>
      <c r="I968" s="89"/>
      <c r="J968" s="89"/>
      <c r="K968" s="89"/>
      <c r="L968" s="89"/>
      <c r="M968" s="89"/>
      <c r="N968" s="89"/>
      <c r="O968" s="89"/>
      <c r="P968" s="89"/>
      <c r="Q968" s="89"/>
      <c r="R968" s="89"/>
      <c r="S968" s="89"/>
      <c r="T968" s="89"/>
      <c r="U968" s="89"/>
      <c r="V968" s="89"/>
      <c r="W968" s="89"/>
      <c r="X968" s="89"/>
      <c r="Y968" s="89"/>
      <c r="Z968" s="89"/>
      <c r="AA968" s="89"/>
    </row>
    <row r="969" spans="1:27" ht="13.8">
      <c r="A969" s="89"/>
      <c r="B969" s="89"/>
      <c r="C969" s="89"/>
      <c r="D969" s="89"/>
      <c r="E969" s="89"/>
      <c r="F969" s="110"/>
      <c r="G969" s="89"/>
      <c r="H969" s="89"/>
      <c r="I969" s="89"/>
      <c r="J969" s="89"/>
      <c r="K969" s="89"/>
      <c r="L969" s="89"/>
      <c r="M969" s="89"/>
      <c r="N969" s="89"/>
      <c r="O969" s="89"/>
      <c r="P969" s="89"/>
      <c r="Q969" s="89"/>
      <c r="R969" s="89"/>
      <c r="S969" s="89"/>
      <c r="T969" s="89"/>
      <c r="U969" s="89"/>
      <c r="V969" s="89"/>
      <c r="W969" s="89"/>
      <c r="X969" s="89"/>
      <c r="Y969" s="89"/>
      <c r="Z969" s="89"/>
      <c r="AA969" s="89"/>
    </row>
    <row r="970" spans="1:27" ht="13.8">
      <c r="A970" s="89"/>
      <c r="B970" s="89"/>
      <c r="C970" s="89"/>
      <c r="D970" s="89"/>
      <c r="E970" s="89"/>
      <c r="F970" s="110"/>
      <c r="G970" s="89"/>
      <c r="H970" s="89"/>
      <c r="I970" s="89"/>
      <c r="J970" s="89"/>
      <c r="K970" s="89"/>
      <c r="L970" s="89"/>
      <c r="M970" s="89"/>
      <c r="N970" s="89"/>
      <c r="O970" s="89"/>
      <c r="P970" s="89"/>
      <c r="Q970" s="89"/>
      <c r="R970" s="89"/>
      <c r="S970" s="89"/>
      <c r="T970" s="89"/>
      <c r="U970" s="89"/>
      <c r="V970" s="89"/>
      <c r="W970" s="89"/>
      <c r="X970" s="89"/>
      <c r="Y970" s="89"/>
      <c r="Z970" s="89"/>
      <c r="AA970" s="89"/>
    </row>
    <row r="971" spans="1:27" ht="13.8">
      <c r="A971" s="89"/>
      <c r="B971" s="89"/>
      <c r="C971" s="89"/>
      <c r="D971" s="89"/>
      <c r="E971" s="89"/>
      <c r="F971" s="110"/>
      <c r="G971" s="89"/>
      <c r="H971" s="89"/>
      <c r="I971" s="89"/>
      <c r="J971" s="89"/>
      <c r="K971" s="89"/>
      <c r="L971" s="89"/>
      <c r="M971" s="89"/>
      <c r="N971" s="89"/>
      <c r="O971" s="89"/>
      <c r="P971" s="89"/>
      <c r="Q971" s="89"/>
      <c r="R971" s="89"/>
      <c r="S971" s="89"/>
      <c r="T971" s="89"/>
      <c r="U971" s="89"/>
      <c r="V971" s="89"/>
      <c r="W971" s="89"/>
      <c r="X971" s="89"/>
      <c r="Y971" s="89"/>
      <c r="Z971" s="89"/>
      <c r="AA971" s="89"/>
    </row>
    <row r="972" spans="1:27" ht="13.8">
      <c r="A972" s="89"/>
      <c r="B972" s="89"/>
      <c r="C972" s="89"/>
      <c r="D972" s="89"/>
      <c r="E972" s="89"/>
      <c r="F972" s="110"/>
      <c r="G972" s="89"/>
      <c r="H972" s="89"/>
      <c r="I972" s="89"/>
      <c r="J972" s="89"/>
      <c r="K972" s="89"/>
      <c r="L972" s="89"/>
      <c r="M972" s="89"/>
      <c r="N972" s="89"/>
      <c r="O972" s="89"/>
      <c r="P972" s="89"/>
      <c r="Q972" s="89"/>
      <c r="R972" s="89"/>
      <c r="S972" s="89"/>
      <c r="T972" s="89"/>
      <c r="U972" s="89"/>
      <c r="V972" s="89"/>
      <c r="W972" s="89"/>
      <c r="X972" s="89"/>
      <c r="Y972" s="89"/>
      <c r="Z972" s="89"/>
      <c r="AA972" s="89"/>
    </row>
    <row r="973" spans="1:27" ht="13.8">
      <c r="A973" s="89"/>
      <c r="B973" s="89"/>
      <c r="C973" s="89"/>
      <c r="D973" s="89"/>
      <c r="E973" s="89"/>
      <c r="F973" s="110"/>
      <c r="G973" s="89"/>
      <c r="H973" s="89"/>
      <c r="I973" s="89"/>
      <c r="J973" s="89"/>
      <c r="K973" s="89"/>
      <c r="L973" s="89"/>
      <c r="M973" s="89"/>
      <c r="N973" s="89"/>
      <c r="O973" s="89"/>
      <c r="P973" s="89"/>
      <c r="Q973" s="89"/>
      <c r="R973" s="89"/>
      <c r="S973" s="89"/>
      <c r="T973" s="89"/>
      <c r="U973" s="89"/>
      <c r="V973" s="89"/>
      <c r="W973" s="89"/>
      <c r="X973" s="89"/>
      <c r="Y973" s="89"/>
      <c r="Z973" s="89"/>
      <c r="AA973" s="89"/>
    </row>
    <row r="974" spans="1:27" ht="13.8">
      <c r="A974" s="89"/>
      <c r="B974" s="89"/>
      <c r="C974" s="89"/>
      <c r="D974" s="89"/>
      <c r="E974" s="89"/>
      <c r="F974" s="110"/>
      <c r="G974" s="89"/>
      <c r="H974" s="89"/>
      <c r="I974" s="89"/>
      <c r="J974" s="89"/>
      <c r="K974" s="89"/>
      <c r="L974" s="89"/>
      <c r="M974" s="89"/>
      <c r="N974" s="89"/>
      <c r="O974" s="89"/>
      <c r="P974" s="89"/>
      <c r="Q974" s="89"/>
      <c r="R974" s="89"/>
      <c r="S974" s="89"/>
      <c r="T974" s="89"/>
      <c r="U974" s="89"/>
      <c r="V974" s="89"/>
      <c r="W974" s="89"/>
      <c r="X974" s="89"/>
      <c r="Y974" s="89"/>
      <c r="Z974" s="89"/>
      <c r="AA974" s="89"/>
    </row>
    <row r="975" spans="1:27" ht="13.8">
      <c r="A975" s="89"/>
      <c r="B975" s="89"/>
      <c r="C975" s="89"/>
      <c r="D975" s="89"/>
      <c r="E975" s="89"/>
      <c r="F975" s="110"/>
      <c r="G975" s="89"/>
      <c r="H975" s="89"/>
      <c r="I975" s="89"/>
      <c r="J975" s="89"/>
      <c r="K975" s="89"/>
      <c r="L975" s="89"/>
      <c r="M975" s="89"/>
      <c r="N975" s="89"/>
      <c r="O975" s="89"/>
      <c r="P975" s="89"/>
      <c r="Q975" s="89"/>
      <c r="R975" s="89"/>
      <c r="S975" s="89"/>
      <c r="T975" s="89"/>
      <c r="U975" s="89"/>
      <c r="V975" s="89"/>
      <c r="W975" s="89"/>
      <c r="X975" s="89"/>
      <c r="Y975" s="89"/>
      <c r="Z975" s="89"/>
      <c r="AA975" s="89"/>
    </row>
    <row r="976" spans="1:27" ht="13.8">
      <c r="A976" s="89"/>
      <c r="B976" s="89"/>
      <c r="C976" s="89"/>
      <c r="D976" s="89"/>
      <c r="E976" s="89"/>
      <c r="F976" s="110"/>
      <c r="G976" s="89"/>
      <c r="H976" s="89"/>
      <c r="I976" s="89"/>
      <c r="J976" s="89"/>
      <c r="K976" s="89"/>
      <c r="L976" s="89"/>
      <c r="M976" s="89"/>
      <c r="N976" s="89"/>
      <c r="O976" s="89"/>
      <c r="P976" s="89"/>
      <c r="Q976" s="89"/>
      <c r="R976" s="89"/>
      <c r="S976" s="89"/>
      <c r="T976" s="89"/>
      <c r="U976" s="89"/>
      <c r="V976" s="89"/>
      <c r="W976" s="89"/>
      <c r="X976" s="89"/>
      <c r="Y976" s="89"/>
      <c r="Z976" s="89"/>
      <c r="AA976" s="89"/>
    </row>
    <row r="977" spans="1:27" ht="13.8">
      <c r="A977" s="89"/>
      <c r="B977" s="89"/>
      <c r="C977" s="89"/>
      <c r="D977" s="89"/>
      <c r="E977" s="89"/>
      <c r="F977" s="110"/>
      <c r="G977" s="89"/>
      <c r="H977" s="89"/>
      <c r="I977" s="89"/>
      <c r="J977" s="89"/>
      <c r="K977" s="89"/>
      <c r="L977" s="89"/>
      <c r="M977" s="89"/>
      <c r="N977" s="89"/>
      <c r="O977" s="89"/>
      <c r="P977" s="89"/>
      <c r="Q977" s="89"/>
      <c r="R977" s="89"/>
      <c r="S977" s="89"/>
      <c r="T977" s="89"/>
      <c r="U977" s="89"/>
      <c r="V977" s="89"/>
      <c r="W977" s="89"/>
      <c r="X977" s="89"/>
      <c r="Y977" s="89"/>
      <c r="Z977" s="89"/>
      <c r="AA977" s="89"/>
    </row>
    <row r="978" spans="1:27" ht="13.8">
      <c r="A978" s="89"/>
      <c r="B978" s="89"/>
      <c r="C978" s="89"/>
      <c r="D978" s="89"/>
      <c r="E978" s="89"/>
      <c r="F978" s="110"/>
      <c r="G978" s="89"/>
      <c r="H978" s="89"/>
      <c r="I978" s="89"/>
      <c r="J978" s="89"/>
      <c r="K978" s="89"/>
      <c r="L978" s="89"/>
      <c r="M978" s="89"/>
      <c r="N978" s="89"/>
      <c r="O978" s="89"/>
      <c r="P978" s="89"/>
      <c r="Q978" s="89"/>
      <c r="R978" s="89"/>
      <c r="S978" s="89"/>
      <c r="T978" s="89"/>
      <c r="U978" s="89"/>
      <c r="V978" s="89"/>
      <c r="W978" s="89"/>
      <c r="X978" s="89"/>
      <c r="Y978" s="89"/>
      <c r="Z978" s="89"/>
      <c r="AA978" s="89"/>
    </row>
    <row r="979" spans="1:27" ht="13.8">
      <c r="A979" s="89"/>
      <c r="B979" s="89"/>
      <c r="C979" s="89"/>
      <c r="D979" s="89"/>
      <c r="E979" s="89"/>
      <c r="F979" s="110"/>
      <c r="G979" s="89"/>
      <c r="H979" s="89"/>
      <c r="I979" s="89"/>
      <c r="J979" s="89"/>
      <c r="K979" s="89"/>
      <c r="L979" s="89"/>
      <c r="M979" s="89"/>
      <c r="N979" s="89"/>
      <c r="O979" s="89"/>
      <c r="P979" s="89"/>
      <c r="Q979" s="89"/>
      <c r="R979" s="89"/>
      <c r="S979" s="89"/>
      <c r="T979" s="89"/>
      <c r="U979" s="89"/>
      <c r="V979" s="89"/>
      <c r="W979" s="89"/>
      <c r="X979" s="89"/>
      <c r="Y979" s="89"/>
      <c r="Z979" s="89"/>
      <c r="AA979" s="89"/>
    </row>
    <row r="980" spans="1:27" ht="13.8">
      <c r="A980" s="89"/>
      <c r="B980" s="89"/>
      <c r="C980" s="89"/>
      <c r="D980" s="89"/>
      <c r="E980" s="89"/>
      <c r="F980" s="110"/>
      <c r="G980" s="89"/>
      <c r="H980" s="89"/>
      <c r="I980" s="89"/>
      <c r="J980" s="89"/>
      <c r="K980" s="89"/>
      <c r="L980" s="89"/>
      <c r="M980" s="89"/>
      <c r="N980" s="89"/>
      <c r="O980" s="89"/>
      <c r="P980" s="89"/>
      <c r="Q980" s="89"/>
      <c r="R980" s="89"/>
      <c r="S980" s="89"/>
      <c r="T980" s="89"/>
      <c r="U980" s="89"/>
      <c r="V980" s="89"/>
      <c r="W980" s="89"/>
      <c r="X980" s="89"/>
      <c r="Y980" s="89"/>
      <c r="Z980" s="89"/>
      <c r="AA980" s="89"/>
    </row>
    <row r="981" spans="1:27" ht="13.8">
      <c r="A981" s="89"/>
      <c r="B981" s="89"/>
      <c r="C981" s="89"/>
      <c r="D981" s="89"/>
      <c r="E981" s="89"/>
      <c r="F981" s="110"/>
      <c r="G981" s="89"/>
      <c r="H981" s="89"/>
      <c r="I981" s="89"/>
      <c r="J981" s="89"/>
      <c r="K981" s="89"/>
      <c r="L981" s="89"/>
      <c r="M981" s="89"/>
      <c r="N981" s="89"/>
      <c r="O981" s="89"/>
      <c r="P981" s="89"/>
      <c r="Q981" s="89"/>
      <c r="R981" s="89"/>
      <c r="S981" s="89"/>
      <c r="T981" s="89"/>
      <c r="U981" s="89"/>
      <c r="V981" s="89"/>
      <c r="W981" s="89"/>
      <c r="X981" s="89"/>
      <c r="Y981" s="89"/>
      <c r="Z981" s="89"/>
      <c r="AA981" s="89"/>
    </row>
    <row r="982" spans="1:27" ht="13.8">
      <c r="A982" s="89"/>
      <c r="B982" s="89"/>
      <c r="C982" s="89"/>
      <c r="D982" s="89"/>
      <c r="E982" s="89"/>
      <c r="F982" s="110"/>
      <c r="G982" s="89"/>
      <c r="H982" s="89"/>
      <c r="I982" s="89"/>
      <c r="J982" s="89"/>
      <c r="K982" s="89"/>
      <c r="L982" s="89"/>
      <c r="M982" s="89"/>
      <c r="N982" s="89"/>
      <c r="O982" s="89"/>
      <c r="P982" s="89"/>
      <c r="Q982" s="89"/>
      <c r="R982" s="89"/>
      <c r="S982" s="89"/>
      <c r="T982" s="89"/>
      <c r="U982" s="89"/>
      <c r="V982" s="89"/>
      <c r="W982" s="89"/>
      <c r="X982" s="89"/>
      <c r="Y982" s="89"/>
      <c r="Z982" s="89"/>
      <c r="AA982" s="89"/>
    </row>
    <row r="983" spans="1:27" ht="13.8">
      <c r="A983" s="89"/>
      <c r="B983" s="89"/>
      <c r="C983" s="89"/>
      <c r="D983" s="89"/>
      <c r="E983" s="89"/>
      <c r="F983" s="110"/>
      <c r="G983" s="89"/>
      <c r="H983" s="89"/>
      <c r="I983" s="89"/>
      <c r="J983" s="89"/>
      <c r="K983" s="89"/>
      <c r="L983" s="89"/>
      <c r="M983" s="89"/>
      <c r="N983" s="89"/>
      <c r="O983" s="89"/>
      <c r="P983" s="89"/>
      <c r="Q983" s="89"/>
      <c r="R983" s="89"/>
      <c r="S983" s="89"/>
      <c r="T983" s="89"/>
      <c r="U983" s="89"/>
      <c r="V983" s="89"/>
      <c r="W983" s="89"/>
      <c r="X983" s="89"/>
      <c r="Y983" s="89"/>
      <c r="Z983" s="89"/>
      <c r="AA983" s="89"/>
    </row>
    <row r="984" spans="1:27" ht="13.8">
      <c r="A984" s="89"/>
      <c r="B984" s="89"/>
      <c r="C984" s="89"/>
      <c r="D984" s="89"/>
      <c r="E984" s="89"/>
      <c r="F984" s="110"/>
      <c r="G984" s="89"/>
      <c r="H984" s="89"/>
      <c r="I984" s="89"/>
      <c r="J984" s="89"/>
      <c r="K984" s="89"/>
      <c r="L984" s="89"/>
      <c r="M984" s="89"/>
      <c r="N984" s="89"/>
      <c r="O984" s="89"/>
      <c r="P984" s="89"/>
      <c r="Q984" s="89"/>
      <c r="R984" s="89"/>
      <c r="S984" s="89"/>
      <c r="T984" s="89"/>
      <c r="U984" s="89"/>
      <c r="V984" s="89"/>
      <c r="W984" s="89"/>
      <c r="X984" s="89"/>
      <c r="Y984" s="89"/>
      <c r="Z984" s="89"/>
      <c r="AA984" s="89"/>
    </row>
    <row r="985" spans="1:27" ht="13.8">
      <c r="A985" s="89"/>
      <c r="B985" s="89"/>
      <c r="C985" s="89"/>
      <c r="D985" s="89"/>
      <c r="E985" s="89"/>
      <c r="F985" s="110"/>
      <c r="G985" s="89"/>
      <c r="H985" s="89"/>
      <c r="I985" s="89"/>
      <c r="J985" s="89"/>
      <c r="K985" s="89"/>
      <c r="L985" s="89"/>
      <c r="M985" s="89"/>
      <c r="N985" s="89"/>
      <c r="O985" s="89"/>
      <c r="P985" s="89"/>
      <c r="Q985" s="89"/>
      <c r="R985" s="89"/>
      <c r="S985" s="89"/>
      <c r="T985" s="89"/>
      <c r="U985" s="89"/>
      <c r="V985" s="89"/>
      <c r="W985" s="89"/>
      <c r="X985" s="89"/>
      <c r="Y985" s="89"/>
      <c r="Z985" s="89"/>
      <c r="AA985" s="89"/>
    </row>
    <row r="986" spans="1:27" ht="13.8">
      <c r="A986" s="89"/>
      <c r="B986" s="89"/>
      <c r="C986" s="89"/>
      <c r="D986" s="89"/>
      <c r="E986" s="89"/>
      <c r="F986" s="110"/>
      <c r="G986" s="89"/>
      <c r="H986" s="89"/>
      <c r="I986" s="89"/>
      <c r="J986" s="89"/>
      <c r="K986" s="89"/>
      <c r="L986" s="89"/>
      <c r="M986" s="89"/>
      <c r="N986" s="89"/>
      <c r="O986" s="89"/>
      <c r="P986" s="89"/>
      <c r="Q986" s="89"/>
      <c r="R986" s="89"/>
      <c r="S986" s="89"/>
      <c r="T986" s="89"/>
      <c r="U986" s="89"/>
      <c r="V986" s="89"/>
      <c r="W986" s="89"/>
      <c r="X986" s="89"/>
      <c r="Y986" s="89"/>
      <c r="Z986" s="89"/>
      <c r="AA986" s="89"/>
    </row>
    <row r="987" spans="1:27" ht="13.8">
      <c r="A987" s="89"/>
      <c r="B987" s="89"/>
      <c r="C987" s="89"/>
      <c r="D987" s="89"/>
      <c r="E987" s="89"/>
      <c r="F987" s="110"/>
      <c r="G987" s="89"/>
      <c r="H987" s="89"/>
      <c r="I987" s="89"/>
      <c r="J987" s="89"/>
      <c r="K987" s="89"/>
      <c r="L987" s="89"/>
      <c r="M987" s="89"/>
      <c r="N987" s="89"/>
      <c r="O987" s="89"/>
      <c r="P987" s="89"/>
      <c r="Q987" s="89"/>
      <c r="R987" s="89"/>
      <c r="S987" s="89"/>
      <c r="T987" s="89"/>
      <c r="U987" s="89"/>
      <c r="V987" s="89"/>
      <c r="W987" s="89"/>
      <c r="X987" s="89"/>
      <c r="Y987" s="89"/>
      <c r="Z987" s="89"/>
      <c r="AA987" s="89"/>
    </row>
    <row r="988" spans="1:27" ht="13.8">
      <c r="A988" s="89"/>
      <c r="B988" s="89"/>
      <c r="C988" s="89"/>
      <c r="D988" s="89"/>
      <c r="E988" s="89"/>
      <c r="F988" s="110"/>
      <c r="G988" s="89"/>
      <c r="H988" s="89"/>
      <c r="I988" s="89"/>
      <c r="J988" s="89"/>
      <c r="K988" s="89"/>
      <c r="L988" s="89"/>
      <c r="M988" s="89"/>
      <c r="N988" s="89"/>
      <c r="O988" s="89"/>
      <c r="P988" s="89"/>
      <c r="Q988" s="89"/>
      <c r="R988" s="89"/>
      <c r="S988" s="89"/>
      <c r="T988" s="89"/>
      <c r="U988" s="89"/>
      <c r="V988" s="89"/>
      <c r="W988" s="89"/>
      <c r="X988" s="89"/>
      <c r="Y988" s="89"/>
      <c r="Z988" s="89"/>
      <c r="AA988" s="89"/>
    </row>
    <row r="989" spans="1:27" ht="13.8">
      <c r="A989" s="89"/>
      <c r="B989" s="89"/>
      <c r="C989" s="89"/>
      <c r="D989" s="89"/>
      <c r="E989" s="89"/>
      <c r="F989" s="110"/>
      <c r="G989" s="89"/>
      <c r="H989" s="89"/>
      <c r="I989" s="89"/>
      <c r="J989" s="89"/>
      <c r="K989" s="89"/>
      <c r="L989" s="89"/>
      <c r="M989" s="89"/>
      <c r="N989" s="89"/>
      <c r="O989" s="89"/>
      <c r="P989" s="89"/>
      <c r="Q989" s="89"/>
      <c r="R989" s="89"/>
      <c r="S989" s="89"/>
      <c r="T989" s="89"/>
      <c r="U989" s="89"/>
      <c r="V989" s="89"/>
      <c r="W989" s="89"/>
      <c r="X989" s="89"/>
      <c r="Y989" s="89"/>
      <c r="Z989" s="89"/>
      <c r="AA989" s="89"/>
    </row>
    <row r="990" spans="1:27" ht="13.8">
      <c r="A990" s="89"/>
      <c r="B990" s="89"/>
      <c r="C990" s="89"/>
      <c r="D990" s="89"/>
      <c r="E990" s="89"/>
      <c r="F990" s="110"/>
      <c r="G990" s="89"/>
      <c r="H990" s="89"/>
      <c r="I990" s="89"/>
      <c r="J990" s="89"/>
      <c r="K990" s="89"/>
      <c r="L990" s="89"/>
      <c r="M990" s="89"/>
      <c r="N990" s="89"/>
      <c r="O990" s="89"/>
      <c r="P990" s="89"/>
      <c r="Q990" s="89"/>
      <c r="R990" s="89"/>
      <c r="S990" s="89"/>
      <c r="T990" s="89"/>
      <c r="U990" s="89"/>
      <c r="V990" s="89"/>
      <c r="W990" s="89"/>
      <c r="X990" s="89"/>
      <c r="Y990" s="89"/>
      <c r="Z990" s="89"/>
      <c r="AA990" s="89"/>
    </row>
    <row r="991" spans="1:27" ht="13.8">
      <c r="A991" s="89"/>
      <c r="B991" s="89"/>
      <c r="C991" s="89"/>
      <c r="D991" s="89"/>
      <c r="E991" s="89"/>
      <c r="F991" s="110"/>
      <c r="G991" s="89"/>
      <c r="H991" s="89"/>
      <c r="I991" s="89"/>
      <c r="J991" s="89"/>
      <c r="K991" s="89"/>
      <c r="L991" s="89"/>
      <c r="M991" s="89"/>
      <c r="N991" s="89"/>
      <c r="O991" s="89"/>
      <c r="P991" s="89"/>
      <c r="Q991" s="89"/>
      <c r="R991" s="89"/>
      <c r="S991" s="89"/>
      <c r="T991" s="89"/>
      <c r="U991" s="89"/>
      <c r="V991" s="89"/>
      <c r="W991" s="89"/>
      <c r="X991" s="89"/>
      <c r="Y991" s="89"/>
      <c r="Z991" s="89"/>
      <c r="AA991" s="89"/>
    </row>
    <row r="992" spans="1:27" ht="13.8">
      <c r="A992" s="89"/>
      <c r="B992" s="89"/>
      <c r="C992" s="89"/>
      <c r="D992" s="89"/>
      <c r="E992" s="89"/>
      <c r="F992" s="110"/>
      <c r="G992" s="89"/>
      <c r="H992" s="89"/>
      <c r="I992" s="89"/>
      <c r="J992" s="89"/>
      <c r="K992" s="89"/>
      <c r="L992" s="89"/>
      <c r="M992" s="89"/>
      <c r="N992" s="89"/>
      <c r="O992" s="89"/>
      <c r="P992" s="89"/>
      <c r="Q992" s="89"/>
      <c r="R992" s="89"/>
      <c r="S992" s="89"/>
      <c r="T992" s="89"/>
      <c r="U992" s="89"/>
      <c r="V992" s="89"/>
      <c r="W992" s="89"/>
      <c r="X992" s="89"/>
      <c r="Y992" s="89"/>
      <c r="Z992" s="89"/>
      <c r="AA992" s="89"/>
    </row>
    <row r="993" spans="1:27" ht="13.8">
      <c r="A993" s="89"/>
      <c r="B993" s="89"/>
      <c r="C993" s="89"/>
      <c r="D993" s="89"/>
      <c r="E993" s="89"/>
      <c r="F993" s="110"/>
      <c r="G993" s="89"/>
      <c r="H993" s="89"/>
      <c r="I993" s="89"/>
      <c r="J993" s="89"/>
      <c r="K993" s="89"/>
      <c r="L993" s="89"/>
      <c r="M993" s="89"/>
      <c r="N993" s="89"/>
      <c r="O993" s="89"/>
      <c r="P993" s="89"/>
      <c r="Q993" s="89"/>
      <c r="R993" s="89"/>
      <c r="S993" s="89"/>
      <c r="T993" s="89"/>
      <c r="U993" s="89"/>
      <c r="V993" s="89"/>
      <c r="W993" s="89"/>
      <c r="X993" s="89"/>
      <c r="Y993" s="89"/>
      <c r="Z993" s="89"/>
      <c r="AA993" s="89"/>
    </row>
    <row r="994" spans="1:27" ht="13.8">
      <c r="A994" s="89"/>
      <c r="B994" s="89"/>
      <c r="C994" s="89"/>
      <c r="D994" s="89"/>
      <c r="E994" s="89"/>
      <c r="F994" s="110"/>
      <c r="G994" s="89"/>
      <c r="H994" s="89"/>
      <c r="I994" s="89"/>
      <c r="J994" s="89"/>
      <c r="K994" s="89"/>
      <c r="L994" s="89"/>
      <c r="M994" s="89"/>
      <c r="N994" s="89"/>
      <c r="O994" s="89"/>
      <c r="P994" s="89"/>
      <c r="Q994" s="89"/>
      <c r="R994" s="89"/>
      <c r="S994" s="89"/>
      <c r="T994" s="89"/>
      <c r="U994" s="89"/>
      <c r="V994" s="89"/>
      <c r="W994" s="89"/>
      <c r="X994" s="89"/>
      <c r="Y994" s="89"/>
      <c r="Z994" s="89"/>
      <c r="AA994" s="89"/>
    </row>
    <row r="995" spans="1:27" ht="13.8">
      <c r="A995" s="89"/>
      <c r="B995" s="89"/>
      <c r="C995" s="89"/>
      <c r="D995" s="89"/>
      <c r="E995" s="89"/>
      <c r="F995" s="110"/>
      <c r="G995" s="89"/>
      <c r="H995" s="89"/>
      <c r="I995" s="89"/>
      <c r="J995" s="89"/>
      <c r="K995" s="89"/>
      <c r="L995" s="89"/>
      <c r="M995" s="89"/>
      <c r="N995" s="89"/>
      <c r="O995" s="89"/>
      <c r="P995" s="89"/>
      <c r="Q995" s="89"/>
      <c r="R995" s="89"/>
      <c r="S995" s="89"/>
      <c r="T995" s="89"/>
      <c r="U995" s="89"/>
      <c r="V995" s="89"/>
      <c r="W995" s="89"/>
      <c r="X995" s="89"/>
      <c r="Y995" s="89"/>
      <c r="Z995" s="89"/>
      <c r="AA995" s="89"/>
    </row>
    <row r="996" spans="1:27" ht="13.8">
      <c r="A996" s="89"/>
      <c r="B996" s="89"/>
      <c r="C996" s="89"/>
      <c r="D996" s="89"/>
      <c r="E996" s="89"/>
      <c r="F996" s="110"/>
      <c r="G996" s="89"/>
      <c r="H996" s="89"/>
      <c r="I996" s="89"/>
      <c r="J996" s="89"/>
      <c r="K996" s="89"/>
      <c r="L996" s="89"/>
      <c r="M996" s="89"/>
      <c r="N996" s="89"/>
      <c r="O996" s="89"/>
      <c r="P996" s="89"/>
      <c r="Q996" s="89"/>
      <c r="R996" s="89"/>
      <c r="S996" s="89"/>
      <c r="T996" s="89"/>
      <c r="U996" s="89"/>
      <c r="V996" s="89"/>
      <c r="W996" s="89"/>
      <c r="X996" s="89"/>
      <c r="Y996" s="89"/>
      <c r="Z996" s="89"/>
      <c r="AA996" s="89"/>
    </row>
    <row r="997" spans="1:27" ht="13.8">
      <c r="A997" s="89"/>
      <c r="B997" s="89"/>
      <c r="C997" s="89"/>
      <c r="D997" s="89"/>
      <c r="E997" s="89"/>
      <c r="F997" s="110"/>
      <c r="G997" s="89"/>
      <c r="H997" s="89"/>
      <c r="I997" s="89"/>
      <c r="J997" s="89"/>
      <c r="K997" s="89"/>
      <c r="L997" s="89"/>
      <c r="M997" s="89"/>
      <c r="N997" s="89"/>
      <c r="O997" s="89"/>
      <c r="P997" s="89"/>
      <c r="Q997" s="89"/>
      <c r="R997" s="89"/>
      <c r="S997" s="89"/>
      <c r="T997" s="89"/>
      <c r="U997" s="89"/>
      <c r="V997" s="89"/>
      <c r="W997" s="89"/>
      <c r="X997" s="89"/>
      <c r="Y997" s="89"/>
      <c r="Z997" s="89"/>
      <c r="AA997" s="89"/>
    </row>
    <row r="998" spans="1:27" ht="13.8">
      <c r="A998" s="89"/>
      <c r="B998" s="89"/>
      <c r="C998" s="89"/>
      <c r="D998" s="89"/>
      <c r="E998" s="89"/>
      <c r="F998" s="110"/>
      <c r="G998" s="89"/>
      <c r="H998" s="89"/>
      <c r="I998" s="89"/>
      <c r="J998" s="89"/>
      <c r="K998" s="89"/>
      <c r="L998" s="89"/>
      <c r="M998" s="89"/>
      <c r="N998" s="89"/>
      <c r="O998" s="89"/>
      <c r="P998" s="89"/>
      <c r="Q998" s="89"/>
      <c r="R998" s="89"/>
      <c r="S998" s="89"/>
      <c r="T998" s="89"/>
      <c r="U998" s="89"/>
      <c r="V998" s="89"/>
      <c r="W998" s="89"/>
      <c r="X998" s="89"/>
      <c r="Y998" s="89"/>
      <c r="Z998" s="89"/>
      <c r="AA998" s="89"/>
    </row>
    <row r="999" spans="1:27" ht="13.8">
      <c r="A999" s="89"/>
      <c r="B999" s="89"/>
      <c r="C999" s="89"/>
      <c r="D999" s="89"/>
      <c r="E999" s="89"/>
      <c r="F999" s="110"/>
      <c r="G999" s="89"/>
      <c r="H999" s="89"/>
      <c r="I999" s="89"/>
      <c r="J999" s="89"/>
      <c r="K999" s="89"/>
      <c r="L999" s="89"/>
      <c r="M999" s="89"/>
      <c r="N999" s="89"/>
      <c r="O999" s="89"/>
      <c r="P999" s="89"/>
      <c r="Q999" s="89"/>
      <c r="R999" s="89"/>
      <c r="S999" s="89"/>
      <c r="T999" s="89"/>
      <c r="U999" s="89"/>
      <c r="V999" s="89"/>
      <c r="W999" s="89"/>
      <c r="X999" s="89"/>
      <c r="Y999" s="89"/>
      <c r="Z999" s="89"/>
      <c r="AA999" s="89"/>
    </row>
    <row r="1000" spans="1:27" ht="13.8">
      <c r="A1000" s="89"/>
      <c r="B1000" s="89"/>
      <c r="C1000" s="89"/>
      <c r="D1000" s="89"/>
      <c r="E1000" s="89"/>
      <c r="F1000" s="110"/>
      <c r="G1000" s="89"/>
      <c r="H1000" s="89"/>
      <c r="I1000" s="89"/>
      <c r="J1000" s="89"/>
      <c r="K1000" s="89"/>
      <c r="L1000" s="89"/>
      <c r="M1000" s="89"/>
      <c r="N1000" s="89"/>
      <c r="O1000" s="89"/>
      <c r="P1000" s="89"/>
      <c r="Q1000" s="89"/>
      <c r="R1000" s="89"/>
      <c r="S1000" s="89"/>
      <c r="T1000" s="89"/>
      <c r="U1000" s="89"/>
      <c r="V1000" s="89"/>
      <c r="W1000" s="89"/>
      <c r="X1000" s="89"/>
      <c r="Y1000" s="89"/>
      <c r="Z1000" s="89"/>
      <c r="AA1000" s="89"/>
    </row>
    <row r="1001" spans="1:27" ht="13.8">
      <c r="A1001" s="89"/>
      <c r="B1001" s="89"/>
      <c r="C1001" s="89"/>
      <c r="D1001" s="89"/>
      <c r="E1001" s="89"/>
      <c r="F1001" s="110"/>
      <c r="G1001" s="89"/>
      <c r="H1001" s="89"/>
      <c r="I1001" s="89"/>
      <c r="J1001" s="89"/>
      <c r="K1001" s="89"/>
      <c r="L1001" s="89"/>
      <c r="M1001" s="89"/>
      <c r="N1001" s="89"/>
      <c r="O1001" s="89"/>
      <c r="P1001" s="89"/>
      <c r="Q1001" s="89"/>
      <c r="R1001" s="89"/>
      <c r="S1001" s="89"/>
      <c r="T1001" s="89"/>
      <c r="U1001" s="89"/>
      <c r="V1001" s="89"/>
      <c r="W1001" s="89"/>
      <c r="X1001" s="89"/>
      <c r="Y1001" s="89"/>
      <c r="Z1001" s="89"/>
      <c r="AA1001" s="89"/>
    </row>
    <row r="1002" spans="1:27" ht="13.8">
      <c r="A1002" s="89"/>
      <c r="B1002" s="89"/>
      <c r="C1002" s="89"/>
      <c r="D1002" s="89"/>
      <c r="E1002" s="89"/>
      <c r="F1002" s="110"/>
      <c r="G1002" s="89"/>
      <c r="H1002" s="89"/>
      <c r="I1002" s="89"/>
      <c r="J1002" s="89"/>
      <c r="K1002" s="89"/>
      <c r="L1002" s="89"/>
      <c r="M1002" s="89"/>
      <c r="N1002" s="89"/>
      <c r="O1002" s="89"/>
      <c r="P1002" s="89"/>
      <c r="Q1002" s="89"/>
      <c r="R1002" s="89"/>
      <c r="S1002" s="89"/>
      <c r="T1002" s="89"/>
      <c r="U1002" s="89"/>
      <c r="V1002" s="89"/>
      <c r="W1002" s="89"/>
      <c r="X1002" s="89"/>
      <c r="Y1002" s="89"/>
      <c r="Z1002" s="89"/>
      <c r="AA1002" s="89"/>
    </row>
    <row r="1003" spans="1:27" ht="13.8">
      <c r="A1003" s="89"/>
      <c r="B1003" s="89"/>
      <c r="C1003" s="89"/>
      <c r="D1003" s="89"/>
      <c r="E1003" s="89"/>
      <c r="F1003" s="110"/>
      <c r="G1003" s="89"/>
      <c r="H1003" s="89"/>
      <c r="I1003" s="89"/>
      <c r="J1003" s="89"/>
      <c r="K1003" s="89"/>
      <c r="L1003" s="89"/>
      <c r="M1003" s="89"/>
      <c r="N1003" s="89"/>
      <c r="O1003" s="89"/>
      <c r="P1003" s="89"/>
      <c r="Q1003" s="89"/>
      <c r="R1003" s="89"/>
      <c r="S1003" s="89"/>
      <c r="T1003" s="89"/>
      <c r="U1003" s="89"/>
      <c r="V1003" s="89"/>
      <c r="W1003" s="89"/>
      <c r="X1003" s="89"/>
      <c r="Y1003" s="89"/>
      <c r="Z1003" s="89"/>
      <c r="AA1003" s="89"/>
    </row>
    <row r="1004" spans="1:27" ht="13.8">
      <c r="A1004" s="89"/>
      <c r="B1004" s="89"/>
      <c r="C1004" s="89"/>
      <c r="D1004" s="89"/>
      <c r="E1004" s="89"/>
      <c r="F1004" s="110"/>
      <c r="G1004" s="89"/>
      <c r="H1004" s="89"/>
      <c r="I1004" s="89"/>
      <c r="J1004" s="89"/>
      <c r="K1004" s="89"/>
      <c r="L1004" s="89"/>
      <c r="M1004" s="89"/>
      <c r="N1004" s="89"/>
      <c r="O1004" s="89"/>
      <c r="P1004" s="89"/>
      <c r="Q1004" s="89"/>
      <c r="R1004" s="89"/>
      <c r="S1004" s="89"/>
      <c r="T1004" s="89"/>
      <c r="U1004" s="89"/>
      <c r="V1004" s="89"/>
      <c r="W1004" s="89"/>
      <c r="X1004" s="89"/>
      <c r="Y1004" s="89"/>
      <c r="Z1004" s="89"/>
      <c r="AA1004" s="89"/>
    </row>
    <row r="1005" spans="1:27" ht="13.8">
      <c r="A1005" s="89"/>
      <c r="B1005" s="89"/>
      <c r="C1005" s="89"/>
      <c r="D1005" s="89"/>
      <c r="E1005" s="89"/>
      <c r="F1005" s="110"/>
      <c r="G1005" s="89"/>
      <c r="H1005" s="89"/>
      <c r="I1005" s="89"/>
      <c r="J1005" s="89"/>
      <c r="K1005" s="89"/>
      <c r="L1005" s="89"/>
      <c r="M1005" s="89"/>
      <c r="N1005" s="89"/>
      <c r="O1005" s="89"/>
      <c r="P1005" s="89"/>
      <c r="Q1005" s="89"/>
      <c r="R1005" s="89"/>
      <c r="S1005" s="89"/>
      <c r="T1005" s="89"/>
      <c r="U1005" s="89"/>
      <c r="V1005" s="89"/>
      <c r="W1005" s="89"/>
      <c r="X1005" s="89"/>
      <c r="Y1005" s="89"/>
      <c r="Z1005" s="89"/>
      <c r="AA1005" s="89"/>
    </row>
  </sheetData>
  <mergeCells count="1">
    <mergeCell ref="A1:D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5"/>
  <sheetViews>
    <sheetView workbookViewId="0">
      <selection activeCell="A16" sqref="A16"/>
    </sheetView>
  </sheetViews>
  <sheetFormatPr defaultColWidth="9.69921875" defaultRowHeight="13.8"/>
  <cols>
    <col min="1" max="1" width="25.59765625" style="71" customWidth="1"/>
    <col min="2" max="3" width="9.69921875" style="71"/>
    <col min="4" max="4" width="23.796875" style="71" customWidth="1"/>
    <col min="5" max="5" width="9.8984375" style="111" customWidth="1"/>
    <col min="6" max="6" width="30" style="105" customWidth="1"/>
    <col min="7" max="16384" width="9.69921875" style="71"/>
  </cols>
  <sheetData>
    <row r="1" spans="1:7" ht="72" customHeight="1">
      <c r="A1" s="812" t="s">
        <v>203</v>
      </c>
      <c r="B1" s="823"/>
      <c r="C1" s="823"/>
      <c r="D1" s="823"/>
      <c r="E1" s="107" t="s">
        <v>198</v>
      </c>
      <c r="F1" s="106" t="s">
        <v>197</v>
      </c>
      <c r="G1" s="70"/>
    </row>
    <row r="2" spans="1:7" ht="28.8">
      <c r="A2" s="72" t="s">
        <v>90</v>
      </c>
      <c r="B2" s="73"/>
      <c r="C2" s="74"/>
      <c r="D2" s="75" t="s">
        <v>91</v>
      </c>
      <c r="E2" s="108"/>
      <c r="F2" s="85"/>
      <c r="G2" s="76"/>
    </row>
    <row r="3" spans="1:7" ht="31.2">
      <c r="A3" s="77">
        <f>CEILING(SUM(D19:D33),1)</f>
        <v>459</v>
      </c>
      <c r="B3" s="78">
        <f>A3*88</f>
        <v>40392</v>
      </c>
      <c r="C3" s="79"/>
      <c r="D3" s="80"/>
      <c r="E3" s="108">
        <v>2.2999999999999998</v>
      </c>
      <c r="F3" s="87">
        <f>CEILING(A3*E3,1)*88</f>
        <v>92928</v>
      </c>
      <c r="G3" s="76"/>
    </row>
    <row r="4" spans="1:7" ht="14.4">
      <c r="A4" s="81"/>
      <c r="B4" s="81"/>
      <c r="C4" s="82"/>
      <c r="D4" s="80"/>
      <c r="E4" s="108"/>
      <c r="F4" s="85"/>
      <c r="G4" s="76"/>
    </row>
    <row r="5" spans="1:7" ht="14.4">
      <c r="A5" s="83" t="s">
        <v>92</v>
      </c>
      <c r="B5" s="73"/>
      <c r="C5" s="74"/>
      <c r="D5" s="80"/>
      <c r="E5" s="108"/>
      <c r="F5" s="87"/>
      <c r="G5" s="76"/>
    </row>
    <row r="6" spans="1:7" ht="31.2">
      <c r="A6" s="77">
        <f>C19+C20+C21</f>
        <v>62.480000000000004</v>
      </c>
      <c r="B6" s="78"/>
      <c r="C6" s="79"/>
      <c r="D6" s="84">
        <f>A6/A3</f>
        <v>0.13612200435729849</v>
      </c>
      <c r="E6" s="108"/>
      <c r="F6" s="73"/>
      <c r="G6" s="76"/>
    </row>
    <row r="7" spans="1:7" ht="18">
      <c r="A7" s="83" t="s">
        <v>93</v>
      </c>
      <c r="B7" s="73"/>
      <c r="C7" s="74"/>
      <c r="D7" s="84"/>
      <c r="E7" s="108"/>
      <c r="F7" s="87"/>
      <c r="G7" s="76"/>
    </row>
    <row r="8" spans="1:7" ht="31.2">
      <c r="A8" s="77">
        <f>C26+C27</f>
        <v>59</v>
      </c>
      <c r="B8" s="78"/>
      <c r="C8" s="79"/>
      <c r="D8" s="84">
        <f>A8/A3</f>
        <v>0.12854030501089325</v>
      </c>
      <c r="E8" s="108"/>
      <c r="F8" s="76"/>
      <c r="G8" s="76"/>
    </row>
    <row r="9" spans="1:7" ht="18">
      <c r="A9" s="83" t="s">
        <v>94</v>
      </c>
      <c r="B9" s="73"/>
      <c r="C9" s="74"/>
      <c r="D9" s="84"/>
      <c r="E9" s="108"/>
      <c r="F9" s="91"/>
      <c r="G9" s="76"/>
    </row>
    <row r="10" spans="1:7" ht="31.2">
      <c r="A10" s="77">
        <f>D23/2+D24/2+C25+C29+D28/2</f>
        <v>89.457142857142856</v>
      </c>
      <c r="B10" s="78"/>
      <c r="C10" s="79"/>
      <c r="D10" s="84">
        <f>A10/A3</f>
        <v>0.19489573607220664</v>
      </c>
      <c r="E10" s="108"/>
      <c r="F10" s="92"/>
      <c r="G10" s="76"/>
    </row>
    <row r="11" spans="1:7" ht="18">
      <c r="A11" s="83" t="s">
        <v>95</v>
      </c>
      <c r="B11" s="73"/>
      <c r="C11" s="74"/>
      <c r="D11" s="84"/>
      <c r="E11" s="108"/>
      <c r="F11" s="74"/>
      <c r="G11" s="76"/>
    </row>
    <row r="12" spans="1:7" ht="31.2">
      <c r="A12" s="77">
        <f>0</f>
        <v>0</v>
      </c>
      <c r="B12" s="78"/>
      <c r="C12" s="79"/>
      <c r="D12" s="84">
        <f>A12/A3</f>
        <v>0</v>
      </c>
      <c r="E12" s="108"/>
      <c r="F12" s="91"/>
      <c r="G12" s="76"/>
    </row>
    <row r="13" spans="1:7" ht="29.4">
      <c r="A13" s="83" t="s">
        <v>96</v>
      </c>
      <c r="B13" s="73"/>
      <c r="C13" s="74"/>
      <c r="D13" s="84"/>
      <c r="E13" s="108"/>
      <c r="F13" s="76"/>
      <c r="G13" s="76"/>
    </row>
    <row r="14" spans="1:7" ht="31.2">
      <c r="A14" s="77">
        <f>D23+D24+D25+D28+D29+D33</f>
        <v>238.91428571428571</v>
      </c>
      <c r="B14" s="78"/>
      <c r="C14" s="79"/>
      <c r="D14" s="84">
        <f>A14/A3</f>
        <v>0.52051042639277934</v>
      </c>
      <c r="E14" s="108"/>
      <c r="F14" s="76"/>
      <c r="G14" s="76"/>
    </row>
    <row r="15" spans="1:7" ht="18">
      <c r="A15" s="83" t="s">
        <v>97</v>
      </c>
      <c r="B15" s="73"/>
      <c r="C15" s="74"/>
      <c r="D15" s="84"/>
      <c r="E15" s="108"/>
      <c r="F15" s="76"/>
      <c r="G15" s="76"/>
    </row>
    <row r="16" spans="1:7" ht="31.2">
      <c r="A16" s="77">
        <f>D30</f>
        <v>10</v>
      </c>
      <c r="B16" s="78"/>
      <c r="C16" s="79"/>
      <c r="D16" s="84">
        <f>A16/A3</f>
        <v>2.178649237472767E-2</v>
      </c>
      <c r="E16" s="108"/>
      <c r="F16" s="76"/>
      <c r="G16" s="76"/>
    </row>
    <row r="17" spans="1:7" ht="14.4">
      <c r="A17" s="76"/>
      <c r="B17" s="76"/>
      <c r="C17" s="82"/>
      <c r="D17" s="82"/>
      <c r="E17" s="108"/>
      <c r="F17" s="76"/>
      <c r="G17" s="76"/>
    </row>
    <row r="18" spans="1:7" ht="43.2">
      <c r="A18" s="76" t="s">
        <v>98</v>
      </c>
      <c r="B18" s="76" t="s">
        <v>99</v>
      </c>
      <c r="C18" s="82" t="s">
        <v>18</v>
      </c>
      <c r="D18" s="82" t="s">
        <v>100</v>
      </c>
      <c r="E18" s="108"/>
      <c r="F18" s="88"/>
      <c r="G18" s="82" t="s">
        <v>101</v>
      </c>
    </row>
    <row r="19" spans="1:7" ht="28.8">
      <c r="A19" s="85" t="s">
        <v>102</v>
      </c>
      <c r="B19" s="86">
        <v>2</v>
      </c>
      <c r="C19" s="87">
        <f>3314/100+31/100+10</f>
        <v>43.45</v>
      </c>
      <c r="D19" s="87">
        <f t="shared" ref="D19:D33" si="0">C19*B19</f>
        <v>86.9</v>
      </c>
      <c r="E19" s="109"/>
      <c r="F19" s="76"/>
      <c r="G19" s="88" t="s">
        <v>103</v>
      </c>
    </row>
    <row r="20" spans="1:7" ht="28.8">
      <c r="A20" s="85" t="s">
        <v>104</v>
      </c>
      <c r="B20" s="86">
        <v>2</v>
      </c>
      <c r="C20" s="87">
        <v>0.73</v>
      </c>
      <c r="D20" s="87">
        <f t="shared" si="0"/>
        <v>1.46</v>
      </c>
      <c r="E20" s="109"/>
      <c r="F20" s="92"/>
      <c r="G20" s="88" t="s">
        <v>103</v>
      </c>
    </row>
    <row r="21" spans="1:7" ht="14.4">
      <c r="A21" s="85" t="s">
        <v>105</v>
      </c>
      <c r="B21" s="86">
        <v>2</v>
      </c>
      <c r="C21" s="87">
        <v>18.3</v>
      </c>
      <c r="D21" s="87">
        <f t="shared" si="0"/>
        <v>36.6</v>
      </c>
      <c r="E21" s="109"/>
      <c r="F21" s="76"/>
      <c r="G21" s="88" t="s">
        <v>103</v>
      </c>
    </row>
    <row r="22" spans="1:7" ht="28.8">
      <c r="A22" s="85" t="s">
        <v>106</v>
      </c>
      <c r="B22" s="86">
        <v>1</v>
      </c>
      <c r="C22" s="87">
        <v>6.8</v>
      </c>
      <c r="D22" s="87">
        <f t="shared" si="0"/>
        <v>6.8</v>
      </c>
      <c r="E22" s="109"/>
      <c r="F22" s="76"/>
      <c r="G22" s="88" t="s">
        <v>107</v>
      </c>
    </row>
    <row r="23" spans="1:7" ht="14.4">
      <c r="A23" s="85" t="s">
        <v>108</v>
      </c>
      <c r="B23" s="86">
        <v>10</v>
      </c>
      <c r="C23" s="87">
        <f>12</f>
        <v>12</v>
      </c>
      <c r="D23" s="87">
        <f t="shared" si="0"/>
        <v>120</v>
      </c>
      <c r="E23" s="109"/>
      <c r="F23" s="76"/>
      <c r="G23" s="88" t="s">
        <v>109</v>
      </c>
    </row>
    <row r="24" spans="1:7" ht="28.8">
      <c r="A24" s="85" t="s">
        <v>110</v>
      </c>
      <c r="B24" s="86">
        <v>2</v>
      </c>
      <c r="C24" s="87">
        <f>230/100</f>
        <v>2.2999999999999998</v>
      </c>
      <c r="D24" s="87">
        <f t="shared" si="0"/>
        <v>4.5999999999999996</v>
      </c>
      <c r="E24" s="109"/>
      <c r="F24" s="76"/>
      <c r="G24" s="88" t="s">
        <v>109</v>
      </c>
    </row>
    <row r="25" spans="1:7" ht="14.4">
      <c r="A25" s="85" t="s">
        <v>111</v>
      </c>
      <c r="B25" s="86">
        <v>2</v>
      </c>
      <c r="C25" s="87">
        <v>10</v>
      </c>
      <c r="D25" s="87">
        <f t="shared" si="0"/>
        <v>20</v>
      </c>
      <c r="E25" s="109"/>
      <c r="F25" s="76"/>
      <c r="G25" s="88" t="s">
        <v>109</v>
      </c>
    </row>
    <row r="26" spans="1:7" ht="14.4">
      <c r="A26" s="85" t="s">
        <v>112</v>
      </c>
      <c r="B26" s="86">
        <v>1</v>
      </c>
      <c r="C26" s="87">
        <v>44</v>
      </c>
      <c r="D26" s="87">
        <f t="shared" si="0"/>
        <v>44</v>
      </c>
      <c r="E26" s="109"/>
      <c r="F26" s="76"/>
      <c r="G26" s="88" t="s">
        <v>113</v>
      </c>
    </row>
    <row r="27" spans="1:7" ht="14.4">
      <c r="A27" s="85" t="s">
        <v>114</v>
      </c>
      <c r="B27" s="86">
        <v>1</v>
      </c>
      <c r="C27" s="87">
        <v>15</v>
      </c>
      <c r="D27" s="87">
        <f t="shared" si="0"/>
        <v>15</v>
      </c>
      <c r="E27" s="109"/>
      <c r="F27" s="76"/>
      <c r="G27" s="88" t="s">
        <v>113</v>
      </c>
    </row>
    <row r="28" spans="1:7" ht="43.2">
      <c r="A28" s="85" t="s">
        <v>115</v>
      </c>
      <c r="B28" s="86">
        <v>10</v>
      </c>
      <c r="C28" s="87">
        <v>2.86</v>
      </c>
      <c r="D28" s="87">
        <f t="shared" si="0"/>
        <v>28.599999999999998</v>
      </c>
      <c r="E28" s="109"/>
      <c r="F28" s="76"/>
      <c r="G28" s="88" t="s">
        <v>109</v>
      </c>
    </row>
    <row r="29" spans="1:7" ht="28.8">
      <c r="A29" s="85" t="s">
        <v>116</v>
      </c>
      <c r="B29" s="86">
        <v>2</v>
      </c>
      <c r="C29" s="87">
        <f>200/70</f>
        <v>2.8571428571428572</v>
      </c>
      <c r="D29" s="87">
        <f t="shared" si="0"/>
        <v>5.7142857142857144</v>
      </c>
      <c r="E29" s="109"/>
      <c r="F29" s="76"/>
      <c r="G29" s="88" t="s">
        <v>109</v>
      </c>
    </row>
    <row r="30" spans="1:7" ht="14.4">
      <c r="A30" s="85" t="s">
        <v>22</v>
      </c>
      <c r="B30" s="86">
        <v>1</v>
      </c>
      <c r="C30" s="87">
        <v>10</v>
      </c>
      <c r="D30" s="87">
        <f t="shared" si="0"/>
        <v>10</v>
      </c>
      <c r="E30" s="109"/>
      <c r="F30" s="76"/>
      <c r="G30" s="88" t="s">
        <v>117</v>
      </c>
    </row>
    <row r="31" spans="1:7" ht="43.2">
      <c r="A31" s="85" t="s">
        <v>118</v>
      </c>
      <c r="B31" s="86">
        <v>1</v>
      </c>
      <c r="C31" s="87">
        <f>120/30</f>
        <v>4</v>
      </c>
      <c r="D31" s="87">
        <f t="shared" si="0"/>
        <v>4</v>
      </c>
      <c r="E31" s="109"/>
      <c r="F31" s="76"/>
      <c r="G31" s="88" t="s">
        <v>117</v>
      </c>
    </row>
    <row r="32" spans="1:7" ht="14.4">
      <c r="A32" s="85" t="s">
        <v>23</v>
      </c>
      <c r="B32" s="86">
        <v>1</v>
      </c>
      <c r="C32" s="87">
        <v>15</v>
      </c>
      <c r="D32" s="87">
        <f t="shared" si="0"/>
        <v>15</v>
      </c>
      <c r="E32" s="109"/>
      <c r="F32" s="76"/>
      <c r="G32" s="88" t="s">
        <v>117</v>
      </c>
    </row>
    <row r="33" spans="1:7" ht="14.4">
      <c r="A33" s="85" t="s">
        <v>19</v>
      </c>
      <c r="B33" s="86">
        <v>2</v>
      </c>
      <c r="C33" s="87">
        <f>1800/60</f>
        <v>30</v>
      </c>
      <c r="D33" s="87">
        <f t="shared" si="0"/>
        <v>60</v>
      </c>
      <c r="E33" s="109"/>
      <c r="F33" s="76"/>
      <c r="G33" s="88" t="s">
        <v>107</v>
      </c>
    </row>
    <row r="34" spans="1:7" ht="14.4">
      <c r="E34" s="109"/>
      <c r="F34" s="76"/>
    </row>
    <row r="35" spans="1:7" ht="14.4">
      <c r="E35" s="109"/>
      <c r="F35" s="76"/>
    </row>
    <row r="36" spans="1:7" ht="14.4">
      <c r="E36" s="109"/>
      <c r="F36" s="76"/>
    </row>
    <row r="37" spans="1:7" ht="14.4">
      <c r="E37" s="109"/>
      <c r="F37" s="76"/>
    </row>
    <row r="38" spans="1:7">
      <c r="E38" s="110"/>
      <c r="F38" s="89"/>
    </row>
    <row r="39" spans="1:7">
      <c r="E39" s="110"/>
      <c r="F39" s="89"/>
    </row>
    <row r="40" spans="1:7">
      <c r="E40" s="110"/>
      <c r="F40" s="89"/>
    </row>
    <row r="41" spans="1:7">
      <c r="E41" s="110"/>
      <c r="F41" s="89"/>
    </row>
    <row r="42" spans="1:7">
      <c r="E42" s="110"/>
      <c r="F42" s="89"/>
    </row>
    <row r="43" spans="1:7">
      <c r="E43" s="110"/>
      <c r="F43" s="89"/>
    </row>
    <row r="44" spans="1:7">
      <c r="E44" s="110"/>
      <c r="F44" s="89"/>
    </row>
    <row r="45" spans="1:7">
      <c r="E45" s="110"/>
      <c r="F45" s="89"/>
    </row>
    <row r="46" spans="1:7">
      <c r="E46" s="110"/>
      <c r="F46" s="89"/>
    </row>
    <row r="47" spans="1:7">
      <c r="E47" s="110"/>
      <c r="F47" s="89"/>
    </row>
    <row r="48" spans="1:7">
      <c r="E48" s="110"/>
      <c r="F48" s="89"/>
    </row>
    <row r="49" spans="5:6">
      <c r="E49" s="110"/>
      <c r="F49" s="89"/>
    </row>
    <row r="50" spans="5:6">
      <c r="E50" s="110"/>
      <c r="F50" s="89"/>
    </row>
    <row r="51" spans="5:6">
      <c r="E51" s="110"/>
      <c r="F51" s="89"/>
    </row>
    <row r="52" spans="5:6">
      <c r="E52" s="110"/>
      <c r="F52" s="89"/>
    </row>
    <row r="53" spans="5:6">
      <c r="E53" s="110"/>
      <c r="F53" s="89"/>
    </row>
    <row r="54" spans="5:6">
      <c r="E54" s="110"/>
      <c r="F54" s="89"/>
    </row>
    <row r="55" spans="5:6">
      <c r="E55" s="110"/>
      <c r="F55" s="89"/>
    </row>
    <row r="56" spans="5:6">
      <c r="E56" s="110"/>
      <c r="F56" s="89"/>
    </row>
    <row r="57" spans="5:6">
      <c r="E57" s="110"/>
      <c r="F57" s="89"/>
    </row>
    <row r="58" spans="5:6">
      <c r="E58" s="110"/>
      <c r="F58" s="89"/>
    </row>
    <row r="59" spans="5:6">
      <c r="E59" s="110"/>
      <c r="F59" s="89"/>
    </row>
    <row r="60" spans="5:6">
      <c r="E60" s="110"/>
      <c r="F60" s="89"/>
    </row>
    <row r="61" spans="5:6">
      <c r="E61" s="110"/>
      <c r="F61" s="89"/>
    </row>
    <row r="62" spans="5:6">
      <c r="E62" s="110"/>
      <c r="F62" s="89"/>
    </row>
    <row r="63" spans="5:6">
      <c r="E63" s="110"/>
      <c r="F63" s="89"/>
    </row>
    <row r="64" spans="5:6">
      <c r="E64" s="110"/>
      <c r="F64" s="89"/>
    </row>
    <row r="65" spans="5:6">
      <c r="E65" s="110"/>
      <c r="F65" s="89"/>
    </row>
    <row r="66" spans="5:6">
      <c r="E66" s="110"/>
      <c r="F66" s="89"/>
    </row>
    <row r="67" spans="5:6">
      <c r="E67" s="110"/>
      <c r="F67" s="89"/>
    </row>
    <row r="68" spans="5:6">
      <c r="E68" s="110"/>
      <c r="F68" s="89"/>
    </row>
    <row r="69" spans="5:6">
      <c r="E69" s="110"/>
      <c r="F69" s="89"/>
    </row>
    <row r="70" spans="5:6">
      <c r="E70" s="110"/>
      <c r="F70" s="89"/>
    </row>
    <row r="71" spans="5:6">
      <c r="E71" s="110"/>
      <c r="F71" s="89"/>
    </row>
    <row r="72" spans="5:6">
      <c r="E72" s="110"/>
      <c r="F72" s="89"/>
    </row>
    <row r="73" spans="5:6">
      <c r="E73" s="110"/>
      <c r="F73" s="89"/>
    </row>
    <row r="74" spans="5:6">
      <c r="E74" s="110"/>
      <c r="F74" s="89"/>
    </row>
    <row r="75" spans="5:6">
      <c r="E75" s="110"/>
      <c r="F75" s="89"/>
    </row>
    <row r="76" spans="5:6">
      <c r="E76" s="110"/>
      <c r="F76" s="89"/>
    </row>
    <row r="77" spans="5:6">
      <c r="E77" s="110"/>
      <c r="F77" s="89"/>
    </row>
    <row r="78" spans="5:6">
      <c r="E78" s="110"/>
      <c r="F78" s="89"/>
    </row>
    <row r="79" spans="5:6">
      <c r="E79" s="110"/>
      <c r="F79" s="89"/>
    </row>
    <row r="80" spans="5:6">
      <c r="E80" s="110"/>
      <c r="F80" s="89"/>
    </row>
    <row r="81" spans="5:6">
      <c r="E81" s="110"/>
      <c r="F81" s="89"/>
    </row>
    <row r="82" spans="5:6">
      <c r="E82" s="110"/>
      <c r="F82" s="89"/>
    </row>
    <row r="83" spans="5:6">
      <c r="E83" s="110"/>
      <c r="F83" s="89"/>
    </row>
    <row r="84" spans="5:6">
      <c r="E84" s="110"/>
      <c r="F84" s="89"/>
    </row>
    <row r="85" spans="5:6">
      <c r="E85" s="110"/>
      <c r="F85" s="89"/>
    </row>
    <row r="86" spans="5:6">
      <c r="E86" s="110"/>
      <c r="F86" s="89"/>
    </row>
    <row r="87" spans="5:6">
      <c r="E87" s="110"/>
      <c r="F87" s="89"/>
    </row>
    <row r="88" spans="5:6">
      <c r="E88" s="110"/>
      <c r="F88" s="89"/>
    </row>
    <row r="89" spans="5:6">
      <c r="E89" s="110"/>
      <c r="F89" s="89"/>
    </row>
    <row r="90" spans="5:6">
      <c r="E90" s="110"/>
      <c r="F90" s="89"/>
    </row>
    <row r="91" spans="5:6">
      <c r="E91" s="110"/>
      <c r="F91" s="89"/>
    </row>
    <row r="92" spans="5:6">
      <c r="E92" s="110"/>
      <c r="F92" s="89"/>
    </row>
    <row r="93" spans="5:6">
      <c r="E93" s="110"/>
      <c r="F93" s="89"/>
    </row>
    <row r="94" spans="5:6">
      <c r="E94" s="110"/>
      <c r="F94" s="89"/>
    </row>
    <row r="95" spans="5:6">
      <c r="E95" s="110"/>
      <c r="F95" s="89"/>
    </row>
    <row r="96" spans="5:6">
      <c r="E96" s="110"/>
      <c r="F96" s="89"/>
    </row>
    <row r="97" spans="5:6">
      <c r="E97" s="110"/>
      <c r="F97" s="89"/>
    </row>
    <row r="98" spans="5:6">
      <c r="E98" s="110"/>
      <c r="F98" s="89"/>
    </row>
    <row r="99" spans="5:6">
      <c r="E99" s="110"/>
      <c r="F99" s="89"/>
    </row>
    <row r="100" spans="5:6">
      <c r="E100" s="110"/>
      <c r="F100" s="89"/>
    </row>
    <row r="101" spans="5:6">
      <c r="E101" s="110"/>
      <c r="F101" s="89"/>
    </row>
    <row r="102" spans="5:6">
      <c r="E102" s="110"/>
      <c r="F102" s="89"/>
    </row>
    <row r="103" spans="5:6">
      <c r="E103" s="110"/>
      <c r="F103" s="89"/>
    </row>
    <row r="104" spans="5:6">
      <c r="E104" s="110"/>
      <c r="F104" s="89"/>
    </row>
    <row r="105" spans="5:6">
      <c r="E105" s="110"/>
      <c r="F105" s="89"/>
    </row>
    <row r="106" spans="5:6">
      <c r="E106" s="110"/>
      <c r="F106" s="89"/>
    </row>
    <row r="107" spans="5:6">
      <c r="E107" s="110"/>
      <c r="F107" s="89"/>
    </row>
    <row r="108" spans="5:6">
      <c r="E108" s="110"/>
      <c r="F108" s="89"/>
    </row>
    <row r="109" spans="5:6">
      <c r="E109" s="110"/>
      <c r="F109" s="89"/>
    </row>
    <row r="110" spans="5:6">
      <c r="E110" s="110"/>
      <c r="F110" s="89"/>
    </row>
    <row r="111" spans="5:6">
      <c r="E111" s="110"/>
      <c r="F111" s="89"/>
    </row>
    <row r="112" spans="5:6">
      <c r="E112" s="110"/>
      <c r="F112" s="89"/>
    </row>
    <row r="113" spans="5:6">
      <c r="E113" s="110"/>
      <c r="F113" s="89"/>
    </row>
    <row r="114" spans="5:6">
      <c r="E114" s="110"/>
      <c r="F114" s="89"/>
    </row>
    <row r="115" spans="5:6">
      <c r="E115" s="110"/>
      <c r="F115" s="89"/>
    </row>
    <row r="116" spans="5:6">
      <c r="E116" s="110"/>
      <c r="F116" s="89"/>
    </row>
    <row r="117" spans="5:6">
      <c r="E117" s="110"/>
      <c r="F117" s="89"/>
    </row>
    <row r="118" spans="5:6">
      <c r="E118" s="110"/>
      <c r="F118" s="89"/>
    </row>
    <row r="119" spans="5:6">
      <c r="E119" s="110"/>
      <c r="F119" s="89"/>
    </row>
    <row r="120" spans="5:6">
      <c r="E120" s="110"/>
      <c r="F120" s="89"/>
    </row>
    <row r="121" spans="5:6">
      <c r="E121" s="110"/>
      <c r="F121" s="89"/>
    </row>
    <row r="122" spans="5:6">
      <c r="E122" s="110"/>
      <c r="F122" s="89"/>
    </row>
    <row r="123" spans="5:6">
      <c r="E123" s="110"/>
      <c r="F123" s="89"/>
    </row>
    <row r="124" spans="5:6">
      <c r="E124" s="110"/>
      <c r="F124" s="89"/>
    </row>
    <row r="125" spans="5:6">
      <c r="E125" s="110"/>
      <c r="F125" s="89"/>
    </row>
    <row r="126" spans="5:6">
      <c r="E126" s="110"/>
      <c r="F126" s="89"/>
    </row>
    <row r="127" spans="5:6">
      <c r="E127" s="110"/>
      <c r="F127" s="89"/>
    </row>
    <row r="128" spans="5:6">
      <c r="E128" s="110"/>
      <c r="F128" s="89"/>
    </row>
    <row r="129" spans="5:6">
      <c r="E129" s="110"/>
      <c r="F129" s="89"/>
    </row>
    <row r="130" spans="5:6">
      <c r="E130" s="110"/>
      <c r="F130" s="89"/>
    </row>
    <row r="131" spans="5:6">
      <c r="E131" s="110"/>
      <c r="F131" s="89"/>
    </row>
    <row r="132" spans="5:6">
      <c r="E132" s="110"/>
      <c r="F132" s="89"/>
    </row>
    <row r="133" spans="5:6">
      <c r="E133" s="110"/>
      <c r="F133" s="89"/>
    </row>
    <row r="134" spans="5:6">
      <c r="E134" s="110"/>
      <c r="F134" s="89"/>
    </row>
    <row r="135" spans="5:6">
      <c r="E135" s="110"/>
      <c r="F135" s="89"/>
    </row>
    <row r="136" spans="5:6">
      <c r="E136" s="110"/>
      <c r="F136" s="89"/>
    </row>
    <row r="137" spans="5:6">
      <c r="E137" s="110"/>
      <c r="F137" s="89"/>
    </row>
    <row r="138" spans="5:6">
      <c r="E138" s="110"/>
      <c r="F138" s="89"/>
    </row>
    <row r="139" spans="5:6">
      <c r="E139" s="110"/>
      <c r="F139" s="89"/>
    </row>
    <row r="140" spans="5:6">
      <c r="E140" s="110"/>
      <c r="F140" s="89"/>
    </row>
    <row r="141" spans="5:6">
      <c r="E141" s="110"/>
      <c r="F141" s="89"/>
    </row>
    <row r="142" spans="5:6">
      <c r="E142" s="110"/>
      <c r="F142" s="89"/>
    </row>
    <row r="143" spans="5:6">
      <c r="E143" s="110"/>
      <c r="F143" s="89"/>
    </row>
    <row r="144" spans="5:6">
      <c r="E144" s="110"/>
      <c r="F144" s="89"/>
    </row>
    <row r="145" spans="5:6">
      <c r="E145" s="110"/>
      <c r="F145" s="89"/>
    </row>
    <row r="146" spans="5:6">
      <c r="E146" s="110"/>
      <c r="F146" s="89"/>
    </row>
    <row r="147" spans="5:6">
      <c r="E147" s="110"/>
      <c r="F147" s="89"/>
    </row>
    <row r="148" spans="5:6">
      <c r="E148" s="110"/>
      <c r="F148" s="89"/>
    </row>
    <row r="149" spans="5:6">
      <c r="E149" s="110"/>
      <c r="F149" s="89"/>
    </row>
    <row r="150" spans="5:6">
      <c r="E150" s="110"/>
      <c r="F150" s="89"/>
    </row>
    <row r="151" spans="5:6">
      <c r="E151" s="110"/>
      <c r="F151" s="89"/>
    </row>
    <row r="152" spans="5:6">
      <c r="E152" s="110"/>
      <c r="F152" s="89"/>
    </row>
    <row r="153" spans="5:6">
      <c r="E153" s="110"/>
      <c r="F153" s="89"/>
    </row>
    <row r="154" spans="5:6">
      <c r="E154" s="110"/>
      <c r="F154" s="89"/>
    </row>
    <row r="155" spans="5:6">
      <c r="E155" s="110"/>
      <c r="F155" s="89"/>
    </row>
    <row r="156" spans="5:6">
      <c r="E156" s="110"/>
      <c r="F156" s="89"/>
    </row>
    <row r="157" spans="5:6">
      <c r="E157" s="110"/>
      <c r="F157" s="89"/>
    </row>
    <row r="158" spans="5:6">
      <c r="E158" s="110"/>
      <c r="F158" s="89"/>
    </row>
    <row r="159" spans="5:6">
      <c r="E159" s="110"/>
      <c r="F159" s="89"/>
    </row>
    <row r="160" spans="5:6">
      <c r="E160" s="110"/>
      <c r="F160" s="89"/>
    </row>
    <row r="161" spans="5:6">
      <c r="E161" s="110"/>
      <c r="F161" s="89"/>
    </row>
    <row r="162" spans="5:6">
      <c r="E162" s="110"/>
      <c r="F162" s="89"/>
    </row>
    <row r="163" spans="5:6">
      <c r="E163" s="110"/>
      <c r="F163" s="89"/>
    </row>
    <row r="164" spans="5:6">
      <c r="E164" s="110"/>
      <c r="F164" s="89"/>
    </row>
    <row r="165" spans="5:6">
      <c r="E165" s="110"/>
      <c r="F165" s="89"/>
    </row>
    <row r="166" spans="5:6">
      <c r="E166" s="110"/>
      <c r="F166" s="89"/>
    </row>
    <row r="167" spans="5:6">
      <c r="E167" s="110"/>
      <c r="F167" s="89"/>
    </row>
    <row r="168" spans="5:6">
      <c r="E168" s="110"/>
      <c r="F168" s="89"/>
    </row>
    <row r="169" spans="5:6">
      <c r="E169" s="110"/>
      <c r="F169" s="89"/>
    </row>
    <row r="170" spans="5:6">
      <c r="E170" s="110"/>
      <c r="F170" s="89"/>
    </row>
    <row r="171" spans="5:6">
      <c r="E171" s="110"/>
      <c r="F171" s="89"/>
    </row>
    <row r="172" spans="5:6">
      <c r="E172" s="110"/>
      <c r="F172" s="89"/>
    </row>
    <row r="173" spans="5:6">
      <c r="E173" s="110"/>
      <c r="F173" s="89"/>
    </row>
    <row r="174" spans="5:6">
      <c r="E174" s="110"/>
      <c r="F174" s="89"/>
    </row>
    <row r="175" spans="5:6">
      <c r="E175" s="110"/>
      <c r="F175" s="89"/>
    </row>
    <row r="176" spans="5:6">
      <c r="E176" s="110"/>
      <c r="F176" s="89"/>
    </row>
    <row r="177" spans="5:6">
      <c r="E177" s="110"/>
      <c r="F177" s="89"/>
    </row>
    <row r="178" spans="5:6">
      <c r="E178" s="110"/>
      <c r="F178" s="89"/>
    </row>
    <row r="179" spans="5:6">
      <c r="E179" s="110"/>
      <c r="F179" s="89"/>
    </row>
    <row r="180" spans="5:6">
      <c r="E180" s="110"/>
      <c r="F180" s="89"/>
    </row>
    <row r="181" spans="5:6">
      <c r="E181" s="110"/>
      <c r="F181" s="89"/>
    </row>
    <row r="182" spans="5:6">
      <c r="E182" s="110"/>
      <c r="F182" s="89"/>
    </row>
    <row r="183" spans="5:6">
      <c r="E183" s="110"/>
      <c r="F183" s="89"/>
    </row>
    <row r="184" spans="5:6">
      <c r="E184" s="110"/>
      <c r="F184" s="89"/>
    </row>
    <row r="185" spans="5:6">
      <c r="E185" s="110"/>
      <c r="F185" s="89"/>
    </row>
    <row r="186" spans="5:6">
      <c r="E186" s="110"/>
      <c r="F186" s="89"/>
    </row>
    <row r="187" spans="5:6">
      <c r="E187" s="110"/>
      <c r="F187" s="89"/>
    </row>
    <row r="188" spans="5:6">
      <c r="E188" s="110"/>
      <c r="F188" s="89"/>
    </row>
    <row r="189" spans="5:6">
      <c r="E189" s="110"/>
      <c r="F189" s="89"/>
    </row>
    <row r="190" spans="5:6">
      <c r="E190" s="110"/>
      <c r="F190" s="89"/>
    </row>
    <row r="191" spans="5:6">
      <c r="E191" s="110"/>
      <c r="F191" s="89"/>
    </row>
    <row r="192" spans="5:6">
      <c r="E192" s="110"/>
      <c r="F192" s="89"/>
    </row>
    <row r="193" spans="5:6">
      <c r="E193" s="110"/>
      <c r="F193" s="89"/>
    </row>
    <row r="194" spans="5:6">
      <c r="E194" s="110"/>
      <c r="F194" s="89"/>
    </row>
    <row r="195" spans="5:6">
      <c r="E195" s="110"/>
      <c r="F195" s="89"/>
    </row>
    <row r="196" spans="5:6">
      <c r="E196" s="110"/>
      <c r="F196" s="89"/>
    </row>
    <row r="197" spans="5:6">
      <c r="E197" s="110"/>
      <c r="F197" s="89"/>
    </row>
    <row r="198" spans="5:6">
      <c r="E198" s="110"/>
      <c r="F198" s="89"/>
    </row>
    <row r="199" spans="5:6">
      <c r="E199" s="110"/>
      <c r="F199" s="89"/>
    </row>
    <row r="200" spans="5:6">
      <c r="E200" s="110"/>
      <c r="F200" s="89"/>
    </row>
    <row r="201" spans="5:6">
      <c r="E201" s="110"/>
      <c r="F201" s="89"/>
    </row>
    <row r="202" spans="5:6">
      <c r="E202" s="110"/>
      <c r="F202" s="89"/>
    </row>
    <row r="203" spans="5:6">
      <c r="E203" s="110"/>
      <c r="F203" s="89"/>
    </row>
    <row r="204" spans="5:6">
      <c r="E204" s="110"/>
      <c r="F204" s="89"/>
    </row>
    <row r="205" spans="5:6">
      <c r="E205" s="110"/>
      <c r="F205" s="89"/>
    </row>
    <row r="206" spans="5:6">
      <c r="E206" s="110"/>
      <c r="F206" s="89"/>
    </row>
    <row r="207" spans="5:6">
      <c r="E207" s="110"/>
      <c r="F207" s="89"/>
    </row>
    <row r="208" spans="5:6">
      <c r="E208" s="110"/>
      <c r="F208" s="89"/>
    </row>
    <row r="209" spans="5:6">
      <c r="E209" s="110"/>
      <c r="F209" s="89"/>
    </row>
    <row r="210" spans="5:6">
      <c r="E210" s="110"/>
      <c r="F210" s="89"/>
    </row>
    <row r="211" spans="5:6">
      <c r="E211" s="110"/>
      <c r="F211" s="89"/>
    </row>
    <row r="212" spans="5:6">
      <c r="E212" s="110"/>
      <c r="F212" s="89"/>
    </row>
    <row r="213" spans="5:6">
      <c r="E213" s="110"/>
      <c r="F213" s="89"/>
    </row>
    <row r="214" spans="5:6">
      <c r="E214" s="110"/>
      <c r="F214" s="89"/>
    </row>
    <row r="215" spans="5:6">
      <c r="E215" s="110"/>
      <c r="F215" s="89"/>
    </row>
    <row r="216" spans="5:6">
      <c r="E216" s="110"/>
      <c r="F216" s="89"/>
    </row>
    <row r="217" spans="5:6">
      <c r="E217" s="110"/>
      <c r="F217" s="89"/>
    </row>
    <row r="218" spans="5:6">
      <c r="E218" s="110"/>
      <c r="F218" s="89"/>
    </row>
    <row r="219" spans="5:6">
      <c r="E219" s="110"/>
      <c r="F219" s="89"/>
    </row>
    <row r="220" spans="5:6">
      <c r="E220" s="110"/>
      <c r="F220" s="89"/>
    </row>
    <row r="221" spans="5:6">
      <c r="E221" s="110"/>
      <c r="F221" s="89"/>
    </row>
    <row r="222" spans="5:6">
      <c r="E222" s="110"/>
      <c r="F222" s="89"/>
    </row>
    <row r="223" spans="5:6">
      <c r="E223" s="110"/>
      <c r="F223" s="89"/>
    </row>
    <row r="224" spans="5:6">
      <c r="E224" s="110"/>
      <c r="F224" s="89"/>
    </row>
    <row r="225" spans="5:6">
      <c r="E225" s="110"/>
      <c r="F225" s="89"/>
    </row>
    <row r="226" spans="5:6">
      <c r="E226" s="110"/>
      <c r="F226" s="89"/>
    </row>
    <row r="227" spans="5:6">
      <c r="E227" s="110"/>
      <c r="F227" s="89"/>
    </row>
    <row r="228" spans="5:6">
      <c r="E228" s="110"/>
      <c r="F228" s="89"/>
    </row>
    <row r="229" spans="5:6">
      <c r="E229" s="110"/>
      <c r="F229" s="89"/>
    </row>
    <row r="230" spans="5:6">
      <c r="E230" s="110"/>
      <c r="F230" s="89"/>
    </row>
    <row r="231" spans="5:6">
      <c r="E231" s="110"/>
      <c r="F231" s="89"/>
    </row>
    <row r="232" spans="5:6">
      <c r="E232" s="110"/>
      <c r="F232" s="89"/>
    </row>
    <row r="233" spans="5:6">
      <c r="E233" s="110"/>
      <c r="F233" s="89"/>
    </row>
    <row r="234" spans="5:6">
      <c r="E234" s="110"/>
      <c r="F234" s="89"/>
    </row>
    <row r="235" spans="5:6">
      <c r="E235" s="110"/>
      <c r="F235" s="89"/>
    </row>
    <row r="236" spans="5:6">
      <c r="E236" s="110"/>
      <c r="F236" s="89"/>
    </row>
    <row r="237" spans="5:6">
      <c r="E237" s="110"/>
      <c r="F237" s="89"/>
    </row>
    <row r="238" spans="5:6">
      <c r="E238" s="110"/>
      <c r="F238" s="89"/>
    </row>
    <row r="239" spans="5:6">
      <c r="E239" s="110"/>
      <c r="F239" s="89"/>
    </row>
    <row r="240" spans="5:6">
      <c r="E240" s="110"/>
      <c r="F240" s="89"/>
    </row>
    <row r="241" spans="5:6">
      <c r="E241" s="110"/>
      <c r="F241" s="89"/>
    </row>
    <row r="242" spans="5:6">
      <c r="E242" s="110"/>
      <c r="F242" s="89"/>
    </row>
    <row r="243" spans="5:6">
      <c r="E243" s="110"/>
      <c r="F243" s="89"/>
    </row>
    <row r="244" spans="5:6">
      <c r="E244" s="110"/>
      <c r="F244" s="89"/>
    </row>
    <row r="245" spans="5:6">
      <c r="E245" s="110"/>
      <c r="F245" s="89"/>
    </row>
    <row r="246" spans="5:6">
      <c r="E246" s="110"/>
      <c r="F246" s="89"/>
    </row>
    <row r="247" spans="5:6">
      <c r="E247" s="110"/>
      <c r="F247" s="89"/>
    </row>
    <row r="248" spans="5:6">
      <c r="E248" s="110"/>
      <c r="F248" s="89"/>
    </row>
    <row r="249" spans="5:6">
      <c r="E249" s="110"/>
      <c r="F249" s="89"/>
    </row>
    <row r="250" spans="5:6">
      <c r="E250" s="110"/>
      <c r="F250" s="89"/>
    </row>
    <row r="251" spans="5:6">
      <c r="E251" s="110"/>
      <c r="F251" s="89"/>
    </row>
    <row r="252" spans="5:6">
      <c r="E252" s="110"/>
      <c r="F252" s="89"/>
    </row>
    <row r="253" spans="5:6">
      <c r="E253" s="110"/>
      <c r="F253" s="89"/>
    </row>
    <row r="254" spans="5:6">
      <c r="E254" s="110"/>
      <c r="F254" s="89"/>
    </row>
    <row r="255" spans="5:6">
      <c r="E255" s="110"/>
      <c r="F255" s="89"/>
    </row>
    <row r="256" spans="5:6">
      <c r="E256" s="110"/>
      <c r="F256" s="89"/>
    </row>
    <row r="257" spans="5:6">
      <c r="E257" s="110"/>
      <c r="F257" s="89"/>
    </row>
    <row r="258" spans="5:6">
      <c r="E258" s="110"/>
      <c r="F258" s="89"/>
    </row>
    <row r="259" spans="5:6">
      <c r="E259" s="110"/>
      <c r="F259" s="89"/>
    </row>
    <row r="260" spans="5:6">
      <c r="E260" s="110"/>
      <c r="F260" s="89"/>
    </row>
    <row r="261" spans="5:6">
      <c r="E261" s="110"/>
      <c r="F261" s="89"/>
    </row>
    <row r="262" spans="5:6">
      <c r="E262" s="110"/>
      <c r="F262" s="89"/>
    </row>
    <row r="263" spans="5:6">
      <c r="E263" s="110"/>
      <c r="F263" s="89"/>
    </row>
    <row r="264" spans="5:6">
      <c r="E264" s="110"/>
      <c r="F264" s="89"/>
    </row>
    <row r="265" spans="5:6">
      <c r="E265" s="110"/>
      <c r="F265" s="89"/>
    </row>
    <row r="266" spans="5:6">
      <c r="E266" s="110"/>
      <c r="F266" s="89"/>
    </row>
    <row r="267" spans="5:6">
      <c r="E267" s="110"/>
      <c r="F267" s="89"/>
    </row>
    <row r="268" spans="5:6">
      <c r="E268" s="110"/>
      <c r="F268" s="89"/>
    </row>
    <row r="269" spans="5:6">
      <c r="E269" s="110"/>
      <c r="F269" s="89"/>
    </row>
    <row r="270" spans="5:6">
      <c r="E270" s="110"/>
      <c r="F270" s="89"/>
    </row>
    <row r="271" spans="5:6">
      <c r="E271" s="110"/>
      <c r="F271" s="89"/>
    </row>
    <row r="272" spans="5:6">
      <c r="E272" s="110"/>
      <c r="F272" s="89"/>
    </row>
    <row r="273" spans="5:6">
      <c r="E273" s="110"/>
      <c r="F273" s="89"/>
    </row>
    <row r="274" spans="5:6">
      <c r="E274" s="110"/>
      <c r="F274" s="89"/>
    </row>
    <row r="275" spans="5:6">
      <c r="E275" s="110"/>
      <c r="F275" s="89"/>
    </row>
    <row r="276" spans="5:6">
      <c r="E276" s="110"/>
      <c r="F276" s="89"/>
    </row>
    <row r="277" spans="5:6">
      <c r="E277" s="110"/>
      <c r="F277" s="89"/>
    </row>
    <row r="278" spans="5:6">
      <c r="E278" s="110"/>
      <c r="F278" s="89"/>
    </row>
    <row r="279" spans="5:6">
      <c r="E279" s="110"/>
      <c r="F279" s="89"/>
    </row>
    <row r="280" spans="5:6">
      <c r="E280" s="110"/>
      <c r="F280" s="89"/>
    </row>
    <row r="281" spans="5:6">
      <c r="E281" s="110"/>
      <c r="F281" s="89"/>
    </row>
    <row r="282" spans="5:6">
      <c r="E282" s="110"/>
      <c r="F282" s="89"/>
    </row>
    <row r="283" spans="5:6">
      <c r="E283" s="110"/>
      <c r="F283" s="89"/>
    </row>
    <row r="284" spans="5:6">
      <c r="E284" s="110"/>
      <c r="F284" s="89"/>
    </row>
    <row r="285" spans="5:6">
      <c r="E285" s="110"/>
      <c r="F285" s="89"/>
    </row>
    <row r="286" spans="5:6">
      <c r="E286" s="110"/>
      <c r="F286" s="89"/>
    </row>
    <row r="287" spans="5:6">
      <c r="E287" s="110"/>
      <c r="F287" s="89"/>
    </row>
    <row r="288" spans="5:6">
      <c r="E288" s="110"/>
      <c r="F288" s="89"/>
    </row>
    <row r="289" spans="5:6">
      <c r="E289" s="110"/>
      <c r="F289" s="89"/>
    </row>
    <row r="290" spans="5:6">
      <c r="E290" s="110"/>
      <c r="F290" s="89"/>
    </row>
    <row r="291" spans="5:6">
      <c r="E291" s="110"/>
      <c r="F291" s="89"/>
    </row>
    <row r="292" spans="5:6">
      <c r="E292" s="110"/>
      <c r="F292" s="89"/>
    </row>
    <row r="293" spans="5:6">
      <c r="E293" s="110"/>
      <c r="F293" s="89"/>
    </row>
    <row r="294" spans="5:6">
      <c r="E294" s="110"/>
      <c r="F294" s="89"/>
    </row>
    <row r="295" spans="5:6">
      <c r="E295" s="110"/>
      <c r="F295" s="89"/>
    </row>
    <row r="296" spans="5:6">
      <c r="E296" s="110"/>
      <c r="F296" s="89"/>
    </row>
    <row r="297" spans="5:6">
      <c r="E297" s="110"/>
      <c r="F297" s="89"/>
    </row>
    <row r="298" spans="5:6">
      <c r="E298" s="110"/>
      <c r="F298" s="89"/>
    </row>
    <row r="299" spans="5:6">
      <c r="E299" s="110"/>
      <c r="F299" s="89"/>
    </row>
    <row r="300" spans="5:6">
      <c r="E300" s="110"/>
      <c r="F300" s="89"/>
    </row>
    <row r="301" spans="5:6">
      <c r="E301" s="110"/>
      <c r="F301" s="89"/>
    </row>
    <row r="302" spans="5:6">
      <c r="E302" s="110"/>
      <c r="F302" s="89"/>
    </row>
    <row r="303" spans="5:6">
      <c r="E303" s="110"/>
      <c r="F303" s="89"/>
    </row>
    <row r="304" spans="5:6">
      <c r="E304" s="110"/>
      <c r="F304" s="89"/>
    </row>
    <row r="305" spans="5:6">
      <c r="E305" s="110"/>
      <c r="F305" s="89"/>
    </row>
    <row r="306" spans="5:6">
      <c r="E306" s="110"/>
      <c r="F306" s="89"/>
    </row>
    <row r="307" spans="5:6">
      <c r="E307" s="110"/>
      <c r="F307" s="89"/>
    </row>
    <row r="308" spans="5:6">
      <c r="E308" s="110"/>
      <c r="F308" s="89"/>
    </row>
    <row r="309" spans="5:6">
      <c r="E309" s="110"/>
      <c r="F309" s="89"/>
    </row>
    <row r="310" spans="5:6">
      <c r="E310" s="110"/>
      <c r="F310" s="89"/>
    </row>
    <row r="311" spans="5:6">
      <c r="E311" s="110"/>
      <c r="F311" s="89"/>
    </row>
    <row r="312" spans="5:6">
      <c r="E312" s="110"/>
      <c r="F312" s="89"/>
    </row>
    <row r="313" spans="5:6">
      <c r="E313" s="110"/>
      <c r="F313" s="89"/>
    </row>
    <row r="314" spans="5:6">
      <c r="E314" s="110"/>
      <c r="F314" s="89"/>
    </row>
    <row r="315" spans="5:6">
      <c r="E315" s="110"/>
      <c r="F315" s="89"/>
    </row>
    <row r="316" spans="5:6">
      <c r="E316" s="110"/>
      <c r="F316" s="89"/>
    </row>
    <row r="317" spans="5:6">
      <c r="E317" s="110"/>
      <c r="F317" s="89"/>
    </row>
    <row r="318" spans="5:6">
      <c r="E318" s="110"/>
      <c r="F318" s="89"/>
    </row>
    <row r="319" spans="5:6">
      <c r="E319" s="110"/>
      <c r="F319" s="89"/>
    </row>
    <row r="320" spans="5:6">
      <c r="E320" s="110"/>
      <c r="F320" s="89"/>
    </row>
    <row r="321" spans="5:6">
      <c r="E321" s="110"/>
      <c r="F321" s="89"/>
    </row>
    <row r="322" spans="5:6">
      <c r="E322" s="110"/>
      <c r="F322" s="89"/>
    </row>
    <row r="323" spans="5:6">
      <c r="E323" s="110"/>
      <c r="F323" s="89"/>
    </row>
    <row r="324" spans="5:6">
      <c r="E324" s="110"/>
      <c r="F324" s="89"/>
    </row>
    <row r="325" spans="5:6">
      <c r="E325" s="110"/>
      <c r="F325" s="89"/>
    </row>
    <row r="326" spans="5:6">
      <c r="E326" s="110"/>
      <c r="F326" s="89"/>
    </row>
    <row r="327" spans="5:6">
      <c r="E327" s="110"/>
      <c r="F327" s="89"/>
    </row>
    <row r="328" spans="5:6">
      <c r="E328" s="110"/>
      <c r="F328" s="89"/>
    </row>
    <row r="329" spans="5:6">
      <c r="E329" s="110"/>
      <c r="F329" s="89"/>
    </row>
    <row r="330" spans="5:6">
      <c r="E330" s="110"/>
      <c r="F330" s="89"/>
    </row>
    <row r="331" spans="5:6">
      <c r="E331" s="110"/>
      <c r="F331" s="89"/>
    </row>
    <row r="332" spans="5:6">
      <c r="E332" s="110"/>
      <c r="F332" s="89"/>
    </row>
    <row r="333" spans="5:6">
      <c r="E333" s="110"/>
      <c r="F333" s="89"/>
    </row>
    <row r="334" spans="5:6">
      <c r="E334" s="110"/>
      <c r="F334" s="89"/>
    </row>
    <row r="335" spans="5:6">
      <c r="E335" s="110"/>
      <c r="F335" s="89"/>
    </row>
    <row r="336" spans="5:6">
      <c r="E336" s="110"/>
      <c r="F336" s="89"/>
    </row>
    <row r="337" spans="5:6">
      <c r="E337" s="110"/>
      <c r="F337" s="89"/>
    </row>
    <row r="338" spans="5:6">
      <c r="E338" s="110"/>
      <c r="F338" s="89"/>
    </row>
    <row r="339" spans="5:6">
      <c r="E339" s="110"/>
      <c r="F339" s="89"/>
    </row>
    <row r="340" spans="5:6">
      <c r="E340" s="110"/>
      <c r="F340" s="89"/>
    </row>
    <row r="341" spans="5:6">
      <c r="E341" s="110"/>
      <c r="F341" s="89"/>
    </row>
    <row r="342" spans="5:6">
      <c r="E342" s="110"/>
      <c r="F342" s="89"/>
    </row>
    <row r="343" spans="5:6">
      <c r="E343" s="110"/>
      <c r="F343" s="89"/>
    </row>
    <row r="344" spans="5:6">
      <c r="E344" s="110"/>
      <c r="F344" s="89"/>
    </row>
    <row r="345" spans="5:6">
      <c r="E345" s="110"/>
      <c r="F345" s="89"/>
    </row>
    <row r="346" spans="5:6">
      <c r="E346" s="110"/>
      <c r="F346" s="89"/>
    </row>
    <row r="347" spans="5:6">
      <c r="E347" s="110"/>
      <c r="F347" s="89"/>
    </row>
    <row r="348" spans="5:6">
      <c r="E348" s="110"/>
      <c r="F348" s="89"/>
    </row>
    <row r="349" spans="5:6">
      <c r="E349" s="110"/>
      <c r="F349" s="89"/>
    </row>
    <row r="350" spans="5:6">
      <c r="E350" s="110"/>
      <c r="F350" s="89"/>
    </row>
    <row r="351" spans="5:6">
      <c r="E351" s="110"/>
      <c r="F351" s="89"/>
    </row>
    <row r="352" spans="5:6">
      <c r="E352" s="110"/>
      <c r="F352" s="89"/>
    </row>
    <row r="353" spans="5:6">
      <c r="E353" s="110"/>
      <c r="F353" s="89"/>
    </row>
    <row r="354" spans="5:6">
      <c r="E354" s="110"/>
      <c r="F354" s="89"/>
    </row>
    <row r="355" spans="5:6">
      <c r="E355" s="110"/>
      <c r="F355" s="89"/>
    </row>
    <row r="356" spans="5:6">
      <c r="E356" s="110"/>
      <c r="F356" s="89"/>
    </row>
    <row r="357" spans="5:6">
      <c r="E357" s="110"/>
      <c r="F357" s="89"/>
    </row>
    <row r="358" spans="5:6">
      <c r="E358" s="110"/>
      <c r="F358" s="89"/>
    </row>
    <row r="359" spans="5:6">
      <c r="E359" s="110"/>
      <c r="F359" s="89"/>
    </row>
    <row r="360" spans="5:6">
      <c r="E360" s="110"/>
      <c r="F360" s="89"/>
    </row>
    <row r="361" spans="5:6">
      <c r="E361" s="110"/>
      <c r="F361" s="89"/>
    </row>
    <row r="362" spans="5:6">
      <c r="E362" s="110"/>
      <c r="F362" s="89"/>
    </row>
    <row r="363" spans="5:6">
      <c r="E363" s="110"/>
      <c r="F363" s="89"/>
    </row>
    <row r="364" spans="5:6">
      <c r="E364" s="110"/>
      <c r="F364" s="89"/>
    </row>
    <row r="365" spans="5:6">
      <c r="E365" s="110"/>
      <c r="F365" s="89"/>
    </row>
    <row r="366" spans="5:6">
      <c r="E366" s="110"/>
      <c r="F366" s="89"/>
    </row>
    <row r="367" spans="5:6">
      <c r="E367" s="110"/>
      <c r="F367" s="89"/>
    </row>
    <row r="368" spans="5:6">
      <c r="E368" s="110"/>
      <c r="F368" s="89"/>
    </row>
    <row r="369" spans="5:6">
      <c r="E369" s="110"/>
      <c r="F369" s="89"/>
    </row>
    <row r="370" spans="5:6">
      <c r="E370" s="110"/>
      <c r="F370" s="89"/>
    </row>
    <row r="371" spans="5:6">
      <c r="E371" s="110"/>
      <c r="F371" s="89"/>
    </row>
    <row r="372" spans="5:6">
      <c r="E372" s="110"/>
      <c r="F372" s="89"/>
    </row>
    <row r="373" spans="5:6">
      <c r="E373" s="110"/>
      <c r="F373" s="89"/>
    </row>
    <row r="374" spans="5:6">
      <c r="E374" s="110"/>
      <c r="F374" s="89"/>
    </row>
    <row r="375" spans="5:6">
      <c r="E375" s="110"/>
      <c r="F375" s="89"/>
    </row>
    <row r="376" spans="5:6">
      <c r="E376" s="110"/>
      <c r="F376" s="89"/>
    </row>
    <row r="377" spans="5:6">
      <c r="E377" s="110"/>
      <c r="F377" s="89"/>
    </row>
    <row r="378" spans="5:6">
      <c r="E378" s="110"/>
      <c r="F378" s="89"/>
    </row>
    <row r="379" spans="5:6">
      <c r="E379" s="110"/>
      <c r="F379" s="89"/>
    </row>
    <row r="380" spans="5:6">
      <c r="E380" s="110"/>
      <c r="F380" s="89"/>
    </row>
    <row r="381" spans="5:6">
      <c r="E381" s="110"/>
      <c r="F381" s="89"/>
    </row>
    <row r="382" spans="5:6">
      <c r="E382" s="110"/>
      <c r="F382" s="89"/>
    </row>
    <row r="383" spans="5:6">
      <c r="E383" s="110"/>
      <c r="F383" s="89"/>
    </row>
    <row r="384" spans="5:6">
      <c r="E384" s="110"/>
      <c r="F384" s="89"/>
    </row>
    <row r="385" spans="5:6">
      <c r="E385" s="110"/>
      <c r="F385" s="89"/>
    </row>
    <row r="386" spans="5:6">
      <c r="E386" s="110"/>
      <c r="F386" s="89"/>
    </row>
    <row r="387" spans="5:6">
      <c r="E387" s="110"/>
      <c r="F387" s="89"/>
    </row>
    <row r="388" spans="5:6">
      <c r="E388" s="110"/>
      <c r="F388" s="89"/>
    </row>
    <row r="389" spans="5:6">
      <c r="E389" s="110"/>
      <c r="F389" s="89"/>
    </row>
    <row r="390" spans="5:6">
      <c r="E390" s="110"/>
      <c r="F390" s="89"/>
    </row>
    <row r="391" spans="5:6">
      <c r="E391" s="110"/>
      <c r="F391" s="89"/>
    </row>
    <row r="392" spans="5:6">
      <c r="E392" s="110"/>
      <c r="F392" s="89"/>
    </row>
    <row r="393" spans="5:6">
      <c r="E393" s="110"/>
      <c r="F393" s="89"/>
    </row>
    <row r="394" spans="5:6">
      <c r="E394" s="110"/>
      <c r="F394" s="89"/>
    </row>
    <row r="395" spans="5:6">
      <c r="E395" s="110"/>
      <c r="F395" s="89"/>
    </row>
    <row r="396" spans="5:6">
      <c r="E396" s="110"/>
      <c r="F396" s="89"/>
    </row>
    <row r="397" spans="5:6">
      <c r="E397" s="110"/>
      <c r="F397" s="89"/>
    </row>
    <row r="398" spans="5:6">
      <c r="E398" s="110"/>
      <c r="F398" s="89"/>
    </row>
    <row r="399" spans="5:6">
      <c r="E399" s="110"/>
      <c r="F399" s="89"/>
    </row>
    <row r="400" spans="5:6">
      <c r="E400" s="110"/>
      <c r="F400" s="89"/>
    </row>
    <row r="401" spans="5:6">
      <c r="E401" s="110"/>
      <c r="F401" s="89"/>
    </row>
    <row r="402" spans="5:6">
      <c r="E402" s="110"/>
      <c r="F402" s="89"/>
    </row>
    <row r="403" spans="5:6">
      <c r="E403" s="110"/>
      <c r="F403" s="89"/>
    </row>
    <row r="404" spans="5:6">
      <c r="E404" s="110"/>
      <c r="F404" s="89"/>
    </row>
    <row r="405" spans="5:6">
      <c r="E405" s="110"/>
      <c r="F405" s="89"/>
    </row>
    <row r="406" spans="5:6">
      <c r="E406" s="110"/>
      <c r="F406" s="89"/>
    </row>
    <row r="407" spans="5:6">
      <c r="E407" s="110"/>
      <c r="F407" s="89"/>
    </row>
    <row r="408" spans="5:6">
      <c r="E408" s="110"/>
      <c r="F408" s="89"/>
    </row>
    <row r="409" spans="5:6">
      <c r="E409" s="110"/>
      <c r="F409" s="89"/>
    </row>
    <row r="410" spans="5:6">
      <c r="E410" s="110"/>
      <c r="F410" s="89"/>
    </row>
    <row r="411" spans="5:6">
      <c r="E411" s="110"/>
      <c r="F411" s="89"/>
    </row>
    <row r="412" spans="5:6">
      <c r="E412" s="110"/>
      <c r="F412" s="89"/>
    </row>
    <row r="413" spans="5:6">
      <c r="E413" s="110"/>
      <c r="F413" s="89"/>
    </row>
    <row r="414" spans="5:6">
      <c r="E414" s="110"/>
      <c r="F414" s="89"/>
    </row>
    <row r="415" spans="5:6">
      <c r="E415" s="110"/>
      <c r="F415" s="89"/>
    </row>
    <row r="416" spans="5:6">
      <c r="E416" s="110"/>
      <c r="F416" s="89"/>
    </row>
    <row r="417" spans="5:6">
      <c r="E417" s="110"/>
      <c r="F417" s="89"/>
    </row>
    <row r="418" spans="5:6">
      <c r="E418" s="110"/>
      <c r="F418" s="89"/>
    </row>
    <row r="419" spans="5:6">
      <c r="E419" s="110"/>
      <c r="F419" s="89"/>
    </row>
    <row r="420" spans="5:6">
      <c r="E420" s="110"/>
      <c r="F420" s="89"/>
    </row>
    <row r="421" spans="5:6">
      <c r="E421" s="110"/>
      <c r="F421" s="89"/>
    </row>
    <row r="422" spans="5:6">
      <c r="E422" s="110"/>
      <c r="F422" s="89"/>
    </row>
    <row r="423" spans="5:6">
      <c r="E423" s="110"/>
      <c r="F423" s="89"/>
    </row>
    <row r="424" spans="5:6">
      <c r="E424" s="110"/>
      <c r="F424" s="89"/>
    </row>
    <row r="425" spans="5:6">
      <c r="E425" s="110"/>
      <c r="F425" s="89"/>
    </row>
    <row r="426" spans="5:6">
      <c r="E426" s="110"/>
      <c r="F426" s="89"/>
    </row>
    <row r="427" spans="5:6">
      <c r="E427" s="110"/>
      <c r="F427" s="89"/>
    </row>
    <row r="428" spans="5:6">
      <c r="E428" s="110"/>
      <c r="F428" s="89"/>
    </row>
    <row r="429" spans="5:6">
      <c r="E429" s="110"/>
      <c r="F429" s="89"/>
    </row>
    <row r="430" spans="5:6">
      <c r="E430" s="110"/>
      <c r="F430" s="89"/>
    </row>
    <row r="431" spans="5:6">
      <c r="E431" s="110"/>
      <c r="F431" s="89"/>
    </row>
    <row r="432" spans="5:6">
      <c r="E432" s="110"/>
      <c r="F432" s="89"/>
    </row>
    <row r="433" spans="5:6">
      <c r="E433" s="110"/>
      <c r="F433" s="89"/>
    </row>
    <row r="434" spans="5:6">
      <c r="E434" s="110"/>
      <c r="F434" s="89"/>
    </row>
    <row r="435" spans="5:6">
      <c r="E435" s="110"/>
      <c r="F435" s="89"/>
    </row>
    <row r="436" spans="5:6">
      <c r="E436" s="110"/>
      <c r="F436" s="89"/>
    </row>
    <row r="437" spans="5:6">
      <c r="E437" s="110"/>
      <c r="F437" s="89"/>
    </row>
    <row r="438" spans="5:6">
      <c r="E438" s="110"/>
      <c r="F438" s="89"/>
    </row>
    <row r="439" spans="5:6">
      <c r="E439" s="110"/>
      <c r="F439" s="89"/>
    </row>
    <row r="440" spans="5:6">
      <c r="E440" s="110"/>
      <c r="F440" s="89"/>
    </row>
    <row r="441" spans="5:6">
      <c r="E441" s="110"/>
      <c r="F441" s="89"/>
    </row>
    <row r="442" spans="5:6">
      <c r="E442" s="110"/>
      <c r="F442" s="89"/>
    </row>
    <row r="443" spans="5:6">
      <c r="E443" s="110"/>
      <c r="F443" s="89"/>
    </row>
    <row r="444" spans="5:6">
      <c r="E444" s="110"/>
      <c r="F444" s="89"/>
    </row>
    <row r="445" spans="5:6">
      <c r="E445" s="110"/>
      <c r="F445" s="89"/>
    </row>
    <row r="446" spans="5:6">
      <c r="E446" s="110"/>
      <c r="F446" s="89"/>
    </row>
    <row r="447" spans="5:6">
      <c r="E447" s="110"/>
      <c r="F447" s="89"/>
    </row>
    <row r="448" spans="5:6">
      <c r="E448" s="110"/>
      <c r="F448" s="89"/>
    </row>
    <row r="449" spans="5:6">
      <c r="E449" s="110"/>
      <c r="F449" s="89"/>
    </row>
    <row r="450" spans="5:6">
      <c r="E450" s="110"/>
      <c r="F450" s="89"/>
    </row>
    <row r="451" spans="5:6">
      <c r="E451" s="110"/>
      <c r="F451" s="89"/>
    </row>
    <row r="452" spans="5:6">
      <c r="E452" s="110"/>
      <c r="F452" s="89"/>
    </row>
    <row r="453" spans="5:6">
      <c r="E453" s="110"/>
      <c r="F453" s="89"/>
    </row>
    <row r="454" spans="5:6">
      <c r="E454" s="110"/>
      <c r="F454" s="89"/>
    </row>
    <row r="455" spans="5:6">
      <c r="E455" s="110"/>
      <c r="F455" s="89"/>
    </row>
    <row r="456" spans="5:6">
      <c r="E456" s="110"/>
      <c r="F456" s="89"/>
    </row>
    <row r="457" spans="5:6">
      <c r="E457" s="110"/>
      <c r="F457" s="89"/>
    </row>
    <row r="458" spans="5:6">
      <c r="E458" s="110"/>
      <c r="F458" s="89"/>
    </row>
    <row r="459" spans="5:6">
      <c r="E459" s="110"/>
      <c r="F459" s="89"/>
    </row>
    <row r="460" spans="5:6">
      <c r="E460" s="110"/>
      <c r="F460" s="89"/>
    </row>
    <row r="461" spans="5:6">
      <c r="E461" s="110"/>
      <c r="F461" s="89"/>
    </row>
    <row r="462" spans="5:6">
      <c r="E462" s="110"/>
      <c r="F462" s="89"/>
    </row>
    <row r="463" spans="5:6">
      <c r="E463" s="110"/>
      <c r="F463" s="89"/>
    </row>
    <row r="464" spans="5:6">
      <c r="E464" s="110"/>
      <c r="F464" s="89"/>
    </row>
    <row r="465" spans="5:6">
      <c r="E465" s="110"/>
      <c r="F465" s="89"/>
    </row>
    <row r="466" spans="5:6">
      <c r="E466" s="110"/>
      <c r="F466" s="89"/>
    </row>
    <row r="467" spans="5:6">
      <c r="E467" s="110"/>
      <c r="F467" s="89"/>
    </row>
    <row r="468" spans="5:6">
      <c r="E468" s="110"/>
      <c r="F468" s="89"/>
    </row>
    <row r="469" spans="5:6">
      <c r="E469" s="110"/>
      <c r="F469" s="89"/>
    </row>
    <row r="470" spans="5:6">
      <c r="E470" s="110"/>
      <c r="F470" s="89"/>
    </row>
    <row r="471" spans="5:6">
      <c r="E471" s="110"/>
      <c r="F471" s="89"/>
    </row>
    <row r="472" spans="5:6">
      <c r="E472" s="110"/>
      <c r="F472" s="89"/>
    </row>
    <row r="473" spans="5:6">
      <c r="E473" s="110"/>
      <c r="F473" s="89"/>
    </row>
    <row r="474" spans="5:6">
      <c r="E474" s="110"/>
      <c r="F474" s="89"/>
    </row>
    <row r="475" spans="5:6">
      <c r="E475" s="110"/>
      <c r="F475" s="89"/>
    </row>
    <row r="476" spans="5:6">
      <c r="E476" s="110"/>
      <c r="F476" s="89"/>
    </row>
    <row r="477" spans="5:6">
      <c r="E477" s="110"/>
      <c r="F477" s="89"/>
    </row>
    <row r="478" spans="5:6">
      <c r="E478" s="110"/>
      <c r="F478" s="89"/>
    </row>
    <row r="479" spans="5:6">
      <c r="E479" s="110"/>
      <c r="F479" s="89"/>
    </row>
    <row r="480" spans="5:6">
      <c r="E480" s="110"/>
      <c r="F480" s="89"/>
    </row>
    <row r="481" spans="5:6">
      <c r="E481" s="110"/>
      <c r="F481" s="89"/>
    </row>
    <row r="482" spans="5:6">
      <c r="E482" s="110"/>
      <c r="F482" s="89"/>
    </row>
    <row r="483" spans="5:6">
      <c r="E483" s="110"/>
      <c r="F483" s="89"/>
    </row>
    <row r="484" spans="5:6">
      <c r="E484" s="110"/>
      <c r="F484" s="89"/>
    </row>
    <row r="485" spans="5:6">
      <c r="E485" s="110"/>
      <c r="F485" s="89"/>
    </row>
    <row r="486" spans="5:6">
      <c r="E486" s="110"/>
      <c r="F486" s="89"/>
    </row>
    <row r="487" spans="5:6">
      <c r="E487" s="110"/>
      <c r="F487" s="89"/>
    </row>
    <row r="488" spans="5:6">
      <c r="E488" s="110"/>
      <c r="F488" s="89"/>
    </row>
    <row r="489" spans="5:6">
      <c r="E489" s="110"/>
      <c r="F489" s="89"/>
    </row>
    <row r="490" spans="5:6">
      <c r="E490" s="110"/>
      <c r="F490" s="89"/>
    </row>
    <row r="491" spans="5:6">
      <c r="E491" s="110"/>
      <c r="F491" s="89"/>
    </row>
    <row r="492" spans="5:6">
      <c r="E492" s="110"/>
      <c r="F492" s="89"/>
    </row>
    <row r="493" spans="5:6">
      <c r="E493" s="110"/>
      <c r="F493" s="89"/>
    </row>
    <row r="494" spans="5:6">
      <c r="E494" s="110"/>
      <c r="F494" s="89"/>
    </row>
    <row r="495" spans="5:6">
      <c r="E495" s="110"/>
      <c r="F495" s="89"/>
    </row>
    <row r="496" spans="5:6">
      <c r="E496" s="110"/>
      <c r="F496" s="89"/>
    </row>
    <row r="497" spans="5:6">
      <c r="E497" s="110"/>
      <c r="F497" s="89"/>
    </row>
    <row r="498" spans="5:6">
      <c r="E498" s="110"/>
      <c r="F498" s="89"/>
    </row>
    <row r="499" spans="5:6">
      <c r="E499" s="110"/>
      <c r="F499" s="89"/>
    </row>
    <row r="500" spans="5:6">
      <c r="E500" s="110"/>
      <c r="F500" s="89"/>
    </row>
    <row r="501" spans="5:6">
      <c r="E501" s="110"/>
      <c r="F501" s="89"/>
    </row>
    <row r="502" spans="5:6">
      <c r="E502" s="110"/>
      <c r="F502" s="89"/>
    </row>
    <row r="503" spans="5:6">
      <c r="E503" s="110"/>
      <c r="F503" s="89"/>
    </row>
    <row r="504" spans="5:6">
      <c r="E504" s="110"/>
      <c r="F504" s="89"/>
    </row>
    <row r="505" spans="5:6">
      <c r="E505" s="110"/>
      <c r="F505" s="89"/>
    </row>
    <row r="506" spans="5:6">
      <c r="E506" s="110"/>
      <c r="F506" s="89"/>
    </row>
    <row r="507" spans="5:6">
      <c r="E507" s="110"/>
      <c r="F507" s="89"/>
    </row>
    <row r="508" spans="5:6">
      <c r="E508" s="110"/>
      <c r="F508" s="89"/>
    </row>
    <row r="509" spans="5:6">
      <c r="E509" s="110"/>
      <c r="F509" s="89"/>
    </row>
    <row r="510" spans="5:6">
      <c r="E510" s="110"/>
      <c r="F510" s="89"/>
    </row>
    <row r="511" spans="5:6">
      <c r="E511" s="110"/>
      <c r="F511" s="89"/>
    </row>
    <row r="512" spans="5:6">
      <c r="E512" s="110"/>
      <c r="F512" s="89"/>
    </row>
    <row r="513" spans="5:6">
      <c r="E513" s="110"/>
      <c r="F513" s="89"/>
    </row>
    <row r="514" spans="5:6">
      <c r="E514" s="110"/>
      <c r="F514" s="89"/>
    </row>
    <row r="515" spans="5:6">
      <c r="E515" s="110"/>
      <c r="F515" s="89"/>
    </row>
    <row r="516" spans="5:6">
      <c r="E516" s="110"/>
      <c r="F516" s="89"/>
    </row>
    <row r="517" spans="5:6">
      <c r="E517" s="110"/>
      <c r="F517" s="89"/>
    </row>
    <row r="518" spans="5:6">
      <c r="E518" s="110"/>
      <c r="F518" s="89"/>
    </row>
    <row r="519" spans="5:6">
      <c r="E519" s="110"/>
      <c r="F519" s="89"/>
    </row>
    <row r="520" spans="5:6">
      <c r="E520" s="110"/>
      <c r="F520" s="89"/>
    </row>
    <row r="521" spans="5:6">
      <c r="E521" s="110"/>
      <c r="F521" s="89"/>
    </row>
    <row r="522" spans="5:6">
      <c r="E522" s="110"/>
      <c r="F522" s="89"/>
    </row>
    <row r="523" spans="5:6">
      <c r="E523" s="110"/>
      <c r="F523" s="89"/>
    </row>
    <row r="524" spans="5:6">
      <c r="E524" s="110"/>
      <c r="F524" s="89"/>
    </row>
    <row r="525" spans="5:6">
      <c r="E525" s="110"/>
      <c r="F525" s="89"/>
    </row>
    <row r="526" spans="5:6">
      <c r="E526" s="110"/>
      <c r="F526" s="89"/>
    </row>
    <row r="527" spans="5:6">
      <c r="E527" s="110"/>
      <c r="F527" s="89"/>
    </row>
    <row r="528" spans="5:6">
      <c r="E528" s="110"/>
      <c r="F528" s="89"/>
    </row>
    <row r="529" spans="5:6">
      <c r="E529" s="110"/>
      <c r="F529" s="89"/>
    </row>
    <row r="530" spans="5:6">
      <c r="E530" s="110"/>
      <c r="F530" s="89"/>
    </row>
    <row r="531" spans="5:6">
      <c r="E531" s="110"/>
      <c r="F531" s="89"/>
    </row>
    <row r="532" spans="5:6">
      <c r="E532" s="110"/>
      <c r="F532" s="89"/>
    </row>
    <row r="533" spans="5:6">
      <c r="E533" s="110"/>
      <c r="F533" s="89"/>
    </row>
    <row r="534" spans="5:6">
      <c r="E534" s="110"/>
      <c r="F534" s="89"/>
    </row>
    <row r="535" spans="5:6">
      <c r="E535" s="110"/>
      <c r="F535" s="89"/>
    </row>
    <row r="536" spans="5:6">
      <c r="E536" s="110"/>
      <c r="F536" s="89"/>
    </row>
    <row r="537" spans="5:6">
      <c r="E537" s="110"/>
      <c r="F537" s="89"/>
    </row>
    <row r="538" spans="5:6">
      <c r="E538" s="110"/>
      <c r="F538" s="89"/>
    </row>
    <row r="539" spans="5:6">
      <c r="E539" s="110"/>
      <c r="F539" s="89"/>
    </row>
    <row r="540" spans="5:6">
      <c r="E540" s="110"/>
      <c r="F540" s="89"/>
    </row>
    <row r="541" spans="5:6">
      <c r="E541" s="110"/>
      <c r="F541" s="89"/>
    </row>
    <row r="542" spans="5:6">
      <c r="E542" s="110"/>
      <c r="F542" s="89"/>
    </row>
    <row r="543" spans="5:6">
      <c r="E543" s="110"/>
      <c r="F543" s="89"/>
    </row>
    <row r="544" spans="5:6">
      <c r="E544" s="110"/>
      <c r="F544" s="89"/>
    </row>
    <row r="545" spans="5:6">
      <c r="E545" s="110"/>
      <c r="F545" s="89"/>
    </row>
    <row r="546" spans="5:6">
      <c r="E546" s="110"/>
      <c r="F546" s="89"/>
    </row>
    <row r="547" spans="5:6">
      <c r="E547" s="110"/>
      <c r="F547" s="89"/>
    </row>
    <row r="548" spans="5:6">
      <c r="E548" s="110"/>
      <c r="F548" s="89"/>
    </row>
    <row r="549" spans="5:6">
      <c r="E549" s="110"/>
      <c r="F549" s="89"/>
    </row>
    <row r="550" spans="5:6">
      <c r="E550" s="110"/>
      <c r="F550" s="89"/>
    </row>
    <row r="551" spans="5:6">
      <c r="E551" s="110"/>
      <c r="F551" s="89"/>
    </row>
    <row r="552" spans="5:6">
      <c r="E552" s="110"/>
      <c r="F552" s="89"/>
    </row>
    <row r="553" spans="5:6">
      <c r="E553" s="110"/>
      <c r="F553" s="89"/>
    </row>
    <row r="554" spans="5:6">
      <c r="E554" s="110"/>
      <c r="F554" s="89"/>
    </row>
    <row r="555" spans="5:6">
      <c r="E555" s="110"/>
      <c r="F555" s="89"/>
    </row>
    <row r="556" spans="5:6">
      <c r="E556" s="110"/>
      <c r="F556" s="89"/>
    </row>
    <row r="557" spans="5:6">
      <c r="E557" s="110"/>
      <c r="F557" s="89"/>
    </row>
    <row r="558" spans="5:6">
      <c r="E558" s="110"/>
      <c r="F558" s="89"/>
    </row>
    <row r="559" spans="5:6">
      <c r="E559" s="110"/>
      <c r="F559" s="89"/>
    </row>
    <row r="560" spans="5:6">
      <c r="E560" s="110"/>
      <c r="F560" s="89"/>
    </row>
    <row r="561" spans="5:6">
      <c r="E561" s="110"/>
      <c r="F561" s="89"/>
    </row>
    <row r="562" spans="5:6">
      <c r="E562" s="110"/>
      <c r="F562" s="89"/>
    </row>
    <row r="563" spans="5:6">
      <c r="E563" s="110"/>
      <c r="F563" s="89"/>
    </row>
    <row r="564" spans="5:6">
      <c r="E564" s="110"/>
      <c r="F564" s="89"/>
    </row>
    <row r="565" spans="5:6">
      <c r="E565" s="110"/>
      <c r="F565" s="89"/>
    </row>
    <row r="566" spans="5:6">
      <c r="E566" s="110"/>
      <c r="F566" s="89"/>
    </row>
    <row r="567" spans="5:6">
      <c r="E567" s="110"/>
      <c r="F567" s="89"/>
    </row>
    <row r="568" spans="5:6">
      <c r="E568" s="110"/>
      <c r="F568" s="89"/>
    </row>
    <row r="569" spans="5:6">
      <c r="E569" s="110"/>
      <c r="F569" s="89"/>
    </row>
    <row r="570" spans="5:6">
      <c r="E570" s="110"/>
      <c r="F570" s="89"/>
    </row>
    <row r="571" spans="5:6">
      <c r="E571" s="110"/>
      <c r="F571" s="89"/>
    </row>
    <row r="572" spans="5:6">
      <c r="E572" s="110"/>
      <c r="F572" s="89"/>
    </row>
    <row r="573" spans="5:6">
      <c r="E573" s="110"/>
      <c r="F573" s="89"/>
    </row>
    <row r="574" spans="5:6">
      <c r="E574" s="110"/>
      <c r="F574" s="89"/>
    </row>
    <row r="575" spans="5:6">
      <c r="E575" s="110"/>
      <c r="F575" s="89"/>
    </row>
    <row r="576" spans="5:6">
      <c r="E576" s="110"/>
      <c r="F576" s="89"/>
    </row>
    <row r="577" spans="5:6">
      <c r="E577" s="110"/>
      <c r="F577" s="89"/>
    </row>
    <row r="578" spans="5:6">
      <c r="E578" s="110"/>
      <c r="F578" s="89"/>
    </row>
    <row r="579" spans="5:6">
      <c r="E579" s="110"/>
      <c r="F579" s="89"/>
    </row>
    <row r="580" spans="5:6">
      <c r="E580" s="110"/>
      <c r="F580" s="89"/>
    </row>
    <row r="581" spans="5:6">
      <c r="E581" s="110"/>
      <c r="F581" s="89"/>
    </row>
    <row r="582" spans="5:6">
      <c r="E582" s="110"/>
      <c r="F582" s="89"/>
    </row>
    <row r="583" spans="5:6">
      <c r="E583" s="110"/>
      <c r="F583" s="89"/>
    </row>
    <row r="584" spans="5:6">
      <c r="E584" s="110"/>
      <c r="F584" s="89"/>
    </row>
    <row r="585" spans="5:6">
      <c r="E585" s="110"/>
      <c r="F585" s="89"/>
    </row>
    <row r="586" spans="5:6">
      <c r="E586" s="110"/>
      <c r="F586" s="89"/>
    </row>
    <row r="587" spans="5:6">
      <c r="E587" s="110"/>
      <c r="F587" s="89"/>
    </row>
    <row r="588" spans="5:6">
      <c r="E588" s="110"/>
      <c r="F588" s="89"/>
    </row>
    <row r="589" spans="5:6">
      <c r="E589" s="110"/>
      <c r="F589" s="89"/>
    </row>
    <row r="590" spans="5:6">
      <c r="E590" s="110"/>
      <c r="F590" s="89"/>
    </row>
    <row r="591" spans="5:6">
      <c r="E591" s="110"/>
      <c r="F591" s="89"/>
    </row>
    <row r="592" spans="5:6">
      <c r="E592" s="110"/>
      <c r="F592" s="89"/>
    </row>
    <row r="593" spans="5:6">
      <c r="E593" s="110"/>
      <c r="F593" s="89"/>
    </row>
    <row r="594" spans="5:6">
      <c r="E594" s="110"/>
      <c r="F594" s="89"/>
    </row>
    <row r="595" spans="5:6">
      <c r="E595" s="110"/>
      <c r="F595" s="89"/>
    </row>
    <row r="596" spans="5:6">
      <c r="E596" s="110"/>
      <c r="F596" s="89"/>
    </row>
    <row r="597" spans="5:6">
      <c r="E597" s="110"/>
      <c r="F597" s="89"/>
    </row>
    <row r="598" spans="5:6">
      <c r="E598" s="110"/>
      <c r="F598" s="89"/>
    </row>
    <row r="599" spans="5:6">
      <c r="E599" s="110"/>
      <c r="F599" s="89"/>
    </row>
    <row r="600" spans="5:6">
      <c r="E600" s="110"/>
      <c r="F600" s="89"/>
    </row>
    <row r="601" spans="5:6">
      <c r="E601" s="110"/>
      <c r="F601" s="89"/>
    </row>
    <row r="602" spans="5:6">
      <c r="E602" s="110"/>
      <c r="F602" s="89"/>
    </row>
    <row r="603" spans="5:6">
      <c r="E603" s="110"/>
      <c r="F603" s="89"/>
    </row>
    <row r="604" spans="5:6">
      <c r="E604" s="110"/>
      <c r="F604" s="89"/>
    </row>
    <row r="605" spans="5:6">
      <c r="E605" s="110"/>
      <c r="F605" s="89"/>
    </row>
    <row r="606" spans="5:6">
      <c r="E606" s="110"/>
      <c r="F606" s="89"/>
    </row>
    <row r="607" spans="5:6">
      <c r="E607" s="110"/>
      <c r="F607" s="89"/>
    </row>
    <row r="608" spans="5:6">
      <c r="E608" s="110"/>
      <c r="F608" s="89"/>
    </row>
    <row r="609" spans="5:6">
      <c r="E609" s="110"/>
      <c r="F609" s="89"/>
    </row>
    <row r="610" spans="5:6">
      <c r="E610" s="110"/>
      <c r="F610" s="89"/>
    </row>
    <row r="611" spans="5:6">
      <c r="E611" s="110"/>
      <c r="F611" s="89"/>
    </row>
    <row r="612" spans="5:6">
      <c r="E612" s="110"/>
      <c r="F612" s="89"/>
    </row>
    <row r="613" spans="5:6">
      <c r="E613" s="110"/>
      <c r="F613" s="89"/>
    </row>
    <row r="614" spans="5:6">
      <c r="E614" s="110"/>
      <c r="F614" s="89"/>
    </row>
    <row r="615" spans="5:6">
      <c r="E615" s="110"/>
      <c r="F615" s="89"/>
    </row>
    <row r="616" spans="5:6">
      <c r="E616" s="110"/>
      <c r="F616" s="89"/>
    </row>
    <row r="617" spans="5:6">
      <c r="E617" s="110"/>
      <c r="F617" s="89"/>
    </row>
    <row r="618" spans="5:6">
      <c r="E618" s="110"/>
      <c r="F618" s="89"/>
    </row>
    <row r="619" spans="5:6">
      <c r="E619" s="110"/>
      <c r="F619" s="89"/>
    </row>
    <row r="620" spans="5:6">
      <c r="E620" s="110"/>
      <c r="F620" s="89"/>
    </row>
    <row r="621" spans="5:6">
      <c r="E621" s="110"/>
      <c r="F621" s="89"/>
    </row>
    <row r="622" spans="5:6">
      <c r="E622" s="110"/>
      <c r="F622" s="89"/>
    </row>
    <row r="623" spans="5:6">
      <c r="E623" s="110"/>
      <c r="F623" s="89"/>
    </row>
    <row r="624" spans="5:6">
      <c r="E624" s="110"/>
      <c r="F624" s="89"/>
    </row>
    <row r="625" spans="5:6">
      <c r="E625" s="110"/>
      <c r="F625" s="89"/>
    </row>
    <row r="626" spans="5:6">
      <c r="E626" s="110"/>
      <c r="F626" s="89"/>
    </row>
    <row r="627" spans="5:6">
      <c r="E627" s="110"/>
      <c r="F627" s="89"/>
    </row>
    <row r="628" spans="5:6">
      <c r="E628" s="110"/>
      <c r="F628" s="89"/>
    </row>
    <row r="629" spans="5:6">
      <c r="E629" s="110"/>
      <c r="F629" s="89"/>
    </row>
    <row r="630" spans="5:6">
      <c r="E630" s="110"/>
      <c r="F630" s="89"/>
    </row>
    <row r="631" spans="5:6">
      <c r="E631" s="110"/>
      <c r="F631" s="89"/>
    </row>
    <row r="632" spans="5:6">
      <c r="E632" s="110"/>
      <c r="F632" s="89"/>
    </row>
    <row r="633" spans="5:6">
      <c r="E633" s="110"/>
      <c r="F633" s="89"/>
    </row>
    <row r="634" spans="5:6">
      <c r="E634" s="110"/>
      <c r="F634" s="89"/>
    </row>
    <row r="635" spans="5:6">
      <c r="E635" s="110"/>
      <c r="F635" s="89"/>
    </row>
    <row r="636" spans="5:6">
      <c r="E636" s="110"/>
      <c r="F636" s="89"/>
    </row>
    <row r="637" spans="5:6">
      <c r="E637" s="110"/>
      <c r="F637" s="89"/>
    </row>
    <row r="638" spans="5:6">
      <c r="E638" s="110"/>
      <c r="F638" s="89"/>
    </row>
    <row r="639" spans="5:6">
      <c r="E639" s="110"/>
      <c r="F639" s="89"/>
    </row>
    <row r="640" spans="5:6">
      <c r="E640" s="110"/>
      <c r="F640" s="89"/>
    </row>
    <row r="641" spans="5:6">
      <c r="E641" s="110"/>
      <c r="F641" s="89"/>
    </row>
    <row r="642" spans="5:6">
      <c r="E642" s="110"/>
      <c r="F642" s="89"/>
    </row>
    <row r="643" spans="5:6">
      <c r="E643" s="110"/>
      <c r="F643" s="89"/>
    </row>
    <row r="644" spans="5:6">
      <c r="E644" s="110"/>
      <c r="F644" s="89"/>
    </row>
    <row r="645" spans="5:6">
      <c r="E645" s="110"/>
      <c r="F645" s="89"/>
    </row>
    <row r="646" spans="5:6">
      <c r="E646" s="110"/>
      <c r="F646" s="89"/>
    </row>
    <row r="647" spans="5:6">
      <c r="E647" s="110"/>
      <c r="F647" s="89"/>
    </row>
    <row r="648" spans="5:6">
      <c r="E648" s="110"/>
      <c r="F648" s="89"/>
    </row>
    <row r="649" spans="5:6">
      <c r="E649" s="110"/>
      <c r="F649" s="89"/>
    </row>
    <row r="650" spans="5:6">
      <c r="E650" s="110"/>
      <c r="F650" s="89"/>
    </row>
    <row r="651" spans="5:6">
      <c r="E651" s="110"/>
      <c r="F651" s="89"/>
    </row>
    <row r="652" spans="5:6">
      <c r="E652" s="110"/>
      <c r="F652" s="89"/>
    </row>
    <row r="653" spans="5:6">
      <c r="E653" s="110"/>
      <c r="F653" s="89"/>
    </row>
    <row r="654" spans="5:6">
      <c r="E654" s="110"/>
      <c r="F654" s="89"/>
    </row>
    <row r="655" spans="5:6">
      <c r="E655" s="110"/>
      <c r="F655" s="89"/>
    </row>
    <row r="656" spans="5:6">
      <c r="E656" s="110"/>
      <c r="F656" s="89"/>
    </row>
    <row r="657" spans="5:6">
      <c r="E657" s="110"/>
      <c r="F657" s="89"/>
    </row>
    <row r="658" spans="5:6">
      <c r="E658" s="110"/>
      <c r="F658" s="89"/>
    </row>
    <row r="659" spans="5:6">
      <c r="E659" s="110"/>
      <c r="F659" s="89"/>
    </row>
    <row r="660" spans="5:6">
      <c r="E660" s="110"/>
      <c r="F660" s="89"/>
    </row>
    <row r="661" spans="5:6">
      <c r="E661" s="110"/>
      <c r="F661" s="89"/>
    </row>
    <row r="662" spans="5:6">
      <c r="E662" s="110"/>
      <c r="F662" s="89"/>
    </row>
    <row r="663" spans="5:6">
      <c r="E663" s="110"/>
      <c r="F663" s="89"/>
    </row>
    <row r="664" spans="5:6">
      <c r="E664" s="110"/>
      <c r="F664" s="89"/>
    </row>
    <row r="665" spans="5:6">
      <c r="E665" s="110"/>
      <c r="F665" s="89"/>
    </row>
    <row r="666" spans="5:6">
      <c r="E666" s="110"/>
      <c r="F666" s="89"/>
    </row>
    <row r="667" spans="5:6">
      <c r="E667" s="110"/>
      <c r="F667" s="89"/>
    </row>
    <row r="668" spans="5:6">
      <c r="E668" s="110"/>
      <c r="F668" s="89"/>
    </row>
    <row r="669" spans="5:6">
      <c r="E669" s="110"/>
      <c r="F669" s="89"/>
    </row>
    <row r="670" spans="5:6">
      <c r="E670" s="110"/>
      <c r="F670" s="89"/>
    </row>
    <row r="671" spans="5:6">
      <c r="E671" s="110"/>
      <c r="F671" s="89"/>
    </row>
    <row r="672" spans="5:6">
      <c r="E672" s="110"/>
      <c r="F672" s="89"/>
    </row>
    <row r="673" spans="5:6">
      <c r="E673" s="110"/>
      <c r="F673" s="89"/>
    </row>
    <row r="674" spans="5:6">
      <c r="E674" s="110"/>
      <c r="F674" s="89"/>
    </row>
    <row r="675" spans="5:6">
      <c r="E675" s="110"/>
      <c r="F675" s="89"/>
    </row>
    <row r="676" spans="5:6">
      <c r="E676" s="110"/>
      <c r="F676" s="89"/>
    </row>
    <row r="677" spans="5:6">
      <c r="E677" s="110"/>
      <c r="F677" s="89"/>
    </row>
    <row r="678" spans="5:6">
      <c r="E678" s="110"/>
      <c r="F678" s="89"/>
    </row>
    <row r="679" spans="5:6">
      <c r="E679" s="110"/>
      <c r="F679" s="89"/>
    </row>
    <row r="680" spans="5:6">
      <c r="E680" s="110"/>
      <c r="F680" s="89"/>
    </row>
    <row r="681" spans="5:6">
      <c r="E681" s="110"/>
      <c r="F681" s="89"/>
    </row>
    <row r="682" spans="5:6">
      <c r="E682" s="110"/>
      <c r="F682" s="89"/>
    </row>
    <row r="683" spans="5:6">
      <c r="E683" s="110"/>
      <c r="F683" s="89"/>
    </row>
    <row r="684" spans="5:6">
      <c r="E684" s="110"/>
      <c r="F684" s="89"/>
    </row>
    <row r="685" spans="5:6">
      <c r="E685" s="110"/>
      <c r="F685" s="89"/>
    </row>
    <row r="686" spans="5:6">
      <c r="E686" s="110"/>
      <c r="F686" s="89"/>
    </row>
    <row r="687" spans="5:6">
      <c r="E687" s="110"/>
      <c r="F687" s="89"/>
    </row>
    <row r="688" spans="5:6">
      <c r="E688" s="110"/>
      <c r="F688" s="89"/>
    </row>
    <row r="689" spans="5:6">
      <c r="E689" s="110"/>
      <c r="F689" s="89"/>
    </row>
    <row r="690" spans="5:6">
      <c r="E690" s="110"/>
      <c r="F690" s="89"/>
    </row>
    <row r="691" spans="5:6">
      <c r="E691" s="110"/>
      <c r="F691" s="89"/>
    </row>
    <row r="692" spans="5:6">
      <c r="E692" s="110"/>
      <c r="F692" s="89"/>
    </row>
    <row r="693" spans="5:6">
      <c r="E693" s="110"/>
      <c r="F693" s="89"/>
    </row>
    <row r="694" spans="5:6">
      <c r="E694" s="110"/>
      <c r="F694" s="89"/>
    </row>
    <row r="695" spans="5:6">
      <c r="E695" s="110"/>
      <c r="F695" s="89"/>
    </row>
    <row r="696" spans="5:6">
      <c r="E696" s="110"/>
      <c r="F696" s="89"/>
    </row>
    <row r="697" spans="5:6">
      <c r="E697" s="110"/>
      <c r="F697" s="89"/>
    </row>
    <row r="698" spans="5:6">
      <c r="E698" s="110"/>
      <c r="F698" s="89"/>
    </row>
    <row r="699" spans="5:6">
      <c r="E699" s="110"/>
      <c r="F699" s="89"/>
    </row>
    <row r="700" spans="5:6">
      <c r="E700" s="110"/>
      <c r="F700" s="89"/>
    </row>
    <row r="701" spans="5:6">
      <c r="E701" s="110"/>
      <c r="F701" s="89"/>
    </row>
    <row r="702" spans="5:6">
      <c r="E702" s="110"/>
      <c r="F702" s="89"/>
    </row>
    <row r="703" spans="5:6">
      <c r="E703" s="110"/>
      <c r="F703" s="89"/>
    </row>
    <row r="704" spans="5:6">
      <c r="E704" s="110"/>
      <c r="F704" s="89"/>
    </row>
    <row r="705" spans="5:6">
      <c r="E705" s="110"/>
      <c r="F705" s="89"/>
    </row>
    <row r="706" spans="5:6">
      <c r="E706" s="110"/>
      <c r="F706" s="89"/>
    </row>
    <row r="707" spans="5:6">
      <c r="E707" s="110"/>
      <c r="F707" s="89"/>
    </row>
    <row r="708" spans="5:6">
      <c r="E708" s="110"/>
      <c r="F708" s="89"/>
    </row>
    <row r="709" spans="5:6">
      <c r="E709" s="110"/>
      <c r="F709" s="89"/>
    </row>
    <row r="710" spans="5:6">
      <c r="E710" s="110"/>
      <c r="F710" s="89"/>
    </row>
    <row r="711" spans="5:6">
      <c r="E711" s="110"/>
      <c r="F711" s="89"/>
    </row>
    <row r="712" spans="5:6">
      <c r="E712" s="110"/>
      <c r="F712" s="89"/>
    </row>
    <row r="713" spans="5:6">
      <c r="E713" s="110"/>
      <c r="F713" s="89"/>
    </row>
    <row r="714" spans="5:6">
      <c r="E714" s="110"/>
      <c r="F714" s="89"/>
    </row>
    <row r="715" spans="5:6">
      <c r="E715" s="110"/>
      <c r="F715" s="89"/>
    </row>
    <row r="716" spans="5:6">
      <c r="E716" s="110"/>
      <c r="F716" s="89"/>
    </row>
    <row r="717" spans="5:6">
      <c r="E717" s="110"/>
      <c r="F717" s="89"/>
    </row>
    <row r="718" spans="5:6">
      <c r="E718" s="110"/>
      <c r="F718" s="89"/>
    </row>
    <row r="719" spans="5:6">
      <c r="E719" s="110"/>
      <c r="F719" s="89"/>
    </row>
    <row r="720" spans="5:6">
      <c r="E720" s="110"/>
      <c r="F720" s="89"/>
    </row>
    <row r="721" spans="5:6">
      <c r="E721" s="110"/>
      <c r="F721" s="89"/>
    </row>
    <row r="722" spans="5:6">
      <c r="E722" s="110"/>
      <c r="F722" s="89"/>
    </row>
    <row r="723" spans="5:6">
      <c r="E723" s="110"/>
      <c r="F723" s="89"/>
    </row>
    <row r="724" spans="5:6">
      <c r="E724" s="110"/>
      <c r="F724" s="89"/>
    </row>
    <row r="725" spans="5:6">
      <c r="E725" s="110"/>
      <c r="F725" s="89"/>
    </row>
    <row r="726" spans="5:6">
      <c r="E726" s="110"/>
      <c r="F726" s="89"/>
    </row>
    <row r="727" spans="5:6">
      <c r="E727" s="110"/>
      <c r="F727" s="89"/>
    </row>
    <row r="728" spans="5:6">
      <c r="E728" s="110"/>
      <c r="F728" s="89"/>
    </row>
    <row r="729" spans="5:6">
      <c r="E729" s="110"/>
      <c r="F729" s="89"/>
    </row>
    <row r="730" spans="5:6">
      <c r="E730" s="110"/>
      <c r="F730" s="89"/>
    </row>
    <row r="731" spans="5:6">
      <c r="E731" s="110"/>
      <c r="F731" s="89"/>
    </row>
    <row r="732" spans="5:6">
      <c r="E732" s="110"/>
      <c r="F732" s="89"/>
    </row>
    <row r="733" spans="5:6">
      <c r="E733" s="110"/>
      <c r="F733" s="89"/>
    </row>
    <row r="734" spans="5:6">
      <c r="E734" s="110"/>
      <c r="F734" s="89"/>
    </row>
    <row r="735" spans="5:6">
      <c r="E735" s="110"/>
      <c r="F735" s="89"/>
    </row>
    <row r="736" spans="5:6">
      <c r="E736" s="110"/>
      <c r="F736" s="89"/>
    </row>
    <row r="737" spans="5:6">
      <c r="E737" s="110"/>
      <c r="F737" s="89"/>
    </row>
    <row r="738" spans="5:6">
      <c r="E738" s="110"/>
      <c r="F738" s="89"/>
    </row>
    <row r="739" spans="5:6">
      <c r="E739" s="110"/>
      <c r="F739" s="89"/>
    </row>
    <row r="740" spans="5:6">
      <c r="E740" s="110"/>
      <c r="F740" s="89"/>
    </row>
    <row r="741" spans="5:6">
      <c r="E741" s="110"/>
      <c r="F741" s="89"/>
    </row>
    <row r="742" spans="5:6">
      <c r="E742" s="110"/>
      <c r="F742" s="89"/>
    </row>
    <row r="743" spans="5:6">
      <c r="E743" s="110"/>
      <c r="F743" s="89"/>
    </row>
    <row r="744" spans="5:6">
      <c r="E744" s="110"/>
      <c r="F744" s="89"/>
    </row>
    <row r="745" spans="5:6">
      <c r="E745" s="110"/>
      <c r="F745" s="89"/>
    </row>
    <row r="746" spans="5:6">
      <c r="E746" s="110"/>
      <c r="F746" s="89"/>
    </row>
    <row r="747" spans="5:6">
      <c r="E747" s="110"/>
      <c r="F747" s="89"/>
    </row>
    <row r="748" spans="5:6">
      <c r="E748" s="110"/>
      <c r="F748" s="89"/>
    </row>
    <row r="749" spans="5:6">
      <c r="E749" s="110"/>
      <c r="F749" s="89"/>
    </row>
    <row r="750" spans="5:6">
      <c r="E750" s="110"/>
      <c r="F750" s="89"/>
    </row>
    <row r="751" spans="5:6">
      <c r="E751" s="110"/>
      <c r="F751" s="89"/>
    </row>
    <row r="752" spans="5:6">
      <c r="E752" s="110"/>
      <c r="F752" s="89"/>
    </row>
    <row r="753" spans="5:6">
      <c r="E753" s="110"/>
      <c r="F753" s="89"/>
    </row>
    <row r="754" spans="5:6">
      <c r="E754" s="110"/>
      <c r="F754" s="89"/>
    </row>
    <row r="755" spans="5:6">
      <c r="E755" s="110"/>
      <c r="F755" s="89"/>
    </row>
    <row r="756" spans="5:6">
      <c r="E756" s="110"/>
      <c r="F756" s="89"/>
    </row>
    <row r="757" spans="5:6">
      <c r="E757" s="110"/>
      <c r="F757" s="89"/>
    </row>
    <row r="758" spans="5:6">
      <c r="E758" s="110"/>
      <c r="F758" s="89"/>
    </row>
    <row r="759" spans="5:6">
      <c r="E759" s="110"/>
      <c r="F759" s="89"/>
    </row>
    <row r="760" spans="5:6">
      <c r="E760" s="110"/>
      <c r="F760" s="89"/>
    </row>
    <row r="761" spans="5:6">
      <c r="E761" s="110"/>
      <c r="F761" s="89"/>
    </row>
    <row r="762" spans="5:6">
      <c r="E762" s="110"/>
      <c r="F762" s="89"/>
    </row>
    <row r="763" spans="5:6">
      <c r="E763" s="110"/>
      <c r="F763" s="89"/>
    </row>
    <row r="764" spans="5:6">
      <c r="E764" s="110"/>
      <c r="F764" s="89"/>
    </row>
    <row r="765" spans="5:6">
      <c r="E765" s="110"/>
      <c r="F765" s="89"/>
    </row>
    <row r="766" spans="5:6">
      <c r="E766" s="110"/>
      <c r="F766" s="89"/>
    </row>
    <row r="767" spans="5:6">
      <c r="E767" s="110"/>
      <c r="F767" s="89"/>
    </row>
    <row r="768" spans="5:6">
      <c r="E768" s="110"/>
      <c r="F768" s="89"/>
    </row>
    <row r="769" spans="5:6">
      <c r="E769" s="110"/>
      <c r="F769" s="89"/>
    </row>
    <row r="770" spans="5:6">
      <c r="E770" s="110"/>
      <c r="F770" s="89"/>
    </row>
    <row r="771" spans="5:6">
      <c r="E771" s="110"/>
      <c r="F771" s="89"/>
    </row>
    <row r="772" spans="5:6">
      <c r="E772" s="110"/>
      <c r="F772" s="89"/>
    </row>
    <row r="773" spans="5:6">
      <c r="E773" s="110"/>
      <c r="F773" s="89"/>
    </row>
    <row r="774" spans="5:6">
      <c r="E774" s="110"/>
      <c r="F774" s="89"/>
    </row>
    <row r="775" spans="5:6">
      <c r="E775" s="110"/>
      <c r="F775" s="89"/>
    </row>
    <row r="776" spans="5:6">
      <c r="E776" s="110"/>
      <c r="F776" s="89"/>
    </row>
    <row r="777" spans="5:6">
      <c r="E777" s="110"/>
      <c r="F777" s="89"/>
    </row>
    <row r="778" spans="5:6">
      <c r="E778" s="110"/>
      <c r="F778" s="89"/>
    </row>
    <row r="779" spans="5:6">
      <c r="E779" s="110"/>
      <c r="F779" s="89"/>
    </row>
    <row r="780" spans="5:6">
      <c r="E780" s="110"/>
      <c r="F780" s="89"/>
    </row>
    <row r="781" spans="5:6">
      <c r="E781" s="110"/>
      <c r="F781" s="89"/>
    </row>
    <row r="782" spans="5:6">
      <c r="E782" s="110"/>
      <c r="F782" s="89"/>
    </row>
    <row r="783" spans="5:6">
      <c r="E783" s="110"/>
      <c r="F783" s="89"/>
    </row>
    <row r="784" spans="5:6">
      <c r="E784" s="110"/>
      <c r="F784" s="89"/>
    </row>
    <row r="785" spans="5:6">
      <c r="E785" s="110"/>
      <c r="F785" s="89"/>
    </row>
    <row r="786" spans="5:6">
      <c r="E786" s="110"/>
      <c r="F786" s="89"/>
    </row>
    <row r="787" spans="5:6">
      <c r="E787" s="110"/>
      <c r="F787" s="89"/>
    </row>
    <row r="788" spans="5:6">
      <c r="E788" s="110"/>
      <c r="F788" s="89"/>
    </row>
    <row r="789" spans="5:6">
      <c r="E789" s="110"/>
      <c r="F789" s="89"/>
    </row>
    <row r="790" spans="5:6">
      <c r="E790" s="110"/>
      <c r="F790" s="89"/>
    </row>
    <row r="791" spans="5:6">
      <c r="E791" s="110"/>
      <c r="F791" s="89"/>
    </row>
    <row r="792" spans="5:6">
      <c r="E792" s="110"/>
      <c r="F792" s="89"/>
    </row>
    <row r="793" spans="5:6">
      <c r="E793" s="110"/>
      <c r="F793" s="89"/>
    </row>
    <row r="794" spans="5:6">
      <c r="E794" s="110"/>
      <c r="F794" s="89"/>
    </row>
    <row r="795" spans="5:6">
      <c r="E795" s="110"/>
      <c r="F795" s="89"/>
    </row>
    <row r="796" spans="5:6">
      <c r="E796" s="110"/>
      <c r="F796" s="89"/>
    </row>
    <row r="797" spans="5:6">
      <c r="E797" s="110"/>
      <c r="F797" s="89"/>
    </row>
    <row r="798" spans="5:6">
      <c r="E798" s="110"/>
      <c r="F798" s="89"/>
    </row>
    <row r="799" spans="5:6">
      <c r="E799" s="110"/>
      <c r="F799" s="89"/>
    </row>
    <row r="800" spans="5:6">
      <c r="E800" s="110"/>
      <c r="F800" s="89"/>
    </row>
    <row r="801" spans="5:6">
      <c r="E801" s="110"/>
      <c r="F801" s="89"/>
    </row>
    <row r="802" spans="5:6">
      <c r="E802" s="110"/>
      <c r="F802" s="89"/>
    </row>
    <row r="803" spans="5:6">
      <c r="E803" s="110"/>
      <c r="F803" s="89"/>
    </row>
    <row r="804" spans="5:6">
      <c r="E804" s="110"/>
      <c r="F804" s="89"/>
    </row>
    <row r="805" spans="5:6">
      <c r="E805" s="110"/>
      <c r="F805" s="89"/>
    </row>
    <row r="806" spans="5:6">
      <c r="E806" s="110"/>
      <c r="F806" s="89"/>
    </row>
    <row r="807" spans="5:6">
      <c r="E807" s="110"/>
      <c r="F807" s="89"/>
    </row>
    <row r="808" spans="5:6">
      <c r="E808" s="110"/>
      <c r="F808" s="89"/>
    </row>
    <row r="809" spans="5:6">
      <c r="E809" s="110"/>
      <c r="F809" s="89"/>
    </row>
    <row r="810" spans="5:6">
      <c r="E810" s="110"/>
      <c r="F810" s="89"/>
    </row>
    <row r="811" spans="5:6">
      <c r="E811" s="110"/>
      <c r="F811" s="89"/>
    </row>
    <row r="812" spans="5:6">
      <c r="E812" s="110"/>
      <c r="F812" s="89"/>
    </row>
    <row r="813" spans="5:6">
      <c r="E813" s="110"/>
      <c r="F813" s="89"/>
    </row>
    <row r="814" spans="5:6">
      <c r="E814" s="110"/>
      <c r="F814" s="89"/>
    </row>
    <row r="815" spans="5:6">
      <c r="E815" s="110"/>
      <c r="F815" s="89"/>
    </row>
    <row r="816" spans="5:6">
      <c r="E816" s="110"/>
      <c r="F816" s="89"/>
    </row>
    <row r="817" spans="5:6">
      <c r="E817" s="110"/>
      <c r="F817" s="89"/>
    </row>
    <row r="818" spans="5:6">
      <c r="E818" s="110"/>
      <c r="F818" s="89"/>
    </row>
    <row r="819" spans="5:6">
      <c r="E819" s="110"/>
      <c r="F819" s="89"/>
    </row>
    <row r="820" spans="5:6">
      <c r="E820" s="110"/>
      <c r="F820" s="89"/>
    </row>
    <row r="821" spans="5:6">
      <c r="E821" s="110"/>
      <c r="F821" s="89"/>
    </row>
    <row r="822" spans="5:6">
      <c r="E822" s="110"/>
      <c r="F822" s="89"/>
    </row>
    <row r="823" spans="5:6">
      <c r="E823" s="110"/>
      <c r="F823" s="89"/>
    </row>
    <row r="824" spans="5:6">
      <c r="E824" s="110"/>
      <c r="F824" s="89"/>
    </row>
    <row r="825" spans="5:6">
      <c r="E825" s="110"/>
      <c r="F825" s="89"/>
    </row>
    <row r="826" spans="5:6">
      <c r="E826" s="110"/>
      <c r="F826" s="89"/>
    </row>
    <row r="827" spans="5:6">
      <c r="E827" s="110"/>
      <c r="F827" s="89"/>
    </row>
    <row r="828" spans="5:6">
      <c r="E828" s="110"/>
      <c r="F828" s="89"/>
    </row>
    <row r="829" spans="5:6">
      <c r="E829" s="110"/>
      <c r="F829" s="89"/>
    </row>
    <row r="830" spans="5:6">
      <c r="E830" s="110"/>
      <c r="F830" s="89"/>
    </row>
    <row r="831" spans="5:6">
      <c r="E831" s="110"/>
      <c r="F831" s="89"/>
    </row>
    <row r="832" spans="5:6">
      <c r="E832" s="110"/>
      <c r="F832" s="89"/>
    </row>
    <row r="833" spans="5:6">
      <c r="E833" s="110"/>
      <c r="F833" s="89"/>
    </row>
    <row r="834" spans="5:6">
      <c r="E834" s="110"/>
      <c r="F834" s="89"/>
    </row>
    <row r="835" spans="5:6">
      <c r="E835" s="110"/>
      <c r="F835" s="89"/>
    </row>
    <row r="836" spans="5:6">
      <c r="E836" s="110"/>
      <c r="F836" s="89"/>
    </row>
    <row r="837" spans="5:6">
      <c r="E837" s="110"/>
      <c r="F837" s="89"/>
    </row>
    <row r="838" spans="5:6">
      <c r="E838" s="110"/>
      <c r="F838" s="89"/>
    </row>
    <row r="839" spans="5:6">
      <c r="E839" s="110"/>
      <c r="F839" s="89"/>
    </row>
    <row r="840" spans="5:6">
      <c r="E840" s="110"/>
      <c r="F840" s="89"/>
    </row>
    <row r="841" spans="5:6">
      <c r="E841" s="110"/>
      <c r="F841" s="89"/>
    </row>
    <row r="842" spans="5:6">
      <c r="E842" s="110"/>
      <c r="F842" s="89"/>
    </row>
    <row r="843" spans="5:6">
      <c r="E843" s="110"/>
      <c r="F843" s="89"/>
    </row>
    <row r="844" spans="5:6">
      <c r="E844" s="110"/>
      <c r="F844" s="89"/>
    </row>
    <row r="845" spans="5:6">
      <c r="E845" s="110"/>
      <c r="F845" s="89"/>
    </row>
    <row r="846" spans="5:6">
      <c r="E846" s="110"/>
      <c r="F846" s="89"/>
    </row>
    <row r="847" spans="5:6">
      <c r="E847" s="110"/>
      <c r="F847" s="89"/>
    </row>
    <row r="848" spans="5:6">
      <c r="E848" s="110"/>
      <c r="F848" s="89"/>
    </row>
    <row r="849" spans="5:6">
      <c r="E849" s="110"/>
      <c r="F849" s="89"/>
    </row>
    <row r="850" spans="5:6">
      <c r="E850" s="110"/>
      <c r="F850" s="89"/>
    </row>
    <row r="851" spans="5:6">
      <c r="E851" s="110"/>
      <c r="F851" s="89"/>
    </row>
    <row r="852" spans="5:6">
      <c r="E852" s="110"/>
      <c r="F852" s="89"/>
    </row>
    <row r="853" spans="5:6">
      <c r="E853" s="110"/>
      <c r="F853" s="89"/>
    </row>
    <row r="854" spans="5:6">
      <c r="E854" s="110"/>
      <c r="F854" s="89"/>
    </row>
    <row r="855" spans="5:6">
      <c r="E855" s="110"/>
      <c r="F855" s="89"/>
    </row>
    <row r="856" spans="5:6">
      <c r="E856" s="110"/>
      <c r="F856" s="89"/>
    </row>
    <row r="857" spans="5:6">
      <c r="E857" s="110"/>
      <c r="F857" s="89"/>
    </row>
    <row r="858" spans="5:6">
      <c r="E858" s="110"/>
      <c r="F858" s="89"/>
    </row>
    <row r="859" spans="5:6">
      <c r="E859" s="110"/>
      <c r="F859" s="89"/>
    </row>
    <row r="860" spans="5:6">
      <c r="E860" s="110"/>
      <c r="F860" s="89"/>
    </row>
    <row r="861" spans="5:6">
      <c r="E861" s="110"/>
      <c r="F861" s="89"/>
    </row>
    <row r="862" spans="5:6">
      <c r="E862" s="110"/>
      <c r="F862" s="89"/>
    </row>
    <row r="863" spans="5:6">
      <c r="E863" s="110"/>
      <c r="F863" s="89"/>
    </row>
    <row r="864" spans="5:6">
      <c r="E864" s="110"/>
      <c r="F864" s="89"/>
    </row>
    <row r="865" spans="5:6">
      <c r="E865" s="110"/>
      <c r="F865" s="89"/>
    </row>
    <row r="866" spans="5:6">
      <c r="E866" s="110"/>
      <c r="F866" s="89"/>
    </row>
    <row r="867" spans="5:6">
      <c r="E867" s="110"/>
      <c r="F867" s="89"/>
    </row>
    <row r="868" spans="5:6">
      <c r="E868" s="110"/>
      <c r="F868" s="89"/>
    </row>
    <row r="869" spans="5:6">
      <c r="E869" s="110"/>
      <c r="F869" s="89"/>
    </row>
    <row r="870" spans="5:6">
      <c r="E870" s="110"/>
      <c r="F870" s="89"/>
    </row>
    <row r="871" spans="5:6">
      <c r="E871" s="110"/>
      <c r="F871" s="89"/>
    </row>
    <row r="872" spans="5:6">
      <c r="E872" s="110"/>
      <c r="F872" s="89"/>
    </row>
    <row r="873" spans="5:6">
      <c r="E873" s="110"/>
      <c r="F873" s="89"/>
    </row>
    <row r="874" spans="5:6">
      <c r="E874" s="110"/>
      <c r="F874" s="89"/>
    </row>
    <row r="875" spans="5:6">
      <c r="E875" s="110"/>
      <c r="F875" s="89"/>
    </row>
    <row r="876" spans="5:6">
      <c r="E876" s="110"/>
      <c r="F876" s="89"/>
    </row>
    <row r="877" spans="5:6">
      <c r="E877" s="110"/>
      <c r="F877" s="89"/>
    </row>
    <row r="878" spans="5:6">
      <c r="E878" s="110"/>
      <c r="F878" s="89"/>
    </row>
    <row r="879" spans="5:6">
      <c r="E879" s="110"/>
      <c r="F879" s="89"/>
    </row>
    <row r="880" spans="5:6">
      <c r="E880" s="110"/>
      <c r="F880" s="89"/>
    </row>
    <row r="881" spans="5:6">
      <c r="E881" s="110"/>
      <c r="F881" s="89"/>
    </row>
    <row r="882" spans="5:6">
      <c r="E882" s="110"/>
      <c r="F882" s="89"/>
    </row>
    <row r="883" spans="5:6">
      <c r="E883" s="110"/>
      <c r="F883" s="89"/>
    </row>
    <row r="884" spans="5:6">
      <c r="E884" s="110"/>
      <c r="F884" s="89"/>
    </row>
    <row r="885" spans="5:6">
      <c r="E885" s="110"/>
      <c r="F885" s="89"/>
    </row>
    <row r="886" spans="5:6">
      <c r="E886" s="110"/>
      <c r="F886" s="89"/>
    </row>
    <row r="887" spans="5:6">
      <c r="E887" s="110"/>
      <c r="F887" s="89"/>
    </row>
    <row r="888" spans="5:6">
      <c r="E888" s="110"/>
      <c r="F888" s="89"/>
    </row>
    <row r="889" spans="5:6">
      <c r="E889" s="110"/>
      <c r="F889" s="89"/>
    </row>
    <row r="890" spans="5:6">
      <c r="E890" s="110"/>
      <c r="F890" s="89"/>
    </row>
    <row r="891" spans="5:6">
      <c r="E891" s="110"/>
      <c r="F891" s="89"/>
    </row>
    <row r="892" spans="5:6">
      <c r="E892" s="110"/>
      <c r="F892" s="89"/>
    </row>
    <row r="893" spans="5:6">
      <c r="E893" s="110"/>
      <c r="F893" s="89"/>
    </row>
    <row r="894" spans="5:6">
      <c r="E894" s="110"/>
      <c r="F894" s="89"/>
    </row>
    <row r="895" spans="5:6">
      <c r="E895" s="110"/>
      <c r="F895" s="89"/>
    </row>
    <row r="896" spans="5:6">
      <c r="E896" s="110"/>
      <c r="F896" s="89"/>
    </row>
    <row r="897" spans="5:6">
      <c r="E897" s="110"/>
      <c r="F897" s="89"/>
    </row>
    <row r="898" spans="5:6">
      <c r="E898" s="110"/>
      <c r="F898" s="89"/>
    </row>
    <row r="899" spans="5:6">
      <c r="E899" s="110"/>
      <c r="F899" s="89"/>
    </row>
    <row r="900" spans="5:6">
      <c r="E900" s="110"/>
      <c r="F900" s="89"/>
    </row>
    <row r="901" spans="5:6">
      <c r="E901" s="110"/>
      <c r="F901" s="89"/>
    </row>
    <row r="902" spans="5:6">
      <c r="E902" s="110"/>
      <c r="F902" s="89"/>
    </row>
    <row r="903" spans="5:6">
      <c r="E903" s="110"/>
      <c r="F903" s="89"/>
    </row>
    <row r="904" spans="5:6">
      <c r="E904" s="110"/>
      <c r="F904" s="89"/>
    </row>
    <row r="905" spans="5:6">
      <c r="E905" s="110"/>
      <c r="F905" s="89"/>
    </row>
    <row r="906" spans="5:6">
      <c r="E906" s="110"/>
      <c r="F906" s="89"/>
    </row>
    <row r="907" spans="5:6">
      <c r="E907" s="110"/>
      <c r="F907" s="89"/>
    </row>
    <row r="908" spans="5:6">
      <c r="E908" s="110"/>
      <c r="F908" s="89"/>
    </row>
    <row r="909" spans="5:6">
      <c r="E909" s="110"/>
      <c r="F909" s="89"/>
    </row>
    <row r="910" spans="5:6">
      <c r="E910" s="110"/>
      <c r="F910" s="89"/>
    </row>
    <row r="911" spans="5:6">
      <c r="E911" s="110"/>
      <c r="F911" s="89"/>
    </row>
    <row r="912" spans="5:6">
      <c r="E912" s="110"/>
      <c r="F912" s="89"/>
    </row>
    <row r="913" spans="5:6">
      <c r="E913" s="110"/>
      <c r="F913" s="89"/>
    </row>
    <row r="914" spans="5:6">
      <c r="E914" s="110"/>
      <c r="F914" s="89"/>
    </row>
    <row r="915" spans="5:6">
      <c r="E915" s="110"/>
      <c r="F915" s="89"/>
    </row>
    <row r="916" spans="5:6">
      <c r="E916" s="110"/>
      <c r="F916" s="89"/>
    </row>
    <row r="917" spans="5:6">
      <c r="E917" s="110"/>
      <c r="F917" s="89"/>
    </row>
    <row r="918" spans="5:6">
      <c r="E918" s="110"/>
      <c r="F918" s="89"/>
    </row>
    <row r="919" spans="5:6">
      <c r="E919" s="110"/>
      <c r="F919" s="89"/>
    </row>
    <row r="920" spans="5:6">
      <c r="E920" s="110"/>
      <c r="F920" s="89"/>
    </row>
    <row r="921" spans="5:6">
      <c r="E921" s="110"/>
      <c r="F921" s="89"/>
    </row>
    <row r="922" spans="5:6">
      <c r="E922" s="110"/>
      <c r="F922" s="89"/>
    </row>
    <row r="923" spans="5:6">
      <c r="E923" s="110"/>
      <c r="F923" s="89"/>
    </row>
    <row r="924" spans="5:6">
      <c r="E924" s="110"/>
      <c r="F924" s="89"/>
    </row>
    <row r="925" spans="5:6">
      <c r="E925" s="110"/>
      <c r="F925" s="89"/>
    </row>
    <row r="926" spans="5:6">
      <c r="E926" s="110"/>
      <c r="F926" s="89"/>
    </row>
    <row r="927" spans="5:6">
      <c r="E927" s="110"/>
      <c r="F927" s="89"/>
    </row>
    <row r="928" spans="5:6">
      <c r="E928" s="110"/>
      <c r="F928" s="89"/>
    </row>
    <row r="929" spans="5:6">
      <c r="E929" s="110"/>
      <c r="F929" s="89"/>
    </row>
    <row r="930" spans="5:6">
      <c r="E930" s="110"/>
      <c r="F930" s="89"/>
    </row>
    <row r="931" spans="5:6">
      <c r="E931" s="110"/>
      <c r="F931" s="89"/>
    </row>
    <row r="932" spans="5:6">
      <c r="E932" s="110"/>
      <c r="F932" s="89"/>
    </row>
    <row r="933" spans="5:6">
      <c r="E933" s="110"/>
      <c r="F933" s="89"/>
    </row>
    <row r="934" spans="5:6">
      <c r="E934" s="110"/>
      <c r="F934" s="89"/>
    </row>
    <row r="935" spans="5:6">
      <c r="E935" s="110"/>
      <c r="F935" s="89"/>
    </row>
    <row r="936" spans="5:6">
      <c r="E936" s="110"/>
      <c r="F936" s="89"/>
    </row>
    <row r="937" spans="5:6">
      <c r="E937" s="110"/>
      <c r="F937" s="89"/>
    </row>
    <row r="938" spans="5:6">
      <c r="E938" s="110"/>
      <c r="F938" s="89"/>
    </row>
    <row r="939" spans="5:6">
      <c r="E939" s="110"/>
      <c r="F939" s="89"/>
    </row>
    <row r="940" spans="5:6">
      <c r="E940" s="110"/>
      <c r="F940" s="89"/>
    </row>
    <row r="941" spans="5:6">
      <c r="E941" s="110"/>
      <c r="F941" s="89"/>
    </row>
    <row r="942" spans="5:6">
      <c r="E942" s="110"/>
      <c r="F942" s="89"/>
    </row>
    <row r="943" spans="5:6">
      <c r="E943" s="110"/>
      <c r="F943" s="89"/>
    </row>
    <row r="944" spans="5:6">
      <c r="E944" s="110"/>
      <c r="F944" s="89"/>
    </row>
    <row r="945" spans="5:6">
      <c r="E945" s="110"/>
      <c r="F945" s="89"/>
    </row>
    <row r="946" spans="5:6">
      <c r="E946" s="110"/>
      <c r="F946" s="89"/>
    </row>
    <row r="947" spans="5:6">
      <c r="E947" s="110"/>
      <c r="F947" s="89"/>
    </row>
    <row r="948" spans="5:6">
      <c r="E948" s="110"/>
      <c r="F948" s="89"/>
    </row>
    <row r="949" spans="5:6">
      <c r="E949" s="110"/>
      <c r="F949" s="89"/>
    </row>
    <row r="950" spans="5:6">
      <c r="E950" s="110"/>
      <c r="F950" s="89"/>
    </row>
    <row r="951" spans="5:6">
      <c r="E951" s="110"/>
      <c r="F951" s="89"/>
    </row>
    <row r="952" spans="5:6">
      <c r="E952" s="110"/>
      <c r="F952" s="89"/>
    </row>
    <row r="953" spans="5:6">
      <c r="E953" s="110"/>
      <c r="F953" s="89"/>
    </row>
    <row r="954" spans="5:6">
      <c r="E954" s="110"/>
      <c r="F954" s="89"/>
    </row>
    <row r="955" spans="5:6">
      <c r="E955" s="110"/>
      <c r="F955" s="89"/>
    </row>
    <row r="956" spans="5:6">
      <c r="E956" s="110"/>
      <c r="F956" s="89"/>
    </row>
    <row r="957" spans="5:6">
      <c r="E957" s="110"/>
      <c r="F957" s="89"/>
    </row>
    <row r="958" spans="5:6">
      <c r="E958" s="110"/>
      <c r="F958" s="89"/>
    </row>
    <row r="959" spans="5:6">
      <c r="E959" s="110"/>
      <c r="F959" s="89"/>
    </row>
    <row r="960" spans="5:6">
      <c r="E960" s="110"/>
      <c r="F960" s="89"/>
    </row>
    <row r="961" spans="5:6">
      <c r="E961" s="110"/>
      <c r="F961" s="89"/>
    </row>
    <row r="962" spans="5:6">
      <c r="E962" s="110"/>
      <c r="F962" s="89"/>
    </row>
    <row r="963" spans="5:6">
      <c r="E963" s="110"/>
      <c r="F963" s="89"/>
    </row>
    <row r="964" spans="5:6">
      <c r="E964" s="110"/>
      <c r="F964" s="89"/>
    </row>
    <row r="965" spans="5:6">
      <c r="E965" s="110"/>
      <c r="F965" s="89"/>
    </row>
    <row r="966" spans="5:6">
      <c r="E966" s="110"/>
      <c r="F966" s="89"/>
    </row>
    <row r="967" spans="5:6">
      <c r="E967" s="110"/>
      <c r="F967" s="89"/>
    </row>
    <row r="968" spans="5:6">
      <c r="E968" s="110"/>
      <c r="F968" s="89"/>
    </row>
    <row r="969" spans="5:6">
      <c r="E969" s="110"/>
      <c r="F969" s="89"/>
    </row>
    <row r="970" spans="5:6">
      <c r="E970" s="110"/>
      <c r="F970" s="89"/>
    </row>
    <row r="971" spans="5:6">
      <c r="E971" s="110"/>
      <c r="F971" s="89"/>
    </row>
    <row r="972" spans="5:6">
      <c r="E972" s="110"/>
      <c r="F972" s="89"/>
    </row>
    <row r="973" spans="5:6">
      <c r="E973" s="110"/>
      <c r="F973" s="89"/>
    </row>
    <row r="974" spans="5:6">
      <c r="E974" s="110"/>
      <c r="F974" s="89"/>
    </row>
    <row r="975" spans="5:6">
      <c r="E975" s="110"/>
      <c r="F975" s="89"/>
    </row>
    <row r="976" spans="5:6">
      <c r="E976" s="110"/>
      <c r="F976" s="89"/>
    </row>
    <row r="977" spans="5:6">
      <c r="E977" s="110"/>
      <c r="F977" s="89"/>
    </row>
    <row r="978" spans="5:6">
      <c r="E978" s="110"/>
      <c r="F978" s="89"/>
    </row>
    <row r="979" spans="5:6">
      <c r="E979" s="110"/>
      <c r="F979" s="89"/>
    </row>
    <row r="980" spans="5:6">
      <c r="E980" s="110"/>
      <c r="F980" s="89"/>
    </row>
    <row r="981" spans="5:6">
      <c r="E981" s="110"/>
      <c r="F981" s="89"/>
    </row>
    <row r="982" spans="5:6">
      <c r="E982" s="110"/>
      <c r="F982" s="89"/>
    </row>
    <row r="983" spans="5:6">
      <c r="E983" s="110"/>
      <c r="F983" s="89"/>
    </row>
    <row r="984" spans="5:6">
      <c r="E984" s="110"/>
      <c r="F984" s="89"/>
    </row>
    <row r="985" spans="5:6">
      <c r="E985" s="110"/>
      <c r="F985" s="89"/>
    </row>
    <row r="986" spans="5:6">
      <c r="E986" s="110"/>
      <c r="F986" s="89"/>
    </row>
    <row r="987" spans="5:6">
      <c r="E987" s="110"/>
      <c r="F987" s="89"/>
    </row>
    <row r="988" spans="5:6">
      <c r="E988" s="110"/>
      <c r="F988" s="89"/>
    </row>
    <row r="989" spans="5:6">
      <c r="E989" s="110"/>
      <c r="F989" s="89"/>
    </row>
    <row r="990" spans="5:6">
      <c r="E990" s="110"/>
      <c r="F990" s="89"/>
    </row>
    <row r="991" spans="5:6">
      <c r="E991" s="110"/>
      <c r="F991" s="89"/>
    </row>
    <row r="992" spans="5:6">
      <c r="E992" s="110"/>
      <c r="F992" s="89"/>
    </row>
    <row r="993" spans="5:6">
      <c r="E993" s="110"/>
      <c r="F993" s="89"/>
    </row>
    <row r="994" spans="5:6">
      <c r="E994" s="110"/>
      <c r="F994" s="89"/>
    </row>
    <row r="995" spans="5:6">
      <c r="E995" s="110"/>
      <c r="F995" s="89"/>
    </row>
    <row r="996" spans="5:6">
      <c r="E996" s="110"/>
      <c r="F996" s="89"/>
    </row>
    <row r="997" spans="5:6">
      <c r="E997" s="110"/>
      <c r="F997" s="89"/>
    </row>
    <row r="998" spans="5:6">
      <c r="E998" s="110"/>
      <c r="F998" s="89"/>
    </row>
    <row r="999" spans="5:6">
      <c r="E999" s="110"/>
      <c r="F999" s="89"/>
    </row>
    <row r="1000" spans="5:6">
      <c r="E1000" s="110"/>
      <c r="F1000" s="89"/>
    </row>
    <row r="1001" spans="5:6">
      <c r="E1001" s="110"/>
      <c r="F1001" s="89"/>
    </row>
    <row r="1002" spans="5:6">
      <c r="E1002" s="110"/>
      <c r="F1002" s="89"/>
    </row>
    <row r="1003" spans="5:6">
      <c r="E1003" s="110"/>
      <c r="F1003" s="89"/>
    </row>
    <row r="1004" spans="5:6">
      <c r="E1004" s="110"/>
      <c r="F1004" s="89"/>
    </row>
    <row r="1005" spans="5:6">
      <c r="E1005" s="110"/>
      <c r="F1005" s="89"/>
    </row>
  </sheetData>
  <mergeCells count="1">
    <mergeCell ref="A1:D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7"/>
  <sheetViews>
    <sheetView workbookViewId="0">
      <selection activeCell="B4" sqref="B4"/>
    </sheetView>
  </sheetViews>
  <sheetFormatPr defaultColWidth="9.69921875" defaultRowHeight="13.8"/>
  <cols>
    <col min="1" max="1" width="25.59765625" style="104" customWidth="1"/>
    <col min="2" max="3" width="9.69921875" style="104"/>
    <col min="4" max="4" width="23.796875" style="104" customWidth="1"/>
    <col min="5" max="5" width="9.8984375" style="111" customWidth="1"/>
    <col min="6" max="6" width="30" style="105" customWidth="1"/>
    <col min="7" max="16384" width="9.69921875" style="104"/>
  </cols>
  <sheetData>
    <row r="1" spans="1:7" ht="72" customHeight="1">
      <c r="A1" s="812" t="s">
        <v>202</v>
      </c>
      <c r="B1" s="823"/>
      <c r="C1" s="823"/>
      <c r="D1" s="823"/>
      <c r="E1" s="107" t="s">
        <v>198</v>
      </c>
      <c r="F1" s="106" t="s">
        <v>197</v>
      </c>
      <c r="G1" s="70"/>
    </row>
    <row r="2" spans="1:7" ht="28.8">
      <c r="A2" s="72" t="s">
        <v>90</v>
      </c>
      <c r="B2" s="73"/>
      <c r="C2" s="74"/>
      <c r="D2" s="75" t="s">
        <v>91</v>
      </c>
      <c r="E2" s="108"/>
      <c r="F2" s="85"/>
      <c r="G2" s="76"/>
    </row>
    <row r="3" spans="1:7" ht="31.2">
      <c r="A3" s="77">
        <f>CEILING(SUM(D19:D36),1)</f>
        <v>592</v>
      </c>
      <c r="B3" s="78">
        <f>A3*88</f>
        <v>52096</v>
      </c>
      <c r="C3" s="79"/>
      <c r="D3" s="80"/>
      <c r="E3" s="108">
        <v>2.5</v>
      </c>
      <c r="F3" s="87">
        <f>CEILING(A3*E3,1)*88</f>
        <v>130240</v>
      </c>
      <c r="G3" s="76"/>
    </row>
    <row r="4" spans="1:7" ht="14.4">
      <c r="A4" s="81"/>
      <c r="B4" s="81"/>
      <c r="C4" s="82"/>
      <c r="D4" s="80"/>
      <c r="E4" s="108"/>
      <c r="F4" s="85"/>
      <c r="G4" s="76"/>
    </row>
    <row r="5" spans="1:7" ht="14.4">
      <c r="A5" s="83" t="s">
        <v>92</v>
      </c>
      <c r="B5" s="73"/>
      <c r="C5" s="74"/>
      <c r="D5" s="80"/>
      <c r="E5" s="108"/>
      <c r="F5" s="87"/>
      <c r="G5" s="76"/>
    </row>
    <row r="6" spans="1:7" ht="31.2">
      <c r="A6" s="77">
        <f>C19+C20+C21</f>
        <v>62.480000000000004</v>
      </c>
      <c r="B6" s="78"/>
      <c r="C6" s="79"/>
      <c r="D6" s="84">
        <f>A6/A3</f>
        <v>0.10554054054054055</v>
      </c>
      <c r="E6" s="108"/>
      <c r="F6" s="73"/>
      <c r="G6" s="76"/>
    </row>
    <row r="7" spans="1:7" ht="18">
      <c r="A7" s="83" t="s">
        <v>93</v>
      </c>
      <c r="B7" s="73"/>
      <c r="C7" s="74"/>
      <c r="D7" s="84"/>
      <c r="E7" s="108"/>
      <c r="F7" s="87"/>
      <c r="G7" s="76"/>
    </row>
    <row r="8" spans="1:7" ht="31.2">
      <c r="A8" s="77">
        <f>C26+C27</f>
        <v>59</v>
      </c>
      <c r="B8" s="78"/>
      <c r="C8" s="79"/>
      <c r="D8" s="84">
        <f>A8/A3</f>
        <v>9.9662162162162157E-2</v>
      </c>
      <c r="E8" s="108"/>
      <c r="F8" s="76"/>
      <c r="G8" s="76"/>
    </row>
    <row r="9" spans="1:7" ht="18">
      <c r="A9" s="83" t="s">
        <v>94</v>
      </c>
      <c r="B9" s="73"/>
      <c r="C9" s="74"/>
      <c r="D9" s="84"/>
      <c r="E9" s="108"/>
      <c r="F9" s="91"/>
      <c r="G9" s="76"/>
    </row>
    <row r="10" spans="1:7" ht="31.2">
      <c r="A10" s="77">
        <f>D23/2+D24/2+C25+C29+D28/2</f>
        <v>89.457142857142856</v>
      </c>
      <c r="B10" s="78"/>
      <c r="C10" s="79"/>
      <c r="D10" s="84">
        <f>A10/A3</f>
        <v>0.15111003861003861</v>
      </c>
      <c r="E10" s="108"/>
      <c r="F10" s="92"/>
      <c r="G10" s="76"/>
    </row>
    <row r="11" spans="1:7" ht="18">
      <c r="A11" s="83" t="s">
        <v>95</v>
      </c>
      <c r="B11" s="73"/>
      <c r="C11" s="74"/>
      <c r="D11" s="84"/>
      <c r="E11" s="108"/>
      <c r="F11" s="74"/>
      <c r="G11" s="76"/>
    </row>
    <row r="12" spans="1:7" ht="31.2">
      <c r="A12" s="77">
        <f>0</f>
        <v>0</v>
      </c>
      <c r="B12" s="78"/>
      <c r="C12" s="79"/>
      <c r="D12" s="84">
        <f>A12/A3</f>
        <v>0</v>
      </c>
      <c r="E12" s="108"/>
      <c r="F12" s="91"/>
      <c r="G12" s="76"/>
    </row>
    <row r="13" spans="1:7" ht="29.4">
      <c r="A13" s="83" t="s">
        <v>96</v>
      </c>
      <c r="B13" s="73"/>
      <c r="C13" s="74"/>
      <c r="D13" s="84"/>
      <c r="E13" s="108"/>
      <c r="F13" s="76"/>
      <c r="G13" s="76"/>
    </row>
    <row r="14" spans="1:7" ht="31.2">
      <c r="A14" s="77">
        <f>D23+D24+D25+D28+D29+D35</f>
        <v>238.91428571428571</v>
      </c>
      <c r="B14" s="78"/>
      <c r="C14" s="79"/>
      <c r="D14" s="84">
        <f>A14/A3</f>
        <v>0.40357142857142858</v>
      </c>
      <c r="E14" s="108"/>
      <c r="F14" s="76"/>
      <c r="G14" s="76"/>
    </row>
    <row r="15" spans="1:7" ht="18">
      <c r="A15" s="83" t="s">
        <v>97</v>
      </c>
      <c r="B15" s="73"/>
      <c r="C15" s="74"/>
      <c r="D15" s="84"/>
      <c r="E15" s="108"/>
      <c r="F15" s="76"/>
      <c r="G15" s="76"/>
    </row>
    <row r="16" spans="1:7" ht="31.2">
      <c r="A16" s="77">
        <f>D30</f>
        <v>10</v>
      </c>
      <c r="B16" s="78"/>
      <c r="C16" s="79"/>
      <c r="D16" s="84">
        <f>A16/A3</f>
        <v>1.6891891891891893E-2</v>
      </c>
      <c r="E16" s="108"/>
      <c r="F16" s="76"/>
      <c r="G16" s="76"/>
    </row>
    <row r="17" spans="1:7" ht="14.4">
      <c r="A17" s="76"/>
      <c r="B17" s="76"/>
      <c r="C17" s="82"/>
      <c r="D17" s="82"/>
      <c r="E17" s="108"/>
      <c r="F17" s="76"/>
      <c r="G17" s="76"/>
    </row>
    <row r="18" spans="1:7" ht="43.2">
      <c r="A18" s="76" t="s">
        <v>98</v>
      </c>
      <c r="B18" s="76" t="s">
        <v>99</v>
      </c>
      <c r="C18" s="82" t="s">
        <v>18</v>
      </c>
      <c r="D18" s="82" t="s">
        <v>100</v>
      </c>
      <c r="E18" s="108"/>
      <c r="F18" s="88"/>
      <c r="G18" s="82" t="s">
        <v>101</v>
      </c>
    </row>
    <row r="19" spans="1:7" ht="28.8">
      <c r="A19" s="85" t="s">
        <v>102</v>
      </c>
      <c r="B19" s="86">
        <v>2</v>
      </c>
      <c r="C19" s="87">
        <f>3314/100+31/100+10</f>
        <v>43.45</v>
      </c>
      <c r="D19" s="87">
        <f t="shared" ref="D19:D36" si="0">C19*B19</f>
        <v>86.9</v>
      </c>
      <c r="E19" s="109"/>
      <c r="F19" s="76"/>
      <c r="G19" s="88" t="s">
        <v>103</v>
      </c>
    </row>
    <row r="20" spans="1:7" ht="28.8">
      <c r="A20" s="85" t="s">
        <v>104</v>
      </c>
      <c r="B20" s="86">
        <v>2</v>
      </c>
      <c r="C20" s="87">
        <v>0.73</v>
      </c>
      <c r="D20" s="87">
        <f t="shared" si="0"/>
        <v>1.46</v>
      </c>
      <c r="E20" s="109"/>
      <c r="F20" s="92"/>
      <c r="G20" s="88" t="s">
        <v>103</v>
      </c>
    </row>
    <row r="21" spans="1:7" ht="14.4">
      <c r="A21" s="85" t="s">
        <v>105</v>
      </c>
      <c r="B21" s="86">
        <v>2</v>
      </c>
      <c r="C21" s="87">
        <v>18.3</v>
      </c>
      <c r="D21" s="87">
        <f t="shared" si="0"/>
        <v>36.6</v>
      </c>
      <c r="E21" s="109"/>
      <c r="F21" s="76"/>
      <c r="G21" s="88" t="s">
        <v>103</v>
      </c>
    </row>
    <row r="22" spans="1:7" ht="28.8">
      <c r="A22" s="85" t="s">
        <v>106</v>
      </c>
      <c r="B22" s="86">
        <v>1</v>
      </c>
      <c r="C22" s="87">
        <v>6.8</v>
      </c>
      <c r="D22" s="87">
        <f t="shared" si="0"/>
        <v>6.8</v>
      </c>
      <c r="E22" s="109"/>
      <c r="F22" s="76"/>
      <c r="G22" s="88" t="s">
        <v>107</v>
      </c>
    </row>
    <row r="23" spans="1:7" ht="14.4">
      <c r="A23" s="85" t="s">
        <v>108</v>
      </c>
      <c r="B23" s="86">
        <v>10</v>
      </c>
      <c r="C23" s="87">
        <f>12</f>
        <v>12</v>
      </c>
      <c r="D23" s="87">
        <f t="shared" si="0"/>
        <v>120</v>
      </c>
      <c r="E23" s="109"/>
      <c r="F23" s="76"/>
      <c r="G23" s="88" t="s">
        <v>109</v>
      </c>
    </row>
    <row r="24" spans="1:7" ht="28.8">
      <c r="A24" s="85" t="s">
        <v>110</v>
      </c>
      <c r="B24" s="86">
        <v>2</v>
      </c>
      <c r="C24" s="87">
        <f>230/100</f>
        <v>2.2999999999999998</v>
      </c>
      <c r="D24" s="87">
        <f t="shared" si="0"/>
        <v>4.5999999999999996</v>
      </c>
      <c r="E24" s="109"/>
      <c r="F24" s="76"/>
      <c r="G24" s="88" t="s">
        <v>109</v>
      </c>
    </row>
    <row r="25" spans="1:7" ht="14.4">
      <c r="A25" s="85" t="s">
        <v>111</v>
      </c>
      <c r="B25" s="86">
        <v>2</v>
      </c>
      <c r="C25" s="87">
        <v>10</v>
      </c>
      <c r="D25" s="87">
        <f t="shared" si="0"/>
        <v>20</v>
      </c>
      <c r="E25" s="109"/>
      <c r="F25" s="76"/>
      <c r="G25" s="88" t="s">
        <v>109</v>
      </c>
    </row>
    <row r="26" spans="1:7" ht="14.4">
      <c r="A26" s="85" t="s">
        <v>112</v>
      </c>
      <c r="B26" s="86">
        <v>1</v>
      </c>
      <c r="C26" s="87">
        <v>44</v>
      </c>
      <c r="D26" s="87">
        <f t="shared" si="0"/>
        <v>44</v>
      </c>
      <c r="E26" s="109"/>
      <c r="F26" s="76"/>
      <c r="G26" s="88" t="s">
        <v>113</v>
      </c>
    </row>
    <row r="27" spans="1:7" ht="14.4">
      <c r="A27" s="85" t="s">
        <v>114</v>
      </c>
      <c r="B27" s="86">
        <v>1</v>
      </c>
      <c r="C27" s="87">
        <v>15</v>
      </c>
      <c r="D27" s="87">
        <f t="shared" si="0"/>
        <v>15</v>
      </c>
      <c r="E27" s="109"/>
      <c r="F27" s="76"/>
      <c r="G27" s="88" t="s">
        <v>113</v>
      </c>
    </row>
    <row r="28" spans="1:7" ht="43.2">
      <c r="A28" s="85" t="s">
        <v>115</v>
      </c>
      <c r="B28" s="86">
        <v>10</v>
      </c>
      <c r="C28" s="87">
        <v>2.86</v>
      </c>
      <c r="D28" s="87">
        <f t="shared" si="0"/>
        <v>28.599999999999998</v>
      </c>
      <c r="E28" s="109"/>
      <c r="F28" s="76"/>
      <c r="G28" s="88" t="s">
        <v>109</v>
      </c>
    </row>
    <row r="29" spans="1:7" ht="28.8">
      <c r="A29" s="85" t="s">
        <v>116</v>
      </c>
      <c r="B29" s="86">
        <v>2</v>
      </c>
      <c r="C29" s="87">
        <f>200/70</f>
        <v>2.8571428571428572</v>
      </c>
      <c r="D29" s="87">
        <f t="shared" si="0"/>
        <v>5.7142857142857144</v>
      </c>
      <c r="E29" s="109"/>
      <c r="F29" s="76"/>
      <c r="G29" s="88" t="s">
        <v>109</v>
      </c>
    </row>
    <row r="30" spans="1:7" ht="14.4">
      <c r="A30" s="85" t="s">
        <v>22</v>
      </c>
      <c r="B30" s="86">
        <v>1</v>
      </c>
      <c r="C30" s="87">
        <v>10</v>
      </c>
      <c r="D30" s="87">
        <f t="shared" si="0"/>
        <v>10</v>
      </c>
      <c r="E30" s="109"/>
      <c r="F30" s="76"/>
      <c r="G30" s="88" t="s">
        <v>117</v>
      </c>
    </row>
    <row r="31" spans="1:7" ht="43.2">
      <c r="A31" s="85" t="s">
        <v>118</v>
      </c>
      <c r="B31" s="86">
        <v>1</v>
      </c>
      <c r="C31" s="87">
        <f>120/30</f>
        <v>4</v>
      </c>
      <c r="D31" s="87">
        <f t="shared" si="0"/>
        <v>4</v>
      </c>
      <c r="E31" s="109"/>
      <c r="F31" s="76"/>
      <c r="G31" s="88" t="s">
        <v>117</v>
      </c>
    </row>
    <row r="32" spans="1:7" ht="57.6">
      <c r="A32" s="85" t="s">
        <v>20</v>
      </c>
      <c r="B32" s="112">
        <v>10</v>
      </c>
      <c r="C32" s="113">
        <v>3.8</v>
      </c>
      <c r="D32" s="87">
        <f t="shared" si="0"/>
        <v>38</v>
      </c>
      <c r="E32" s="109"/>
      <c r="F32" s="76"/>
      <c r="G32" s="88"/>
    </row>
    <row r="33" spans="1:7" ht="43.2">
      <c r="A33" s="85" t="s">
        <v>21</v>
      </c>
      <c r="B33" s="112">
        <v>2</v>
      </c>
      <c r="C33" s="113">
        <v>45</v>
      </c>
      <c r="D33" s="87">
        <f t="shared" si="0"/>
        <v>90</v>
      </c>
      <c r="E33" s="109"/>
      <c r="F33" s="76"/>
      <c r="G33" s="88"/>
    </row>
    <row r="34" spans="1:7" ht="14.4">
      <c r="A34" s="85" t="s">
        <v>23</v>
      </c>
      <c r="B34" s="86">
        <v>1</v>
      </c>
      <c r="C34" s="87">
        <v>15</v>
      </c>
      <c r="D34" s="87">
        <f t="shared" si="0"/>
        <v>15</v>
      </c>
      <c r="E34" s="109"/>
      <c r="F34" s="76"/>
      <c r="G34" s="88" t="s">
        <v>117</v>
      </c>
    </row>
    <row r="35" spans="1:7" ht="14.4">
      <c r="A35" s="85" t="s">
        <v>19</v>
      </c>
      <c r="B35" s="86">
        <v>2</v>
      </c>
      <c r="C35" s="87">
        <f>1800/60</f>
        <v>30</v>
      </c>
      <c r="D35" s="87">
        <f t="shared" si="0"/>
        <v>60</v>
      </c>
      <c r="E35" s="109"/>
      <c r="F35" s="76"/>
      <c r="G35" s="88" t="s">
        <v>107</v>
      </c>
    </row>
    <row r="36" spans="1:7" ht="14.4">
      <c r="A36" s="114" t="s">
        <v>22</v>
      </c>
      <c r="B36" s="114">
        <v>1</v>
      </c>
      <c r="C36" s="114">
        <v>5</v>
      </c>
      <c r="D36" s="87">
        <f t="shared" si="0"/>
        <v>5</v>
      </c>
      <c r="E36" s="109"/>
      <c r="F36" s="76"/>
    </row>
    <row r="37" spans="1:7" ht="14.4">
      <c r="E37" s="109"/>
      <c r="F37" s="76"/>
    </row>
    <row r="38" spans="1:7" ht="14.4">
      <c r="E38" s="109"/>
      <c r="F38" s="76"/>
    </row>
    <row r="39" spans="1:7" ht="14.4">
      <c r="E39" s="109"/>
      <c r="F39" s="76"/>
    </row>
    <row r="40" spans="1:7">
      <c r="E40" s="110"/>
      <c r="F40" s="89"/>
    </row>
    <row r="41" spans="1:7">
      <c r="E41" s="110"/>
      <c r="F41" s="89"/>
    </row>
    <row r="42" spans="1:7">
      <c r="E42" s="110"/>
      <c r="F42" s="89"/>
    </row>
    <row r="43" spans="1:7">
      <c r="E43" s="110"/>
      <c r="F43" s="89"/>
    </row>
    <row r="44" spans="1:7">
      <c r="E44" s="110"/>
      <c r="F44" s="89"/>
    </row>
    <row r="45" spans="1:7">
      <c r="E45" s="110"/>
      <c r="F45" s="89"/>
    </row>
    <row r="46" spans="1:7">
      <c r="E46" s="110"/>
      <c r="F46" s="89"/>
    </row>
    <row r="47" spans="1:7">
      <c r="E47" s="110"/>
      <c r="F47" s="89"/>
    </row>
    <row r="48" spans="1:7">
      <c r="E48" s="110"/>
      <c r="F48" s="89"/>
    </row>
    <row r="49" spans="5:6">
      <c r="E49" s="110"/>
      <c r="F49" s="89"/>
    </row>
    <row r="50" spans="5:6">
      <c r="E50" s="110"/>
      <c r="F50" s="89"/>
    </row>
    <row r="51" spans="5:6">
      <c r="E51" s="110"/>
      <c r="F51" s="89"/>
    </row>
    <row r="52" spans="5:6">
      <c r="E52" s="110"/>
      <c r="F52" s="89"/>
    </row>
    <row r="53" spans="5:6">
      <c r="E53" s="110"/>
      <c r="F53" s="89"/>
    </row>
    <row r="54" spans="5:6">
      <c r="E54" s="110"/>
      <c r="F54" s="89"/>
    </row>
    <row r="55" spans="5:6">
      <c r="E55" s="110"/>
      <c r="F55" s="89"/>
    </row>
    <row r="56" spans="5:6">
      <c r="E56" s="110"/>
      <c r="F56" s="89"/>
    </row>
    <row r="57" spans="5:6">
      <c r="E57" s="110"/>
      <c r="F57" s="89"/>
    </row>
    <row r="58" spans="5:6">
      <c r="E58" s="110"/>
      <c r="F58" s="89"/>
    </row>
    <row r="59" spans="5:6">
      <c r="E59" s="110"/>
      <c r="F59" s="89"/>
    </row>
    <row r="60" spans="5:6">
      <c r="E60" s="110"/>
      <c r="F60" s="89"/>
    </row>
    <row r="61" spans="5:6">
      <c r="E61" s="110"/>
      <c r="F61" s="89"/>
    </row>
    <row r="62" spans="5:6">
      <c r="E62" s="110"/>
      <c r="F62" s="89"/>
    </row>
    <row r="63" spans="5:6">
      <c r="E63" s="110"/>
      <c r="F63" s="89"/>
    </row>
    <row r="64" spans="5:6">
      <c r="E64" s="110"/>
      <c r="F64" s="89"/>
    </row>
    <row r="65" spans="5:6">
      <c r="E65" s="110"/>
      <c r="F65" s="89"/>
    </row>
    <row r="66" spans="5:6">
      <c r="E66" s="110"/>
      <c r="F66" s="89"/>
    </row>
    <row r="67" spans="5:6">
      <c r="E67" s="110"/>
      <c r="F67" s="89"/>
    </row>
    <row r="68" spans="5:6">
      <c r="E68" s="110"/>
      <c r="F68" s="89"/>
    </row>
    <row r="69" spans="5:6">
      <c r="E69" s="110"/>
      <c r="F69" s="89"/>
    </row>
    <row r="70" spans="5:6">
      <c r="E70" s="110"/>
      <c r="F70" s="89"/>
    </row>
    <row r="71" spans="5:6">
      <c r="E71" s="110"/>
      <c r="F71" s="89"/>
    </row>
    <row r="72" spans="5:6">
      <c r="E72" s="110"/>
      <c r="F72" s="89"/>
    </row>
    <row r="73" spans="5:6">
      <c r="E73" s="110"/>
      <c r="F73" s="89"/>
    </row>
    <row r="74" spans="5:6">
      <c r="E74" s="110"/>
      <c r="F74" s="89"/>
    </row>
    <row r="75" spans="5:6">
      <c r="E75" s="110"/>
      <c r="F75" s="89"/>
    </row>
    <row r="76" spans="5:6">
      <c r="E76" s="110"/>
      <c r="F76" s="89"/>
    </row>
    <row r="77" spans="5:6">
      <c r="E77" s="110"/>
      <c r="F77" s="89"/>
    </row>
    <row r="78" spans="5:6">
      <c r="E78" s="110"/>
      <c r="F78" s="89"/>
    </row>
    <row r="79" spans="5:6">
      <c r="E79" s="110"/>
      <c r="F79" s="89"/>
    </row>
    <row r="80" spans="5:6">
      <c r="E80" s="110"/>
      <c r="F80" s="89"/>
    </row>
    <row r="81" spans="5:6">
      <c r="E81" s="110"/>
      <c r="F81" s="89"/>
    </row>
    <row r="82" spans="5:6">
      <c r="E82" s="110"/>
      <c r="F82" s="89"/>
    </row>
    <row r="83" spans="5:6">
      <c r="E83" s="110"/>
      <c r="F83" s="89"/>
    </row>
    <row r="84" spans="5:6">
      <c r="E84" s="110"/>
      <c r="F84" s="89"/>
    </row>
    <row r="85" spans="5:6">
      <c r="E85" s="110"/>
      <c r="F85" s="89"/>
    </row>
    <row r="86" spans="5:6">
      <c r="E86" s="110"/>
      <c r="F86" s="89"/>
    </row>
    <row r="87" spans="5:6">
      <c r="E87" s="110"/>
      <c r="F87" s="89"/>
    </row>
    <row r="88" spans="5:6">
      <c r="E88" s="110"/>
      <c r="F88" s="89"/>
    </row>
    <row r="89" spans="5:6">
      <c r="E89" s="110"/>
      <c r="F89" s="89"/>
    </row>
    <row r="90" spans="5:6">
      <c r="E90" s="110"/>
      <c r="F90" s="89"/>
    </row>
    <row r="91" spans="5:6">
      <c r="E91" s="110"/>
      <c r="F91" s="89"/>
    </row>
    <row r="92" spans="5:6">
      <c r="E92" s="110"/>
      <c r="F92" s="89"/>
    </row>
    <row r="93" spans="5:6">
      <c r="E93" s="110"/>
      <c r="F93" s="89"/>
    </row>
    <row r="94" spans="5:6">
      <c r="E94" s="110"/>
      <c r="F94" s="89"/>
    </row>
    <row r="95" spans="5:6">
      <c r="E95" s="110"/>
      <c r="F95" s="89"/>
    </row>
    <row r="96" spans="5:6">
      <c r="E96" s="110"/>
      <c r="F96" s="89"/>
    </row>
    <row r="97" spans="5:6">
      <c r="E97" s="110"/>
      <c r="F97" s="89"/>
    </row>
    <row r="98" spans="5:6">
      <c r="E98" s="110"/>
      <c r="F98" s="89"/>
    </row>
    <row r="99" spans="5:6">
      <c r="E99" s="110"/>
      <c r="F99" s="89"/>
    </row>
    <row r="100" spans="5:6">
      <c r="E100" s="110"/>
      <c r="F100" s="89"/>
    </row>
    <row r="101" spans="5:6">
      <c r="E101" s="110"/>
      <c r="F101" s="89"/>
    </row>
    <row r="102" spans="5:6">
      <c r="E102" s="110"/>
      <c r="F102" s="89"/>
    </row>
    <row r="103" spans="5:6">
      <c r="E103" s="110"/>
      <c r="F103" s="89"/>
    </row>
    <row r="104" spans="5:6">
      <c r="E104" s="110"/>
      <c r="F104" s="89"/>
    </row>
    <row r="105" spans="5:6">
      <c r="E105" s="110"/>
      <c r="F105" s="89"/>
    </row>
    <row r="106" spans="5:6">
      <c r="E106" s="110"/>
      <c r="F106" s="89"/>
    </row>
    <row r="107" spans="5:6">
      <c r="E107" s="110"/>
      <c r="F107" s="89"/>
    </row>
    <row r="108" spans="5:6">
      <c r="E108" s="110"/>
      <c r="F108" s="89"/>
    </row>
    <row r="109" spans="5:6">
      <c r="E109" s="110"/>
      <c r="F109" s="89"/>
    </row>
    <row r="110" spans="5:6">
      <c r="E110" s="110"/>
      <c r="F110" s="89"/>
    </row>
    <row r="111" spans="5:6">
      <c r="E111" s="110"/>
      <c r="F111" s="89"/>
    </row>
    <row r="112" spans="5:6">
      <c r="E112" s="110"/>
      <c r="F112" s="89"/>
    </row>
    <row r="113" spans="5:6">
      <c r="E113" s="110"/>
      <c r="F113" s="89"/>
    </row>
    <row r="114" spans="5:6">
      <c r="E114" s="110"/>
      <c r="F114" s="89"/>
    </row>
    <row r="115" spans="5:6">
      <c r="E115" s="110"/>
      <c r="F115" s="89"/>
    </row>
    <row r="116" spans="5:6">
      <c r="E116" s="110"/>
      <c r="F116" s="89"/>
    </row>
    <row r="117" spans="5:6">
      <c r="E117" s="110"/>
      <c r="F117" s="89"/>
    </row>
    <row r="118" spans="5:6">
      <c r="E118" s="110"/>
      <c r="F118" s="89"/>
    </row>
    <row r="119" spans="5:6">
      <c r="E119" s="110"/>
      <c r="F119" s="89"/>
    </row>
    <row r="120" spans="5:6">
      <c r="E120" s="110"/>
      <c r="F120" s="89"/>
    </row>
    <row r="121" spans="5:6">
      <c r="E121" s="110"/>
      <c r="F121" s="89"/>
    </row>
    <row r="122" spans="5:6">
      <c r="E122" s="110"/>
      <c r="F122" s="89"/>
    </row>
    <row r="123" spans="5:6">
      <c r="E123" s="110"/>
      <c r="F123" s="89"/>
    </row>
    <row r="124" spans="5:6">
      <c r="E124" s="110"/>
      <c r="F124" s="89"/>
    </row>
    <row r="125" spans="5:6">
      <c r="E125" s="110"/>
      <c r="F125" s="89"/>
    </row>
    <row r="126" spans="5:6">
      <c r="E126" s="110"/>
      <c r="F126" s="89"/>
    </row>
    <row r="127" spans="5:6">
      <c r="E127" s="110"/>
      <c r="F127" s="89"/>
    </row>
    <row r="128" spans="5:6">
      <c r="E128" s="110"/>
      <c r="F128" s="89"/>
    </row>
    <row r="129" spans="5:6">
      <c r="E129" s="110"/>
      <c r="F129" s="89"/>
    </row>
    <row r="130" spans="5:6">
      <c r="E130" s="110"/>
      <c r="F130" s="89"/>
    </row>
    <row r="131" spans="5:6">
      <c r="E131" s="110"/>
      <c r="F131" s="89"/>
    </row>
    <row r="132" spans="5:6">
      <c r="E132" s="110"/>
      <c r="F132" s="89"/>
    </row>
    <row r="133" spans="5:6">
      <c r="E133" s="110"/>
      <c r="F133" s="89"/>
    </row>
    <row r="134" spans="5:6">
      <c r="E134" s="110"/>
      <c r="F134" s="89"/>
    </row>
    <row r="135" spans="5:6">
      <c r="E135" s="110"/>
      <c r="F135" s="89"/>
    </row>
    <row r="136" spans="5:6">
      <c r="E136" s="110"/>
      <c r="F136" s="89"/>
    </row>
    <row r="137" spans="5:6">
      <c r="E137" s="110"/>
      <c r="F137" s="89"/>
    </row>
    <row r="138" spans="5:6">
      <c r="E138" s="110"/>
      <c r="F138" s="89"/>
    </row>
    <row r="139" spans="5:6">
      <c r="E139" s="110"/>
      <c r="F139" s="89"/>
    </row>
    <row r="140" spans="5:6">
      <c r="E140" s="110"/>
      <c r="F140" s="89"/>
    </row>
    <row r="141" spans="5:6">
      <c r="E141" s="110"/>
      <c r="F141" s="89"/>
    </row>
    <row r="142" spans="5:6">
      <c r="E142" s="110"/>
      <c r="F142" s="89"/>
    </row>
    <row r="143" spans="5:6">
      <c r="E143" s="110"/>
      <c r="F143" s="89"/>
    </row>
    <row r="144" spans="5:6">
      <c r="E144" s="110"/>
      <c r="F144" s="89"/>
    </row>
    <row r="145" spans="5:6">
      <c r="E145" s="110"/>
      <c r="F145" s="89"/>
    </row>
    <row r="146" spans="5:6">
      <c r="E146" s="110"/>
      <c r="F146" s="89"/>
    </row>
    <row r="147" spans="5:6">
      <c r="E147" s="110"/>
      <c r="F147" s="89"/>
    </row>
    <row r="148" spans="5:6">
      <c r="E148" s="110"/>
      <c r="F148" s="89"/>
    </row>
    <row r="149" spans="5:6">
      <c r="E149" s="110"/>
      <c r="F149" s="89"/>
    </row>
    <row r="150" spans="5:6">
      <c r="E150" s="110"/>
      <c r="F150" s="89"/>
    </row>
    <row r="151" spans="5:6">
      <c r="E151" s="110"/>
      <c r="F151" s="89"/>
    </row>
    <row r="152" spans="5:6">
      <c r="E152" s="110"/>
      <c r="F152" s="89"/>
    </row>
    <row r="153" spans="5:6">
      <c r="E153" s="110"/>
      <c r="F153" s="89"/>
    </row>
    <row r="154" spans="5:6">
      <c r="E154" s="110"/>
      <c r="F154" s="89"/>
    </row>
    <row r="155" spans="5:6">
      <c r="E155" s="110"/>
      <c r="F155" s="89"/>
    </row>
    <row r="156" spans="5:6">
      <c r="E156" s="110"/>
      <c r="F156" s="89"/>
    </row>
    <row r="157" spans="5:6">
      <c r="E157" s="110"/>
      <c r="F157" s="89"/>
    </row>
    <row r="158" spans="5:6">
      <c r="E158" s="110"/>
      <c r="F158" s="89"/>
    </row>
    <row r="159" spans="5:6">
      <c r="E159" s="110"/>
      <c r="F159" s="89"/>
    </row>
    <row r="160" spans="5:6">
      <c r="E160" s="110"/>
      <c r="F160" s="89"/>
    </row>
    <row r="161" spans="5:6">
      <c r="E161" s="110"/>
      <c r="F161" s="89"/>
    </row>
    <row r="162" spans="5:6">
      <c r="E162" s="110"/>
      <c r="F162" s="89"/>
    </row>
    <row r="163" spans="5:6">
      <c r="E163" s="110"/>
      <c r="F163" s="89"/>
    </row>
    <row r="164" spans="5:6">
      <c r="E164" s="110"/>
      <c r="F164" s="89"/>
    </row>
    <row r="165" spans="5:6">
      <c r="E165" s="110"/>
      <c r="F165" s="89"/>
    </row>
    <row r="166" spans="5:6">
      <c r="E166" s="110"/>
      <c r="F166" s="89"/>
    </row>
    <row r="167" spans="5:6">
      <c r="E167" s="110"/>
      <c r="F167" s="89"/>
    </row>
    <row r="168" spans="5:6">
      <c r="E168" s="110"/>
      <c r="F168" s="89"/>
    </row>
    <row r="169" spans="5:6">
      <c r="E169" s="110"/>
      <c r="F169" s="89"/>
    </row>
    <row r="170" spans="5:6">
      <c r="E170" s="110"/>
      <c r="F170" s="89"/>
    </row>
    <row r="171" spans="5:6">
      <c r="E171" s="110"/>
      <c r="F171" s="89"/>
    </row>
    <row r="172" spans="5:6">
      <c r="E172" s="110"/>
      <c r="F172" s="89"/>
    </row>
    <row r="173" spans="5:6">
      <c r="E173" s="110"/>
      <c r="F173" s="89"/>
    </row>
    <row r="174" spans="5:6">
      <c r="E174" s="110"/>
      <c r="F174" s="89"/>
    </row>
    <row r="175" spans="5:6">
      <c r="E175" s="110"/>
      <c r="F175" s="89"/>
    </row>
    <row r="176" spans="5:6">
      <c r="E176" s="110"/>
      <c r="F176" s="89"/>
    </row>
    <row r="177" spans="5:6">
      <c r="E177" s="110"/>
      <c r="F177" s="89"/>
    </row>
    <row r="178" spans="5:6">
      <c r="E178" s="110"/>
      <c r="F178" s="89"/>
    </row>
    <row r="179" spans="5:6">
      <c r="E179" s="110"/>
      <c r="F179" s="89"/>
    </row>
    <row r="180" spans="5:6">
      <c r="E180" s="110"/>
      <c r="F180" s="89"/>
    </row>
    <row r="181" spans="5:6">
      <c r="E181" s="110"/>
      <c r="F181" s="89"/>
    </row>
    <row r="182" spans="5:6">
      <c r="E182" s="110"/>
      <c r="F182" s="89"/>
    </row>
    <row r="183" spans="5:6">
      <c r="E183" s="110"/>
      <c r="F183" s="89"/>
    </row>
    <row r="184" spans="5:6">
      <c r="E184" s="110"/>
      <c r="F184" s="89"/>
    </row>
    <row r="185" spans="5:6">
      <c r="E185" s="110"/>
      <c r="F185" s="89"/>
    </row>
    <row r="186" spans="5:6">
      <c r="E186" s="110"/>
      <c r="F186" s="89"/>
    </row>
    <row r="187" spans="5:6">
      <c r="E187" s="110"/>
      <c r="F187" s="89"/>
    </row>
    <row r="188" spans="5:6">
      <c r="E188" s="110"/>
      <c r="F188" s="89"/>
    </row>
    <row r="189" spans="5:6">
      <c r="E189" s="110"/>
      <c r="F189" s="89"/>
    </row>
    <row r="190" spans="5:6">
      <c r="E190" s="110"/>
      <c r="F190" s="89"/>
    </row>
    <row r="191" spans="5:6">
      <c r="E191" s="110"/>
      <c r="F191" s="89"/>
    </row>
    <row r="192" spans="5:6">
      <c r="E192" s="110"/>
      <c r="F192" s="89"/>
    </row>
    <row r="193" spans="5:6">
      <c r="E193" s="110"/>
      <c r="F193" s="89"/>
    </row>
    <row r="194" spans="5:6">
      <c r="E194" s="110"/>
      <c r="F194" s="89"/>
    </row>
    <row r="195" spans="5:6">
      <c r="E195" s="110"/>
      <c r="F195" s="89"/>
    </row>
    <row r="196" spans="5:6">
      <c r="E196" s="110"/>
      <c r="F196" s="89"/>
    </row>
    <row r="197" spans="5:6">
      <c r="E197" s="110"/>
      <c r="F197" s="89"/>
    </row>
    <row r="198" spans="5:6">
      <c r="E198" s="110"/>
      <c r="F198" s="89"/>
    </row>
    <row r="199" spans="5:6">
      <c r="E199" s="110"/>
      <c r="F199" s="89"/>
    </row>
    <row r="200" spans="5:6">
      <c r="E200" s="110"/>
      <c r="F200" s="89"/>
    </row>
    <row r="201" spans="5:6">
      <c r="E201" s="110"/>
      <c r="F201" s="89"/>
    </row>
    <row r="202" spans="5:6">
      <c r="E202" s="110"/>
      <c r="F202" s="89"/>
    </row>
    <row r="203" spans="5:6">
      <c r="E203" s="110"/>
      <c r="F203" s="89"/>
    </row>
    <row r="204" spans="5:6">
      <c r="E204" s="110"/>
      <c r="F204" s="89"/>
    </row>
    <row r="205" spans="5:6">
      <c r="E205" s="110"/>
      <c r="F205" s="89"/>
    </row>
    <row r="206" spans="5:6">
      <c r="E206" s="110"/>
      <c r="F206" s="89"/>
    </row>
    <row r="207" spans="5:6">
      <c r="E207" s="110"/>
      <c r="F207" s="89"/>
    </row>
    <row r="208" spans="5:6">
      <c r="E208" s="110"/>
      <c r="F208" s="89"/>
    </row>
    <row r="209" spans="5:6">
      <c r="E209" s="110"/>
      <c r="F209" s="89"/>
    </row>
    <row r="210" spans="5:6">
      <c r="E210" s="110"/>
      <c r="F210" s="89"/>
    </row>
    <row r="211" spans="5:6">
      <c r="E211" s="110"/>
      <c r="F211" s="89"/>
    </row>
    <row r="212" spans="5:6">
      <c r="E212" s="110"/>
      <c r="F212" s="89"/>
    </row>
    <row r="213" spans="5:6">
      <c r="E213" s="110"/>
      <c r="F213" s="89"/>
    </row>
    <row r="214" spans="5:6">
      <c r="E214" s="110"/>
      <c r="F214" s="89"/>
    </row>
    <row r="215" spans="5:6">
      <c r="E215" s="110"/>
      <c r="F215" s="89"/>
    </row>
    <row r="216" spans="5:6">
      <c r="E216" s="110"/>
      <c r="F216" s="89"/>
    </row>
    <row r="217" spans="5:6">
      <c r="E217" s="110"/>
      <c r="F217" s="89"/>
    </row>
    <row r="218" spans="5:6">
      <c r="E218" s="110"/>
      <c r="F218" s="89"/>
    </row>
    <row r="219" spans="5:6">
      <c r="E219" s="110"/>
      <c r="F219" s="89"/>
    </row>
    <row r="220" spans="5:6">
      <c r="E220" s="110"/>
      <c r="F220" s="89"/>
    </row>
    <row r="221" spans="5:6">
      <c r="E221" s="110"/>
      <c r="F221" s="89"/>
    </row>
    <row r="222" spans="5:6">
      <c r="E222" s="110"/>
      <c r="F222" s="89"/>
    </row>
    <row r="223" spans="5:6">
      <c r="E223" s="110"/>
      <c r="F223" s="89"/>
    </row>
    <row r="224" spans="5:6">
      <c r="E224" s="110"/>
      <c r="F224" s="89"/>
    </row>
    <row r="225" spans="5:6">
      <c r="E225" s="110"/>
      <c r="F225" s="89"/>
    </row>
    <row r="226" spans="5:6">
      <c r="E226" s="110"/>
      <c r="F226" s="89"/>
    </row>
    <row r="227" spans="5:6">
      <c r="E227" s="110"/>
      <c r="F227" s="89"/>
    </row>
    <row r="228" spans="5:6">
      <c r="E228" s="110"/>
      <c r="F228" s="89"/>
    </row>
    <row r="229" spans="5:6">
      <c r="E229" s="110"/>
      <c r="F229" s="89"/>
    </row>
    <row r="230" spans="5:6">
      <c r="E230" s="110"/>
      <c r="F230" s="89"/>
    </row>
    <row r="231" spans="5:6">
      <c r="E231" s="110"/>
      <c r="F231" s="89"/>
    </row>
    <row r="232" spans="5:6">
      <c r="E232" s="110"/>
      <c r="F232" s="89"/>
    </row>
    <row r="233" spans="5:6">
      <c r="E233" s="110"/>
      <c r="F233" s="89"/>
    </row>
    <row r="234" spans="5:6">
      <c r="E234" s="110"/>
      <c r="F234" s="89"/>
    </row>
    <row r="235" spans="5:6">
      <c r="E235" s="110"/>
      <c r="F235" s="89"/>
    </row>
    <row r="236" spans="5:6">
      <c r="E236" s="110"/>
      <c r="F236" s="89"/>
    </row>
    <row r="237" spans="5:6">
      <c r="E237" s="110"/>
      <c r="F237" s="89"/>
    </row>
    <row r="238" spans="5:6">
      <c r="E238" s="110"/>
      <c r="F238" s="89"/>
    </row>
    <row r="239" spans="5:6">
      <c r="E239" s="110"/>
      <c r="F239" s="89"/>
    </row>
    <row r="240" spans="5:6">
      <c r="E240" s="110"/>
      <c r="F240" s="89"/>
    </row>
    <row r="241" spans="5:6">
      <c r="E241" s="110"/>
      <c r="F241" s="89"/>
    </row>
    <row r="242" spans="5:6">
      <c r="E242" s="110"/>
      <c r="F242" s="89"/>
    </row>
    <row r="243" spans="5:6">
      <c r="E243" s="110"/>
      <c r="F243" s="89"/>
    </row>
    <row r="244" spans="5:6">
      <c r="E244" s="110"/>
      <c r="F244" s="89"/>
    </row>
    <row r="245" spans="5:6">
      <c r="E245" s="110"/>
      <c r="F245" s="89"/>
    </row>
    <row r="246" spans="5:6">
      <c r="E246" s="110"/>
      <c r="F246" s="89"/>
    </row>
    <row r="247" spans="5:6">
      <c r="E247" s="110"/>
      <c r="F247" s="89"/>
    </row>
    <row r="248" spans="5:6">
      <c r="E248" s="110"/>
      <c r="F248" s="89"/>
    </row>
    <row r="249" spans="5:6">
      <c r="E249" s="110"/>
      <c r="F249" s="89"/>
    </row>
    <row r="250" spans="5:6">
      <c r="E250" s="110"/>
      <c r="F250" s="89"/>
    </row>
    <row r="251" spans="5:6">
      <c r="E251" s="110"/>
      <c r="F251" s="89"/>
    </row>
    <row r="252" spans="5:6">
      <c r="E252" s="110"/>
      <c r="F252" s="89"/>
    </row>
    <row r="253" spans="5:6">
      <c r="E253" s="110"/>
      <c r="F253" s="89"/>
    </row>
    <row r="254" spans="5:6">
      <c r="E254" s="110"/>
      <c r="F254" s="89"/>
    </row>
    <row r="255" spans="5:6">
      <c r="E255" s="110"/>
      <c r="F255" s="89"/>
    </row>
    <row r="256" spans="5:6">
      <c r="E256" s="110"/>
      <c r="F256" s="89"/>
    </row>
    <row r="257" spans="5:6">
      <c r="E257" s="110"/>
      <c r="F257" s="89"/>
    </row>
    <row r="258" spans="5:6">
      <c r="E258" s="110"/>
      <c r="F258" s="89"/>
    </row>
    <row r="259" spans="5:6">
      <c r="E259" s="110"/>
      <c r="F259" s="89"/>
    </row>
    <row r="260" spans="5:6">
      <c r="E260" s="110"/>
      <c r="F260" s="89"/>
    </row>
    <row r="261" spans="5:6">
      <c r="E261" s="110"/>
      <c r="F261" s="89"/>
    </row>
    <row r="262" spans="5:6">
      <c r="E262" s="110"/>
      <c r="F262" s="89"/>
    </row>
    <row r="263" spans="5:6">
      <c r="E263" s="110"/>
      <c r="F263" s="89"/>
    </row>
    <row r="264" spans="5:6">
      <c r="E264" s="110"/>
      <c r="F264" s="89"/>
    </row>
    <row r="265" spans="5:6">
      <c r="E265" s="110"/>
      <c r="F265" s="89"/>
    </row>
    <row r="266" spans="5:6">
      <c r="E266" s="110"/>
      <c r="F266" s="89"/>
    </row>
    <row r="267" spans="5:6">
      <c r="E267" s="110"/>
      <c r="F267" s="89"/>
    </row>
    <row r="268" spans="5:6">
      <c r="E268" s="110"/>
      <c r="F268" s="89"/>
    </row>
    <row r="269" spans="5:6">
      <c r="E269" s="110"/>
      <c r="F269" s="89"/>
    </row>
    <row r="270" spans="5:6">
      <c r="E270" s="110"/>
      <c r="F270" s="89"/>
    </row>
    <row r="271" spans="5:6">
      <c r="E271" s="110"/>
      <c r="F271" s="89"/>
    </row>
    <row r="272" spans="5:6">
      <c r="E272" s="110"/>
      <c r="F272" s="89"/>
    </row>
    <row r="273" spans="5:6">
      <c r="E273" s="110"/>
      <c r="F273" s="89"/>
    </row>
    <row r="274" spans="5:6">
      <c r="E274" s="110"/>
      <c r="F274" s="89"/>
    </row>
    <row r="275" spans="5:6">
      <c r="E275" s="110"/>
      <c r="F275" s="89"/>
    </row>
    <row r="276" spans="5:6">
      <c r="E276" s="110"/>
      <c r="F276" s="89"/>
    </row>
    <row r="277" spans="5:6">
      <c r="E277" s="110"/>
      <c r="F277" s="89"/>
    </row>
    <row r="278" spans="5:6">
      <c r="E278" s="110"/>
      <c r="F278" s="89"/>
    </row>
    <row r="279" spans="5:6">
      <c r="E279" s="110"/>
      <c r="F279" s="89"/>
    </row>
    <row r="280" spans="5:6">
      <c r="E280" s="110"/>
      <c r="F280" s="89"/>
    </row>
    <row r="281" spans="5:6">
      <c r="E281" s="110"/>
      <c r="F281" s="89"/>
    </row>
    <row r="282" spans="5:6">
      <c r="E282" s="110"/>
      <c r="F282" s="89"/>
    </row>
    <row r="283" spans="5:6">
      <c r="E283" s="110"/>
      <c r="F283" s="89"/>
    </row>
    <row r="284" spans="5:6">
      <c r="E284" s="110"/>
      <c r="F284" s="89"/>
    </row>
    <row r="285" spans="5:6">
      <c r="E285" s="110"/>
      <c r="F285" s="89"/>
    </row>
    <row r="286" spans="5:6">
      <c r="E286" s="110"/>
      <c r="F286" s="89"/>
    </row>
    <row r="287" spans="5:6">
      <c r="E287" s="110"/>
      <c r="F287" s="89"/>
    </row>
    <row r="288" spans="5:6">
      <c r="E288" s="110"/>
      <c r="F288" s="89"/>
    </row>
    <row r="289" spans="5:6">
      <c r="E289" s="110"/>
      <c r="F289" s="89"/>
    </row>
    <row r="290" spans="5:6">
      <c r="E290" s="110"/>
      <c r="F290" s="89"/>
    </row>
    <row r="291" spans="5:6">
      <c r="E291" s="110"/>
      <c r="F291" s="89"/>
    </row>
    <row r="292" spans="5:6">
      <c r="E292" s="110"/>
      <c r="F292" s="89"/>
    </row>
    <row r="293" spans="5:6">
      <c r="E293" s="110"/>
      <c r="F293" s="89"/>
    </row>
    <row r="294" spans="5:6">
      <c r="E294" s="110"/>
      <c r="F294" s="89"/>
    </row>
    <row r="295" spans="5:6">
      <c r="E295" s="110"/>
      <c r="F295" s="89"/>
    </row>
    <row r="296" spans="5:6">
      <c r="E296" s="110"/>
      <c r="F296" s="89"/>
    </row>
    <row r="297" spans="5:6">
      <c r="E297" s="110"/>
      <c r="F297" s="89"/>
    </row>
    <row r="298" spans="5:6">
      <c r="E298" s="110"/>
      <c r="F298" s="89"/>
    </row>
    <row r="299" spans="5:6">
      <c r="E299" s="110"/>
      <c r="F299" s="89"/>
    </row>
    <row r="300" spans="5:6">
      <c r="E300" s="110"/>
      <c r="F300" s="89"/>
    </row>
    <row r="301" spans="5:6">
      <c r="E301" s="110"/>
      <c r="F301" s="89"/>
    </row>
    <row r="302" spans="5:6">
      <c r="E302" s="110"/>
      <c r="F302" s="89"/>
    </row>
    <row r="303" spans="5:6">
      <c r="E303" s="110"/>
      <c r="F303" s="89"/>
    </row>
    <row r="304" spans="5:6">
      <c r="E304" s="110"/>
      <c r="F304" s="89"/>
    </row>
    <row r="305" spans="5:6">
      <c r="E305" s="110"/>
      <c r="F305" s="89"/>
    </row>
    <row r="306" spans="5:6">
      <c r="E306" s="110"/>
      <c r="F306" s="89"/>
    </row>
    <row r="307" spans="5:6">
      <c r="E307" s="110"/>
      <c r="F307" s="89"/>
    </row>
    <row r="308" spans="5:6">
      <c r="E308" s="110"/>
      <c r="F308" s="89"/>
    </row>
    <row r="309" spans="5:6">
      <c r="E309" s="110"/>
      <c r="F309" s="89"/>
    </row>
    <row r="310" spans="5:6">
      <c r="E310" s="110"/>
      <c r="F310" s="89"/>
    </row>
    <row r="311" spans="5:6">
      <c r="E311" s="110"/>
      <c r="F311" s="89"/>
    </row>
    <row r="312" spans="5:6">
      <c r="E312" s="110"/>
      <c r="F312" s="89"/>
    </row>
    <row r="313" spans="5:6">
      <c r="E313" s="110"/>
      <c r="F313" s="89"/>
    </row>
    <row r="314" spans="5:6">
      <c r="E314" s="110"/>
      <c r="F314" s="89"/>
    </row>
    <row r="315" spans="5:6">
      <c r="E315" s="110"/>
      <c r="F315" s="89"/>
    </row>
    <row r="316" spans="5:6">
      <c r="E316" s="110"/>
      <c r="F316" s="89"/>
    </row>
    <row r="317" spans="5:6">
      <c r="E317" s="110"/>
      <c r="F317" s="89"/>
    </row>
    <row r="318" spans="5:6">
      <c r="E318" s="110"/>
      <c r="F318" s="89"/>
    </row>
    <row r="319" spans="5:6">
      <c r="E319" s="110"/>
      <c r="F319" s="89"/>
    </row>
    <row r="320" spans="5:6">
      <c r="E320" s="110"/>
      <c r="F320" s="89"/>
    </row>
    <row r="321" spans="5:6">
      <c r="E321" s="110"/>
      <c r="F321" s="89"/>
    </row>
    <row r="322" spans="5:6">
      <c r="E322" s="110"/>
      <c r="F322" s="89"/>
    </row>
    <row r="323" spans="5:6">
      <c r="E323" s="110"/>
      <c r="F323" s="89"/>
    </row>
    <row r="324" spans="5:6">
      <c r="E324" s="110"/>
      <c r="F324" s="89"/>
    </row>
    <row r="325" spans="5:6">
      <c r="E325" s="110"/>
      <c r="F325" s="89"/>
    </row>
    <row r="326" spans="5:6">
      <c r="E326" s="110"/>
      <c r="F326" s="89"/>
    </row>
    <row r="327" spans="5:6">
      <c r="E327" s="110"/>
      <c r="F327" s="89"/>
    </row>
    <row r="328" spans="5:6">
      <c r="E328" s="110"/>
      <c r="F328" s="89"/>
    </row>
    <row r="329" spans="5:6">
      <c r="E329" s="110"/>
      <c r="F329" s="89"/>
    </row>
    <row r="330" spans="5:6">
      <c r="E330" s="110"/>
      <c r="F330" s="89"/>
    </row>
    <row r="331" spans="5:6">
      <c r="E331" s="110"/>
      <c r="F331" s="89"/>
    </row>
    <row r="332" spans="5:6">
      <c r="E332" s="110"/>
      <c r="F332" s="89"/>
    </row>
    <row r="333" spans="5:6">
      <c r="E333" s="110"/>
      <c r="F333" s="89"/>
    </row>
    <row r="334" spans="5:6">
      <c r="E334" s="110"/>
      <c r="F334" s="89"/>
    </row>
    <row r="335" spans="5:6">
      <c r="E335" s="110"/>
      <c r="F335" s="89"/>
    </row>
    <row r="336" spans="5:6">
      <c r="E336" s="110"/>
      <c r="F336" s="89"/>
    </row>
    <row r="337" spans="5:6">
      <c r="E337" s="110"/>
      <c r="F337" s="89"/>
    </row>
    <row r="338" spans="5:6">
      <c r="E338" s="110"/>
      <c r="F338" s="89"/>
    </row>
    <row r="339" spans="5:6">
      <c r="E339" s="110"/>
      <c r="F339" s="89"/>
    </row>
    <row r="340" spans="5:6">
      <c r="E340" s="110"/>
      <c r="F340" s="89"/>
    </row>
    <row r="341" spans="5:6">
      <c r="E341" s="110"/>
      <c r="F341" s="89"/>
    </row>
    <row r="342" spans="5:6">
      <c r="E342" s="110"/>
      <c r="F342" s="89"/>
    </row>
    <row r="343" spans="5:6">
      <c r="E343" s="110"/>
      <c r="F343" s="89"/>
    </row>
    <row r="344" spans="5:6">
      <c r="E344" s="110"/>
      <c r="F344" s="89"/>
    </row>
    <row r="345" spans="5:6">
      <c r="E345" s="110"/>
      <c r="F345" s="89"/>
    </row>
    <row r="346" spans="5:6">
      <c r="E346" s="110"/>
      <c r="F346" s="89"/>
    </row>
    <row r="347" spans="5:6">
      <c r="E347" s="110"/>
      <c r="F347" s="89"/>
    </row>
    <row r="348" spans="5:6">
      <c r="E348" s="110"/>
      <c r="F348" s="89"/>
    </row>
    <row r="349" spans="5:6">
      <c r="E349" s="110"/>
      <c r="F349" s="89"/>
    </row>
    <row r="350" spans="5:6">
      <c r="E350" s="110"/>
      <c r="F350" s="89"/>
    </row>
    <row r="351" spans="5:6">
      <c r="E351" s="110"/>
      <c r="F351" s="89"/>
    </row>
    <row r="352" spans="5:6">
      <c r="E352" s="110"/>
      <c r="F352" s="89"/>
    </row>
    <row r="353" spans="5:6">
      <c r="E353" s="110"/>
      <c r="F353" s="89"/>
    </row>
    <row r="354" spans="5:6">
      <c r="E354" s="110"/>
      <c r="F354" s="89"/>
    </row>
    <row r="355" spans="5:6">
      <c r="E355" s="110"/>
      <c r="F355" s="89"/>
    </row>
    <row r="356" spans="5:6">
      <c r="E356" s="110"/>
      <c r="F356" s="89"/>
    </row>
    <row r="357" spans="5:6">
      <c r="E357" s="110"/>
      <c r="F357" s="89"/>
    </row>
    <row r="358" spans="5:6">
      <c r="E358" s="110"/>
      <c r="F358" s="89"/>
    </row>
    <row r="359" spans="5:6">
      <c r="E359" s="110"/>
      <c r="F359" s="89"/>
    </row>
    <row r="360" spans="5:6">
      <c r="E360" s="110"/>
      <c r="F360" s="89"/>
    </row>
    <row r="361" spans="5:6">
      <c r="E361" s="110"/>
      <c r="F361" s="89"/>
    </row>
    <row r="362" spans="5:6">
      <c r="E362" s="110"/>
      <c r="F362" s="89"/>
    </row>
    <row r="363" spans="5:6">
      <c r="E363" s="110"/>
      <c r="F363" s="89"/>
    </row>
    <row r="364" spans="5:6">
      <c r="E364" s="110"/>
      <c r="F364" s="89"/>
    </row>
    <row r="365" spans="5:6">
      <c r="E365" s="110"/>
      <c r="F365" s="89"/>
    </row>
    <row r="366" spans="5:6">
      <c r="E366" s="110"/>
      <c r="F366" s="89"/>
    </row>
    <row r="367" spans="5:6">
      <c r="E367" s="110"/>
      <c r="F367" s="89"/>
    </row>
    <row r="368" spans="5:6">
      <c r="E368" s="110"/>
      <c r="F368" s="89"/>
    </row>
    <row r="369" spans="5:6">
      <c r="E369" s="110"/>
      <c r="F369" s="89"/>
    </row>
    <row r="370" spans="5:6">
      <c r="E370" s="110"/>
      <c r="F370" s="89"/>
    </row>
    <row r="371" spans="5:6">
      <c r="E371" s="110"/>
      <c r="F371" s="89"/>
    </row>
    <row r="372" spans="5:6">
      <c r="E372" s="110"/>
      <c r="F372" s="89"/>
    </row>
    <row r="373" spans="5:6">
      <c r="E373" s="110"/>
      <c r="F373" s="89"/>
    </row>
    <row r="374" spans="5:6">
      <c r="E374" s="110"/>
      <c r="F374" s="89"/>
    </row>
    <row r="375" spans="5:6">
      <c r="E375" s="110"/>
      <c r="F375" s="89"/>
    </row>
    <row r="376" spans="5:6">
      <c r="E376" s="110"/>
      <c r="F376" s="89"/>
    </row>
    <row r="377" spans="5:6">
      <c r="E377" s="110"/>
      <c r="F377" s="89"/>
    </row>
    <row r="378" spans="5:6">
      <c r="E378" s="110"/>
      <c r="F378" s="89"/>
    </row>
    <row r="379" spans="5:6">
      <c r="E379" s="110"/>
      <c r="F379" s="89"/>
    </row>
    <row r="380" spans="5:6">
      <c r="E380" s="110"/>
      <c r="F380" s="89"/>
    </row>
    <row r="381" spans="5:6">
      <c r="E381" s="110"/>
      <c r="F381" s="89"/>
    </row>
    <row r="382" spans="5:6">
      <c r="E382" s="110"/>
      <c r="F382" s="89"/>
    </row>
    <row r="383" spans="5:6">
      <c r="E383" s="110"/>
      <c r="F383" s="89"/>
    </row>
    <row r="384" spans="5:6">
      <c r="E384" s="110"/>
      <c r="F384" s="89"/>
    </row>
    <row r="385" spans="5:6">
      <c r="E385" s="110"/>
      <c r="F385" s="89"/>
    </row>
    <row r="386" spans="5:6">
      <c r="E386" s="110"/>
      <c r="F386" s="89"/>
    </row>
    <row r="387" spans="5:6">
      <c r="E387" s="110"/>
      <c r="F387" s="89"/>
    </row>
    <row r="388" spans="5:6">
      <c r="E388" s="110"/>
      <c r="F388" s="89"/>
    </row>
    <row r="389" spans="5:6">
      <c r="E389" s="110"/>
      <c r="F389" s="89"/>
    </row>
    <row r="390" spans="5:6">
      <c r="E390" s="110"/>
      <c r="F390" s="89"/>
    </row>
    <row r="391" spans="5:6">
      <c r="E391" s="110"/>
      <c r="F391" s="89"/>
    </row>
    <row r="392" spans="5:6">
      <c r="E392" s="110"/>
      <c r="F392" s="89"/>
    </row>
    <row r="393" spans="5:6">
      <c r="E393" s="110"/>
      <c r="F393" s="89"/>
    </row>
    <row r="394" spans="5:6">
      <c r="E394" s="110"/>
      <c r="F394" s="89"/>
    </row>
    <row r="395" spans="5:6">
      <c r="E395" s="110"/>
      <c r="F395" s="89"/>
    </row>
    <row r="396" spans="5:6">
      <c r="E396" s="110"/>
      <c r="F396" s="89"/>
    </row>
    <row r="397" spans="5:6">
      <c r="E397" s="110"/>
      <c r="F397" s="89"/>
    </row>
    <row r="398" spans="5:6">
      <c r="E398" s="110"/>
      <c r="F398" s="89"/>
    </row>
    <row r="399" spans="5:6">
      <c r="E399" s="110"/>
      <c r="F399" s="89"/>
    </row>
    <row r="400" spans="5:6">
      <c r="E400" s="110"/>
      <c r="F400" s="89"/>
    </row>
    <row r="401" spans="5:6">
      <c r="E401" s="110"/>
      <c r="F401" s="89"/>
    </row>
    <row r="402" spans="5:6">
      <c r="E402" s="110"/>
      <c r="F402" s="89"/>
    </row>
    <row r="403" spans="5:6">
      <c r="E403" s="110"/>
      <c r="F403" s="89"/>
    </row>
    <row r="404" spans="5:6">
      <c r="E404" s="110"/>
      <c r="F404" s="89"/>
    </row>
    <row r="405" spans="5:6">
      <c r="E405" s="110"/>
      <c r="F405" s="89"/>
    </row>
    <row r="406" spans="5:6">
      <c r="E406" s="110"/>
      <c r="F406" s="89"/>
    </row>
    <row r="407" spans="5:6">
      <c r="E407" s="110"/>
      <c r="F407" s="89"/>
    </row>
    <row r="408" spans="5:6">
      <c r="E408" s="110"/>
      <c r="F408" s="89"/>
    </row>
    <row r="409" spans="5:6">
      <c r="E409" s="110"/>
      <c r="F409" s="89"/>
    </row>
    <row r="410" spans="5:6">
      <c r="E410" s="110"/>
      <c r="F410" s="89"/>
    </row>
    <row r="411" spans="5:6">
      <c r="E411" s="110"/>
      <c r="F411" s="89"/>
    </row>
    <row r="412" spans="5:6">
      <c r="E412" s="110"/>
      <c r="F412" s="89"/>
    </row>
    <row r="413" spans="5:6">
      <c r="E413" s="110"/>
      <c r="F413" s="89"/>
    </row>
    <row r="414" spans="5:6">
      <c r="E414" s="110"/>
      <c r="F414" s="89"/>
    </row>
    <row r="415" spans="5:6">
      <c r="E415" s="110"/>
      <c r="F415" s="89"/>
    </row>
    <row r="416" spans="5:6">
      <c r="E416" s="110"/>
      <c r="F416" s="89"/>
    </row>
    <row r="417" spans="5:6">
      <c r="E417" s="110"/>
      <c r="F417" s="89"/>
    </row>
    <row r="418" spans="5:6">
      <c r="E418" s="110"/>
      <c r="F418" s="89"/>
    </row>
    <row r="419" spans="5:6">
      <c r="E419" s="110"/>
      <c r="F419" s="89"/>
    </row>
    <row r="420" spans="5:6">
      <c r="E420" s="110"/>
      <c r="F420" s="89"/>
    </row>
    <row r="421" spans="5:6">
      <c r="E421" s="110"/>
      <c r="F421" s="89"/>
    </row>
    <row r="422" spans="5:6">
      <c r="E422" s="110"/>
      <c r="F422" s="89"/>
    </row>
    <row r="423" spans="5:6">
      <c r="E423" s="110"/>
      <c r="F423" s="89"/>
    </row>
    <row r="424" spans="5:6">
      <c r="E424" s="110"/>
      <c r="F424" s="89"/>
    </row>
    <row r="425" spans="5:6">
      <c r="E425" s="110"/>
      <c r="F425" s="89"/>
    </row>
    <row r="426" spans="5:6">
      <c r="E426" s="110"/>
      <c r="F426" s="89"/>
    </row>
    <row r="427" spans="5:6">
      <c r="E427" s="110"/>
      <c r="F427" s="89"/>
    </row>
    <row r="428" spans="5:6">
      <c r="E428" s="110"/>
      <c r="F428" s="89"/>
    </row>
    <row r="429" spans="5:6">
      <c r="E429" s="110"/>
      <c r="F429" s="89"/>
    </row>
    <row r="430" spans="5:6">
      <c r="E430" s="110"/>
      <c r="F430" s="89"/>
    </row>
    <row r="431" spans="5:6">
      <c r="E431" s="110"/>
      <c r="F431" s="89"/>
    </row>
    <row r="432" spans="5:6">
      <c r="E432" s="110"/>
      <c r="F432" s="89"/>
    </row>
    <row r="433" spans="5:6">
      <c r="E433" s="110"/>
      <c r="F433" s="89"/>
    </row>
    <row r="434" spans="5:6">
      <c r="E434" s="110"/>
      <c r="F434" s="89"/>
    </row>
    <row r="435" spans="5:6">
      <c r="E435" s="110"/>
      <c r="F435" s="89"/>
    </row>
    <row r="436" spans="5:6">
      <c r="E436" s="110"/>
      <c r="F436" s="89"/>
    </row>
    <row r="437" spans="5:6">
      <c r="E437" s="110"/>
      <c r="F437" s="89"/>
    </row>
    <row r="438" spans="5:6">
      <c r="E438" s="110"/>
      <c r="F438" s="89"/>
    </row>
    <row r="439" spans="5:6">
      <c r="E439" s="110"/>
      <c r="F439" s="89"/>
    </row>
    <row r="440" spans="5:6">
      <c r="E440" s="110"/>
      <c r="F440" s="89"/>
    </row>
    <row r="441" spans="5:6">
      <c r="E441" s="110"/>
      <c r="F441" s="89"/>
    </row>
    <row r="442" spans="5:6">
      <c r="E442" s="110"/>
      <c r="F442" s="89"/>
    </row>
    <row r="443" spans="5:6">
      <c r="E443" s="110"/>
      <c r="F443" s="89"/>
    </row>
    <row r="444" spans="5:6">
      <c r="E444" s="110"/>
      <c r="F444" s="89"/>
    </row>
    <row r="445" spans="5:6">
      <c r="E445" s="110"/>
      <c r="F445" s="89"/>
    </row>
    <row r="446" spans="5:6">
      <c r="E446" s="110"/>
      <c r="F446" s="89"/>
    </row>
    <row r="447" spans="5:6">
      <c r="E447" s="110"/>
      <c r="F447" s="89"/>
    </row>
    <row r="448" spans="5:6">
      <c r="E448" s="110"/>
      <c r="F448" s="89"/>
    </row>
    <row r="449" spans="5:6">
      <c r="E449" s="110"/>
      <c r="F449" s="89"/>
    </row>
    <row r="450" spans="5:6">
      <c r="E450" s="110"/>
      <c r="F450" s="89"/>
    </row>
    <row r="451" spans="5:6">
      <c r="E451" s="110"/>
      <c r="F451" s="89"/>
    </row>
    <row r="452" spans="5:6">
      <c r="E452" s="110"/>
      <c r="F452" s="89"/>
    </row>
    <row r="453" spans="5:6">
      <c r="E453" s="110"/>
      <c r="F453" s="89"/>
    </row>
    <row r="454" spans="5:6">
      <c r="E454" s="110"/>
      <c r="F454" s="89"/>
    </row>
    <row r="455" spans="5:6">
      <c r="E455" s="110"/>
      <c r="F455" s="89"/>
    </row>
    <row r="456" spans="5:6">
      <c r="E456" s="110"/>
      <c r="F456" s="89"/>
    </row>
    <row r="457" spans="5:6">
      <c r="E457" s="110"/>
      <c r="F457" s="89"/>
    </row>
    <row r="458" spans="5:6">
      <c r="E458" s="110"/>
      <c r="F458" s="89"/>
    </row>
    <row r="459" spans="5:6">
      <c r="E459" s="110"/>
      <c r="F459" s="89"/>
    </row>
    <row r="460" spans="5:6">
      <c r="E460" s="110"/>
      <c r="F460" s="89"/>
    </row>
    <row r="461" spans="5:6">
      <c r="E461" s="110"/>
      <c r="F461" s="89"/>
    </row>
    <row r="462" spans="5:6">
      <c r="E462" s="110"/>
      <c r="F462" s="89"/>
    </row>
    <row r="463" spans="5:6">
      <c r="E463" s="110"/>
      <c r="F463" s="89"/>
    </row>
    <row r="464" spans="5:6">
      <c r="E464" s="110"/>
      <c r="F464" s="89"/>
    </row>
    <row r="465" spans="5:6">
      <c r="E465" s="110"/>
      <c r="F465" s="89"/>
    </row>
    <row r="466" spans="5:6">
      <c r="E466" s="110"/>
      <c r="F466" s="89"/>
    </row>
    <row r="467" spans="5:6">
      <c r="E467" s="110"/>
      <c r="F467" s="89"/>
    </row>
    <row r="468" spans="5:6">
      <c r="E468" s="110"/>
      <c r="F468" s="89"/>
    </row>
    <row r="469" spans="5:6">
      <c r="E469" s="110"/>
      <c r="F469" s="89"/>
    </row>
    <row r="470" spans="5:6">
      <c r="E470" s="110"/>
      <c r="F470" s="89"/>
    </row>
    <row r="471" spans="5:6">
      <c r="E471" s="110"/>
      <c r="F471" s="89"/>
    </row>
    <row r="472" spans="5:6">
      <c r="E472" s="110"/>
      <c r="F472" s="89"/>
    </row>
    <row r="473" spans="5:6">
      <c r="E473" s="110"/>
      <c r="F473" s="89"/>
    </row>
    <row r="474" spans="5:6">
      <c r="E474" s="110"/>
      <c r="F474" s="89"/>
    </row>
    <row r="475" spans="5:6">
      <c r="E475" s="110"/>
      <c r="F475" s="89"/>
    </row>
    <row r="476" spans="5:6">
      <c r="E476" s="110"/>
      <c r="F476" s="89"/>
    </row>
    <row r="477" spans="5:6">
      <c r="E477" s="110"/>
      <c r="F477" s="89"/>
    </row>
    <row r="478" spans="5:6">
      <c r="E478" s="110"/>
      <c r="F478" s="89"/>
    </row>
    <row r="479" spans="5:6">
      <c r="E479" s="110"/>
      <c r="F479" s="89"/>
    </row>
    <row r="480" spans="5:6">
      <c r="E480" s="110"/>
      <c r="F480" s="89"/>
    </row>
    <row r="481" spans="5:6">
      <c r="E481" s="110"/>
      <c r="F481" s="89"/>
    </row>
    <row r="482" spans="5:6">
      <c r="E482" s="110"/>
      <c r="F482" s="89"/>
    </row>
    <row r="483" spans="5:6">
      <c r="E483" s="110"/>
      <c r="F483" s="89"/>
    </row>
    <row r="484" spans="5:6">
      <c r="E484" s="110"/>
      <c r="F484" s="89"/>
    </row>
    <row r="485" spans="5:6">
      <c r="E485" s="110"/>
      <c r="F485" s="89"/>
    </row>
    <row r="486" spans="5:6">
      <c r="E486" s="110"/>
      <c r="F486" s="89"/>
    </row>
    <row r="487" spans="5:6">
      <c r="E487" s="110"/>
      <c r="F487" s="89"/>
    </row>
    <row r="488" spans="5:6">
      <c r="E488" s="110"/>
      <c r="F488" s="89"/>
    </row>
    <row r="489" spans="5:6">
      <c r="E489" s="110"/>
      <c r="F489" s="89"/>
    </row>
    <row r="490" spans="5:6">
      <c r="E490" s="110"/>
      <c r="F490" s="89"/>
    </row>
    <row r="491" spans="5:6">
      <c r="E491" s="110"/>
      <c r="F491" s="89"/>
    </row>
    <row r="492" spans="5:6">
      <c r="E492" s="110"/>
      <c r="F492" s="89"/>
    </row>
    <row r="493" spans="5:6">
      <c r="E493" s="110"/>
      <c r="F493" s="89"/>
    </row>
    <row r="494" spans="5:6">
      <c r="E494" s="110"/>
      <c r="F494" s="89"/>
    </row>
    <row r="495" spans="5:6">
      <c r="E495" s="110"/>
      <c r="F495" s="89"/>
    </row>
    <row r="496" spans="5:6">
      <c r="E496" s="110"/>
      <c r="F496" s="89"/>
    </row>
    <row r="497" spans="5:6">
      <c r="E497" s="110"/>
      <c r="F497" s="89"/>
    </row>
    <row r="498" spans="5:6">
      <c r="E498" s="110"/>
      <c r="F498" s="89"/>
    </row>
    <row r="499" spans="5:6">
      <c r="E499" s="110"/>
      <c r="F499" s="89"/>
    </row>
    <row r="500" spans="5:6">
      <c r="E500" s="110"/>
      <c r="F500" s="89"/>
    </row>
    <row r="501" spans="5:6">
      <c r="E501" s="110"/>
      <c r="F501" s="89"/>
    </row>
    <row r="502" spans="5:6">
      <c r="E502" s="110"/>
      <c r="F502" s="89"/>
    </row>
    <row r="503" spans="5:6">
      <c r="E503" s="110"/>
      <c r="F503" s="89"/>
    </row>
    <row r="504" spans="5:6">
      <c r="E504" s="110"/>
      <c r="F504" s="89"/>
    </row>
    <row r="505" spans="5:6">
      <c r="E505" s="110"/>
      <c r="F505" s="89"/>
    </row>
    <row r="506" spans="5:6">
      <c r="E506" s="110"/>
      <c r="F506" s="89"/>
    </row>
    <row r="507" spans="5:6">
      <c r="E507" s="110"/>
      <c r="F507" s="89"/>
    </row>
    <row r="508" spans="5:6">
      <c r="E508" s="110"/>
      <c r="F508" s="89"/>
    </row>
    <row r="509" spans="5:6">
      <c r="E509" s="110"/>
      <c r="F509" s="89"/>
    </row>
    <row r="510" spans="5:6">
      <c r="E510" s="110"/>
      <c r="F510" s="89"/>
    </row>
    <row r="511" spans="5:6">
      <c r="E511" s="110"/>
      <c r="F511" s="89"/>
    </row>
    <row r="512" spans="5:6">
      <c r="E512" s="110"/>
      <c r="F512" s="89"/>
    </row>
    <row r="513" spans="5:6">
      <c r="E513" s="110"/>
      <c r="F513" s="89"/>
    </row>
    <row r="514" spans="5:6">
      <c r="E514" s="110"/>
      <c r="F514" s="89"/>
    </row>
    <row r="515" spans="5:6">
      <c r="E515" s="110"/>
      <c r="F515" s="89"/>
    </row>
    <row r="516" spans="5:6">
      <c r="E516" s="110"/>
      <c r="F516" s="89"/>
    </row>
    <row r="517" spans="5:6">
      <c r="E517" s="110"/>
      <c r="F517" s="89"/>
    </row>
    <row r="518" spans="5:6">
      <c r="E518" s="110"/>
      <c r="F518" s="89"/>
    </row>
    <row r="519" spans="5:6">
      <c r="E519" s="110"/>
      <c r="F519" s="89"/>
    </row>
    <row r="520" spans="5:6">
      <c r="E520" s="110"/>
      <c r="F520" s="89"/>
    </row>
    <row r="521" spans="5:6">
      <c r="E521" s="110"/>
      <c r="F521" s="89"/>
    </row>
    <row r="522" spans="5:6">
      <c r="E522" s="110"/>
      <c r="F522" s="89"/>
    </row>
    <row r="523" spans="5:6">
      <c r="E523" s="110"/>
      <c r="F523" s="89"/>
    </row>
    <row r="524" spans="5:6">
      <c r="E524" s="110"/>
      <c r="F524" s="89"/>
    </row>
    <row r="525" spans="5:6">
      <c r="E525" s="110"/>
      <c r="F525" s="89"/>
    </row>
    <row r="526" spans="5:6">
      <c r="E526" s="110"/>
      <c r="F526" s="89"/>
    </row>
    <row r="527" spans="5:6">
      <c r="E527" s="110"/>
      <c r="F527" s="89"/>
    </row>
    <row r="528" spans="5:6">
      <c r="E528" s="110"/>
      <c r="F528" s="89"/>
    </row>
    <row r="529" spans="5:6">
      <c r="E529" s="110"/>
      <c r="F529" s="89"/>
    </row>
    <row r="530" spans="5:6">
      <c r="E530" s="110"/>
      <c r="F530" s="89"/>
    </row>
    <row r="531" spans="5:6">
      <c r="E531" s="110"/>
      <c r="F531" s="89"/>
    </row>
    <row r="532" spans="5:6">
      <c r="E532" s="110"/>
      <c r="F532" s="89"/>
    </row>
    <row r="533" spans="5:6">
      <c r="E533" s="110"/>
      <c r="F533" s="89"/>
    </row>
    <row r="534" spans="5:6">
      <c r="E534" s="110"/>
      <c r="F534" s="89"/>
    </row>
    <row r="535" spans="5:6">
      <c r="E535" s="110"/>
      <c r="F535" s="89"/>
    </row>
    <row r="536" spans="5:6">
      <c r="E536" s="110"/>
      <c r="F536" s="89"/>
    </row>
    <row r="537" spans="5:6">
      <c r="E537" s="110"/>
      <c r="F537" s="89"/>
    </row>
    <row r="538" spans="5:6">
      <c r="E538" s="110"/>
      <c r="F538" s="89"/>
    </row>
    <row r="539" spans="5:6">
      <c r="E539" s="110"/>
      <c r="F539" s="89"/>
    </row>
    <row r="540" spans="5:6">
      <c r="E540" s="110"/>
      <c r="F540" s="89"/>
    </row>
    <row r="541" spans="5:6">
      <c r="E541" s="110"/>
      <c r="F541" s="89"/>
    </row>
    <row r="542" spans="5:6">
      <c r="E542" s="110"/>
      <c r="F542" s="89"/>
    </row>
    <row r="543" spans="5:6">
      <c r="E543" s="110"/>
      <c r="F543" s="89"/>
    </row>
    <row r="544" spans="5:6">
      <c r="E544" s="110"/>
      <c r="F544" s="89"/>
    </row>
    <row r="545" spans="5:6">
      <c r="E545" s="110"/>
      <c r="F545" s="89"/>
    </row>
    <row r="546" spans="5:6">
      <c r="E546" s="110"/>
      <c r="F546" s="89"/>
    </row>
    <row r="547" spans="5:6">
      <c r="E547" s="110"/>
      <c r="F547" s="89"/>
    </row>
    <row r="548" spans="5:6">
      <c r="E548" s="110"/>
      <c r="F548" s="89"/>
    </row>
    <row r="549" spans="5:6">
      <c r="E549" s="110"/>
      <c r="F549" s="89"/>
    </row>
    <row r="550" spans="5:6">
      <c r="E550" s="110"/>
      <c r="F550" s="89"/>
    </row>
    <row r="551" spans="5:6">
      <c r="E551" s="110"/>
      <c r="F551" s="89"/>
    </row>
    <row r="552" spans="5:6">
      <c r="E552" s="110"/>
      <c r="F552" s="89"/>
    </row>
    <row r="553" spans="5:6">
      <c r="E553" s="110"/>
      <c r="F553" s="89"/>
    </row>
    <row r="554" spans="5:6">
      <c r="E554" s="110"/>
      <c r="F554" s="89"/>
    </row>
    <row r="555" spans="5:6">
      <c r="E555" s="110"/>
      <c r="F555" s="89"/>
    </row>
    <row r="556" spans="5:6">
      <c r="E556" s="110"/>
      <c r="F556" s="89"/>
    </row>
    <row r="557" spans="5:6">
      <c r="E557" s="110"/>
      <c r="F557" s="89"/>
    </row>
    <row r="558" spans="5:6">
      <c r="E558" s="110"/>
      <c r="F558" s="89"/>
    </row>
    <row r="559" spans="5:6">
      <c r="E559" s="110"/>
      <c r="F559" s="89"/>
    </row>
    <row r="560" spans="5:6">
      <c r="E560" s="110"/>
      <c r="F560" s="89"/>
    </row>
    <row r="561" spans="5:6">
      <c r="E561" s="110"/>
      <c r="F561" s="89"/>
    </row>
    <row r="562" spans="5:6">
      <c r="E562" s="110"/>
      <c r="F562" s="89"/>
    </row>
    <row r="563" spans="5:6">
      <c r="E563" s="110"/>
      <c r="F563" s="89"/>
    </row>
    <row r="564" spans="5:6">
      <c r="E564" s="110"/>
      <c r="F564" s="89"/>
    </row>
    <row r="565" spans="5:6">
      <c r="E565" s="110"/>
      <c r="F565" s="89"/>
    </row>
    <row r="566" spans="5:6">
      <c r="E566" s="110"/>
      <c r="F566" s="89"/>
    </row>
    <row r="567" spans="5:6">
      <c r="E567" s="110"/>
      <c r="F567" s="89"/>
    </row>
    <row r="568" spans="5:6">
      <c r="E568" s="110"/>
      <c r="F568" s="89"/>
    </row>
    <row r="569" spans="5:6">
      <c r="E569" s="110"/>
      <c r="F569" s="89"/>
    </row>
    <row r="570" spans="5:6">
      <c r="E570" s="110"/>
      <c r="F570" s="89"/>
    </row>
    <row r="571" spans="5:6">
      <c r="E571" s="110"/>
      <c r="F571" s="89"/>
    </row>
    <row r="572" spans="5:6">
      <c r="E572" s="110"/>
      <c r="F572" s="89"/>
    </row>
    <row r="573" spans="5:6">
      <c r="E573" s="110"/>
      <c r="F573" s="89"/>
    </row>
    <row r="574" spans="5:6">
      <c r="E574" s="110"/>
      <c r="F574" s="89"/>
    </row>
    <row r="575" spans="5:6">
      <c r="E575" s="110"/>
      <c r="F575" s="89"/>
    </row>
    <row r="576" spans="5:6">
      <c r="E576" s="110"/>
      <c r="F576" s="89"/>
    </row>
    <row r="577" spans="5:6">
      <c r="E577" s="110"/>
      <c r="F577" s="89"/>
    </row>
    <row r="578" spans="5:6">
      <c r="E578" s="110"/>
      <c r="F578" s="89"/>
    </row>
    <row r="579" spans="5:6">
      <c r="E579" s="110"/>
      <c r="F579" s="89"/>
    </row>
    <row r="580" spans="5:6">
      <c r="E580" s="110"/>
      <c r="F580" s="89"/>
    </row>
    <row r="581" spans="5:6">
      <c r="E581" s="110"/>
      <c r="F581" s="89"/>
    </row>
    <row r="582" spans="5:6">
      <c r="E582" s="110"/>
      <c r="F582" s="89"/>
    </row>
    <row r="583" spans="5:6">
      <c r="E583" s="110"/>
      <c r="F583" s="89"/>
    </row>
    <row r="584" spans="5:6">
      <c r="E584" s="110"/>
      <c r="F584" s="89"/>
    </row>
    <row r="585" spans="5:6">
      <c r="E585" s="110"/>
      <c r="F585" s="89"/>
    </row>
    <row r="586" spans="5:6">
      <c r="E586" s="110"/>
      <c r="F586" s="89"/>
    </row>
    <row r="587" spans="5:6">
      <c r="E587" s="110"/>
      <c r="F587" s="89"/>
    </row>
    <row r="588" spans="5:6">
      <c r="E588" s="110"/>
      <c r="F588" s="89"/>
    </row>
    <row r="589" spans="5:6">
      <c r="E589" s="110"/>
      <c r="F589" s="89"/>
    </row>
    <row r="590" spans="5:6">
      <c r="E590" s="110"/>
      <c r="F590" s="89"/>
    </row>
    <row r="591" spans="5:6">
      <c r="E591" s="110"/>
      <c r="F591" s="89"/>
    </row>
    <row r="592" spans="5:6">
      <c r="E592" s="110"/>
      <c r="F592" s="89"/>
    </row>
    <row r="593" spans="5:6">
      <c r="E593" s="110"/>
      <c r="F593" s="89"/>
    </row>
    <row r="594" spans="5:6">
      <c r="E594" s="110"/>
      <c r="F594" s="89"/>
    </row>
    <row r="595" spans="5:6">
      <c r="E595" s="110"/>
      <c r="F595" s="89"/>
    </row>
    <row r="596" spans="5:6">
      <c r="E596" s="110"/>
      <c r="F596" s="89"/>
    </row>
    <row r="597" spans="5:6">
      <c r="E597" s="110"/>
      <c r="F597" s="89"/>
    </row>
    <row r="598" spans="5:6">
      <c r="E598" s="110"/>
      <c r="F598" s="89"/>
    </row>
    <row r="599" spans="5:6">
      <c r="E599" s="110"/>
      <c r="F599" s="89"/>
    </row>
    <row r="600" spans="5:6">
      <c r="E600" s="110"/>
      <c r="F600" s="89"/>
    </row>
    <row r="601" spans="5:6">
      <c r="E601" s="110"/>
      <c r="F601" s="89"/>
    </row>
    <row r="602" spans="5:6">
      <c r="E602" s="110"/>
      <c r="F602" s="89"/>
    </row>
    <row r="603" spans="5:6">
      <c r="E603" s="110"/>
      <c r="F603" s="89"/>
    </row>
    <row r="604" spans="5:6">
      <c r="E604" s="110"/>
      <c r="F604" s="89"/>
    </row>
    <row r="605" spans="5:6">
      <c r="E605" s="110"/>
      <c r="F605" s="89"/>
    </row>
    <row r="606" spans="5:6">
      <c r="E606" s="110"/>
      <c r="F606" s="89"/>
    </row>
    <row r="607" spans="5:6">
      <c r="E607" s="110"/>
      <c r="F607" s="89"/>
    </row>
    <row r="608" spans="5:6">
      <c r="E608" s="110"/>
      <c r="F608" s="89"/>
    </row>
    <row r="609" spans="5:6">
      <c r="E609" s="110"/>
      <c r="F609" s="89"/>
    </row>
    <row r="610" spans="5:6">
      <c r="E610" s="110"/>
      <c r="F610" s="89"/>
    </row>
    <row r="611" spans="5:6">
      <c r="E611" s="110"/>
      <c r="F611" s="89"/>
    </row>
    <row r="612" spans="5:6">
      <c r="E612" s="110"/>
      <c r="F612" s="89"/>
    </row>
    <row r="613" spans="5:6">
      <c r="E613" s="110"/>
      <c r="F613" s="89"/>
    </row>
    <row r="614" spans="5:6">
      <c r="E614" s="110"/>
      <c r="F614" s="89"/>
    </row>
    <row r="615" spans="5:6">
      <c r="E615" s="110"/>
      <c r="F615" s="89"/>
    </row>
    <row r="616" spans="5:6">
      <c r="E616" s="110"/>
      <c r="F616" s="89"/>
    </row>
    <row r="617" spans="5:6">
      <c r="E617" s="110"/>
      <c r="F617" s="89"/>
    </row>
    <row r="618" spans="5:6">
      <c r="E618" s="110"/>
      <c r="F618" s="89"/>
    </row>
    <row r="619" spans="5:6">
      <c r="E619" s="110"/>
      <c r="F619" s="89"/>
    </row>
    <row r="620" spans="5:6">
      <c r="E620" s="110"/>
      <c r="F620" s="89"/>
    </row>
    <row r="621" spans="5:6">
      <c r="E621" s="110"/>
      <c r="F621" s="89"/>
    </row>
    <row r="622" spans="5:6">
      <c r="E622" s="110"/>
      <c r="F622" s="89"/>
    </row>
    <row r="623" spans="5:6">
      <c r="E623" s="110"/>
      <c r="F623" s="89"/>
    </row>
    <row r="624" spans="5:6">
      <c r="E624" s="110"/>
      <c r="F624" s="89"/>
    </row>
    <row r="625" spans="5:6">
      <c r="E625" s="110"/>
      <c r="F625" s="89"/>
    </row>
    <row r="626" spans="5:6">
      <c r="E626" s="110"/>
      <c r="F626" s="89"/>
    </row>
    <row r="627" spans="5:6">
      <c r="E627" s="110"/>
      <c r="F627" s="89"/>
    </row>
    <row r="628" spans="5:6">
      <c r="E628" s="110"/>
      <c r="F628" s="89"/>
    </row>
    <row r="629" spans="5:6">
      <c r="E629" s="110"/>
      <c r="F629" s="89"/>
    </row>
    <row r="630" spans="5:6">
      <c r="E630" s="110"/>
      <c r="F630" s="89"/>
    </row>
    <row r="631" spans="5:6">
      <c r="E631" s="110"/>
      <c r="F631" s="89"/>
    </row>
    <row r="632" spans="5:6">
      <c r="E632" s="110"/>
      <c r="F632" s="89"/>
    </row>
    <row r="633" spans="5:6">
      <c r="E633" s="110"/>
      <c r="F633" s="89"/>
    </row>
    <row r="634" spans="5:6">
      <c r="E634" s="110"/>
      <c r="F634" s="89"/>
    </row>
    <row r="635" spans="5:6">
      <c r="E635" s="110"/>
      <c r="F635" s="89"/>
    </row>
    <row r="636" spans="5:6">
      <c r="E636" s="110"/>
      <c r="F636" s="89"/>
    </row>
    <row r="637" spans="5:6">
      <c r="E637" s="110"/>
      <c r="F637" s="89"/>
    </row>
    <row r="638" spans="5:6">
      <c r="E638" s="110"/>
      <c r="F638" s="89"/>
    </row>
    <row r="639" spans="5:6">
      <c r="E639" s="110"/>
      <c r="F639" s="89"/>
    </row>
    <row r="640" spans="5:6">
      <c r="E640" s="110"/>
      <c r="F640" s="89"/>
    </row>
    <row r="641" spans="5:6">
      <c r="E641" s="110"/>
      <c r="F641" s="89"/>
    </row>
    <row r="642" spans="5:6">
      <c r="E642" s="110"/>
      <c r="F642" s="89"/>
    </row>
    <row r="643" spans="5:6">
      <c r="E643" s="110"/>
      <c r="F643" s="89"/>
    </row>
    <row r="644" spans="5:6">
      <c r="E644" s="110"/>
      <c r="F644" s="89"/>
    </row>
    <row r="645" spans="5:6">
      <c r="E645" s="110"/>
      <c r="F645" s="89"/>
    </row>
    <row r="646" spans="5:6">
      <c r="E646" s="110"/>
      <c r="F646" s="89"/>
    </row>
    <row r="647" spans="5:6">
      <c r="E647" s="110"/>
      <c r="F647" s="89"/>
    </row>
    <row r="648" spans="5:6">
      <c r="E648" s="110"/>
      <c r="F648" s="89"/>
    </row>
    <row r="649" spans="5:6">
      <c r="E649" s="110"/>
      <c r="F649" s="89"/>
    </row>
    <row r="650" spans="5:6">
      <c r="E650" s="110"/>
      <c r="F650" s="89"/>
    </row>
    <row r="651" spans="5:6">
      <c r="E651" s="110"/>
      <c r="F651" s="89"/>
    </row>
    <row r="652" spans="5:6">
      <c r="E652" s="110"/>
      <c r="F652" s="89"/>
    </row>
    <row r="653" spans="5:6">
      <c r="E653" s="110"/>
      <c r="F653" s="89"/>
    </row>
    <row r="654" spans="5:6">
      <c r="E654" s="110"/>
      <c r="F654" s="89"/>
    </row>
    <row r="655" spans="5:6">
      <c r="E655" s="110"/>
      <c r="F655" s="89"/>
    </row>
    <row r="656" spans="5:6">
      <c r="E656" s="110"/>
      <c r="F656" s="89"/>
    </row>
    <row r="657" spans="5:6">
      <c r="E657" s="110"/>
      <c r="F657" s="89"/>
    </row>
    <row r="658" spans="5:6">
      <c r="E658" s="110"/>
      <c r="F658" s="89"/>
    </row>
    <row r="659" spans="5:6">
      <c r="E659" s="110"/>
      <c r="F659" s="89"/>
    </row>
    <row r="660" spans="5:6">
      <c r="E660" s="110"/>
      <c r="F660" s="89"/>
    </row>
    <row r="661" spans="5:6">
      <c r="E661" s="110"/>
      <c r="F661" s="89"/>
    </row>
    <row r="662" spans="5:6">
      <c r="E662" s="110"/>
      <c r="F662" s="89"/>
    </row>
    <row r="663" spans="5:6">
      <c r="E663" s="110"/>
      <c r="F663" s="89"/>
    </row>
    <row r="664" spans="5:6">
      <c r="E664" s="110"/>
      <c r="F664" s="89"/>
    </row>
    <row r="665" spans="5:6">
      <c r="E665" s="110"/>
      <c r="F665" s="89"/>
    </row>
    <row r="666" spans="5:6">
      <c r="E666" s="110"/>
      <c r="F666" s="89"/>
    </row>
    <row r="667" spans="5:6">
      <c r="E667" s="110"/>
      <c r="F667" s="89"/>
    </row>
    <row r="668" spans="5:6">
      <c r="E668" s="110"/>
      <c r="F668" s="89"/>
    </row>
    <row r="669" spans="5:6">
      <c r="E669" s="110"/>
      <c r="F669" s="89"/>
    </row>
    <row r="670" spans="5:6">
      <c r="E670" s="110"/>
      <c r="F670" s="89"/>
    </row>
    <row r="671" spans="5:6">
      <c r="E671" s="110"/>
      <c r="F671" s="89"/>
    </row>
    <row r="672" spans="5:6">
      <c r="E672" s="110"/>
      <c r="F672" s="89"/>
    </row>
    <row r="673" spans="5:6">
      <c r="E673" s="110"/>
      <c r="F673" s="89"/>
    </row>
    <row r="674" spans="5:6">
      <c r="E674" s="110"/>
      <c r="F674" s="89"/>
    </row>
    <row r="675" spans="5:6">
      <c r="E675" s="110"/>
      <c r="F675" s="89"/>
    </row>
    <row r="676" spans="5:6">
      <c r="E676" s="110"/>
      <c r="F676" s="89"/>
    </row>
    <row r="677" spans="5:6">
      <c r="E677" s="110"/>
      <c r="F677" s="89"/>
    </row>
    <row r="678" spans="5:6">
      <c r="E678" s="110"/>
      <c r="F678" s="89"/>
    </row>
    <row r="679" spans="5:6">
      <c r="E679" s="110"/>
      <c r="F679" s="89"/>
    </row>
    <row r="680" spans="5:6">
      <c r="E680" s="110"/>
      <c r="F680" s="89"/>
    </row>
    <row r="681" spans="5:6">
      <c r="E681" s="110"/>
      <c r="F681" s="89"/>
    </row>
    <row r="682" spans="5:6">
      <c r="E682" s="110"/>
      <c r="F682" s="89"/>
    </row>
    <row r="683" spans="5:6">
      <c r="E683" s="110"/>
      <c r="F683" s="89"/>
    </row>
    <row r="684" spans="5:6">
      <c r="E684" s="110"/>
      <c r="F684" s="89"/>
    </row>
    <row r="685" spans="5:6">
      <c r="E685" s="110"/>
      <c r="F685" s="89"/>
    </row>
    <row r="686" spans="5:6">
      <c r="E686" s="110"/>
      <c r="F686" s="89"/>
    </row>
    <row r="687" spans="5:6">
      <c r="E687" s="110"/>
      <c r="F687" s="89"/>
    </row>
    <row r="688" spans="5:6">
      <c r="E688" s="110"/>
      <c r="F688" s="89"/>
    </row>
    <row r="689" spans="5:6">
      <c r="E689" s="110"/>
      <c r="F689" s="89"/>
    </row>
    <row r="690" spans="5:6">
      <c r="E690" s="110"/>
      <c r="F690" s="89"/>
    </row>
    <row r="691" spans="5:6">
      <c r="E691" s="110"/>
      <c r="F691" s="89"/>
    </row>
    <row r="692" spans="5:6">
      <c r="E692" s="110"/>
      <c r="F692" s="89"/>
    </row>
    <row r="693" spans="5:6">
      <c r="E693" s="110"/>
      <c r="F693" s="89"/>
    </row>
    <row r="694" spans="5:6">
      <c r="E694" s="110"/>
      <c r="F694" s="89"/>
    </row>
    <row r="695" spans="5:6">
      <c r="E695" s="110"/>
      <c r="F695" s="89"/>
    </row>
    <row r="696" spans="5:6">
      <c r="E696" s="110"/>
      <c r="F696" s="89"/>
    </row>
    <row r="697" spans="5:6">
      <c r="E697" s="110"/>
      <c r="F697" s="89"/>
    </row>
    <row r="698" spans="5:6">
      <c r="E698" s="110"/>
      <c r="F698" s="89"/>
    </row>
    <row r="699" spans="5:6">
      <c r="E699" s="110"/>
      <c r="F699" s="89"/>
    </row>
    <row r="700" spans="5:6">
      <c r="E700" s="110"/>
      <c r="F700" s="89"/>
    </row>
    <row r="701" spans="5:6">
      <c r="E701" s="110"/>
      <c r="F701" s="89"/>
    </row>
    <row r="702" spans="5:6">
      <c r="E702" s="110"/>
      <c r="F702" s="89"/>
    </row>
    <row r="703" spans="5:6">
      <c r="E703" s="110"/>
      <c r="F703" s="89"/>
    </row>
    <row r="704" spans="5:6">
      <c r="E704" s="110"/>
      <c r="F704" s="89"/>
    </row>
    <row r="705" spans="5:6">
      <c r="E705" s="110"/>
      <c r="F705" s="89"/>
    </row>
    <row r="706" spans="5:6">
      <c r="E706" s="110"/>
      <c r="F706" s="89"/>
    </row>
    <row r="707" spans="5:6">
      <c r="E707" s="110"/>
      <c r="F707" s="89"/>
    </row>
    <row r="708" spans="5:6">
      <c r="E708" s="110"/>
      <c r="F708" s="89"/>
    </row>
    <row r="709" spans="5:6">
      <c r="E709" s="110"/>
      <c r="F709" s="89"/>
    </row>
    <row r="710" spans="5:6">
      <c r="E710" s="110"/>
      <c r="F710" s="89"/>
    </row>
    <row r="711" spans="5:6">
      <c r="E711" s="110"/>
      <c r="F711" s="89"/>
    </row>
    <row r="712" spans="5:6">
      <c r="E712" s="110"/>
      <c r="F712" s="89"/>
    </row>
    <row r="713" spans="5:6">
      <c r="E713" s="110"/>
      <c r="F713" s="89"/>
    </row>
    <row r="714" spans="5:6">
      <c r="E714" s="110"/>
      <c r="F714" s="89"/>
    </row>
    <row r="715" spans="5:6">
      <c r="E715" s="110"/>
      <c r="F715" s="89"/>
    </row>
    <row r="716" spans="5:6">
      <c r="E716" s="110"/>
      <c r="F716" s="89"/>
    </row>
    <row r="717" spans="5:6">
      <c r="E717" s="110"/>
      <c r="F717" s="89"/>
    </row>
    <row r="718" spans="5:6">
      <c r="E718" s="110"/>
      <c r="F718" s="89"/>
    </row>
    <row r="719" spans="5:6">
      <c r="E719" s="110"/>
      <c r="F719" s="89"/>
    </row>
    <row r="720" spans="5:6">
      <c r="E720" s="110"/>
      <c r="F720" s="89"/>
    </row>
    <row r="721" spans="5:6">
      <c r="E721" s="110"/>
      <c r="F721" s="89"/>
    </row>
    <row r="722" spans="5:6">
      <c r="E722" s="110"/>
      <c r="F722" s="89"/>
    </row>
    <row r="723" spans="5:6">
      <c r="E723" s="110"/>
      <c r="F723" s="89"/>
    </row>
    <row r="724" spans="5:6">
      <c r="E724" s="110"/>
      <c r="F724" s="89"/>
    </row>
    <row r="725" spans="5:6">
      <c r="E725" s="110"/>
      <c r="F725" s="89"/>
    </row>
    <row r="726" spans="5:6">
      <c r="E726" s="110"/>
      <c r="F726" s="89"/>
    </row>
    <row r="727" spans="5:6">
      <c r="E727" s="110"/>
      <c r="F727" s="89"/>
    </row>
    <row r="728" spans="5:6">
      <c r="E728" s="110"/>
      <c r="F728" s="89"/>
    </row>
    <row r="729" spans="5:6">
      <c r="E729" s="110"/>
      <c r="F729" s="89"/>
    </row>
    <row r="730" spans="5:6">
      <c r="E730" s="110"/>
      <c r="F730" s="89"/>
    </row>
    <row r="731" spans="5:6">
      <c r="E731" s="110"/>
      <c r="F731" s="89"/>
    </row>
    <row r="732" spans="5:6">
      <c r="E732" s="110"/>
      <c r="F732" s="89"/>
    </row>
    <row r="733" spans="5:6">
      <c r="E733" s="110"/>
      <c r="F733" s="89"/>
    </row>
    <row r="734" spans="5:6">
      <c r="E734" s="110"/>
      <c r="F734" s="89"/>
    </row>
    <row r="735" spans="5:6">
      <c r="E735" s="110"/>
      <c r="F735" s="89"/>
    </row>
    <row r="736" spans="5:6">
      <c r="E736" s="110"/>
      <c r="F736" s="89"/>
    </row>
    <row r="737" spans="5:6">
      <c r="E737" s="110"/>
      <c r="F737" s="89"/>
    </row>
    <row r="738" spans="5:6">
      <c r="E738" s="110"/>
      <c r="F738" s="89"/>
    </row>
    <row r="739" spans="5:6">
      <c r="E739" s="110"/>
      <c r="F739" s="89"/>
    </row>
    <row r="740" spans="5:6">
      <c r="E740" s="110"/>
      <c r="F740" s="89"/>
    </row>
    <row r="741" spans="5:6">
      <c r="E741" s="110"/>
      <c r="F741" s="89"/>
    </row>
    <row r="742" spans="5:6">
      <c r="E742" s="110"/>
      <c r="F742" s="89"/>
    </row>
    <row r="743" spans="5:6">
      <c r="E743" s="110"/>
      <c r="F743" s="89"/>
    </row>
    <row r="744" spans="5:6">
      <c r="E744" s="110"/>
      <c r="F744" s="89"/>
    </row>
    <row r="745" spans="5:6">
      <c r="E745" s="110"/>
      <c r="F745" s="89"/>
    </row>
    <row r="746" spans="5:6">
      <c r="E746" s="110"/>
      <c r="F746" s="89"/>
    </row>
    <row r="747" spans="5:6">
      <c r="E747" s="110"/>
      <c r="F747" s="89"/>
    </row>
    <row r="748" spans="5:6">
      <c r="E748" s="110"/>
      <c r="F748" s="89"/>
    </row>
    <row r="749" spans="5:6">
      <c r="E749" s="110"/>
      <c r="F749" s="89"/>
    </row>
    <row r="750" spans="5:6">
      <c r="E750" s="110"/>
      <c r="F750" s="89"/>
    </row>
    <row r="751" spans="5:6">
      <c r="E751" s="110"/>
      <c r="F751" s="89"/>
    </row>
    <row r="752" spans="5:6">
      <c r="E752" s="110"/>
      <c r="F752" s="89"/>
    </row>
    <row r="753" spans="5:6">
      <c r="E753" s="110"/>
      <c r="F753" s="89"/>
    </row>
    <row r="754" spans="5:6">
      <c r="E754" s="110"/>
      <c r="F754" s="89"/>
    </row>
    <row r="755" spans="5:6">
      <c r="E755" s="110"/>
      <c r="F755" s="89"/>
    </row>
    <row r="756" spans="5:6">
      <c r="E756" s="110"/>
      <c r="F756" s="89"/>
    </row>
    <row r="757" spans="5:6">
      <c r="E757" s="110"/>
      <c r="F757" s="89"/>
    </row>
    <row r="758" spans="5:6">
      <c r="E758" s="110"/>
      <c r="F758" s="89"/>
    </row>
    <row r="759" spans="5:6">
      <c r="E759" s="110"/>
      <c r="F759" s="89"/>
    </row>
    <row r="760" spans="5:6">
      <c r="E760" s="110"/>
      <c r="F760" s="89"/>
    </row>
    <row r="761" spans="5:6">
      <c r="E761" s="110"/>
      <c r="F761" s="89"/>
    </row>
    <row r="762" spans="5:6">
      <c r="E762" s="110"/>
      <c r="F762" s="89"/>
    </row>
    <row r="763" spans="5:6">
      <c r="E763" s="110"/>
      <c r="F763" s="89"/>
    </row>
    <row r="764" spans="5:6">
      <c r="E764" s="110"/>
      <c r="F764" s="89"/>
    </row>
    <row r="765" spans="5:6">
      <c r="E765" s="110"/>
      <c r="F765" s="89"/>
    </row>
    <row r="766" spans="5:6">
      <c r="E766" s="110"/>
      <c r="F766" s="89"/>
    </row>
    <row r="767" spans="5:6">
      <c r="E767" s="110"/>
      <c r="F767" s="89"/>
    </row>
    <row r="768" spans="5:6">
      <c r="E768" s="110"/>
      <c r="F768" s="89"/>
    </row>
    <row r="769" spans="5:6">
      <c r="E769" s="110"/>
      <c r="F769" s="89"/>
    </row>
    <row r="770" spans="5:6">
      <c r="E770" s="110"/>
      <c r="F770" s="89"/>
    </row>
    <row r="771" spans="5:6">
      <c r="E771" s="110"/>
      <c r="F771" s="89"/>
    </row>
    <row r="772" spans="5:6">
      <c r="E772" s="110"/>
      <c r="F772" s="89"/>
    </row>
    <row r="773" spans="5:6">
      <c r="E773" s="110"/>
      <c r="F773" s="89"/>
    </row>
    <row r="774" spans="5:6">
      <c r="E774" s="110"/>
      <c r="F774" s="89"/>
    </row>
    <row r="775" spans="5:6">
      <c r="E775" s="110"/>
      <c r="F775" s="89"/>
    </row>
    <row r="776" spans="5:6">
      <c r="E776" s="110"/>
      <c r="F776" s="89"/>
    </row>
    <row r="777" spans="5:6">
      <c r="E777" s="110"/>
      <c r="F777" s="89"/>
    </row>
    <row r="778" spans="5:6">
      <c r="E778" s="110"/>
      <c r="F778" s="89"/>
    </row>
    <row r="779" spans="5:6">
      <c r="E779" s="110"/>
      <c r="F779" s="89"/>
    </row>
    <row r="780" spans="5:6">
      <c r="E780" s="110"/>
      <c r="F780" s="89"/>
    </row>
    <row r="781" spans="5:6">
      <c r="E781" s="110"/>
      <c r="F781" s="89"/>
    </row>
    <row r="782" spans="5:6">
      <c r="E782" s="110"/>
      <c r="F782" s="89"/>
    </row>
    <row r="783" spans="5:6">
      <c r="E783" s="110"/>
      <c r="F783" s="89"/>
    </row>
    <row r="784" spans="5:6">
      <c r="E784" s="110"/>
      <c r="F784" s="89"/>
    </row>
    <row r="785" spans="5:6">
      <c r="E785" s="110"/>
      <c r="F785" s="89"/>
    </row>
    <row r="786" spans="5:6">
      <c r="E786" s="110"/>
      <c r="F786" s="89"/>
    </row>
    <row r="787" spans="5:6">
      <c r="E787" s="110"/>
      <c r="F787" s="89"/>
    </row>
    <row r="788" spans="5:6">
      <c r="E788" s="110"/>
      <c r="F788" s="89"/>
    </row>
    <row r="789" spans="5:6">
      <c r="E789" s="110"/>
      <c r="F789" s="89"/>
    </row>
    <row r="790" spans="5:6">
      <c r="E790" s="110"/>
      <c r="F790" s="89"/>
    </row>
    <row r="791" spans="5:6">
      <c r="E791" s="110"/>
      <c r="F791" s="89"/>
    </row>
    <row r="792" spans="5:6">
      <c r="E792" s="110"/>
      <c r="F792" s="89"/>
    </row>
    <row r="793" spans="5:6">
      <c r="E793" s="110"/>
      <c r="F793" s="89"/>
    </row>
    <row r="794" spans="5:6">
      <c r="E794" s="110"/>
      <c r="F794" s="89"/>
    </row>
    <row r="795" spans="5:6">
      <c r="E795" s="110"/>
      <c r="F795" s="89"/>
    </row>
    <row r="796" spans="5:6">
      <c r="E796" s="110"/>
      <c r="F796" s="89"/>
    </row>
    <row r="797" spans="5:6">
      <c r="E797" s="110"/>
      <c r="F797" s="89"/>
    </row>
    <row r="798" spans="5:6">
      <c r="E798" s="110"/>
      <c r="F798" s="89"/>
    </row>
    <row r="799" spans="5:6">
      <c r="E799" s="110"/>
      <c r="F799" s="89"/>
    </row>
    <row r="800" spans="5:6">
      <c r="E800" s="110"/>
      <c r="F800" s="89"/>
    </row>
    <row r="801" spans="5:6">
      <c r="E801" s="110"/>
      <c r="F801" s="89"/>
    </row>
    <row r="802" spans="5:6">
      <c r="E802" s="110"/>
      <c r="F802" s="89"/>
    </row>
    <row r="803" spans="5:6">
      <c r="E803" s="110"/>
      <c r="F803" s="89"/>
    </row>
    <row r="804" spans="5:6">
      <c r="E804" s="110"/>
      <c r="F804" s="89"/>
    </row>
    <row r="805" spans="5:6">
      <c r="E805" s="110"/>
      <c r="F805" s="89"/>
    </row>
    <row r="806" spans="5:6">
      <c r="E806" s="110"/>
      <c r="F806" s="89"/>
    </row>
    <row r="807" spans="5:6">
      <c r="E807" s="110"/>
      <c r="F807" s="89"/>
    </row>
    <row r="808" spans="5:6">
      <c r="E808" s="110"/>
      <c r="F808" s="89"/>
    </row>
    <row r="809" spans="5:6">
      <c r="E809" s="110"/>
      <c r="F809" s="89"/>
    </row>
    <row r="810" spans="5:6">
      <c r="E810" s="110"/>
      <c r="F810" s="89"/>
    </row>
    <row r="811" spans="5:6">
      <c r="E811" s="110"/>
      <c r="F811" s="89"/>
    </row>
    <row r="812" spans="5:6">
      <c r="E812" s="110"/>
      <c r="F812" s="89"/>
    </row>
    <row r="813" spans="5:6">
      <c r="E813" s="110"/>
      <c r="F813" s="89"/>
    </row>
    <row r="814" spans="5:6">
      <c r="E814" s="110"/>
      <c r="F814" s="89"/>
    </row>
    <row r="815" spans="5:6">
      <c r="E815" s="110"/>
      <c r="F815" s="89"/>
    </row>
    <row r="816" spans="5:6">
      <c r="E816" s="110"/>
      <c r="F816" s="89"/>
    </row>
    <row r="817" spans="5:6">
      <c r="E817" s="110"/>
      <c r="F817" s="89"/>
    </row>
    <row r="818" spans="5:6">
      <c r="E818" s="110"/>
      <c r="F818" s="89"/>
    </row>
    <row r="819" spans="5:6">
      <c r="E819" s="110"/>
      <c r="F819" s="89"/>
    </row>
    <row r="820" spans="5:6">
      <c r="E820" s="110"/>
      <c r="F820" s="89"/>
    </row>
    <row r="821" spans="5:6">
      <c r="E821" s="110"/>
      <c r="F821" s="89"/>
    </row>
    <row r="822" spans="5:6">
      <c r="E822" s="110"/>
      <c r="F822" s="89"/>
    </row>
    <row r="823" spans="5:6">
      <c r="E823" s="110"/>
      <c r="F823" s="89"/>
    </row>
    <row r="824" spans="5:6">
      <c r="E824" s="110"/>
      <c r="F824" s="89"/>
    </row>
    <row r="825" spans="5:6">
      <c r="E825" s="110"/>
      <c r="F825" s="89"/>
    </row>
    <row r="826" spans="5:6">
      <c r="E826" s="110"/>
      <c r="F826" s="89"/>
    </row>
    <row r="827" spans="5:6">
      <c r="E827" s="110"/>
      <c r="F827" s="89"/>
    </row>
    <row r="828" spans="5:6">
      <c r="E828" s="110"/>
      <c r="F828" s="89"/>
    </row>
    <row r="829" spans="5:6">
      <c r="E829" s="110"/>
      <c r="F829" s="89"/>
    </row>
    <row r="830" spans="5:6">
      <c r="E830" s="110"/>
      <c r="F830" s="89"/>
    </row>
    <row r="831" spans="5:6">
      <c r="E831" s="110"/>
      <c r="F831" s="89"/>
    </row>
    <row r="832" spans="5:6">
      <c r="E832" s="110"/>
      <c r="F832" s="89"/>
    </row>
    <row r="833" spans="5:6">
      <c r="E833" s="110"/>
      <c r="F833" s="89"/>
    </row>
    <row r="834" spans="5:6">
      <c r="E834" s="110"/>
      <c r="F834" s="89"/>
    </row>
    <row r="835" spans="5:6">
      <c r="E835" s="110"/>
      <c r="F835" s="89"/>
    </row>
    <row r="836" spans="5:6">
      <c r="E836" s="110"/>
      <c r="F836" s="89"/>
    </row>
    <row r="837" spans="5:6">
      <c r="E837" s="110"/>
      <c r="F837" s="89"/>
    </row>
    <row r="838" spans="5:6">
      <c r="E838" s="110"/>
      <c r="F838" s="89"/>
    </row>
    <row r="839" spans="5:6">
      <c r="E839" s="110"/>
      <c r="F839" s="89"/>
    </row>
    <row r="840" spans="5:6">
      <c r="E840" s="110"/>
      <c r="F840" s="89"/>
    </row>
    <row r="841" spans="5:6">
      <c r="E841" s="110"/>
      <c r="F841" s="89"/>
    </row>
    <row r="842" spans="5:6">
      <c r="E842" s="110"/>
      <c r="F842" s="89"/>
    </row>
    <row r="843" spans="5:6">
      <c r="E843" s="110"/>
      <c r="F843" s="89"/>
    </row>
    <row r="844" spans="5:6">
      <c r="E844" s="110"/>
      <c r="F844" s="89"/>
    </row>
    <row r="845" spans="5:6">
      <c r="E845" s="110"/>
      <c r="F845" s="89"/>
    </row>
    <row r="846" spans="5:6">
      <c r="E846" s="110"/>
      <c r="F846" s="89"/>
    </row>
    <row r="847" spans="5:6">
      <c r="E847" s="110"/>
      <c r="F847" s="89"/>
    </row>
    <row r="848" spans="5:6">
      <c r="E848" s="110"/>
      <c r="F848" s="89"/>
    </row>
    <row r="849" spans="5:6">
      <c r="E849" s="110"/>
      <c r="F849" s="89"/>
    </row>
    <row r="850" spans="5:6">
      <c r="E850" s="110"/>
      <c r="F850" s="89"/>
    </row>
    <row r="851" spans="5:6">
      <c r="E851" s="110"/>
      <c r="F851" s="89"/>
    </row>
    <row r="852" spans="5:6">
      <c r="E852" s="110"/>
      <c r="F852" s="89"/>
    </row>
    <row r="853" spans="5:6">
      <c r="E853" s="110"/>
      <c r="F853" s="89"/>
    </row>
    <row r="854" spans="5:6">
      <c r="E854" s="110"/>
      <c r="F854" s="89"/>
    </row>
    <row r="855" spans="5:6">
      <c r="E855" s="110"/>
      <c r="F855" s="89"/>
    </row>
    <row r="856" spans="5:6">
      <c r="E856" s="110"/>
      <c r="F856" s="89"/>
    </row>
    <row r="857" spans="5:6">
      <c r="E857" s="110"/>
      <c r="F857" s="89"/>
    </row>
    <row r="858" spans="5:6">
      <c r="E858" s="110"/>
      <c r="F858" s="89"/>
    </row>
    <row r="859" spans="5:6">
      <c r="E859" s="110"/>
      <c r="F859" s="89"/>
    </row>
    <row r="860" spans="5:6">
      <c r="E860" s="110"/>
      <c r="F860" s="89"/>
    </row>
    <row r="861" spans="5:6">
      <c r="E861" s="110"/>
      <c r="F861" s="89"/>
    </row>
    <row r="862" spans="5:6">
      <c r="E862" s="110"/>
      <c r="F862" s="89"/>
    </row>
    <row r="863" spans="5:6">
      <c r="E863" s="110"/>
      <c r="F863" s="89"/>
    </row>
    <row r="864" spans="5:6">
      <c r="E864" s="110"/>
      <c r="F864" s="89"/>
    </row>
    <row r="865" spans="5:6">
      <c r="E865" s="110"/>
      <c r="F865" s="89"/>
    </row>
    <row r="866" spans="5:6">
      <c r="E866" s="110"/>
      <c r="F866" s="89"/>
    </row>
    <row r="867" spans="5:6">
      <c r="E867" s="110"/>
      <c r="F867" s="89"/>
    </row>
    <row r="868" spans="5:6">
      <c r="E868" s="110"/>
      <c r="F868" s="89"/>
    </row>
    <row r="869" spans="5:6">
      <c r="E869" s="110"/>
      <c r="F869" s="89"/>
    </row>
    <row r="870" spans="5:6">
      <c r="E870" s="110"/>
      <c r="F870" s="89"/>
    </row>
    <row r="871" spans="5:6">
      <c r="E871" s="110"/>
      <c r="F871" s="89"/>
    </row>
    <row r="872" spans="5:6">
      <c r="E872" s="110"/>
      <c r="F872" s="89"/>
    </row>
    <row r="873" spans="5:6">
      <c r="E873" s="110"/>
      <c r="F873" s="89"/>
    </row>
    <row r="874" spans="5:6">
      <c r="E874" s="110"/>
      <c r="F874" s="89"/>
    </row>
    <row r="875" spans="5:6">
      <c r="E875" s="110"/>
      <c r="F875" s="89"/>
    </row>
    <row r="876" spans="5:6">
      <c r="E876" s="110"/>
      <c r="F876" s="89"/>
    </row>
    <row r="877" spans="5:6">
      <c r="E877" s="110"/>
      <c r="F877" s="89"/>
    </row>
    <row r="878" spans="5:6">
      <c r="E878" s="110"/>
      <c r="F878" s="89"/>
    </row>
    <row r="879" spans="5:6">
      <c r="E879" s="110"/>
      <c r="F879" s="89"/>
    </row>
    <row r="880" spans="5:6">
      <c r="E880" s="110"/>
      <c r="F880" s="89"/>
    </row>
    <row r="881" spans="5:6">
      <c r="E881" s="110"/>
      <c r="F881" s="89"/>
    </row>
    <row r="882" spans="5:6">
      <c r="E882" s="110"/>
      <c r="F882" s="89"/>
    </row>
    <row r="883" spans="5:6">
      <c r="E883" s="110"/>
      <c r="F883" s="89"/>
    </row>
    <row r="884" spans="5:6">
      <c r="E884" s="110"/>
      <c r="F884" s="89"/>
    </row>
    <row r="885" spans="5:6">
      <c r="E885" s="110"/>
      <c r="F885" s="89"/>
    </row>
    <row r="886" spans="5:6">
      <c r="E886" s="110"/>
      <c r="F886" s="89"/>
    </row>
    <row r="887" spans="5:6">
      <c r="E887" s="110"/>
      <c r="F887" s="89"/>
    </row>
    <row r="888" spans="5:6">
      <c r="E888" s="110"/>
      <c r="F888" s="89"/>
    </row>
    <row r="889" spans="5:6">
      <c r="E889" s="110"/>
      <c r="F889" s="89"/>
    </row>
    <row r="890" spans="5:6">
      <c r="E890" s="110"/>
      <c r="F890" s="89"/>
    </row>
    <row r="891" spans="5:6">
      <c r="E891" s="110"/>
      <c r="F891" s="89"/>
    </row>
    <row r="892" spans="5:6">
      <c r="E892" s="110"/>
      <c r="F892" s="89"/>
    </row>
    <row r="893" spans="5:6">
      <c r="E893" s="110"/>
      <c r="F893" s="89"/>
    </row>
    <row r="894" spans="5:6">
      <c r="E894" s="110"/>
      <c r="F894" s="89"/>
    </row>
    <row r="895" spans="5:6">
      <c r="E895" s="110"/>
      <c r="F895" s="89"/>
    </row>
    <row r="896" spans="5:6">
      <c r="E896" s="110"/>
      <c r="F896" s="89"/>
    </row>
    <row r="897" spans="5:6">
      <c r="E897" s="110"/>
      <c r="F897" s="89"/>
    </row>
    <row r="898" spans="5:6">
      <c r="E898" s="110"/>
      <c r="F898" s="89"/>
    </row>
    <row r="899" spans="5:6">
      <c r="E899" s="110"/>
      <c r="F899" s="89"/>
    </row>
    <row r="900" spans="5:6">
      <c r="E900" s="110"/>
      <c r="F900" s="89"/>
    </row>
    <row r="901" spans="5:6">
      <c r="E901" s="110"/>
      <c r="F901" s="89"/>
    </row>
    <row r="902" spans="5:6">
      <c r="E902" s="110"/>
      <c r="F902" s="89"/>
    </row>
    <row r="903" spans="5:6">
      <c r="E903" s="110"/>
      <c r="F903" s="89"/>
    </row>
    <row r="904" spans="5:6">
      <c r="E904" s="110"/>
      <c r="F904" s="89"/>
    </row>
    <row r="905" spans="5:6">
      <c r="E905" s="110"/>
      <c r="F905" s="89"/>
    </row>
    <row r="906" spans="5:6">
      <c r="E906" s="110"/>
      <c r="F906" s="89"/>
    </row>
    <row r="907" spans="5:6">
      <c r="E907" s="110"/>
      <c r="F907" s="89"/>
    </row>
    <row r="908" spans="5:6">
      <c r="E908" s="110"/>
      <c r="F908" s="89"/>
    </row>
    <row r="909" spans="5:6">
      <c r="E909" s="110"/>
      <c r="F909" s="89"/>
    </row>
    <row r="910" spans="5:6">
      <c r="E910" s="110"/>
      <c r="F910" s="89"/>
    </row>
    <row r="911" spans="5:6">
      <c r="E911" s="110"/>
      <c r="F911" s="89"/>
    </row>
    <row r="912" spans="5:6">
      <c r="E912" s="110"/>
      <c r="F912" s="89"/>
    </row>
    <row r="913" spans="5:6">
      <c r="E913" s="110"/>
      <c r="F913" s="89"/>
    </row>
    <row r="914" spans="5:6">
      <c r="E914" s="110"/>
      <c r="F914" s="89"/>
    </row>
    <row r="915" spans="5:6">
      <c r="E915" s="110"/>
      <c r="F915" s="89"/>
    </row>
    <row r="916" spans="5:6">
      <c r="E916" s="110"/>
      <c r="F916" s="89"/>
    </row>
    <row r="917" spans="5:6">
      <c r="E917" s="110"/>
      <c r="F917" s="89"/>
    </row>
    <row r="918" spans="5:6">
      <c r="E918" s="110"/>
      <c r="F918" s="89"/>
    </row>
    <row r="919" spans="5:6">
      <c r="E919" s="110"/>
      <c r="F919" s="89"/>
    </row>
    <row r="920" spans="5:6">
      <c r="E920" s="110"/>
      <c r="F920" s="89"/>
    </row>
    <row r="921" spans="5:6">
      <c r="E921" s="110"/>
      <c r="F921" s="89"/>
    </row>
    <row r="922" spans="5:6">
      <c r="E922" s="110"/>
      <c r="F922" s="89"/>
    </row>
    <row r="923" spans="5:6">
      <c r="E923" s="110"/>
      <c r="F923" s="89"/>
    </row>
    <row r="924" spans="5:6">
      <c r="E924" s="110"/>
      <c r="F924" s="89"/>
    </row>
    <row r="925" spans="5:6">
      <c r="E925" s="110"/>
      <c r="F925" s="89"/>
    </row>
    <row r="926" spans="5:6">
      <c r="E926" s="110"/>
      <c r="F926" s="89"/>
    </row>
    <row r="927" spans="5:6">
      <c r="E927" s="110"/>
      <c r="F927" s="89"/>
    </row>
    <row r="928" spans="5:6">
      <c r="E928" s="110"/>
      <c r="F928" s="89"/>
    </row>
    <row r="929" spans="5:6">
      <c r="E929" s="110"/>
      <c r="F929" s="89"/>
    </row>
    <row r="930" spans="5:6">
      <c r="E930" s="110"/>
      <c r="F930" s="89"/>
    </row>
    <row r="931" spans="5:6">
      <c r="E931" s="110"/>
      <c r="F931" s="89"/>
    </row>
    <row r="932" spans="5:6">
      <c r="E932" s="110"/>
      <c r="F932" s="89"/>
    </row>
    <row r="933" spans="5:6">
      <c r="E933" s="110"/>
      <c r="F933" s="89"/>
    </row>
    <row r="934" spans="5:6">
      <c r="E934" s="110"/>
      <c r="F934" s="89"/>
    </row>
    <row r="935" spans="5:6">
      <c r="E935" s="110"/>
      <c r="F935" s="89"/>
    </row>
    <row r="936" spans="5:6">
      <c r="E936" s="110"/>
      <c r="F936" s="89"/>
    </row>
    <row r="937" spans="5:6">
      <c r="E937" s="110"/>
      <c r="F937" s="89"/>
    </row>
    <row r="938" spans="5:6">
      <c r="E938" s="110"/>
      <c r="F938" s="89"/>
    </row>
    <row r="939" spans="5:6">
      <c r="E939" s="110"/>
      <c r="F939" s="89"/>
    </row>
    <row r="940" spans="5:6">
      <c r="E940" s="110"/>
      <c r="F940" s="89"/>
    </row>
    <row r="941" spans="5:6">
      <c r="E941" s="110"/>
      <c r="F941" s="89"/>
    </row>
    <row r="942" spans="5:6">
      <c r="E942" s="110"/>
      <c r="F942" s="89"/>
    </row>
    <row r="943" spans="5:6">
      <c r="E943" s="110"/>
      <c r="F943" s="89"/>
    </row>
    <row r="944" spans="5:6">
      <c r="E944" s="110"/>
      <c r="F944" s="89"/>
    </row>
    <row r="945" spans="5:6">
      <c r="E945" s="110"/>
      <c r="F945" s="89"/>
    </row>
    <row r="946" spans="5:6">
      <c r="E946" s="110"/>
      <c r="F946" s="89"/>
    </row>
    <row r="947" spans="5:6">
      <c r="E947" s="110"/>
      <c r="F947" s="89"/>
    </row>
    <row r="948" spans="5:6">
      <c r="E948" s="110"/>
      <c r="F948" s="89"/>
    </row>
    <row r="949" spans="5:6">
      <c r="E949" s="110"/>
      <c r="F949" s="89"/>
    </row>
    <row r="950" spans="5:6">
      <c r="E950" s="110"/>
      <c r="F950" s="89"/>
    </row>
    <row r="951" spans="5:6">
      <c r="E951" s="110"/>
      <c r="F951" s="89"/>
    </row>
    <row r="952" spans="5:6">
      <c r="E952" s="110"/>
      <c r="F952" s="89"/>
    </row>
    <row r="953" spans="5:6">
      <c r="E953" s="110"/>
      <c r="F953" s="89"/>
    </row>
    <row r="954" spans="5:6">
      <c r="E954" s="110"/>
      <c r="F954" s="89"/>
    </row>
    <row r="955" spans="5:6">
      <c r="E955" s="110"/>
      <c r="F955" s="89"/>
    </row>
    <row r="956" spans="5:6">
      <c r="E956" s="110"/>
      <c r="F956" s="89"/>
    </row>
    <row r="957" spans="5:6">
      <c r="E957" s="110"/>
      <c r="F957" s="89"/>
    </row>
    <row r="958" spans="5:6">
      <c r="E958" s="110"/>
      <c r="F958" s="89"/>
    </row>
    <row r="959" spans="5:6">
      <c r="E959" s="110"/>
      <c r="F959" s="89"/>
    </row>
    <row r="960" spans="5:6">
      <c r="E960" s="110"/>
      <c r="F960" s="89"/>
    </row>
    <row r="961" spans="5:6">
      <c r="E961" s="110"/>
      <c r="F961" s="89"/>
    </row>
    <row r="962" spans="5:6">
      <c r="E962" s="110"/>
      <c r="F962" s="89"/>
    </row>
    <row r="963" spans="5:6">
      <c r="E963" s="110"/>
      <c r="F963" s="89"/>
    </row>
    <row r="964" spans="5:6">
      <c r="E964" s="110"/>
      <c r="F964" s="89"/>
    </row>
    <row r="965" spans="5:6">
      <c r="E965" s="110"/>
      <c r="F965" s="89"/>
    </row>
    <row r="966" spans="5:6">
      <c r="E966" s="110"/>
      <c r="F966" s="89"/>
    </row>
    <row r="967" spans="5:6">
      <c r="E967" s="110"/>
      <c r="F967" s="89"/>
    </row>
    <row r="968" spans="5:6">
      <c r="E968" s="110"/>
      <c r="F968" s="89"/>
    </row>
    <row r="969" spans="5:6">
      <c r="E969" s="110"/>
      <c r="F969" s="89"/>
    </row>
    <row r="970" spans="5:6">
      <c r="E970" s="110"/>
      <c r="F970" s="89"/>
    </row>
    <row r="971" spans="5:6">
      <c r="E971" s="110"/>
      <c r="F971" s="89"/>
    </row>
    <row r="972" spans="5:6">
      <c r="E972" s="110"/>
      <c r="F972" s="89"/>
    </row>
    <row r="973" spans="5:6">
      <c r="E973" s="110"/>
      <c r="F973" s="89"/>
    </row>
    <row r="974" spans="5:6">
      <c r="E974" s="110"/>
      <c r="F974" s="89"/>
    </row>
    <row r="975" spans="5:6">
      <c r="E975" s="110"/>
      <c r="F975" s="89"/>
    </row>
    <row r="976" spans="5:6">
      <c r="E976" s="110"/>
      <c r="F976" s="89"/>
    </row>
    <row r="977" spans="5:6">
      <c r="E977" s="110"/>
      <c r="F977" s="89"/>
    </row>
    <row r="978" spans="5:6">
      <c r="E978" s="110"/>
      <c r="F978" s="89"/>
    </row>
    <row r="979" spans="5:6">
      <c r="E979" s="110"/>
      <c r="F979" s="89"/>
    </row>
    <row r="980" spans="5:6">
      <c r="E980" s="110"/>
      <c r="F980" s="89"/>
    </row>
    <row r="981" spans="5:6">
      <c r="E981" s="110"/>
      <c r="F981" s="89"/>
    </row>
    <row r="982" spans="5:6">
      <c r="E982" s="110"/>
      <c r="F982" s="89"/>
    </row>
    <row r="983" spans="5:6">
      <c r="E983" s="110"/>
      <c r="F983" s="89"/>
    </row>
    <row r="984" spans="5:6">
      <c r="E984" s="110"/>
      <c r="F984" s="89"/>
    </row>
    <row r="985" spans="5:6">
      <c r="E985" s="110"/>
      <c r="F985" s="89"/>
    </row>
    <row r="986" spans="5:6">
      <c r="E986" s="110"/>
      <c r="F986" s="89"/>
    </row>
    <row r="987" spans="5:6">
      <c r="E987" s="110"/>
      <c r="F987" s="89"/>
    </row>
    <row r="988" spans="5:6">
      <c r="E988" s="110"/>
      <c r="F988" s="89"/>
    </row>
    <row r="989" spans="5:6">
      <c r="E989" s="110"/>
      <c r="F989" s="89"/>
    </row>
    <row r="990" spans="5:6">
      <c r="E990" s="110"/>
      <c r="F990" s="89"/>
    </row>
    <row r="991" spans="5:6">
      <c r="E991" s="110"/>
      <c r="F991" s="89"/>
    </row>
    <row r="992" spans="5:6">
      <c r="E992" s="110"/>
      <c r="F992" s="89"/>
    </row>
    <row r="993" spans="5:6">
      <c r="E993" s="110"/>
      <c r="F993" s="89"/>
    </row>
    <row r="994" spans="5:6">
      <c r="E994" s="110"/>
      <c r="F994" s="89"/>
    </row>
    <row r="995" spans="5:6">
      <c r="E995" s="110"/>
      <c r="F995" s="89"/>
    </row>
    <row r="996" spans="5:6">
      <c r="E996" s="110"/>
      <c r="F996" s="89"/>
    </row>
    <row r="997" spans="5:6">
      <c r="E997" s="110"/>
      <c r="F997" s="89"/>
    </row>
    <row r="998" spans="5:6">
      <c r="E998" s="110"/>
      <c r="F998" s="89"/>
    </row>
    <row r="999" spans="5:6">
      <c r="E999" s="110"/>
      <c r="F999" s="89"/>
    </row>
    <row r="1000" spans="5:6">
      <c r="E1000" s="110"/>
      <c r="F1000" s="89"/>
    </row>
    <row r="1001" spans="5:6">
      <c r="E1001" s="110"/>
      <c r="F1001" s="89"/>
    </row>
    <row r="1002" spans="5:6">
      <c r="E1002" s="110"/>
      <c r="F1002" s="89"/>
    </row>
    <row r="1003" spans="5:6">
      <c r="E1003" s="110"/>
      <c r="F1003" s="89"/>
    </row>
    <row r="1004" spans="5:6">
      <c r="E1004" s="110"/>
      <c r="F1004" s="89"/>
    </row>
    <row r="1005" spans="5:6">
      <c r="E1005" s="110"/>
      <c r="F1005" s="89"/>
    </row>
    <row r="1006" spans="5:6">
      <c r="E1006" s="110"/>
      <c r="F1006" s="89"/>
    </row>
    <row r="1007" spans="5:6">
      <c r="E1007" s="110"/>
      <c r="F1007" s="89"/>
    </row>
  </sheetData>
  <mergeCells count="1">
    <mergeCell ref="A1:D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1005"/>
  <sheetViews>
    <sheetView workbookViewId="0">
      <selection activeCell="B4" sqref="B4"/>
    </sheetView>
  </sheetViews>
  <sheetFormatPr defaultColWidth="11.3984375" defaultRowHeight="15.75" customHeight="1"/>
  <cols>
    <col min="1" max="1" width="30.3984375" style="105" customWidth="1"/>
    <col min="2" max="3" width="11.3984375" style="105"/>
    <col min="4" max="4" width="23.5" style="105" customWidth="1"/>
    <col min="5" max="5" width="9.8984375" style="105" customWidth="1"/>
    <col min="6" max="6" width="9.8984375" style="111" customWidth="1"/>
    <col min="7" max="7" width="30" style="105" customWidth="1"/>
    <col min="8" max="16384" width="11.3984375" style="105"/>
  </cols>
  <sheetData>
    <row r="1" spans="1:27" ht="64.2" customHeight="1">
      <c r="A1" s="812" t="s">
        <v>201</v>
      </c>
      <c r="B1" s="813"/>
      <c r="C1" s="813"/>
      <c r="D1" s="813"/>
      <c r="E1" s="70"/>
      <c r="F1" s="107" t="s">
        <v>198</v>
      </c>
      <c r="G1" s="106" t="s">
        <v>197</v>
      </c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</row>
    <row r="2" spans="1:27" ht="28.8">
      <c r="A2" s="72" t="s">
        <v>90</v>
      </c>
      <c r="B2" s="73"/>
      <c r="C2" s="74"/>
      <c r="D2" s="75" t="s">
        <v>91</v>
      </c>
      <c r="E2" s="76"/>
      <c r="F2" s="108"/>
      <c r="G2" s="85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</row>
    <row r="3" spans="1:27" ht="27" customHeight="1">
      <c r="A3" s="77">
        <f>CEILING(SUM(D19:D37),1)</f>
        <v>1300</v>
      </c>
      <c r="B3" s="78">
        <f>A3*88</f>
        <v>114400</v>
      </c>
      <c r="C3" s="79"/>
      <c r="D3" s="80"/>
      <c r="E3" s="76"/>
      <c r="F3" s="108">
        <v>3</v>
      </c>
      <c r="G3" s="87">
        <f>CEILING(A3*F3,1)*88</f>
        <v>343200</v>
      </c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</row>
    <row r="4" spans="1:27" ht="14.4">
      <c r="A4" s="81"/>
      <c r="B4" s="81"/>
      <c r="C4" s="82"/>
      <c r="D4" s="80"/>
      <c r="E4" s="76"/>
      <c r="F4" s="108"/>
      <c r="G4" s="85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</row>
    <row r="5" spans="1:27" ht="15.6" customHeight="1">
      <c r="A5" s="83" t="s">
        <v>92</v>
      </c>
      <c r="B5" s="73"/>
      <c r="C5" s="74"/>
      <c r="D5" s="80"/>
      <c r="E5" s="76"/>
      <c r="F5" s="108"/>
      <c r="G5" s="87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</row>
    <row r="6" spans="1:27" ht="28.2" customHeight="1">
      <c r="A6" s="77">
        <f>C19+C20+C21</f>
        <v>52.480000000000004</v>
      </c>
      <c r="B6" s="78"/>
      <c r="C6" s="79"/>
      <c r="D6" s="84">
        <f>A6/A3</f>
        <v>4.0369230769230775E-2</v>
      </c>
      <c r="E6" s="76"/>
      <c r="F6" s="108"/>
      <c r="G6" s="73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</row>
    <row r="7" spans="1:27" ht="15.75" customHeight="1">
      <c r="A7" s="83" t="s">
        <v>93</v>
      </c>
      <c r="B7" s="73"/>
      <c r="C7" s="74"/>
      <c r="D7" s="84"/>
      <c r="E7" s="76"/>
      <c r="F7" s="108"/>
      <c r="G7" s="87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</row>
    <row r="8" spans="1:27" ht="15.75" customHeight="1">
      <c r="A8" s="77">
        <f>C26+C27+C29+C28</f>
        <v>254.40571428571428</v>
      </c>
      <c r="B8" s="78"/>
      <c r="C8" s="79"/>
      <c r="D8" s="84">
        <f>A8/A3</f>
        <v>0.1956967032967033</v>
      </c>
      <c r="E8" s="76"/>
      <c r="F8" s="108"/>
      <c r="G8" s="7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</row>
    <row r="9" spans="1:27" ht="15.75" customHeight="1">
      <c r="A9" s="83" t="s">
        <v>94</v>
      </c>
      <c r="B9" s="73"/>
      <c r="C9" s="74"/>
      <c r="D9" s="84"/>
      <c r="E9" s="76"/>
      <c r="F9" s="108"/>
      <c r="G9" s="91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</row>
    <row r="10" spans="1:27" ht="15.75" customHeight="1">
      <c r="A10" s="77">
        <f>D23/2+D24/2+C25+C33+D32/2</f>
        <v>48.332142857142848</v>
      </c>
      <c r="B10" s="78"/>
      <c r="C10" s="79"/>
      <c r="D10" s="84">
        <f>A10/A3</f>
        <v>3.7178571428571422E-2</v>
      </c>
      <c r="E10" s="76"/>
      <c r="F10" s="108"/>
      <c r="G10" s="92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</row>
    <row r="11" spans="1:27" ht="15.75" customHeight="1">
      <c r="A11" s="83" t="s">
        <v>95</v>
      </c>
      <c r="B11" s="73"/>
      <c r="C11" s="74"/>
      <c r="D11" s="84"/>
      <c r="E11" s="76"/>
      <c r="F11" s="108"/>
      <c r="G11" s="74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</row>
    <row r="12" spans="1:27" ht="15.75" customHeight="1">
      <c r="A12" s="77">
        <f>C30+C31</f>
        <v>271.35000000000002</v>
      </c>
      <c r="B12" s="78"/>
      <c r="C12" s="79"/>
      <c r="D12" s="84">
        <f>A12/A3</f>
        <v>0.20873076923076925</v>
      </c>
      <c r="E12" s="76"/>
      <c r="F12" s="108"/>
      <c r="G12" s="91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</row>
    <row r="13" spans="1:27" ht="15.75" customHeight="1">
      <c r="A13" s="83" t="s">
        <v>96</v>
      </c>
      <c r="B13" s="73"/>
      <c r="C13" s="74"/>
      <c r="D13" s="84"/>
      <c r="E13" s="76"/>
      <c r="F13" s="108"/>
      <c r="G13" s="76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</row>
    <row r="14" spans="1:27" ht="15.75" customHeight="1">
      <c r="A14" s="77">
        <f>D23+D24+D25+D32+D33+D37</f>
        <v>233.80714285714285</v>
      </c>
      <c r="B14" s="78"/>
      <c r="C14" s="79"/>
      <c r="D14" s="84">
        <f>A14/A3</f>
        <v>0.17985164835164835</v>
      </c>
      <c r="E14" s="76"/>
      <c r="F14" s="108"/>
      <c r="G14" s="76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</row>
    <row r="15" spans="1:27" ht="15.75" customHeight="1">
      <c r="A15" s="83" t="s">
        <v>97</v>
      </c>
      <c r="B15" s="73"/>
      <c r="C15" s="74"/>
      <c r="D15" s="84"/>
      <c r="E15" s="76"/>
      <c r="F15" s="108"/>
      <c r="G15" s="76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</row>
    <row r="16" spans="1:27" ht="15.75" customHeight="1">
      <c r="A16" s="77">
        <f>D34</f>
        <v>30</v>
      </c>
      <c r="B16" s="78"/>
      <c r="C16" s="79"/>
      <c r="D16" s="84">
        <f>A16/A3</f>
        <v>2.3076923076923078E-2</v>
      </c>
      <c r="E16" s="76"/>
      <c r="F16" s="108"/>
      <c r="G16" s="76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</row>
    <row r="17" spans="1:27" ht="14.4">
      <c r="A17" s="76"/>
      <c r="B17" s="76"/>
      <c r="C17" s="82"/>
      <c r="D17" s="82"/>
      <c r="E17" s="76"/>
      <c r="F17" s="108"/>
      <c r="G17" s="76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</row>
    <row r="18" spans="1:27" ht="43.2">
      <c r="A18" s="76" t="s">
        <v>98</v>
      </c>
      <c r="B18" s="76" t="s">
        <v>99</v>
      </c>
      <c r="C18" s="82" t="s">
        <v>18</v>
      </c>
      <c r="D18" s="82" t="s">
        <v>100</v>
      </c>
      <c r="E18" s="82" t="s">
        <v>101</v>
      </c>
      <c r="F18" s="108"/>
      <c r="G18" s="88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</row>
    <row r="19" spans="1:27" ht="28.8">
      <c r="A19" s="85" t="s">
        <v>102</v>
      </c>
      <c r="B19" s="86">
        <v>8</v>
      </c>
      <c r="C19" s="87">
        <f>3314/100+31/100</f>
        <v>33.450000000000003</v>
      </c>
      <c r="D19" s="87">
        <f t="shared" ref="D19:D37" si="0">C19*B19</f>
        <v>267.60000000000002</v>
      </c>
      <c r="E19" s="88" t="s">
        <v>103</v>
      </c>
      <c r="F19" s="109"/>
      <c r="G19" s="76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</row>
    <row r="20" spans="1:27" ht="14.4">
      <c r="A20" s="85" t="s">
        <v>104</v>
      </c>
      <c r="B20" s="86">
        <v>8</v>
      </c>
      <c r="C20" s="87">
        <v>0.73</v>
      </c>
      <c r="D20" s="87">
        <f t="shared" si="0"/>
        <v>5.84</v>
      </c>
      <c r="E20" s="88" t="s">
        <v>103</v>
      </c>
      <c r="F20" s="109"/>
      <c r="G20" s="92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</row>
    <row r="21" spans="1:27" ht="14.4">
      <c r="A21" s="85" t="s">
        <v>105</v>
      </c>
      <c r="B21" s="86">
        <v>8</v>
      </c>
      <c r="C21" s="87">
        <v>18.3</v>
      </c>
      <c r="D21" s="87">
        <f t="shared" si="0"/>
        <v>146.4</v>
      </c>
      <c r="E21" s="88" t="s">
        <v>103</v>
      </c>
      <c r="F21" s="109"/>
      <c r="G21" s="76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</row>
    <row r="22" spans="1:27" ht="14.4">
      <c r="A22" s="85" t="s">
        <v>106</v>
      </c>
      <c r="B22" s="86">
        <v>6</v>
      </c>
      <c r="C22" s="87">
        <v>6.8</v>
      </c>
      <c r="D22" s="87">
        <f t="shared" si="0"/>
        <v>40.799999999999997</v>
      </c>
      <c r="E22" s="88" t="s">
        <v>107</v>
      </c>
      <c r="F22" s="109"/>
      <c r="G22" s="76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</row>
    <row r="23" spans="1:27" ht="14.4">
      <c r="A23" s="85" t="s">
        <v>119</v>
      </c>
      <c r="B23" s="86">
        <v>10</v>
      </c>
      <c r="C23" s="87">
        <f>958/400</f>
        <v>2.395</v>
      </c>
      <c r="D23" s="87">
        <f t="shared" si="0"/>
        <v>23.95</v>
      </c>
      <c r="E23" s="88" t="s">
        <v>109</v>
      </c>
      <c r="F23" s="109"/>
      <c r="G23" s="76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</row>
    <row r="24" spans="1:27" ht="14.4">
      <c r="A24" s="85" t="s">
        <v>110</v>
      </c>
      <c r="B24" s="86">
        <v>8</v>
      </c>
      <c r="C24" s="87">
        <f>230/100</f>
        <v>2.2999999999999998</v>
      </c>
      <c r="D24" s="87">
        <f t="shared" si="0"/>
        <v>18.399999999999999</v>
      </c>
      <c r="E24" s="88" t="s">
        <v>109</v>
      </c>
      <c r="F24" s="109"/>
      <c r="G24" s="76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</row>
    <row r="25" spans="1:27" ht="14.4">
      <c r="A25" s="85" t="s">
        <v>111</v>
      </c>
      <c r="B25" s="86">
        <v>8</v>
      </c>
      <c r="C25" s="87">
        <v>10</v>
      </c>
      <c r="D25" s="87">
        <f t="shared" si="0"/>
        <v>80</v>
      </c>
      <c r="E25" s="88" t="s">
        <v>109</v>
      </c>
      <c r="F25" s="109"/>
      <c r="G25" s="76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</row>
    <row r="26" spans="1:27" ht="57.6">
      <c r="A26" s="85" t="s">
        <v>120</v>
      </c>
      <c r="B26" s="86">
        <v>1</v>
      </c>
      <c r="C26" s="87">
        <v>156.52000000000001</v>
      </c>
      <c r="D26" s="87">
        <f t="shared" si="0"/>
        <v>156.52000000000001</v>
      </c>
      <c r="E26" s="88" t="s">
        <v>113</v>
      </c>
      <c r="F26" s="109"/>
      <c r="G26" s="76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</row>
    <row r="27" spans="1:27" ht="14.4">
      <c r="A27" s="85" t="s">
        <v>114</v>
      </c>
      <c r="B27" s="86">
        <v>1</v>
      </c>
      <c r="C27" s="87">
        <v>63.94</v>
      </c>
      <c r="D27" s="87">
        <f t="shared" si="0"/>
        <v>63.94</v>
      </c>
      <c r="E27" s="88" t="s">
        <v>113</v>
      </c>
      <c r="F27" s="109"/>
      <c r="G27" s="76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</row>
    <row r="28" spans="1:27" ht="14.4">
      <c r="A28" s="85" t="s">
        <v>121</v>
      </c>
      <c r="B28" s="86">
        <v>1</v>
      </c>
      <c r="C28" s="87">
        <f>1000/70</f>
        <v>14.285714285714286</v>
      </c>
      <c r="D28" s="87">
        <f t="shared" si="0"/>
        <v>14.285714285714286</v>
      </c>
      <c r="E28" s="88" t="s">
        <v>113</v>
      </c>
      <c r="F28" s="109"/>
      <c r="G28" s="76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</row>
    <row r="29" spans="1:27" ht="14.4">
      <c r="A29" s="85" t="s">
        <v>122</v>
      </c>
      <c r="B29" s="86">
        <v>1</v>
      </c>
      <c r="C29" s="87">
        <v>19.66</v>
      </c>
      <c r="D29" s="87">
        <f t="shared" si="0"/>
        <v>19.66</v>
      </c>
      <c r="E29" s="88" t="s">
        <v>113</v>
      </c>
      <c r="F29" s="109"/>
      <c r="G29" s="76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</row>
    <row r="30" spans="1:27" ht="28.8">
      <c r="A30" s="85" t="s">
        <v>200</v>
      </c>
      <c r="B30" s="86">
        <v>1</v>
      </c>
      <c r="C30" s="87">
        <v>250</v>
      </c>
      <c r="D30" s="87">
        <f t="shared" si="0"/>
        <v>250</v>
      </c>
      <c r="E30" s="88" t="s">
        <v>124</v>
      </c>
      <c r="F30" s="109"/>
      <c r="G30" s="76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</row>
    <row r="31" spans="1:27" ht="14.4">
      <c r="A31" s="85" t="s">
        <v>125</v>
      </c>
      <c r="B31" s="86">
        <v>1</v>
      </c>
      <c r="C31" s="87">
        <f>19.35+2</f>
        <v>21.35</v>
      </c>
      <c r="D31" s="87">
        <f t="shared" si="0"/>
        <v>21.35</v>
      </c>
      <c r="E31" s="88" t="s">
        <v>124</v>
      </c>
      <c r="F31" s="109"/>
      <c r="G31" s="76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</row>
    <row r="32" spans="1:27" ht="28.8">
      <c r="A32" s="85" t="s">
        <v>115</v>
      </c>
      <c r="B32" s="86">
        <v>10</v>
      </c>
      <c r="C32" s="87">
        <v>2.86</v>
      </c>
      <c r="D32" s="87">
        <f t="shared" si="0"/>
        <v>28.599999999999998</v>
      </c>
      <c r="E32" s="88" t="s">
        <v>109</v>
      </c>
      <c r="F32" s="109"/>
      <c r="G32" s="76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</row>
    <row r="33" spans="1:27" ht="14.4">
      <c r="A33" s="85" t="s">
        <v>116</v>
      </c>
      <c r="B33" s="86">
        <v>8</v>
      </c>
      <c r="C33" s="87">
        <f>200/70</f>
        <v>2.8571428571428572</v>
      </c>
      <c r="D33" s="87">
        <f t="shared" si="0"/>
        <v>22.857142857142858</v>
      </c>
      <c r="E33" s="88" t="s">
        <v>109</v>
      </c>
      <c r="F33" s="109"/>
      <c r="G33" s="76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</row>
    <row r="34" spans="1:27" ht="14.4">
      <c r="A34" s="85" t="s">
        <v>22</v>
      </c>
      <c r="B34" s="86">
        <v>1</v>
      </c>
      <c r="C34" s="87">
        <v>30</v>
      </c>
      <c r="D34" s="87">
        <f t="shared" si="0"/>
        <v>30</v>
      </c>
      <c r="E34" s="88" t="s">
        <v>117</v>
      </c>
      <c r="F34" s="109"/>
      <c r="G34" s="76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</row>
    <row r="35" spans="1:27" ht="28.8">
      <c r="A35" s="85" t="s">
        <v>118</v>
      </c>
      <c r="B35" s="86">
        <v>1</v>
      </c>
      <c r="C35" s="87">
        <f>120/30</f>
        <v>4</v>
      </c>
      <c r="D35" s="87">
        <f t="shared" si="0"/>
        <v>4</v>
      </c>
      <c r="E35" s="88" t="s">
        <v>117</v>
      </c>
      <c r="F35" s="109"/>
      <c r="G35" s="76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</row>
    <row r="36" spans="1:27" ht="14.4">
      <c r="A36" s="85" t="s">
        <v>23</v>
      </c>
      <c r="B36" s="86">
        <v>1</v>
      </c>
      <c r="C36" s="87">
        <v>45</v>
      </c>
      <c r="D36" s="87">
        <f t="shared" si="0"/>
        <v>45</v>
      </c>
      <c r="E36" s="88" t="s">
        <v>117</v>
      </c>
      <c r="F36" s="109"/>
      <c r="G36" s="76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</row>
    <row r="37" spans="1:27" ht="14.4">
      <c r="A37" s="85" t="s">
        <v>19</v>
      </c>
      <c r="B37" s="86">
        <v>2</v>
      </c>
      <c r="C37" s="87">
        <f>1800/60</f>
        <v>30</v>
      </c>
      <c r="D37" s="87">
        <f t="shared" si="0"/>
        <v>60</v>
      </c>
      <c r="E37" s="88" t="s">
        <v>107</v>
      </c>
      <c r="F37" s="109"/>
      <c r="G37" s="76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</row>
    <row r="38" spans="1:27" ht="15.75" customHeight="1">
      <c r="A38" s="89"/>
      <c r="B38" s="89"/>
      <c r="C38" s="89"/>
      <c r="D38" s="89"/>
      <c r="E38" s="89"/>
      <c r="F38" s="110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</row>
    <row r="39" spans="1:27" ht="15.75" customHeight="1">
      <c r="A39" s="89"/>
      <c r="B39" s="89"/>
      <c r="C39" s="89"/>
      <c r="D39" s="89"/>
      <c r="E39" s="89"/>
      <c r="F39" s="110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</row>
    <row r="40" spans="1:27" ht="15.75" customHeight="1">
      <c r="A40" s="89"/>
      <c r="B40" s="89"/>
      <c r="C40" s="89"/>
      <c r="D40" s="89"/>
      <c r="E40" s="89"/>
      <c r="F40" s="110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</row>
    <row r="41" spans="1:27" ht="15.75" customHeight="1">
      <c r="A41" s="89"/>
      <c r="B41" s="89"/>
      <c r="C41" s="89"/>
      <c r="D41" s="89"/>
      <c r="E41" s="89"/>
      <c r="F41" s="110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</row>
    <row r="42" spans="1:27" ht="15.75" customHeight="1">
      <c r="A42" s="89"/>
      <c r="B42" s="89"/>
      <c r="C42" s="89"/>
      <c r="D42" s="89"/>
      <c r="E42" s="89"/>
      <c r="F42" s="110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</row>
    <row r="43" spans="1:27" ht="15.75" customHeight="1">
      <c r="A43" s="89"/>
      <c r="B43" s="89"/>
      <c r="C43" s="89"/>
      <c r="D43" s="89"/>
      <c r="E43" s="89"/>
      <c r="F43" s="110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</row>
    <row r="44" spans="1:27" ht="15.75" customHeight="1">
      <c r="A44" s="89"/>
      <c r="B44" s="89"/>
      <c r="C44" s="89"/>
      <c r="D44" s="89"/>
      <c r="E44" s="89"/>
      <c r="F44" s="110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</row>
    <row r="45" spans="1:27" ht="15.75" customHeight="1">
      <c r="A45" s="89"/>
      <c r="B45" s="89"/>
      <c r="C45" s="89"/>
      <c r="D45" s="89"/>
      <c r="E45" s="89"/>
      <c r="F45" s="110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</row>
    <row r="46" spans="1:27" ht="15.75" customHeight="1">
      <c r="A46" s="89"/>
      <c r="B46" s="89"/>
      <c r="C46" s="89"/>
      <c r="D46" s="89"/>
      <c r="E46" s="89"/>
      <c r="F46" s="110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</row>
    <row r="47" spans="1:27" ht="15.75" customHeight="1">
      <c r="A47" s="89"/>
      <c r="B47" s="89"/>
      <c r="C47" s="89"/>
      <c r="D47" s="89"/>
      <c r="E47" s="89"/>
      <c r="F47" s="110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</row>
    <row r="48" spans="1:27" ht="13.8">
      <c r="A48" s="89"/>
      <c r="B48" s="89"/>
      <c r="C48" s="89"/>
      <c r="D48" s="89"/>
      <c r="E48" s="89"/>
      <c r="F48" s="110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</row>
    <row r="49" spans="1:27" ht="13.8">
      <c r="A49" s="89"/>
      <c r="B49" s="89"/>
      <c r="C49" s="89"/>
      <c r="D49" s="89"/>
      <c r="E49" s="89"/>
      <c r="F49" s="110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</row>
    <row r="50" spans="1:27" ht="13.8">
      <c r="A50" s="89"/>
      <c r="B50" s="89"/>
      <c r="C50" s="89"/>
      <c r="D50" s="89"/>
      <c r="E50" s="89"/>
      <c r="F50" s="110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</row>
    <row r="51" spans="1:27" ht="13.8">
      <c r="A51" s="89"/>
      <c r="B51" s="89"/>
      <c r="C51" s="89"/>
      <c r="D51" s="89"/>
      <c r="E51" s="89"/>
      <c r="F51" s="110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</row>
    <row r="52" spans="1:27" ht="13.8">
      <c r="A52" s="89"/>
      <c r="B52" s="89"/>
      <c r="C52" s="89"/>
      <c r="D52" s="89"/>
      <c r="E52" s="89"/>
      <c r="F52" s="110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</row>
    <row r="53" spans="1:27" ht="13.8">
      <c r="A53" s="89"/>
      <c r="B53" s="89"/>
      <c r="C53" s="89"/>
      <c r="D53" s="89"/>
      <c r="E53" s="89"/>
      <c r="F53" s="110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</row>
    <row r="54" spans="1:27" ht="13.8">
      <c r="A54" s="89"/>
      <c r="B54" s="89"/>
      <c r="C54" s="89"/>
      <c r="D54" s="89"/>
      <c r="E54" s="89"/>
      <c r="F54" s="110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</row>
    <row r="55" spans="1:27" ht="13.8">
      <c r="A55" s="89"/>
      <c r="B55" s="89"/>
      <c r="C55" s="89"/>
      <c r="D55" s="89"/>
      <c r="E55" s="89"/>
      <c r="F55" s="110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</row>
    <row r="56" spans="1:27" ht="13.8">
      <c r="A56" s="89"/>
      <c r="B56" s="89"/>
      <c r="C56" s="89"/>
      <c r="D56" s="89"/>
      <c r="E56" s="89"/>
      <c r="F56" s="110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</row>
    <row r="57" spans="1:27" ht="13.8">
      <c r="A57" s="89"/>
      <c r="B57" s="89"/>
      <c r="C57" s="89"/>
      <c r="D57" s="89"/>
      <c r="E57" s="89"/>
      <c r="F57" s="110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</row>
    <row r="58" spans="1:27" ht="13.8">
      <c r="A58" s="89"/>
      <c r="B58" s="89"/>
      <c r="C58" s="89"/>
      <c r="D58" s="89"/>
      <c r="E58" s="89"/>
      <c r="F58" s="110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89"/>
    </row>
    <row r="59" spans="1:27" ht="13.8">
      <c r="A59" s="89"/>
      <c r="B59" s="89"/>
      <c r="C59" s="89"/>
      <c r="D59" s="89"/>
      <c r="E59" s="89"/>
      <c r="F59" s="110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89"/>
    </row>
    <row r="60" spans="1:27" ht="13.8">
      <c r="A60" s="89"/>
      <c r="B60" s="89"/>
      <c r="C60" s="89"/>
      <c r="D60" s="89"/>
      <c r="E60" s="89"/>
      <c r="F60" s="110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</row>
    <row r="61" spans="1:27" ht="13.8">
      <c r="A61" s="89"/>
      <c r="B61" s="89"/>
      <c r="C61" s="89"/>
      <c r="D61" s="89"/>
      <c r="E61" s="89"/>
      <c r="F61" s="110"/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89"/>
    </row>
    <row r="62" spans="1:27" ht="13.8">
      <c r="A62" s="89"/>
      <c r="B62" s="89"/>
      <c r="C62" s="89"/>
      <c r="D62" s="89"/>
      <c r="E62" s="89"/>
      <c r="F62" s="110"/>
      <c r="G62" s="89"/>
      <c r="H62" s="89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9"/>
      <c r="V62" s="89"/>
      <c r="W62" s="89"/>
      <c r="X62" s="89"/>
      <c r="Y62" s="89"/>
      <c r="Z62" s="89"/>
      <c r="AA62" s="89"/>
    </row>
    <row r="63" spans="1:27" ht="13.8">
      <c r="A63" s="89"/>
      <c r="B63" s="89"/>
      <c r="C63" s="89"/>
      <c r="D63" s="89"/>
      <c r="E63" s="89"/>
      <c r="F63" s="110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89"/>
    </row>
    <row r="64" spans="1:27" ht="13.8">
      <c r="A64" s="89"/>
      <c r="B64" s="89"/>
      <c r="C64" s="89"/>
      <c r="D64" s="89"/>
      <c r="E64" s="89"/>
      <c r="F64" s="110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</row>
    <row r="65" spans="1:27" ht="13.8">
      <c r="A65" s="89"/>
      <c r="B65" s="89"/>
      <c r="C65" s="89"/>
      <c r="D65" s="89"/>
      <c r="E65" s="89"/>
      <c r="F65" s="110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</row>
    <row r="66" spans="1:27" ht="13.8">
      <c r="A66" s="89"/>
      <c r="B66" s="89"/>
      <c r="C66" s="89"/>
      <c r="D66" s="89"/>
      <c r="E66" s="89"/>
      <c r="F66" s="110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</row>
    <row r="67" spans="1:27" ht="13.8">
      <c r="A67" s="89"/>
      <c r="B67" s="89"/>
      <c r="C67" s="89"/>
      <c r="D67" s="89"/>
      <c r="E67" s="89"/>
      <c r="F67" s="110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</row>
    <row r="68" spans="1:27" ht="13.8">
      <c r="A68" s="89"/>
      <c r="B68" s="89"/>
      <c r="C68" s="89"/>
      <c r="D68" s="89"/>
      <c r="E68" s="89"/>
      <c r="F68" s="110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</row>
    <row r="69" spans="1:27" ht="13.8">
      <c r="A69" s="89"/>
      <c r="B69" s="89"/>
      <c r="C69" s="89"/>
      <c r="D69" s="89"/>
      <c r="E69" s="89"/>
      <c r="F69" s="110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</row>
    <row r="70" spans="1:27" ht="13.8">
      <c r="A70" s="89"/>
      <c r="B70" s="89"/>
      <c r="C70" s="89"/>
      <c r="D70" s="89"/>
      <c r="E70" s="89"/>
      <c r="F70" s="110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</row>
    <row r="71" spans="1:27" ht="13.8">
      <c r="A71" s="89"/>
      <c r="B71" s="89"/>
      <c r="C71" s="89"/>
      <c r="D71" s="89"/>
      <c r="E71" s="89"/>
      <c r="F71" s="110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</row>
    <row r="72" spans="1:27" ht="13.8">
      <c r="A72" s="89"/>
      <c r="B72" s="89"/>
      <c r="C72" s="89"/>
      <c r="D72" s="89"/>
      <c r="E72" s="89"/>
      <c r="F72" s="110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</row>
    <row r="73" spans="1:27" ht="13.8">
      <c r="A73" s="89"/>
      <c r="B73" s="89"/>
      <c r="C73" s="89"/>
      <c r="D73" s="89"/>
      <c r="E73" s="89"/>
      <c r="F73" s="110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</row>
    <row r="74" spans="1:27" ht="13.8">
      <c r="A74" s="89"/>
      <c r="B74" s="89"/>
      <c r="C74" s="89"/>
      <c r="D74" s="89"/>
      <c r="E74" s="89"/>
      <c r="F74" s="110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</row>
    <row r="75" spans="1:27" ht="13.8">
      <c r="A75" s="89"/>
      <c r="B75" s="89"/>
      <c r="C75" s="89"/>
      <c r="D75" s="89"/>
      <c r="E75" s="89"/>
      <c r="F75" s="110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</row>
    <row r="76" spans="1:27" ht="13.8">
      <c r="A76" s="89"/>
      <c r="B76" s="89"/>
      <c r="C76" s="89"/>
      <c r="D76" s="89"/>
      <c r="E76" s="89"/>
      <c r="F76" s="110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</row>
    <row r="77" spans="1:27" ht="13.8">
      <c r="A77" s="89"/>
      <c r="B77" s="89"/>
      <c r="C77" s="89"/>
      <c r="D77" s="89"/>
      <c r="E77" s="89"/>
      <c r="F77" s="110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</row>
    <row r="78" spans="1:27" ht="13.8">
      <c r="A78" s="89"/>
      <c r="B78" s="89"/>
      <c r="C78" s="89"/>
      <c r="D78" s="89"/>
      <c r="E78" s="89"/>
      <c r="F78" s="110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</row>
    <row r="79" spans="1:27" ht="13.8">
      <c r="A79" s="89"/>
      <c r="B79" s="89"/>
      <c r="C79" s="89"/>
      <c r="D79" s="89"/>
      <c r="E79" s="89"/>
      <c r="F79" s="110"/>
      <c r="G79" s="89"/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  <c r="AA79" s="89"/>
    </row>
    <row r="80" spans="1:27" ht="13.8">
      <c r="A80" s="89"/>
      <c r="B80" s="89"/>
      <c r="C80" s="89"/>
      <c r="D80" s="89"/>
      <c r="E80" s="89"/>
      <c r="F80" s="110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</row>
    <row r="81" spans="1:27" ht="13.8">
      <c r="A81" s="89"/>
      <c r="B81" s="89"/>
      <c r="C81" s="89"/>
      <c r="D81" s="89"/>
      <c r="E81" s="89"/>
      <c r="F81" s="110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</row>
    <row r="82" spans="1:27" ht="13.8">
      <c r="A82" s="89"/>
      <c r="B82" s="89"/>
      <c r="C82" s="89"/>
      <c r="D82" s="89"/>
      <c r="E82" s="89"/>
      <c r="F82" s="110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</row>
    <row r="83" spans="1:27" ht="13.8">
      <c r="A83" s="89"/>
      <c r="B83" s="89"/>
      <c r="C83" s="89"/>
      <c r="D83" s="89"/>
      <c r="E83" s="89"/>
      <c r="F83" s="110"/>
      <c r="G83" s="89"/>
      <c r="H83" s="89"/>
      <c r="I83" s="89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</row>
    <row r="84" spans="1:27" ht="13.8">
      <c r="A84" s="89"/>
      <c r="B84" s="89"/>
      <c r="C84" s="89"/>
      <c r="D84" s="89"/>
      <c r="E84" s="89"/>
      <c r="F84" s="110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</row>
    <row r="85" spans="1:27" ht="13.8">
      <c r="A85" s="89"/>
      <c r="B85" s="89"/>
      <c r="C85" s="89"/>
      <c r="D85" s="89"/>
      <c r="E85" s="89"/>
      <c r="F85" s="110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</row>
    <row r="86" spans="1:27" ht="13.8">
      <c r="A86" s="89"/>
      <c r="B86" s="89"/>
      <c r="C86" s="89"/>
      <c r="D86" s="89"/>
      <c r="E86" s="89"/>
      <c r="F86" s="110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</row>
    <row r="87" spans="1:27" ht="13.8">
      <c r="A87" s="89"/>
      <c r="B87" s="89"/>
      <c r="C87" s="89"/>
      <c r="D87" s="89"/>
      <c r="E87" s="89"/>
      <c r="F87" s="110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</row>
    <row r="88" spans="1:27" ht="13.8">
      <c r="A88" s="89"/>
      <c r="B88" s="89"/>
      <c r="C88" s="89"/>
      <c r="D88" s="89"/>
      <c r="E88" s="89"/>
      <c r="F88" s="110"/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</row>
    <row r="89" spans="1:27" ht="13.8">
      <c r="A89" s="89"/>
      <c r="B89" s="89"/>
      <c r="C89" s="89"/>
      <c r="D89" s="89"/>
      <c r="E89" s="89"/>
      <c r="F89" s="110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</row>
    <row r="90" spans="1:27" ht="13.8">
      <c r="A90" s="89"/>
      <c r="B90" s="89"/>
      <c r="C90" s="89"/>
      <c r="D90" s="89"/>
      <c r="E90" s="89"/>
      <c r="F90" s="110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</row>
    <row r="91" spans="1:27" ht="13.8">
      <c r="A91" s="89"/>
      <c r="B91" s="89"/>
      <c r="C91" s="89"/>
      <c r="D91" s="89"/>
      <c r="E91" s="89"/>
      <c r="F91" s="110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</row>
    <row r="92" spans="1:27" ht="13.8">
      <c r="A92" s="89"/>
      <c r="B92" s="89"/>
      <c r="C92" s="89"/>
      <c r="D92" s="89"/>
      <c r="E92" s="89"/>
      <c r="F92" s="110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</row>
    <row r="93" spans="1:27" ht="13.8">
      <c r="A93" s="89"/>
      <c r="B93" s="89"/>
      <c r="C93" s="89"/>
      <c r="D93" s="89"/>
      <c r="E93" s="89"/>
      <c r="F93" s="110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</row>
    <row r="94" spans="1:27" ht="13.8">
      <c r="A94" s="89"/>
      <c r="B94" s="89"/>
      <c r="C94" s="89"/>
      <c r="D94" s="89"/>
      <c r="E94" s="89"/>
      <c r="F94" s="110"/>
      <c r="G94" s="89"/>
      <c r="H94" s="89"/>
      <c r="I94" s="89"/>
      <c r="J94" s="89"/>
      <c r="K94" s="89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</row>
    <row r="95" spans="1:27" ht="13.8">
      <c r="A95" s="89"/>
      <c r="B95" s="89"/>
      <c r="C95" s="89"/>
      <c r="D95" s="89"/>
      <c r="E95" s="89"/>
      <c r="F95" s="110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</row>
    <row r="96" spans="1:27" ht="13.8">
      <c r="A96" s="89"/>
      <c r="B96" s="89"/>
      <c r="C96" s="89"/>
      <c r="D96" s="89"/>
      <c r="E96" s="89"/>
      <c r="F96" s="110"/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</row>
    <row r="97" spans="1:27" ht="13.8">
      <c r="A97" s="89"/>
      <c r="B97" s="89"/>
      <c r="C97" s="89"/>
      <c r="D97" s="89"/>
      <c r="E97" s="89"/>
      <c r="F97" s="110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</row>
    <row r="98" spans="1:27" ht="13.8">
      <c r="A98" s="89"/>
      <c r="B98" s="89"/>
      <c r="C98" s="89"/>
      <c r="D98" s="89"/>
      <c r="E98" s="89"/>
      <c r="F98" s="110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</row>
    <row r="99" spans="1:27" ht="13.8">
      <c r="A99" s="89"/>
      <c r="B99" s="89"/>
      <c r="C99" s="89"/>
      <c r="D99" s="89"/>
      <c r="E99" s="89"/>
      <c r="F99" s="110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</row>
    <row r="100" spans="1:27" ht="13.8">
      <c r="A100" s="89"/>
      <c r="B100" s="89"/>
      <c r="C100" s="89"/>
      <c r="D100" s="89"/>
      <c r="E100" s="89"/>
      <c r="F100" s="110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</row>
    <row r="101" spans="1:27" ht="13.8">
      <c r="A101" s="89"/>
      <c r="B101" s="89"/>
      <c r="C101" s="89"/>
      <c r="D101" s="89"/>
      <c r="E101" s="89"/>
      <c r="F101" s="110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</row>
    <row r="102" spans="1:27" ht="13.8">
      <c r="A102" s="89"/>
      <c r="B102" s="89"/>
      <c r="C102" s="89"/>
      <c r="D102" s="89"/>
      <c r="E102" s="89"/>
      <c r="F102" s="110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</row>
    <row r="103" spans="1:27" ht="13.8">
      <c r="A103" s="89"/>
      <c r="B103" s="89"/>
      <c r="C103" s="89"/>
      <c r="D103" s="89"/>
      <c r="E103" s="89"/>
      <c r="F103" s="110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</row>
    <row r="104" spans="1:27" ht="13.8">
      <c r="A104" s="89"/>
      <c r="B104" s="89"/>
      <c r="C104" s="89"/>
      <c r="D104" s="89"/>
      <c r="E104" s="89"/>
      <c r="F104" s="110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</row>
    <row r="105" spans="1:27" ht="13.8">
      <c r="A105" s="89"/>
      <c r="B105" s="89"/>
      <c r="C105" s="89"/>
      <c r="D105" s="89"/>
      <c r="E105" s="89"/>
      <c r="F105" s="110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</row>
    <row r="106" spans="1:27" ht="13.8">
      <c r="A106" s="89"/>
      <c r="B106" s="89"/>
      <c r="C106" s="89"/>
      <c r="D106" s="89"/>
      <c r="E106" s="89"/>
      <c r="F106" s="110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</row>
    <row r="107" spans="1:27" ht="13.8">
      <c r="A107" s="89"/>
      <c r="B107" s="89"/>
      <c r="C107" s="89"/>
      <c r="D107" s="89"/>
      <c r="E107" s="89"/>
      <c r="F107" s="110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</row>
    <row r="108" spans="1:27" ht="13.8">
      <c r="A108" s="89"/>
      <c r="B108" s="89"/>
      <c r="C108" s="89"/>
      <c r="D108" s="89"/>
      <c r="E108" s="89"/>
      <c r="F108" s="110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</row>
    <row r="109" spans="1:27" ht="13.8">
      <c r="A109" s="89"/>
      <c r="B109" s="89"/>
      <c r="C109" s="89"/>
      <c r="D109" s="89"/>
      <c r="E109" s="89"/>
      <c r="F109" s="110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</row>
    <row r="110" spans="1:27" ht="13.8">
      <c r="A110" s="89"/>
      <c r="B110" s="89"/>
      <c r="C110" s="89"/>
      <c r="D110" s="89"/>
      <c r="E110" s="89"/>
      <c r="F110" s="110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</row>
    <row r="111" spans="1:27" ht="13.8">
      <c r="A111" s="89"/>
      <c r="B111" s="89"/>
      <c r="C111" s="89"/>
      <c r="D111" s="89"/>
      <c r="E111" s="89"/>
      <c r="F111" s="110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</row>
    <row r="112" spans="1:27" ht="13.8">
      <c r="A112" s="89"/>
      <c r="B112" s="89"/>
      <c r="C112" s="89"/>
      <c r="D112" s="89"/>
      <c r="E112" s="89"/>
      <c r="F112" s="110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</row>
    <row r="113" spans="1:27" ht="13.8">
      <c r="A113" s="89"/>
      <c r="B113" s="89"/>
      <c r="C113" s="89"/>
      <c r="D113" s="89"/>
      <c r="E113" s="89"/>
      <c r="F113" s="110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</row>
    <row r="114" spans="1:27" ht="13.8">
      <c r="A114" s="89"/>
      <c r="B114" s="89"/>
      <c r="C114" s="89"/>
      <c r="D114" s="89"/>
      <c r="E114" s="89"/>
      <c r="F114" s="110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</row>
    <row r="115" spans="1:27" ht="13.8">
      <c r="A115" s="89"/>
      <c r="B115" s="89"/>
      <c r="C115" s="89"/>
      <c r="D115" s="89"/>
      <c r="E115" s="89"/>
      <c r="F115" s="110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</row>
    <row r="116" spans="1:27" ht="13.8">
      <c r="A116" s="89"/>
      <c r="B116" s="89"/>
      <c r="C116" s="89"/>
      <c r="D116" s="89"/>
      <c r="E116" s="89"/>
      <c r="F116" s="110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</row>
    <row r="117" spans="1:27" ht="13.8">
      <c r="A117" s="89"/>
      <c r="B117" s="89"/>
      <c r="C117" s="89"/>
      <c r="D117" s="89"/>
      <c r="E117" s="89"/>
      <c r="F117" s="110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</row>
    <row r="118" spans="1:27" ht="13.8">
      <c r="A118" s="89"/>
      <c r="B118" s="89"/>
      <c r="C118" s="89"/>
      <c r="D118" s="89"/>
      <c r="E118" s="89"/>
      <c r="F118" s="110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</row>
    <row r="119" spans="1:27" ht="13.8">
      <c r="A119" s="89"/>
      <c r="B119" s="89"/>
      <c r="C119" s="89"/>
      <c r="D119" s="89"/>
      <c r="E119" s="89"/>
      <c r="F119" s="110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</row>
    <row r="120" spans="1:27" ht="13.8">
      <c r="A120" s="89"/>
      <c r="B120" s="89"/>
      <c r="C120" s="89"/>
      <c r="D120" s="89"/>
      <c r="E120" s="89"/>
      <c r="F120" s="110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</row>
    <row r="121" spans="1:27" ht="13.8">
      <c r="A121" s="89"/>
      <c r="B121" s="89"/>
      <c r="C121" s="89"/>
      <c r="D121" s="89"/>
      <c r="E121" s="89"/>
      <c r="F121" s="110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</row>
    <row r="122" spans="1:27" ht="13.8">
      <c r="A122" s="89"/>
      <c r="B122" s="89"/>
      <c r="C122" s="89"/>
      <c r="D122" s="89"/>
      <c r="E122" s="89"/>
      <c r="F122" s="110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  <c r="AA122" s="89"/>
    </row>
    <row r="123" spans="1:27" ht="13.8">
      <c r="A123" s="89"/>
      <c r="B123" s="89"/>
      <c r="C123" s="89"/>
      <c r="D123" s="89"/>
      <c r="E123" s="89"/>
      <c r="F123" s="110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</row>
    <row r="124" spans="1:27" ht="13.8">
      <c r="A124" s="89"/>
      <c r="B124" s="89"/>
      <c r="C124" s="89"/>
      <c r="D124" s="89"/>
      <c r="E124" s="89"/>
      <c r="F124" s="110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  <c r="AA124" s="89"/>
    </row>
    <row r="125" spans="1:27" ht="13.8">
      <c r="A125" s="89"/>
      <c r="B125" s="89"/>
      <c r="C125" s="89"/>
      <c r="D125" s="89"/>
      <c r="E125" s="89"/>
      <c r="F125" s="110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  <c r="AA125" s="89"/>
    </row>
    <row r="126" spans="1:27" ht="13.8">
      <c r="A126" s="89"/>
      <c r="B126" s="89"/>
      <c r="C126" s="89"/>
      <c r="D126" s="89"/>
      <c r="E126" s="89"/>
      <c r="F126" s="110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</row>
    <row r="127" spans="1:27" ht="13.8">
      <c r="A127" s="89"/>
      <c r="B127" s="89"/>
      <c r="C127" s="89"/>
      <c r="D127" s="89"/>
      <c r="E127" s="89"/>
      <c r="F127" s="110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</row>
    <row r="128" spans="1:27" ht="13.8">
      <c r="A128" s="89"/>
      <c r="B128" s="89"/>
      <c r="C128" s="89"/>
      <c r="D128" s="89"/>
      <c r="E128" s="89"/>
      <c r="F128" s="110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</row>
    <row r="129" spans="1:27" ht="13.8">
      <c r="A129" s="89"/>
      <c r="B129" s="89"/>
      <c r="C129" s="89"/>
      <c r="D129" s="89"/>
      <c r="E129" s="89"/>
      <c r="F129" s="110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  <c r="AA129" s="89"/>
    </row>
    <row r="130" spans="1:27" ht="13.8">
      <c r="A130" s="89"/>
      <c r="B130" s="89"/>
      <c r="C130" s="89"/>
      <c r="D130" s="89"/>
      <c r="E130" s="89"/>
      <c r="F130" s="110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  <c r="AA130" s="89"/>
    </row>
    <row r="131" spans="1:27" ht="13.8">
      <c r="A131" s="89"/>
      <c r="B131" s="89"/>
      <c r="C131" s="89"/>
      <c r="D131" s="89"/>
      <c r="E131" s="89"/>
      <c r="F131" s="110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  <c r="AA131" s="89"/>
    </row>
    <row r="132" spans="1:27" ht="13.8">
      <c r="A132" s="89"/>
      <c r="B132" s="89"/>
      <c r="C132" s="89"/>
      <c r="D132" s="89"/>
      <c r="E132" s="89"/>
      <c r="F132" s="110"/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  <c r="AA132" s="89"/>
    </row>
    <row r="133" spans="1:27" ht="13.8">
      <c r="A133" s="89"/>
      <c r="B133" s="89"/>
      <c r="C133" s="89"/>
      <c r="D133" s="89"/>
      <c r="E133" s="89"/>
      <c r="F133" s="110"/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</row>
    <row r="134" spans="1:27" ht="13.8">
      <c r="A134" s="89"/>
      <c r="B134" s="89"/>
      <c r="C134" s="89"/>
      <c r="D134" s="89"/>
      <c r="E134" s="89"/>
      <c r="F134" s="110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  <c r="AA134" s="89"/>
    </row>
    <row r="135" spans="1:27" ht="13.8">
      <c r="A135" s="89"/>
      <c r="B135" s="89"/>
      <c r="C135" s="89"/>
      <c r="D135" s="89"/>
      <c r="E135" s="89"/>
      <c r="F135" s="110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  <c r="AA135" s="89"/>
    </row>
    <row r="136" spans="1:27" ht="13.8">
      <c r="A136" s="89"/>
      <c r="B136" s="89"/>
      <c r="C136" s="89"/>
      <c r="D136" s="89"/>
      <c r="E136" s="89"/>
      <c r="F136" s="110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  <c r="AA136" s="89"/>
    </row>
    <row r="137" spans="1:27" ht="13.8">
      <c r="A137" s="89"/>
      <c r="B137" s="89"/>
      <c r="C137" s="89"/>
      <c r="D137" s="89"/>
      <c r="E137" s="89"/>
      <c r="F137" s="110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  <c r="AA137" s="89"/>
    </row>
    <row r="138" spans="1:27" ht="13.8">
      <c r="A138" s="89"/>
      <c r="B138" s="89"/>
      <c r="C138" s="89"/>
      <c r="D138" s="89"/>
      <c r="E138" s="89"/>
      <c r="F138" s="110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  <c r="AA138" s="89"/>
    </row>
    <row r="139" spans="1:27" ht="13.8">
      <c r="A139" s="89"/>
      <c r="B139" s="89"/>
      <c r="C139" s="89"/>
      <c r="D139" s="89"/>
      <c r="E139" s="89"/>
      <c r="F139" s="110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  <c r="AA139" s="89"/>
    </row>
    <row r="140" spans="1:27" ht="13.8">
      <c r="A140" s="89"/>
      <c r="B140" s="89"/>
      <c r="C140" s="89"/>
      <c r="D140" s="89"/>
      <c r="E140" s="89"/>
      <c r="F140" s="110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  <c r="AA140" s="89"/>
    </row>
    <row r="141" spans="1:27" ht="13.8">
      <c r="A141" s="89"/>
      <c r="B141" s="89"/>
      <c r="C141" s="89"/>
      <c r="D141" s="89"/>
      <c r="E141" s="89"/>
      <c r="F141" s="110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  <c r="AA141" s="89"/>
    </row>
    <row r="142" spans="1:27" ht="13.8">
      <c r="A142" s="89"/>
      <c r="B142" s="89"/>
      <c r="C142" s="89"/>
      <c r="D142" s="89"/>
      <c r="E142" s="89"/>
      <c r="F142" s="110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</row>
    <row r="143" spans="1:27" ht="13.8">
      <c r="A143" s="89"/>
      <c r="B143" s="89"/>
      <c r="C143" s="89"/>
      <c r="D143" s="89"/>
      <c r="E143" s="89"/>
      <c r="F143" s="110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  <c r="AA143" s="89"/>
    </row>
    <row r="144" spans="1:27" ht="13.8">
      <c r="A144" s="89"/>
      <c r="B144" s="89"/>
      <c r="C144" s="89"/>
      <c r="D144" s="89"/>
      <c r="E144" s="89"/>
      <c r="F144" s="110"/>
      <c r="G144" s="89"/>
      <c r="H144" s="89"/>
      <c r="I144" s="89"/>
      <c r="J144" s="89"/>
      <c r="K144" s="89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  <c r="AA144" s="89"/>
    </row>
    <row r="145" spans="1:27" ht="13.8">
      <c r="A145" s="89"/>
      <c r="B145" s="89"/>
      <c r="C145" s="89"/>
      <c r="D145" s="89"/>
      <c r="E145" s="89"/>
      <c r="F145" s="110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</row>
    <row r="146" spans="1:27" ht="13.8">
      <c r="A146" s="89"/>
      <c r="B146" s="89"/>
      <c r="C146" s="89"/>
      <c r="D146" s="89"/>
      <c r="E146" s="89"/>
      <c r="F146" s="110"/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</row>
    <row r="147" spans="1:27" ht="13.8">
      <c r="A147" s="89"/>
      <c r="B147" s="89"/>
      <c r="C147" s="89"/>
      <c r="D147" s="89"/>
      <c r="E147" s="89"/>
      <c r="F147" s="110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  <c r="AA147" s="89"/>
    </row>
    <row r="148" spans="1:27" ht="13.8">
      <c r="A148" s="89"/>
      <c r="B148" s="89"/>
      <c r="C148" s="89"/>
      <c r="D148" s="89"/>
      <c r="E148" s="89"/>
      <c r="F148" s="110"/>
      <c r="G148" s="89"/>
      <c r="H148" s="89"/>
      <c r="I148" s="89"/>
      <c r="J148" s="89"/>
      <c r="K148" s="89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  <c r="AA148" s="89"/>
    </row>
    <row r="149" spans="1:27" ht="13.8">
      <c r="A149" s="89"/>
      <c r="B149" s="89"/>
      <c r="C149" s="89"/>
      <c r="D149" s="89"/>
      <c r="E149" s="89"/>
      <c r="F149" s="110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</row>
    <row r="150" spans="1:27" ht="13.8">
      <c r="A150" s="89"/>
      <c r="B150" s="89"/>
      <c r="C150" s="89"/>
      <c r="D150" s="89"/>
      <c r="E150" s="89"/>
      <c r="F150" s="110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</row>
    <row r="151" spans="1:27" ht="13.8">
      <c r="A151" s="89"/>
      <c r="B151" s="89"/>
      <c r="C151" s="89"/>
      <c r="D151" s="89"/>
      <c r="E151" s="89"/>
      <c r="F151" s="110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</row>
    <row r="152" spans="1:27" ht="13.8">
      <c r="A152" s="89"/>
      <c r="B152" s="89"/>
      <c r="C152" s="89"/>
      <c r="D152" s="89"/>
      <c r="E152" s="89"/>
      <c r="F152" s="110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</row>
    <row r="153" spans="1:27" ht="13.8">
      <c r="A153" s="89"/>
      <c r="B153" s="89"/>
      <c r="C153" s="89"/>
      <c r="D153" s="89"/>
      <c r="E153" s="89"/>
      <c r="F153" s="110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</row>
    <row r="154" spans="1:27" ht="13.8">
      <c r="A154" s="89"/>
      <c r="B154" s="89"/>
      <c r="C154" s="89"/>
      <c r="D154" s="89"/>
      <c r="E154" s="89"/>
      <c r="F154" s="110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</row>
    <row r="155" spans="1:27" ht="13.8">
      <c r="A155" s="89"/>
      <c r="B155" s="89"/>
      <c r="C155" s="89"/>
      <c r="D155" s="89"/>
      <c r="E155" s="89"/>
      <c r="F155" s="110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</row>
    <row r="156" spans="1:27" ht="13.8">
      <c r="A156" s="89"/>
      <c r="B156" s="89"/>
      <c r="C156" s="89"/>
      <c r="D156" s="89"/>
      <c r="E156" s="89"/>
      <c r="F156" s="110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</row>
    <row r="157" spans="1:27" ht="13.8">
      <c r="A157" s="89"/>
      <c r="B157" s="89"/>
      <c r="C157" s="89"/>
      <c r="D157" s="89"/>
      <c r="E157" s="89"/>
      <c r="F157" s="110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</row>
    <row r="158" spans="1:27" ht="13.8">
      <c r="A158" s="89"/>
      <c r="B158" s="89"/>
      <c r="C158" s="89"/>
      <c r="D158" s="89"/>
      <c r="E158" s="89"/>
      <c r="F158" s="110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</row>
    <row r="159" spans="1:27" ht="13.8">
      <c r="A159" s="89"/>
      <c r="B159" s="89"/>
      <c r="C159" s="89"/>
      <c r="D159" s="89"/>
      <c r="E159" s="89"/>
      <c r="F159" s="110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  <c r="AA159" s="89"/>
    </row>
    <row r="160" spans="1:27" ht="13.8">
      <c r="A160" s="89"/>
      <c r="B160" s="89"/>
      <c r="C160" s="89"/>
      <c r="D160" s="89"/>
      <c r="E160" s="89"/>
      <c r="F160" s="110"/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</row>
    <row r="161" spans="1:27" ht="13.8">
      <c r="A161" s="89"/>
      <c r="B161" s="89"/>
      <c r="C161" s="89"/>
      <c r="D161" s="89"/>
      <c r="E161" s="89"/>
      <c r="F161" s="110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</row>
    <row r="162" spans="1:27" ht="13.8">
      <c r="A162" s="89"/>
      <c r="B162" s="89"/>
      <c r="C162" s="89"/>
      <c r="D162" s="89"/>
      <c r="E162" s="89"/>
      <c r="F162" s="110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</row>
    <row r="163" spans="1:27" ht="13.8">
      <c r="A163" s="89"/>
      <c r="B163" s="89"/>
      <c r="C163" s="89"/>
      <c r="D163" s="89"/>
      <c r="E163" s="89"/>
      <c r="F163" s="110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</row>
    <row r="164" spans="1:27" ht="13.8">
      <c r="A164" s="89"/>
      <c r="B164" s="89"/>
      <c r="C164" s="89"/>
      <c r="D164" s="89"/>
      <c r="E164" s="89"/>
      <c r="F164" s="110"/>
      <c r="G164" s="89"/>
      <c r="H164" s="89"/>
      <c r="I164" s="89"/>
      <c r="J164" s="89"/>
      <c r="K164" s="89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  <c r="AA164" s="89"/>
    </row>
    <row r="165" spans="1:27" ht="13.8">
      <c r="A165" s="89"/>
      <c r="B165" s="89"/>
      <c r="C165" s="89"/>
      <c r="D165" s="89"/>
      <c r="E165" s="89"/>
      <c r="F165" s="110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</row>
    <row r="166" spans="1:27" ht="13.8">
      <c r="A166" s="89"/>
      <c r="B166" s="89"/>
      <c r="C166" s="89"/>
      <c r="D166" s="89"/>
      <c r="E166" s="89"/>
      <c r="F166" s="110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  <c r="AA166" s="89"/>
    </row>
    <row r="167" spans="1:27" ht="13.8">
      <c r="A167" s="89"/>
      <c r="B167" s="89"/>
      <c r="C167" s="89"/>
      <c r="D167" s="89"/>
      <c r="E167" s="89"/>
      <c r="F167" s="110"/>
      <c r="G167" s="89"/>
      <c r="H167" s="89"/>
      <c r="I167" s="89"/>
      <c r="J167" s="89"/>
      <c r="K167" s="89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  <c r="AA167" s="89"/>
    </row>
    <row r="168" spans="1:27" ht="13.8">
      <c r="A168" s="89"/>
      <c r="B168" s="89"/>
      <c r="C168" s="89"/>
      <c r="D168" s="89"/>
      <c r="E168" s="89"/>
      <c r="F168" s="110"/>
      <c r="G168" s="89"/>
      <c r="H168" s="89"/>
      <c r="I168" s="89"/>
      <c r="J168" s="89"/>
      <c r="K168" s="89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/>
      <c r="Z168" s="89"/>
      <c r="AA168" s="89"/>
    </row>
    <row r="169" spans="1:27" ht="13.8">
      <c r="A169" s="89"/>
      <c r="B169" s="89"/>
      <c r="C169" s="89"/>
      <c r="D169" s="89"/>
      <c r="E169" s="89"/>
      <c r="F169" s="110"/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  <c r="AA169" s="89"/>
    </row>
    <row r="170" spans="1:27" ht="13.8">
      <c r="A170" s="89"/>
      <c r="B170" s="89"/>
      <c r="C170" s="89"/>
      <c r="D170" s="89"/>
      <c r="E170" s="89"/>
      <c r="F170" s="110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</row>
    <row r="171" spans="1:27" ht="13.8">
      <c r="A171" s="89"/>
      <c r="B171" s="89"/>
      <c r="C171" s="89"/>
      <c r="D171" s="89"/>
      <c r="E171" s="89"/>
      <c r="F171" s="110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  <c r="AA171" s="89"/>
    </row>
    <row r="172" spans="1:27" ht="13.8">
      <c r="A172" s="89"/>
      <c r="B172" s="89"/>
      <c r="C172" s="89"/>
      <c r="D172" s="89"/>
      <c r="E172" s="89"/>
      <c r="F172" s="110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  <c r="AA172" s="89"/>
    </row>
    <row r="173" spans="1:27" ht="13.8">
      <c r="A173" s="89"/>
      <c r="B173" s="89"/>
      <c r="C173" s="89"/>
      <c r="D173" s="89"/>
      <c r="E173" s="89"/>
      <c r="F173" s="110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  <c r="AA173" s="89"/>
    </row>
    <row r="174" spans="1:27" ht="13.8">
      <c r="A174" s="89"/>
      <c r="B174" s="89"/>
      <c r="C174" s="89"/>
      <c r="D174" s="89"/>
      <c r="E174" s="89"/>
      <c r="F174" s="110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  <c r="AA174" s="89"/>
    </row>
    <row r="175" spans="1:27" ht="13.8">
      <c r="A175" s="89"/>
      <c r="B175" s="89"/>
      <c r="C175" s="89"/>
      <c r="D175" s="89"/>
      <c r="E175" s="89"/>
      <c r="F175" s="110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  <c r="AA175" s="89"/>
    </row>
    <row r="176" spans="1:27" ht="13.8">
      <c r="A176" s="89"/>
      <c r="B176" s="89"/>
      <c r="C176" s="89"/>
      <c r="D176" s="89"/>
      <c r="E176" s="89"/>
      <c r="F176" s="110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  <c r="AA176" s="89"/>
    </row>
    <row r="177" spans="1:27" ht="13.8">
      <c r="A177" s="89"/>
      <c r="B177" s="89"/>
      <c r="C177" s="89"/>
      <c r="D177" s="89"/>
      <c r="E177" s="89"/>
      <c r="F177" s="110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  <c r="AA177" s="89"/>
    </row>
    <row r="178" spans="1:27" ht="13.8">
      <c r="A178" s="89"/>
      <c r="B178" s="89"/>
      <c r="C178" s="89"/>
      <c r="D178" s="89"/>
      <c r="E178" s="89"/>
      <c r="F178" s="110"/>
      <c r="G178" s="89"/>
      <c r="H178" s="89"/>
      <c r="I178" s="89"/>
      <c r="J178" s="89"/>
      <c r="K178" s="89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  <c r="AA178" s="89"/>
    </row>
    <row r="179" spans="1:27" ht="13.8">
      <c r="A179" s="89"/>
      <c r="B179" s="89"/>
      <c r="C179" s="89"/>
      <c r="D179" s="89"/>
      <c r="E179" s="89"/>
      <c r="F179" s="110"/>
      <c r="G179" s="89"/>
      <c r="H179" s="89"/>
      <c r="I179" s="89"/>
      <c r="J179" s="89"/>
      <c r="K179" s="89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  <c r="AA179" s="89"/>
    </row>
    <row r="180" spans="1:27" ht="13.8">
      <c r="A180" s="89"/>
      <c r="B180" s="89"/>
      <c r="C180" s="89"/>
      <c r="D180" s="89"/>
      <c r="E180" s="89"/>
      <c r="F180" s="110"/>
      <c r="G180" s="89"/>
      <c r="H180" s="89"/>
      <c r="I180" s="89"/>
      <c r="J180" s="89"/>
      <c r="K180" s="89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/>
      <c r="W180" s="89"/>
      <c r="X180" s="89"/>
      <c r="Y180" s="89"/>
      <c r="Z180" s="89"/>
      <c r="AA180" s="89"/>
    </row>
    <row r="181" spans="1:27" ht="13.8">
      <c r="A181" s="89"/>
      <c r="B181" s="89"/>
      <c r="C181" s="89"/>
      <c r="D181" s="89"/>
      <c r="E181" s="89"/>
      <c r="F181" s="110"/>
      <c r="G181" s="89"/>
      <c r="H181" s="89"/>
      <c r="I181" s="89"/>
      <c r="J181" s="89"/>
      <c r="K181" s="89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  <c r="AA181" s="89"/>
    </row>
    <row r="182" spans="1:27" ht="13.8">
      <c r="A182" s="89"/>
      <c r="B182" s="89"/>
      <c r="C182" s="89"/>
      <c r="D182" s="89"/>
      <c r="E182" s="89"/>
      <c r="F182" s="110"/>
      <c r="G182" s="89"/>
      <c r="H182" s="89"/>
      <c r="I182" s="89"/>
      <c r="J182" s="89"/>
      <c r="K182" s="89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  <c r="AA182" s="89"/>
    </row>
    <row r="183" spans="1:27" ht="13.8">
      <c r="A183" s="89"/>
      <c r="B183" s="89"/>
      <c r="C183" s="89"/>
      <c r="D183" s="89"/>
      <c r="E183" s="89"/>
      <c r="F183" s="110"/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  <c r="AA183" s="89"/>
    </row>
    <row r="184" spans="1:27" ht="13.8">
      <c r="A184" s="89"/>
      <c r="B184" s="89"/>
      <c r="C184" s="89"/>
      <c r="D184" s="89"/>
      <c r="E184" s="89"/>
      <c r="F184" s="110"/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  <c r="AA184" s="89"/>
    </row>
    <row r="185" spans="1:27" ht="13.8">
      <c r="A185" s="89"/>
      <c r="B185" s="89"/>
      <c r="C185" s="89"/>
      <c r="D185" s="89"/>
      <c r="E185" s="89"/>
      <c r="F185" s="110"/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</row>
    <row r="186" spans="1:27" ht="13.8">
      <c r="A186" s="89"/>
      <c r="B186" s="89"/>
      <c r="C186" s="89"/>
      <c r="D186" s="89"/>
      <c r="E186" s="89"/>
      <c r="F186" s="110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  <c r="AA186" s="89"/>
    </row>
    <row r="187" spans="1:27" ht="13.8">
      <c r="A187" s="89"/>
      <c r="B187" s="89"/>
      <c r="C187" s="89"/>
      <c r="D187" s="89"/>
      <c r="E187" s="89"/>
      <c r="F187" s="110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  <c r="AA187" s="89"/>
    </row>
    <row r="188" spans="1:27" ht="13.8">
      <c r="A188" s="89"/>
      <c r="B188" s="89"/>
      <c r="C188" s="89"/>
      <c r="D188" s="89"/>
      <c r="E188" s="89"/>
      <c r="F188" s="110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</row>
    <row r="189" spans="1:27" ht="13.8">
      <c r="A189" s="89"/>
      <c r="B189" s="89"/>
      <c r="C189" s="89"/>
      <c r="D189" s="89"/>
      <c r="E189" s="89"/>
      <c r="F189" s="110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  <c r="AA189" s="89"/>
    </row>
    <row r="190" spans="1:27" ht="13.8">
      <c r="A190" s="89"/>
      <c r="B190" s="89"/>
      <c r="C190" s="89"/>
      <c r="D190" s="89"/>
      <c r="E190" s="89"/>
      <c r="F190" s="110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  <c r="AA190" s="89"/>
    </row>
    <row r="191" spans="1:27" ht="13.8">
      <c r="A191" s="89"/>
      <c r="B191" s="89"/>
      <c r="C191" s="89"/>
      <c r="D191" s="89"/>
      <c r="E191" s="89"/>
      <c r="F191" s="110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</row>
    <row r="192" spans="1:27" ht="13.8">
      <c r="A192" s="89"/>
      <c r="B192" s="89"/>
      <c r="C192" s="89"/>
      <c r="D192" s="89"/>
      <c r="E192" s="89"/>
      <c r="F192" s="110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</row>
    <row r="193" spans="1:27" ht="13.8">
      <c r="A193" s="89"/>
      <c r="B193" s="89"/>
      <c r="C193" s="89"/>
      <c r="D193" s="89"/>
      <c r="E193" s="89"/>
      <c r="F193" s="110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</row>
    <row r="194" spans="1:27" ht="13.8">
      <c r="A194" s="89"/>
      <c r="B194" s="89"/>
      <c r="C194" s="89"/>
      <c r="D194" s="89"/>
      <c r="E194" s="89"/>
      <c r="F194" s="110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</row>
    <row r="195" spans="1:27" ht="13.8">
      <c r="A195" s="89"/>
      <c r="B195" s="89"/>
      <c r="C195" s="89"/>
      <c r="D195" s="89"/>
      <c r="E195" s="89"/>
      <c r="F195" s="110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</row>
    <row r="196" spans="1:27" ht="13.8">
      <c r="A196" s="89"/>
      <c r="B196" s="89"/>
      <c r="C196" s="89"/>
      <c r="D196" s="89"/>
      <c r="E196" s="89"/>
      <c r="F196" s="110"/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</row>
    <row r="197" spans="1:27" ht="13.8">
      <c r="A197" s="89"/>
      <c r="B197" s="89"/>
      <c r="C197" s="89"/>
      <c r="D197" s="89"/>
      <c r="E197" s="89"/>
      <c r="F197" s="110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</row>
    <row r="198" spans="1:27" ht="13.8">
      <c r="A198" s="89"/>
      <c r="B198" s="89"/>
      <c r="C198" s="89"/>
      <c r="D198" s="89"/>
      <c r="E198" s="89"/>
      <c r="F198" s="110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</row>
    <row r="199" spans="1:27" ht="13.8">
      <c r="A199" s="89"/>
      <c r="B199" s="89"/>
      <c r="C199" s="89"/>
      <c r="D199" s="89"/>
      <c r="E199" s="89"/>
      <c r="F199" s="110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</row>
    <row r="200" spans="1:27" ht="13.8">
      <c r="A200" s="89"/>
      <c r="B200" s="89"/>
      <c r="C200" s="89"/>
      <c r="D200" s="89"/>
      <c r="E200" s="89"/>
      <c r="F200" s="110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</row>
    <row r="201" spans="1:27" ht="13.8">
      <c r="A201" s="89"/>
      <c r="B201" s="89"/>
      <c r="C201" s="89"/>
      <c r="D201" s="89"/>
      <c r="E201" s="89"/>
      <c r="F201" s="110"/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</row>
    <row r="202" spans="1:27" ht="13.8">
      <c r="A202" s="89"/>
      <c r="B202" s="89"/>
      <c r="C202" s="89"/>
      <c r="D202" s="89"/>
      <c r="E202" s="89"/>
      <c r="F202" s="110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</row>
    <row r="203" spans="1:27" ht="13.8">
      <c r="A203" s="89"/>
      <c r="B203" s="89"/>
      <c r="C203" s="89"/>
      <c r="D203" s="89"/>
      <c r="E203" s="89"/>
      <c r="F203" s="110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</row>
    <row r="204" spans="1:27" ht="13.8">
      <c r="A204" s="89"/>
      <c r="B204" s="89"/>
      <c r="C204" s="89"/>
      <c r="D204" s="89"/>
      <c r="E204" s="89"/>
      <c r="F204" s="110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</row>
    <row r="205" spans="1:27" ht="13.8">
      <c r="A205" s="89"/>
      <c r="B205" s="89"/>
      <c r="C205" s="89"/>
      <c r="D205" s="89"/>
      <c r="E205" s="89"/>
      <c r="F205" s="110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</row>
    <row r="206" spans="1:27" ht="13.8">
      <c r="A206" s="89"/>
      <c r="B206" s="89"/>
      <c r="C206" s="89"/>
      <c r="D206" s="89"/>
      <c r="E206" s="89"/>
      <c r="F206" s="110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</row>
    <row r="207" spans="1:27" ht="13.8">
      <c r="A207" s="89"/>
      <c r="B207" s="89"/>
      <c r="C207" s="89"/>
      <c r="D207" s="89"/>
      <c r="E207" s="89"/>
      <c r="F207" s="110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</row>
    <row r="208" spans="1:27" ht="13.8">
      <c r="A208" s="89"/>
      <c r="B208" s="89"/>
      <c r="C208" s="89"/>
      <c r="D208" s="89"/>
      <c r="E208" s="89"/>
      <c r="F208" s="110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</row>
    <row r="209" spans="1:27" ht="13.8">
      <c r="A209" s="89"/>
      <c r="B209" s="89"/>
      <c r="C209" s="89"/>
      <c r="D209" s="89"/>
      <c r="E209" s="89"/>
      <c r="F209" s="110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</row>
    <row r="210" spans="1:27" ht="13.8">
      <c r="A210" s="89"/>
      <c r="B210" s="89"/>
      <c r="C210" s="89"/>
      <c r="D210" s="89"/>
      <c r="E210" s="89"/>
      <c r="F210" s="110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</row>
    <row r="211" spans="1:27" ht="13.8">
      <c r="A211" s="89"/>
      <c r="B211" s="89"/>
      <c r="C211" s="89"/>
      <c r="D211" s="89"/>
      <c r="E211" s="89"/>
      <c r="F211" s="110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</row>
    <row r="212" spans="1:27" ht="13.8">
      <c r="A212" s="89"/>
      <c r="B212" s="89"/>
      <c r="C212" s="89"/>
      <c r="D212" s="89"/>
      <c r="E212" s="89"/>
      <c r="F212" s="110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</row>
    <row r="213" spans="1:27" ht="13.8">
      <c r="A213" s="89"/>
      <c r="B213" s="89"/>
      <c r="C213" s="89"/>
      <c r="D213" s="89"/>
      <c r="E213" s="89"/>
      <c r="F213" s="110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</row>
    <row r="214" spans="1:27" ht="13.8">
      <c r="A214" s="89"/>
      <c r="B214" s="89"/>
      <c r="C214" s="89"/>
      <c r="D214" s="89"/>
      <c r="E214" s="89"/>
      <c r="F214" s="110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</row>
    <row r="215" spans="1:27" ht="13.8">
      <c r="A215" s="89"/>
      <c r="B215" s="89"/>
      <c r="C215" s="89"/>
      <c r="D215" s="89"/>
      <c r="E215" s="89"/>
      <c r="F215" s="110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</row>
    <row r="216" spans="1:27" ht="13.8">
      <c r="A216" s="89"/>
      <c r="B216" s="89"/>
      <c r="C216" s="89"/>
      <c r="D216" s="89"/>
      <c r="E216" s="89"/>
      <c r="F216" s="110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</row>
    <row r="217" spans="1:27" ht="13.8">
      <c r="A217" s="89"/>
      <c r="B217" s="89"/>
      <c r="C217" s="89"/>
      <c r="D217" s="89"/>
      <c r="E217" s="89"/>
      <c r="F217" s="110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</row>
    <row r="218" spans="1:27" ht="13.8">
      <c r="A218" s="89"/>
      <c r="B218" s="89"/>
      <c r="C218" s="89"/>
      <c r="D218" s="89"/>
      <c r="E218" s="89"/>
      <c r="F218" s="110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</row>
    <row r="219" spans="1:27" ht="13.8">
      <c r="A219" s="89"/>
      <c r="B219" s="89"/>
      <c r="C219" s="89"/>
      <c r="D219" s="89"/>
      <c r="E219" s="89"/>
      <c r="F219" s="110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</row>
    <row r="220" spans="1:27" ht="13.8">
      <c r="A220" s="89"/>
      <c r="B220" s="89"/>
      <c r="C220" s="89"/>
      <c r="D220" s="89"/>
      <c r="E220" s="89"/>
      <c r="F220" s="110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</row>
    <row r="221" spans="1:27" ht="13.8">
      <c r="A221" s="89"/>
      <c r="B221" s="89"/>
      <c r="C221" s="89"/>
      <c r="D221" s="89"/>
      <c r="E221" s="89"/>
      <c r="F221" s="110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</row>
    <row r="222" spans="1:27" ht="13.8">
      <c r="A222" s="89"/>
      <c r="B222" s="89"/>
      <c r="C222" s="89"/>
      <c r="D222" s="89"/>
      <c r="E222" s="89"/>
      <c r="F222" s="110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</row>
    <row r="223" spans="1:27" ht="13.8">
      <c r="A223" s="89"/>
      <c r="B223" s="89"/>
      <c r="C223" s="89"/>
      <c r="D223" s="89"/>
      <c r="E223" s="89"/>
      <c r="F223" s="110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</row>
    <row r="224" spans="1:27" ht="13.8">
      <c r="A224" s="89"/>
      <c r="B224" s="89"/>
      <c r="C224" s="89"/>
      <c r="D224" s="89"/>
      <c r="E224" s="89"/>
      <c r="F224" s="110"/>
      <c r="G224" s="89"/>
      <c r="H224" s="89"/>
      <c r="I224" s="89"/>
      <c r="J224" s="89"/>
      <c r="K224" s="89"/>
      <c r="L224" s="89"/>
      <c r="M224" s="89"/>
      <c r="N224" s="89"/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  <c r="AA224" s="89"/>
    </row>
    <row r="225" spans="1:27" ht="13.8">
      <c r="A225" s="89"/>
      <c r="B225" s="89"/>
      <c r="C225" s="89"/>
      <c r="D225" s="89"/>
      <c r="E225" s="89"/>
      <c r="F225" s="110"/>
      <c r="G225" s="89"/>
      <c r="H225" s="89"/>
      <c r="I225" s="89"/>
      <c r="J225" s="89"/>
      <c r="K225" s="89"/>
      <c r="L225" s="89"/>
      <c r="M225" s="89"/>
      <c r="N225" s="89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/>
      <c r="Z225" s="89"/>
      <c r="AA225" s="89"/>
    </row>
    <row r="226" spans="1:27" ht="13.8">
      <c r="A226" s="89"/>
      <c r="B226" s="89"/>
      <c r="C226" s="89"/>
      <c r="D226" s="89"/>
      <c r="E226" s="89"/>
      <c r="F226" s="110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</row>
    <row r="227" spans="1:27" ht="13.8">
      <c r="A227" s="89"/>
      <c r="B227" s="89"/>
      <c r="C227" s="89"/>
      <c r="D227" s="89"/>
      <c r="E227" s="89"/>
      <c r="F227" s="110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</row>
    <row r="228" spans="1:27" ht="13.8">
      <c r="A228" s="89"/>
      <c r="B228" s="89"/>
      <c r="C228" s="89"/>
      <c r="D228" s="89"/>
      <c r="E228" s="89"/>
      <c r="F228" s="110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</row>
    <row r="229" spans="1:27" ht="13.8">
      <c r="A229" s="89"/>
      <c r="B229" s="89"/>
      <c r="C229" s="89"/>
      <c r="D229" s="89"/>
      <c r="E229" s="89"/>
      <c r="F229" s="110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</row>
    <row r="230" spans="1:27" ht="13.8">
      <c r="A230" s="89"/>
      <c r="B230" s="89"/>
      <c r="C230" s="89"/>
      <c r="D230" s="89"/>
      <c r="E230" s="89"/>
      <c r="F230" s="110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</row>
    <row r="231" spans="1:27" ht="13.8">
      <c r="A231" s="89"/>
      <c r="B231" s="89"/>
      <c r="C231" s="89"/>
      <c r="D231" s="89"/>
      <c r="E231" s="89"/>
      <c r="F231" s="110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</row>
    <row r="232" spans="1:27" ht="13.8">
      <c r="A232" s="89"/>
      <c r="B232" s="89"/>
      <c r="C232" s="89"/>
      <c r="D232" s="89"/>
      <c r="E232" s="89"/>
      <c r="F232" s="110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</row>
    <row r="233" spans="1:27" ht="13.8">
      <c r="A233" s="89"/>
      <c r="B233" s="89"/>
      <c r="C233" s="89"/>
      <c r="D233" s="89"/>
      <c r="E233" s="89"/>
      <c r="F233" s="110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</row>
    <row r="234" spans="1:27" ht="13.8">
      <c r="A234" s="89"/>
      <c r="B234" s="89"/>
      <c r="C234" s="89"/>
      <c r="D234" s="89"/>
      <c r="E234" s="89"/>
      <c r="F234" s="110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</row>
    <row r="235" spans="1:27" ht="13.8">
      <c r="A235" s="89"/>
      <c r="B235" s="89"/>
      <c r="C235" s="89"/>
      <c r="D235" s="89"/>
      <c r="E235" s="89"/>
      <c r="F235" s="110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</row>
    <row r="236" spans="1:27" ht="13.8">
      <c r="A236" s="89"/>
      <c r="B236" s="89"/>
      <c r="C236" s="89"/>
      <c r="D236" s="89"/>
      <c r="E236" s="89"/>
      <c r="F236" s="110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</row>
    <row r="237" spans="1:27" ht="13.8">
      <c r="A237" s="89"/>
      <c r="B237" s="89"/>
      <c r="C237" s="89"/>
      <c r="D237" s="89"/>
      <c r="E237" s="89"/>
      <c r="F237" s="110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</row>
    <row r="238" spans="1:27" ht="13.8">
      <c r="A238" s="89"/>
      <c r="B238" s="89"/>
      <c r="C238" s="89"/>
      <c r="D238" s="89"/>
      <c r="E238" s="89"/>
      <c r="F238" s="110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</row>
    <row r="239" spans="1:27" ht="13.8">
      <c r="A239" s="89"/>
      <c r="B239" s="89"/>
      <c r="C239" s="89"/>
      <c r="D239" s="89"/>
      <c r="E239" s="89"/>
      <c r="F239" s="110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</row>
    <row r="240" spans="1:27" ht="13.8">
      <c r="A240" s="89"/>
      <c r="B240" s="89"/>
      <c r="C240" s="89"/>
      <c r="D240" s="89"/>
      <c r="E240" s="89"/>
      <c r="F240" s="110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</row>
    <row r="241" spans="1:27" ht="13.8">
      <c r="A241" s="89"/>
      <c r="B241" s="89"/>
      <c r="C241" s="89"/>
      <c r="D241" s="89"/>
      <c r="E241" s="89"/>
      <c r="F241" s="110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</row>
    <row r="242" spans="1:27" ht="13.8">
      <c r="A242" s="89"/>
      <c r="B242" s="89"/>
      <c r="C242" s="89"/>
      <c r="D242" s="89"/>
      <c r="E242" s="89"/>
      <c r="F242" s="110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</row>
    <row r="243" spans="1:27" ht="13.8">
      <c r="A243" s="89"/>
      <c r="B243" s="89"/>
      <c r="C243" s="89"/>
      <c r="D243" s="89"/>
      <c r="E243" s="89"/>
      <c r="F243" s="110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</row>
    <row r="244" spans="1:27" ht="13.8">
      <c r="A244" s="89"/>
      <c r="B244" s="89"/>
      <c r="C244" s="89"/>
      <c r="D244" s="89"/>
      <c r="E244" s="89"/>
      <c r="F244" s="110"/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</row>
    <row r="245" spans="1:27" ht="13.8">
      <c r="A245" s="89"/>
      <c r="B245" s="89"/>
      <c r="C245" s="89"/>
      <c r="D245" s="89"/>
      <c r="E245" s="89"/>
      <c r="F245" s="110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</row>
    <row r="246" spans="1:27" ht="13.8">
      <c r="A246" s="89"/>
      <c r="B246" s="89"/>
      <c r="C246" s="89"/>
      <c r="D246" s="89"/>
      <c r="E246" s="89"/>
      <c r="F246" s="110"/>
      <c r="G246" s="89"/>
      <c r="H246" s="89"/>
      <c r="I246" s="89"/>
      <c r="J246" s="89"/>
      <c r="K246" s="89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  <c r="AA246" s="89"/>
    </row>
    <row r="247" spans="1:27" ht="13.8">
      <c r="A247" s="89"/>
      <c r="B247" s="89"/>
      <c r="C247" s="89"/>
      <c r="D247" s="89"/>
      <c r="E247" s="89"/>
      <c r="F247" s="110"/>
      <c r="G247" s="89"/>
      <c r="H247" s="89"/>
      <c r="I247" s="89"/>
      <c r="J247" s="89"/>
      <c r="K247" s="89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/>
      <c r="Z247" s="89"/>
      <c r="AA247" s="89"/>
    </row>
    <row r="248" spans="1:27" ht="13.8">
      <c r="A248" s="89"/>
      <c r="B248" s="89"/>
      <c r="C248" s="89"/>
      <c r="D248" s="89"/>
      <c r="E248" s="89"/>
      <c r="F248" s="110"/>
      <c r="G248" s="89"/>
      <c r="H248" s="89"/>
      <c r="I248" s="89"/>
      <c r="J248" s="89"/>
      <c r="K248" s="89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  <c r="AA248" s="89"/>
    </row>
    <row r="249" spans="1:27" ht="13.8">
      <c r="A249" s="89"/>
      <c r="B249" s="89"/>
      <c r="C249" s="89"/>
      <c r="D249" s="89"/>
      <c r="E249" s="89"/>
      <c r="F249" s="110"/>
      <c r="G249" s="89"/>
      <c r="H249" s="89"/>
      <c r="I249" s="89"/>
      <c r="J249" s="89"/>
      <c r="K249" s="89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/>
      <c r="Z249" s="89"/>
      <c r="AA249" s="89"/>
    </row>
    <row r="250" spans="1:27" ht="13.8">
      <c r="A250" s="89"/>
      <c r="B250" s="89"/>
      <c r="C250" s="89"/>
      <c r="D250" s="89"/>
      <c r="E250" s="89"/>
      <c r="F250" s="110"/>
      <c r="G250" s="89"/>
      <c r="H250" s="89"/>
      <c r="I250" s="89"/>
      <c r="J250" s="89"/>
      <c r="K250" s="89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/>
      <c r="Z250" s="89"/>
      <c r="AA250" s="89"/>
    </row>
    <row r="251" spans="1:27" ht="13.8">
      <c r="A251" s="89"/>
      <c r="B251" s="89"/>
      <c r="C251" s="89"/>
      <c r="D251" s="89"/>
      <c r="E251" s="89"/>
      <c r="F251" s="110"/>
      <c r="G251" s="89"/>
      <c r="H251" s="89"/>
      <c r="I251" s="89"/>
      <c r="J251" s="89"/>
      <c r="K251" s="89"/>
      <c r="L251" s="89"/>
      <c r="M251" s="89"/>
      <c r="N251" s="89"/>
      <c r="O251" s="89"/>
      <c r="P251" s="89"/>
      <c r="Q251" s="89"/>
      <c r="R251" s="89"/>
      <c r="S251" s="89"/>
      <c r="T251" s="89"/>
      <c r="U251" s="89"/>
      <c r="V251" s="89"/>
      <c r="W251" s="89"/>
      <c r="X251" s="89"/>
      <c r="Y251" s="89"/>
      <c r="Z251" s="89"/>
      <c r="AA251" s="89"/>
    </row>
    <row r="252" spans="1:27" ht="13.8">
      <c r="A252" s="89"/>
      <c r="B252" s="89"/>
      <c r="C252" s="89"/>
      <c r="D252" s="89"/>
      <c r="E252" s="89"/>
      <c r="F252" s="110"/>
      <c r="G252" s="89"/>
      <c r="H252" s="89"/>
      <c r="I252" s="89"/>
      <c r="J252" s="89"/>
      <c r="K252" s="89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/>
      <c r="Z252" s="89"/>
      <c r="AA252" s="89"/>
    </row>
    <row r="253" spans="1:27" ht="13.8">
      <c r="A253" s="89"/>
      <c r="B253" s="89"/>
      <c r="C253" s="89"/>
      <c r="D253" s="89"/>
      <c r="E253" s="89"/>
      <c r="F253" s="110"/>
      <c r="G253" s="89"/>
      <c r="H253" s="89"/>
      <c r="I253" s="89"/>
      <c r="J253" s="89"/>
      <c r="K253" s="89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  <c r="AA253" s="89"/>
    </row>
    <row r="254" spans="1:27" ht="13.8">
      <c r="A254" s="89"/>
      <c r="B254" s="89"/>
      <c r="C254" s="89"/>
      <c r="D254" s="89"/>
      <c r="E254" s="89"/>
      <c r="F254" s="110"/>
      <c r="G254" s="89"/>
      <c r="H254" s="89"/>
      <c r="I254" s="89"/>
      <c r="J254" s="89"/>
      <c r="K254" s="89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  <c r="AA254" s="89"/>
    </row>
    <row r="255" spans="1:27" ht="13.8">
      <c r="A255" s="89"/>
      <c r="B255" s="89"/>
      <c r="C255" s="89"/>
      <c r="D255" s="89"/>
      <c r="E255" s="89"/>
      <c r="F255" s="110"/>
      <c r="G255" s="89"/>
      <c r="H255" s="89"/>
      <c r="I255" s="89"/>
      <c r="J255" s="89"/>
      <c r="K255" s="89"/>
      <c r="L255" s="89"/>
      <c r="M255" s="89"/>
      <c r="N255" s="89"/>
      <c r="O255" s="89"/>
      <c r="P255" s="89"/>
      <c r="Q255" s="89"/>
      <c r="R255" s="89"/>
      <c r="S255" s="89"/>
      <c r="T255" s="89"/>
      <c r="U255" s="89"/>
      <c r="V255" s="89"/>
      <c r="W255" s="89"/>
      <c r="X255" s="89"/>
      <c r="Y255" s="89"/>
      <c r="Z255" s="89"/>
      <c r="AA255" s="89"/>
    </row>
    <row r="256" spans="1:27" ht="13.8">
      <c r="A256" s="89"/>
      <c r="B256" s="89"/>
      <c r="C256" s="89"/>
      <c r="D256" s="89"/>
      <c r="E256" s="89"/>
      <c r="F256" s="110"/>
      <c r="G256" s="89"/>
      <c r="H256" s="89"/>
      <c r="I256" s="89"/>
      <c r="J256" s="89"/>
      <c r="K256" s="89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/>
      <c r="Z256" s="89"/>
      <c r="AA256" s="89"/>
    </row>
    <row r="257" spans="1:27" ht="13.8">
      <c r="A257" s="89"/>
      <c r="B257" s="89"/>
      <c r="C257" s="89"/>
      <c r="D257" s="89"/>
      <c r="E257" s="89"/>
      <c r="F257" s="110"/>
      <c r="G257" s="89"/>
      <c r="H257" s="89"/>
      <c r="I257" s="89"/>
      <c r="J257" s="89"/>
      <c r="K257" s="89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</row>
    <row r="258" spans="1:27" ht="13.8">
      <c r="A258" s="89"/>
      <c r="B258" s="89"/>
      <c r="C258" s="89"/>
      <c r="D258" s="89"/>
      <c r="E258" s="89"/>
      <c r="F258" s="110"/>
      <c r="G258" s="89"/>
      <c r="H258" s="89"/>
      <c r="I258" s="89"/>
      <c r="J258" s="89"/>
      <c r="K258" s="89"/>
      <c r="L258" s="89"/>
      <c r="M258" s="89"/>
      <c r="N258" s="89"/>
      <c r="O258" s="89"/>
      <c r="P258" s="89"/>
      <c r="Q258" s="89"/>
      <c r="R258" s="89"/>
      <c r="S258" s="89"/>
      <c r="T258" s="89"/>
      <c r="U258" s="89"/>
      <c r="V258" s="89"/>
      <c r="W258" s="89"/>
      <c r="X258" s="89"/>
      <c r="Y258" s="89"/>
      <c r="Z258" s="89"/>
      <c r="AA258" s="89"/>
    </row>
    <row r="259" spans="1:27" ht="13.8">
      <c r="A259" s="89"/>
      <c r="B259" s="89"/>
      <c r="C259" s="89"/>
      <c r="D259" s="89"/>
      <c r="E259" s="89"/>
      <c r="F259" s="110"/>
      <c r="G259" s="89"/>
      <c r="H259" s="89"/>
      <c r="I259" s="89"/>
      <c r="J259" s="89"/>
      <c r="K259" s="89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</row>
    <row r="260" spans="1:27" ht="13.8">
      <c r="A260" s="89"/>
      <c r="B260" s="89"/>
      <c r="C260" s="89"/>
      <c r="D260" s="89"/>
      <c r="E260" s="89"/>
      <c r="F260" s="110"/>
      <c r="G260" s="89"/>
      <c r="H260" s="89"/>
      <c r="I260" s="89"/>
      <c r="J260" s="89"/>
      <c r="K260" s="89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</row>
    <row r="261" spans="1:27" ht="13.8">
      <c r="A261" s="89"/>
      <c r="B261" s="89"/>
      <c r="C261" s="89"/>
      <c r="D261" s="89"/>
      <c r="E261" s="89"/>
      <c r="F261" s="110"/>
      <c r="G261" s="89"/>
      <c r="H261" s="89"/>
      <c r="I261" s="89"/>
      <c r="J261" s="89"/>
      <c r="K261" s="89"/>
      <c r="L261" s="89"/>
      <c r="M261" s="89"/>
      <c r="N261" s="89"/>
      <c r="O261" s="89"/>
      <c r="P261" s="89"/>
      <c r="Q261" s="89"/>
      <c r="R261" s="89"/>
      <c r="S261" s="89"/>
      <c r="T261" s="89"/>
      <c r="U261" s="89"/>
      <c r="V261" s="89"/>
      <c r="W261" s="89"/>
      <c r="X261" s="89"/>
      <c r="Y261" s="89"/>
      <c r="Z261" s="89"/>
      <c r="AA261" s="89"/>
    </row>
    <row r="262" spans="1:27" ht="13.8">
      <c r="A262" s="89"/>
      <c r="B262" s="89"/>
      <c r="C262" s="89"/>
      <c r="D262" s="89"/>
      <c r="E262" s="89"/>
      <c r="F262" s="110"/>
      <c r="G262" s="89"/>
      <c r="H262" s="89"/>
      <c r="I262" s="89"/>
      <c r="J262" s="89"/>
      <c r="K262" s="89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/>
      <c r="W262" s="89"/>
      <c r="X262" s="89"/>
      <c r="Y262" s="89"/>
      <c r="Z262" s="89"/>
      <c r="AA262" s="89"/>
    </row>
    <row r="263" spans="1:27" ht="13.8">
      <c r="A263" s="89"/>
      <c r="B263" s="89"/>
      <c r="C263" s="89"/>
      <c r="D263" s="89"/>
      <c r="E263" s="89"/>
      <c r="F263" s="110"/>
      <c r="G263" s="89"/>
      <c r="H263" s="89"/>
      <c r="I263" s="89"/>
      <c r="J263" s="89"/>
      <c r="K263" s="89"/>
      <c r="L263" s="89"/>
      <c r="M263" s="89"/>
      <c r="N263" s="89"/>
      <c r="O263" s="89"/>
      <c r="P263" s="89"/>
      <c r="Q263" s="89"/>
      <c r="R263" s="89"/>
      <c r="S263" s="89"/>
      <c r="T263" s="89"/>
      <c r="U263" s="89"/>
      <c r="V263" s="89"/>
      <c r="W263" s="89"/>
      <c r="X263" s="89"/>
      <c r="Y263" s="89"/>
      <c r="Z263" s="89"/>
      <c r="AA263" s="89"/>
    </row>
    <row r="264" spans="1:27" ht="13.8">
      <c r="A264" s="89"/>
      <c r="B264" s="89"/>
      <c r="C264" s="89"/>
      <c r="D264" s="89"/>
      <c r="E264" s="89"/>
      <c r="F264" s="110"/>
      <c r="G264" s="89"/>
      <c r="H264" s="89"/>
      <c r="I264" s="89"/>
      <c r="J264" s="89"/>
      <c r="K264" s="89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/>
      <c r="W264" s="89"/>
      <c r="X264" s="89"/>
      <c r="Y264" s="89"/>
      <c r="Z264" s="89"/>
      <c r="AA264" s="89"/>
    </row>
    <row r="265" spans="1:27" ht="13.8">
      <c r="A265" s="89"/>
      <c r="B265" s="89"/>
      <c r="C265" s="89"/>
      <c r="D265" s="89"/>
      <c r="E265" s="89"/>
      <c r="F265" s="110"/>
      <c r="G265" s="89"/>
      <c r="H265" s="89"/>
      <c r="I265" s="89"/>
      <c r="J265" s="89"/>
      <c r="K265" s="89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/>
      <c r="Z265" s="89"/>
      <c r="AA265" s="89"/>
    </row>
    <row r="266" spans="1:27" ht="13.8">
      <c r="A266" s="89"/>
      <c r="B266" s="89"/>
      <c r="C266" s="89"/>
      <c r="D266" s="89"/>
      <c r="E266" s="89"/>
      <c r="F266" s="110"/>
      <c r="G266" s="89"/>
      <c r="H266" s="89"/>
      <c r="I266" s="89"/>
      <c r="J266" s="89"/>
      <c r="K266" s="89"/>
      <c r="L266" s="89"/>
      <c r="M266" s="89"/>
      <c r="N266" s="89"/>
      <c r="O266" s="89"/>
      <c r="P266" s="89"/>
      <c r="Q266" s="89"/>
      <c r="R266" s="89"/>
      <c r="S266" s="89"/>
      <c r="T266" s="89"/>
      <c r="U266" s="89"/>
      <c r="V266" s="89"/>
      <c r="W266" s="89"/>
      <c r="X266" s="89"/>
      <c r="Y266" s="89"/>
      <c r="Z266" s="89"/>
      <c r="AA266" s="89"/>
    </row>
    <row r="267" spans="1:27" ht="13.8">
      <c r="A267" s="89"/>
      <c r="B267" s="89"/>
      <c r="C267" s="89"/>
      <c r="D267" s="89"/>
      <c r="E267" s="89"/>
      <c r="F267" s="110"/>
      <c r="G267" s="89"/>
      <c r="H267" s="89"/>
      <c r="I267" s="89"/>
      <c r="J267" s="89"/>
      <c r="K267" s="89"/>
      <c r="L267" s="89"/>
      <c r="M267" s="89"/>
      <c r="N267" s="89"/>
      <c r="O267" s="89"/>
      <c r="P267" s="89"/>
      <c r="Q267" s="89"/>
      <c r="R267" s="89"/>
      <c r="S267" s="89"/>
      <c r="T267" s="89"/>
      <c r="U267" s="89"/>
      <c r="V267" s="89"/>
      <c r="W267" s="89"/>
      <c r="X267" s="89"/>
      <c r="Y267" s="89"/>
      <c r="Z267" s="89"/>
      <c r="AA267" s="89"/>
    </row>
    <row r="268" spans="1:27" ht="13.8">
      <c r="A268" s="89"/>
      <c r="B268" s="89"/>
      <c r="C268" s="89"/>
      <c r="D268" s="89"/>
      <c r="E268" s="89"/>
      <c r="F268" s="110"/>
      <c r="G268" s="89"/>
      <c r="H268" s="89"/>
      <c r="I268" s="89"/>
      <c r="J268" s="89"/>
      <c r="K268" s="89"/>
      <c r="L268" s="89"/>
      <c r="M268" s="89"/>
      <c r="N268" s="89"/>
      <c r="O268" s="89"/>
      <c r="P268" s="89"/>
      <c r="Q268" s="89"/>
      <c r="R268" s="89"/>
      <c r="S268" s="89"/>
      <c r="T268" s="89"/>
      <c r="U268" s="89"/>
      <c r="V268" s="89"/>
      <c r="W268" s="89"/>
      <c r="X268" s="89"/>
      <c r="Y268" s="89"/>
      <c r="Z268" s="89"/>
      <c r="AA268" s="89"/>
    </row>
    <row r="269" spans="1:27" ht="13.8">
      <c r="A269" s="89"/>
      <c r="B269" s="89"/>
      <c r="C269" s="89"/>
      <c r="D269" s="89"/>
      <c r="E269" s="89"/>
      <c r="F269" s="110"/>
      <c r="G269" s="89"/>
      <c r="H269" s="89"/>
      <c r="I269" s="89"/>
      <c r="J269" s="89"/>
      <c r="K269" s="89"/>
      <c r="L269" s="89"/>
      <c r="M269" s="89"/>
      <c r="N269" s="89"/>
      <c r="O269" s="89"/>
      <c r="P269" s="89"/>
      <c r="Q269" s="89"/>
      <c r="R269" s="89"/>
      <c r="S269" s="89"/>
      <c r="T269" s="89"/>
      <c r="U269" s="89"/>
      <c r="V269" s="89"/>
      <c r="W269" s="89"/>
      <c r="X269" s="89"/>
      <c r="Y269" s="89"/>
      <c r="Z269" s="89"/>
      <c r="AA269" s="89"/>
    </row>
    <row r="270" spans="1:27" ht="13.8">
      <c r="A270" s="89"/>
      <c r="B270" s="89"/>
      <c r="C270" s="89"/>
      <c r="D270" s="89"/>
      <c r="E270" s="89"/>
      <c r="F270" s="110"/>
      <c r="G270" s="89"/>
      <c r="H270" s="89"/>
      <c r="I270" s="89"/>
      <c r="J270" s="89"/>
      <c r="K270" s="89"/>
      <c r="L270" s="89"/>
      <c r="M270" s="89"/>
      <c r="N270" s="89"/>
      <c r="O270" s="89"/>
      <c r="P270" s="89"/>
      <c r="Q270" s="89"/>
      <c r="R270" s="89"/>
      <c r="S270" s="89"/>
      <c r="T270" s="89"/>
      <c r="U270" s="89"/>
      <c r="V270" s="89"/>
      <c r="W270" s="89"/>
      <c r="X270" s="89"/>
      <c r="Y270" s="89"/>
      <c r="Z270" s="89"/>
      <c r="AA270" s="89"/>
    </row>
    <row r="271" spans="1:27" ht="13.8">
      <c r="A271" s="89"/>
      <c r="B271" s="89"/>
      <c r="C271" s="89"/>
      <c r="D271" s="89"/>
      <c r="E271" s="89"/>
      <c r="F271" s="110"/>
      <c r="G271" s="89"/>
      <c r="H271" s="89"/>
      <c r="I271" s="89"/>
      <c r="J271" s="89"/>
      <c r="K271" s="89"/>
      <c r="L271" s="89"/>
      <c r="M271" s="89"/>
      <c r="N271" s="89"/>
      <c r="O271" s="89"/>
      <c r="P271" s="89"/>
      <c r="Q271" s="89"/>
      <c r="R271" s="89"/>
      <c r="S271" s="89"/>
      <c r="T271" s="89"/>
      <c r="U271" s="89"/>
      <c r="V271" s="89"/>
      <c r="W271" s="89"/>
      <c r="X271" s="89"/>
      <c r="Y271" s="89"/>
      <c r="Z271" s="89"/>
      <c r="AA271" s="89"/>
    </row>
    <row r="272" spans="1:27" ht="13.8">
      <c r="A272" s="89"/>
      <c r="B272" s="89"/>
      <c r="C272" s="89"/>
      <c r="D272" s="89"/>
      <c r="E272" s="89"/>
      <c r="F272" s="110"/>
      <c r="G272" s="89"/>
      <c r="H272" s="89"/>
      <c r="I272" s="89"/>
      <c r="J272" s="89"/>
      <c r="K272" s="89"/>
      <c r="L272" s="89"/>
      <c r="M272" s="89"/>
      <c r="N272" s="89"/>
      <c r="O272" s="89"/>
      <c r="P272" s="89"/>
      <c r="Q272" s="89"/>
      <c r="R272" s="89"/>
      <c r="S272" s="89"/>
      <c r="T272" s="89"/>
      <c r="U272" s="89"/>
      <c r="V272" s="89"/>
      <c r="W272" s="89"/>
      <c r="X272" s="89"/>
      <c r="Y272" s="89"/>
      <c r="Z272" s="89"/>
      <c r="AA272" s="89"/>
    </row>
    <row r="273" spans="1:27" ht="13.8">
      <c r="A273" s="89"/>
      <c r="B273" s="89"/>
      <c r="C273" s="89"/>
      <c r="D273" s="89"/>
      <c r="E273" s="89"/>
      <c r="F273" s="110"/>
      <c r="G273" s="89"/>
      <c r="H273" s="89"/>
      <c r="I273" s="89"/>
      <c r="J273" s="89"/>
      <c r="K273" s="89"/>
      <c r="L273" s="89"/>
      <c r="M273" s="89"/>
      <c r="N273" s="89"/>
      <c r="O273" s="89"/>
      <c r="P273" s="89"/>
      <c r="Q273" s="89"/>
      <c r="R273" s="89"/>
      <c r="S273" s="89"/>
      <c r="T273" s="89"/>
      <c r="U273" s="89"/>
      <c r="V273" s="89"/>
      <c r="W273" s="89"/>
      <c r="X273" s="89"/>
      <c r="Y273" s="89"/>
      <c r="Z273" s="89"/>
      <c r="AA273" s="89"/>
    </row>
    <row r="274" spans="1:27" ht="13.8">
      <c r="A274" s="89"/>
      <c r="B274" s="89"/>
      <c r="C274" s="89"/>
      <c r="D274" s="89"/>
      <c r="E274" s="89"/>
      <c r="F274" s="110"/>
      <c r="G274" s="89"/>
      <c r="H274" s="89"/>
      <c r="I274" s="89"/>
      <c r="J274" s="89"/>
      <c r="K274" s="89"/>
      <c r="L274" s="89"/>
      <c r="M274" s="89"/>
      <c r="N274" s="89"/>
      <c r="O274" s="89"/>
      <c r="P274" s="89"/>
      <c r="Q274" s="89"/>
      <c r="R274" s="89"/>
      <c r="S274" s="89"/>
      <c r="T274" s="89"/>
      <c r="U274" s="89"/>
      <c r="V274" s="89"/>
      <c r="W274" s="89"/>
      <c r="X274" s="89"/>
      <c r="Y274" s="89"/>
      <c r="Z274" s="89"/>
      <c r="AA274" s="89"/>
    </row>
    <row r="275" spans="1:27" ht="13.8">
      <c r="A275" s="89"/>
      <c r="B275" s="89"/>
      <c r="C275" s="89"/>
      <c r="D275" s="89"/>
      <c r="E275" s="89"/>
      <c r="F275" s="110"/>
      <c r="G275" s="89"/>
      <c r="H275" s="89"/>
      <c r="I275" s="89"/>
      <c r="J275" s="89"/>
      <c r="K275" s="89"/>
      <c r="L275" s="89"/>
      <c r="M275" s="89"/>
      <c r="N275" s="89"/>
      <c r="O275" s="89"/>
      <c r="P275" s="89"/>
      <c r="Q275" s="89"/>
      <c r="R275" s="89"/>
      <c r="S275" s="89"/>
      <c r="T275" s="89"/>
      <c r="U275" s="89"/>
      <c r="V275" s="89"/>
      <c r="W275" s="89"/>
      <c r="X275" s="89"/>
      <c r="Y275" s="89"/>
      <c r="Z275" s="89"/>
      <c r="AA275" s="89"/>
    </row>
    <row r="276" spans="1:27" ht="13.8">
      <c r="A276" s="89"/>
      <c r="B276" s="89"/>
      <c r="C276" s="89"/>
      <c r="D276" s="89"/>
      <c r="E276" s="89"/>
      <c r="F276" s="110"/>
      <c r="G276" s="89"/>
      <c r="H276" s="89"/>
      <c r="I276" s="89"/>
      <c r="J276" s="89"/>
      <c r="K276" s="89"/>
      <c r="L276" s="89"/>
      <c r="M276" s="89"/>
      <c r="N276" s="89"/>
      <c r="O276" s="89"/>
      <c r="P276" s="89"/>
      <c r="Q276" s="89"/>
      <c r="R276" s="89"/>
      <c r="S276" s="89"/>
      <c r="T276" s="89"/>
      <c r="U276" s="89"/>
      <c r="V276" s="89"/>
      <c r="W276" s="89"/>
      <c r="X276" s="89"/>
      <c r="Y276" s="89"/>
      <c r="Z276" s="89"/>
      <c r="AA276" s="89"/>
    </row>
    <row r="277" spans="1:27" ht="13.8">
      <c r="A277" s="89"/>
      <c r="B277" s="89"/>
      <c r="C277" s="89"/>
      <c r="D277" s="89"/>
      <c r="E277" s="89"/>
      <c r="F277" s="110"/>
      <c r="G277" s="89"/>
      <c r="H277" s="89"/>
      <c r="I277" s="89"/>
      <c r="J277" s="89"/>
      <c r="K277" s="89"/>
      <c r="L277" s="89"/>
      <c r="M277" s="89"/>
      <c r="N277" s="89"/>
      <c r="O277" s="89"/>
      <c r="P277" s="89"/>
      <c r="Q277" s="89"/>
      <c r="R277" s="89"/>
      <c r="S277" s="89"/>
      <c r="T277" s="89"/>
      <c r="U277" s="89"/>
      <c r="V277" s="89"/>
      <c r="W277" s="89"/>
      <c r="X277" s="89"/>
      <c r="Y277" s="89"/>
      <c r="Z277" s="89"/>
      <c r="AA277" s="89"/>
    </row>
    <row r="278" spans="1:27" ht="13.8">
      <c r="A278" s="89"/>
      <c r="B278" s="89"/>
      <c r="C278" s="89"/>
      <c r="D278" s="89"/>
      <c r="E278" s="89"/>
      <c r="F278" s="110"/>
      <c r="G278" s="89"/>
      <c r="H278" s="89"/>
      <c r="I278" s="89"/>
      <c r="J278" s="89"/>
      <c r="K278" s="89"/>
      <c r="L278" s="89"/>
      <c r="M278" s="89"/>
      <c r="N278" s="89"/>
      <c r="O278" s="89"/>
      <c r="P278" s="89"/>
      <c r="Q278" s="89"/>
      <c r="R278" s="89"/>
      <c r="S278" s="89"/>
      <c r="T278" s="89"/>
      <c r="U278" s="89"/>
      <c r="V278" s="89"/>
      <c r="W278" s="89"/>
      <c r="X278" s="89"/>
      <c r="Y278" s="89"/>
      <c r="Z278" s="89"/>
      <c r="AA278" s="89"/>
    </row>
    <row r="279" spans="1:27" ht="13.8">
      <c r="A279" s="89"/>
      <c r="B279" s="89"/>
      <c r="C279" s="89"/>
      <c r="D279" s="89"/>
      <c r="E279" s="89"/>
      <c r="F279" s="110"/>
      <c r="G279" s="89"/>
      <c r="H279" s="89"/>
      <c r="I279" s="89"/>
      <c r="J279" s="89"/>
      <c r="K279" s="89"/>
      <c r="L279" s="89"/>
      <c r="M279" s="89"/>
      <c r="N279" s="89"/>
      <c r="O279" s="89"/>
      <c r="P279" s="89"/>
      <c r="Q279" s="89"/>
      <c r="R279" s="89"/>
      <c r="S279" s="89"/>
      <c r="T279" s="89"/>
      <c r="U279" s="89"/>
      <c r="V279" s="89"/>
      <c r="W279" s="89"/>
      <c r="X279" s="89"/>
      <c r="Y279" s="89"/>
      <c r="Z279" s="89"/>
      <c r="AA279" s="89"/>
    </row>
    <row r="280" spans="1:27" ht="13.8">
      <c r="A280" s="89"/>
      <c r="B280" s="89"/>
      <c r="C280" s="89"/>
      <c r="D280" s="89"/>
      <c r="E280" s="89"/>
      <c r="F280" s="110"/>
      <c r="G280" s="89"/>
      <c r="H280" s="89"/>
      <c r="I280" s="89"/>
      <c r="J280" s="89"/>
      <c r="K280" s="89"/>
      <c r="L280" s="89"/>
      <c r="M280" s="89"/>
      <c r="N280" s="89"/>
      <c r="O280" s="89"/>
      <c r="P280" s="89"/>
      <c r="Q280" s="89"/>
      <c r="R280" s="89"/>
      <c r="S280" s="89"/>
      <c r="T280" s="89"/>
      <c r="U280" s="89"/>
      <c r="V280" s="89"/>
      <c r="W280" s="89"/>
      <c r="X280" s="89"/>
      <c r="Y280" s="89"/>
      <c r="Z280" s="89"/>
      <c r="AA280" s="89"/>
    </row>
    <row r="281" spans="1:27" ht="13.8">
      <c r="A281" s="89"/>
      <c r="B281" s="89"/>
      <c r="C281" s="89"/>
      <c r="D281" s="89"/>
      <c r="E281" s="89"/>
      <c r="F281" s="110"/>
      <c r="G281" s="89"/>
      <c r="H281" s="89"/>
      <c r="I281" s="89"/>
      <c r="J281" s="89"/>
      <c r="K281" s="89"/>
      <c r="L281" s="89"/>
      <c r="M281" s="89"/>
      <c r="N281" s="89"/>
      <c r="O281" s="89"/>
      <c r="P281" s="89"/>
      <c r="Q281" s="89"/>
      <c r="R281" s="89"/>
      <c r="S281" s="89"/>
      <c r="T281" s="89"/>
      <c r="U281" s="89"/>
      <c r="V281" s="89"/>
      <c r="W281" s="89"/>
      <c r="X281" s="89"/>
      <c r="Y281" s="89"/>
      <c r="Z281" s="89"/>
      <c r="AA281" s="89"/>
    </row>
    <row r="282" spans="1:27" ht="13.8">
      <c r="A282" s="89"/>
      <c r="B282" s="89"/>
      <c r="C282" s="89"/>
      <c r="D282" s="89"/>
      <c r="E282" s="89"/>
      <c r="F282" s="110"/>
      <c r="G282" s="89"/>
      <c r="H282" s="89"/>
      <c r="I282" s="89"/>
      <c r="J282" s="89"/>
      <c r="K282" s="89"/>
      <c r="L282" s="89"/>
      <c r="M282" s="89"/>
      <c r="N282" s="89"/>
      <c r="O282" s="89"/>
      <c r="P282" s="89"/>
      <c r="Q282" s="89"/>
      <c r="R282" s="89"/>
      <c r="S282" s="89"/>
      <c r="T282" s="89"/>
      <c r="U282" s="89"/>
      <c r="V282" s="89"/>
      <c r="W282" s="89"/>
      <c r="X282" s="89"/>
      <c r="Y282" s="89"/>
      <c r="Z282" s="89"/>
      <c r="AA282" s="89"/>
    </row>
    <row r="283" spans="1:27" ht="13.8">
      <c r="A283" s="89"/>
      <c r="B283" s="89"/>
      <c r="C283" s="89"/>
      <c r="D283" s="89"/>
      <c r="E283" s="89"/>
      <c r="F283" s="110"/>
      <c r="G283" s="89"/>
      <c r="H283" s="89"/>
      <c r="I283" s="89"/>
      <c r="J283" s="89"/>
      <c r="K283" s="89"/>
      <c r="L283" s="89"/>
      <c r="M283" s="89"/>
      <c r="N283" s="89"/>
      <c r="O283" s="89"/>
      <c r="P283" s="89"/>
      <c r="Q283" s="89"/>
      <c r="R283" s="89"/>
      <c r="S283" s="89"/>
      <c r="T283" s="89"/>
      <c r="U283" s="89"/>
      <c r="V283" s="89"/>
      <c r="W283" s="89"/>
      <c r="X283" s="89"/>
      <c r="Y283" s="89"/>
      <c r="Z283" s="89"/>
      <c r="AA283" s="89"/>
    </row>
    <row r="284" spans="1:27" ht="13.8">
      <c r="A284" s="89"/>
      <c r="B284" s="89"/>
      <c r="C284" s="89"/>
      <c r="D284" s="89"/>
      <c r="E284" s="89"/>
      <c r="F284" s="110"/>
      <c r="G284" s="89"/>
      <c r="H284" s="89"/>
      <c r="I284" s="89"/>
      <c r="J284" s="89"/>
      <c r="K284" s="89"/>
      <c r="L284" s="89"/>
      <c r="M284" s="89"/>
      <c r="N284" s="89"/>
      <c r="O284" s="89"/>
      <c r="P284" s="89"/>
      <c r="Q284" s="89"/>
      <c r="R284" s="89"/>
      <c r="S284" s="89"/>
      <c r="T284" s="89"/>
      <c r="U284" s="89"/>
      <c r="V284" s="89"/>
      <c r="W284" s="89"/>
      <c r="X284" s="89"/>
      <c r="Y284" s="89"/>
      <c r="Z284" s="89"/>
      <c r="AA284" s="89"/>
    </row>
    <row r="285" spans="1:27" ht="13.8">
      <c r="A285" s="89"/>
      <c r="B285" s="89"/>
      <c r="C285" s="89"/>
      <c r="D285" s="89"/>
      <c r="E285" s="89"/>
      <c r="F285" s="110"/>
      <c r="G285" s="89"/>
      <c r="H285" s="89"/>
      <c r="I285" s="89"/>
      <c r="J285" s="89"/>
      <c r="K285" s="89"/>
      <c r="L285" s="89"/>
      <c r="M285" s="89"/>
      <c r="N285" s="89"/>
      <c r="O285" s="89"/>
      <c r="P285" s="89"/>
      <c r="Q285" s="89"/>
      <c r="R285" s="89"/>
      <c r="S285" s="89"/>
      <c r="T285" s="89"/>
      <c r="U285" s="89"/>
      <c r="V285" s="89"/>
      <c r="W285" s="89"/>
      <c r="X285" s="89"/>
      <c r="Y285" s="89"/>
      <c r="Z285" s="89"/>
      <c r="AA285" s="89"/>
    </row>
    <row r="286" spans="1:27" ht="13.8">
      <c r="A286" s="89"/>
      <c r="B286" s="89"/>
      <c r="C286" s="89"/>
      <c r="D286" s="89"/>
      <c r="E286" s="89"/>
      <c r="F286" s="110"/>
      <c r="G286" s="89"/>
      <c r="H286" s="89"/>
      <c r="I286" s="89"/>
      <c r="J286" s="89"/>
      <c r="K286" s="89"/>
      <c r="L286" s="89"/>
      <c r="M286" s="89"/>
      <c r="N286" s="89"/>
      <c r="O286" s="89"/>
      <c r="P286" s="89"/>
      <c r="Q286" s="89"/>
      <c r="R286" s="89"/>
      <c r="S286" s="89"/>
      <c r="T286" s="89"/>
      <c r="U286" s="89"/>
      <c r="V286" s="89"/>
      <c r="W286" s="89"/>
      <c r="X286" s="89"/>
      <c r="Y286" s="89"/>
      <c r="Z286" s="89"/>
      <c r="AA286" s="89"/>
    </row>
    <row r="287" spans="1:27" ht="13.8">
      <c r="A287" s="89"/>
      <c r="B287" s="89"/>
      <c r="C287" s="89"/>
      <c r="D287" s="89"/>
      <c r="E287" s="89"/>
      <c r="F287" s="110"/>
      <c r="G287" s="89"/>
      <c r="H287" s="89"/>
      <c r="I287" s="89"/>
      <c r="J287" s="89"/>
      <c r="K287" s="89"/>
      <c r="L287" s="89"/>
      <c r="M287" s="89"/>
      <c r="N287" s="89"/>
      <c r="O287" s="89"/>
      <c r="P287" s="89"/>
      <c r="Q287" s="89"/>
      <c r="R287" s="89"/>
      <c r="S287" s="89"/>
      <c r="T287" s="89"/>
      <c r="U287" s="89"/>
      <c r="V287" s="89"/>
      <c r="W287" s="89"/>
      <c r="X287" s="89"/>
      <c r="Y287" s="89"/>
      <c r="Z287" s="89"/>
      <c r="AA287" s="89"/>
    </row>
    <row r="288" spans="1:27" ht="13.8">
      <c r="A288" s="89"/>
      <c r="B288" s="89"/>
      <c r="C288" s="89"/>
      <c r="D288" s="89"/>
      <c r="E288" s="89"/>
      <c r="F288" s="110"/>
      <c r="G288" s="89"/>
      <c r="H288" s="89"/>
      <c r="I288" s="89"/>
      <c r="J288" s="89"/>
      <c r="K288" s="89"/>
      <c r="L288" s="89"/>
      <c r="M288" s="89"/>
      <c r="N288" s="89"/>
      <c r="O288" s="89"/>
      <c r="P288" s="89"/>
      <c r="Q288" s="89"/>
      <c r="R288" s="89"/>
      <c r="S288" s="89"/>
      <c r="T288" s="89"/>
      <c r="U288" s="89"/>
      <c r="V288" s="89"/>
      <c r="W288" s="89"/>
      <c r="X288" s="89"/>
      <c r="Y288" s="89"/>
      <c r="Z288" s="89"/>
      <c r="AA288" s="89"/>
    </row>
    <row r="289" spans="1:27" ht="13.8">
      <c r="A289" s="89"/>
      <c r="B289" s="89"/>
      <c r="C289" s="89"/>
      <c r="D289" s="89"/>
      <c r="E289" s="89"/>
      <c r="F289" s="110"/>
      <c r="G289" s="89"/>
      <c r="H289" s="89"/>
      <c r="I289" s="89"/>
      <c r="J289" s="89"/>
      <c r="K289" s="89"/>
      <c r="L289" s="89"/>
      <c r="M289" s="89"/>
      <c r="N289" s="89"/>
      <c r="O289" s="89"/>
      <c r="P289" s="89"/>
      <c r="Q289" s="89"/>
      <c r="R289" s="89"/>
      <c r="S289" s="89"/>
      <c r="T289" s="89"/>
      <c r="U289" s="89"/>
      <c r="V289" s="89"/>
      <c r="W289" s="89"/>
      <c r="X289" s="89"/>
      <c r="Y289" s="89"/>
      <c r="Z289" s="89"/>
      <c r="AA289" s="89"/>
    </row>
    <row r="290" spans="1:27" ht="13.8">
      <c r="A290" s="89"/>
      <c r="B290" s="89"/>
      <c r="C290" s="89"/>
      <c r="D290" s="89"/>
      <c r="E290" s="89"/>
      <c r="F290" s="110"/>
      <c r="G290" s="89"/>
      <c r="H290" s="89"/>
      <c r="I290" s="89"/>
      <c r="J290" s="89"/>
      <c r="K290" s="89"/>
      <c r="L290" s="89"/>
      <c r="M290" s="89"/>
      <c r="N290" s="89"/>
      <c r="O290" s="89"/>
      <c r="P290" s="89"/>
      <c r="Q290" s="89"/>
      <c r="R290" s="89"/>
      <c r="S290" s="89"/>
      <c r="T290" s="89"/>
      <c r="U290" s="89"/>
      <c r="V290" s="89"/>
      <c r="W290" s="89"/>
      <c r="X290" s="89"/>
      <c r="Y290" s="89"/>
      <c r="Z290" s="89"/>
      <c r="AA290" s="89"/>
    </row>
    <row r="291" spans="1:27" ht="13.8">
      <c r="A291" s="89"/>
      <c r="B291" s="89"/>
      <c r="C291" s="89"/>
      <c r="D291" s="89"/>
      <c r="E291" s="89"/>
      <c r="F291" s="110"/>
      <c r="G291" s="89"/>
      <c r="H291" s="89"/>
      <c r="I291" s="89"/>
      <c r="J291" s="89"/>
      <c r="K291" s="89"/>
      <c r="L291" s="89"/>
      <c r="M291" s="89"/>
      <c r="N291" s="89"/>
      <c r="O291" s="89"/>
      <c r="P291" s="89"/>
      <c r="Q291" s="89"/>
      <c r="R291" s="89"/>
      <c r="S291" s="89"/>
      <c r="T291" s="89"/>
      <c r="U291" s="89"/>
      <c r="V291" s="89"/>
      <c r="W291" s="89"/>
      <c r="X291" s="89"/>
      <c r="Y291" s="89"/>
      <c r="Z291" s="89"/>
      <c r="AA291" s="89"/>
    </row>
    <row r="292" spans="1:27" ht="13.8">
      <c r="A292" s="89"/>
      <c r="B292" s="89"/>
      <c r="C292" s="89"/>
      <c r="D292" s="89"/>
      <c r="E292" s="89"/>
      <c r="F292" s="110"/>
      <c r="G292" s="89"/>
      <c r="H292" s="89"/>
      <c r="I292" s="89"/>
      <c r="J292" s="89"/>
      <c r="K292" s="89"/>
      <c r="L292" s="89"/>
      <c r="M292" s="89"/>
      <c r="N292" s="89"/>
      <c r="O292" s="89"/>
      <c r="P292" s="89"/>
      <c r="Q292" s="89"/>
      <c r="R292" s="89"/>
      <c r="S292" s="89"/>
      <c r="T292" s="89"/>
      <c r="U292" s="89"/>
      <c r="V292" s="89"/>
      <c r="W292" s="89"/>
      <c r="X292" s="89"/>
      <c r="Y292" s="89"/>
      <c r="Z292" s="89"/>
      <c r="AA292" s="89"/>
    </row>
    <row r="293" spans="1:27" ht="13.8">
      <c r="A293" s="89"/>
      <c r="B293" s="89"/>
      <c r="C293" s="89"/>
      <c r="D293" s="89"/>
      <c r="E293" s="89"/>
      <c r="F293" s="110"/>
      <c r="G293" s="89"/>
      <c r="H293" s="89"/>
      <c r="I293" s="89"/>
      <c r="J293" s="89"/>
      <c r="K293" s="89"/>
      <c r="L293" s="89"/>
      <c r="M293" s="89"/>
      <c r="N293" s="89"/>
      <c r="O293" s="89"/>
      <c r="P293" s="89"/>
      <c r="Q293" s="89"/>
      <c r="R293" s="89"/>
      <c r="S293" s="89"/>
      <c r="T293" s="89"/>
      <c r="U293" s="89"/>
      <c r="V293" s="89"/>
      <c r="W293" s="89"/>
      <c r="X293" s="89"/>
      <c r="Y293" s="89"/>
      <c r="Z293" s="89"/>
      <c r="AA293" s="89"/>
    </row>
    <row r="294" spans="1:27" ht="13.8">
      <c r="A294" s="89"/>
      <c r="B294" s="89"/>
      <c r="C294" s="89"/>
      <c r="D294" s="89"/>
      <c r="E294" s="89"/>
      <c r="F294" s="110"/>
      <c r="G294" s="89"/>
      <c r="H294" s="89"/>
      <c r="I294" s="89"/>
      <c r="J294" s="89"/>
      <c r="K294" s="89"/>
      <c r="L294" s="89"/>
      <c r="M294" s="89"/>
      <c r="N294" s="89"/>
      <c r="O294" s="89"/>
      <c r="P294" s="89"/>
      <c r="Q294" s="89"/>
      <c r="R294" s="89"/>
      <c r="S294" s="89"/>
      <c r="T294" s="89"/>
      <c r="U294" s="89"/>
      <c r="V294" s="89"/>
      <c r="W294" s="89"/>
      <c r="X294" s="89"/>
      <c r="Y294" s="89"/>
      <c r="Z294" s="89"/>
      <c r="AA294" s="89"/>
    </row>
    <row r="295" spans="1:27" ht="13.8">
      <c r="A295" s="89"/>
      <c r="B295" s="89"/>
      <c r="C295" s="89"/>
      <c r="D295" s="89"/>
      <c r="E295" s="89"/>
      <c r="F295" s="110"/>
      <c r="G295" s="89"/>
      <c r="H295" s="89"/>
      <c r="I295" s="89"/>
      <c r="J295" s="89"/>
      <c r="K295" s="89"/>
      <c r="L295" s="89"/>
      <c r="M295" s="89"/>
      <c r="N295" s="89"/>
      <c r="O295" s="89"/>
      <c r="P295" s="89"/>
      <c r="Q295" s="89"/>
      <c r="R295" s="89"/>
      <c r="S295" s="89"/>
      <c r="T295" s="89"/>
      <c r="U295" s="89"/>
      <c r="V295" s="89"/>
      <c r="W295" s="89"/>
      <c r="X295" s="89"/>
      <c r="Y295" s="89"/>
      <c r="Z295" s="89"/>
      <c r="AA295" s="89"/>
    </row>
    <row r="296" spans="1:27" ht="13.8">
      <c r="A296" s="89"/>
      <c r="B296" s="89"/>
      <c r="C296" s="89"/>
      <c r="D296" s="89"/>
      <c r="E296" s="89"/>
      <c r="F296" s="110"/>
      <c r="G296" s="89"/>
      <c r="H296" s="89"/>
      <c r="I296" s="89"/>
      <c r="J296" s="89"/>
      <c r="K296" s="89"/>
      <c r="L296" s="89"/>
      <c r="M296" s="89"/>
      <c r="N296" s="89"/>
      <c r="O296" s="89"/>
      <c r="P296" s="89"/>
      <c r="Q296" s="89"/>
      <c r="R296" s="89"/>
      <c r="S296" s="89"/>
      <c r="T296" s="89"/>
      <c r="U296" s="89"/>
      <c r="V296" s="89"/>
      <c r="W296" s="89"/>
      <c r="X296" s="89"/>
      <c r="Y296" s="89"/>
      <c r="Z296" s="89"/>
      <c r="AA296" s="89"/>
    </row>
    <row r="297" spans="1:27" ht="13.8">
      <c r="A297" s="89"/>
      <c r="B297" s="89"/>
      <c r="C297" s="89"/>
      <c r="D297" s="89"/>
      <c r="E297" s="89"/>
      <c r="F297" s="110"/>
      <c r="G297" s="89"/>
      <c r="H297" s="89"/>
      <c r="I297" s="89"/>
      <c r="J297" s="89"/>
      <c r="K297" s="89"/>
      <c r="L297" s="89"/>
      <c r="M297" s="89"/>
      <c r="N297" s="89"/>
      <c r="O297" s="89"/>
      <c r="P297" s="89"/>
      <c r="Q297" s="89"/>
      <c r="R297" s="89"/>
      <c r="S297" s="89"/>
      <c r="T297" s="89"/>
      <c r="U297" s="89"/>
      <c r="V297" s="89"/>
      <c r="W297" s="89"/>
      <c r="X297" s="89"/>
      <c r="Y297" s="89"/>
      <c r="Z297" s="89"/>
      <c r="AA297" s="89"/>
    </row>
    <row r="298" spans="1:27" ht="13.8">
      <c r="A298" s="89"/>
      <c r="B298" s="89"/>
      <c r="C298" s="89"/>
      <c r="D298" s="89"/>
      <c r="E298" s="89"/>
      <c r="F298" s="110"/>
      <c r="G298" s="89"/>
      <c r="H298" s="89"/>
      <c r="I298" s="89"/>
      <c r="J298" s="89"/>
      <c r="K298" s="89"/>
      <c r="L298" s="89"/>
      <c r="M298" s="89"/>
      <c r="N298" s="89"/>
      <c r="O298" s="89"/>
      <c r="P298" s="89"/>
      <c r="Q298" s="89"/>
      <c r="R298" s="89"/>
      <c r="S298" s="89"/>
      <c r="T298" s="89"/>
      <c r="U298" s="89"/>
      <c r="V298" s="89"/>
      <c r="W298" s="89"/>
      <c r="X298" s="89"/>
      <c r="Y298" s="89"/>
      <c r="Z298" s="89"/>
      <c r="AA298" s="89"/>
    </row>
    <row r="299" spans="1:27" ht="13.8">
      <c r="A299" s="89"/>
      <c r="B299" s="89"/>
      <c r="C299" s="89"/>
      <c r="D299" s="89"/>
      <c r="E299" s="89"/>
      <c r="F299" s="110"/>
      <c r="G299" s="89"/>
      <c r="H299" s="89"/>
      <c r="I299" s="89"/>
      <c r="J299" s="89"/>
      <c r="K299" s="89"/>
      <c r="L299" s="89"/>
      <c r="M299" s="89"/>
      <c r="N299" s="89"/>
      <c r="O299" s="89"/>
      <c r="P299" s="89"/>
      <c r="Q299" s="89"/>
      <c r="R299" s="89"/>
      <c r="S299" s="89"/>
      <c r="T299" s="89"/>
      <c r="U299" s="89"/>
      <c r="V299" s="89"/>
      <c r="W299" s="89"/>
      <c r="X299" s="89"/>
      <c r="Y299" s="89"/>
      <c r="Z299" s="89"/>
      <c r="AA299" s="89"/>
    </row>
    <row r="300" spans="1:27" ht="13.8">
      <c r="A300" s="89"/>
      <c r="B300" s="89"/>
      <c r="C300" s="89"/>
      <c r="D300" s="89"/>
      <c r="E300" s="89"/>
      <c r="F300" s="110"/>
      <c r="G300" s="89"/>
      <c r="H300" s="89"/>
      <c r="I300" s="89"/>
      <c r="J300" s="89"/>
      <c r="K300" s="89"/>
      <c r="L300" s="89"/>
      <c r="M300" s="89"/>
      <c r="N300" s="89"/>
      <c r="O300" s="89"/>
      <c r="P300" s="89"/>
      <c r="Q300" s="89"/>
      <c r="R300" s="89"/>
      <c r="S300" s="89"/>
      <c r="T300" s="89"/>
      <c r="U300" s="89"/>
      <c r="V300" s="89"/>
      <c r="W300" s="89"/>
      <c r="X300" s="89"/>
      <c r="Y300" s="89"/>
      <c r="Z300" s="89"/>
      <c r="AA300" s="89"/>
    </row>
    <row r="301" spans="1:27" ht="13.8">
      <c r="A301" s="89"/>
      <c r="B301" s="89"/>
      <c r="C301" s="89"/>
      <c r="D301" s="89"/>
      <c r="E301" s="89"/>
      <c r="F301" s="110"/>
      <c r="G301" s="89"/>
      <c r="H301" s="89"/>
      <c r="I301" s="89"/>
      <c r="J301" s="89"/>
      <c r="K301" s="89"/>
      <c r="L301" s="89"/>
      <c r="M301" s="89"/>
      <c r="N301" s="89"/>
      <c r="O301" s="89"/>
      <c r="P301" s="89"/>
      <c r="Q301" s="89"/>
      <c r="R301" s="89"/>
      <c r="S301" s="89"/>
      <c r="T301" s="89"/>
      <c r="U301" s="89"/>
      <c r="V301" s="89"/>
      <c r="W301" s="89"/>
      <c r="X301" s="89"/>
      <c r="Y301" s="89"/>
      <c r="Z301" s="89"/>
      <c r="AA301" s="89"/>
    </row>
    <row r="302" spans="1:27" ht="13.8">
      <c r="A302" s="89"/>
      <c r="B302" s="89"/>
      <c r="C302" s="89"/>
      <c r="D302" s="89"/>
      <c r="E302" s="89"/>
      <c r="F302" s="110"/>
      <c r="G302" s="89"/>
      <c r="H302" s="89"/>
      <c r="I302" s="89"/>
      <c r="J302" s="89"/>
      <c r="K302" s="89"/>
      <c r="L302" s="89"/>
      <c r="M302" s="89"/>
      <c r="N302" s="89"/>
      <c r="O302" s="89"/>
      <c r="P302" s="89"/>
      <c r="Q302" s="89"/>
      <c r="R302" s="89"/>
      <c r="S302" s="89"/>
      <c r="T302" s="89"/>
      <c r="U302" s="89"/>
      <c r="V302" s="89"/>
      <c r="W302" s="89"/>
      <c r="X302" s="89"/>
      <c r="Y302" s="89"/>
      <c r="Z302" s="89"/>
      <c r="AA302" s="89"/>
    </row>
    <row r="303" spans="1:27" ht="13.8">
      <c r="A303" s="89"/>
      <c r="B303" s="89"/>
      <c r="C303" s="89"/>
      <c r="D303" s="89"/>
      <c r="E303" s="89"/>
      <c r="F303" s="110"/>
      <c r="G303" s="89"/>
      <c r="H303" s="89"/>
      <c r="I303" s="89"/>
      <c r="J303" s="89"/>
      <c r="K303" s="89"/>
      <c r="L303" s="89"/>
      <c r="M303" s="89"/>
      <c r="N303" s="89"/>
      <c r="O303" s="89"/>
      <c r="P303" s="89"/>
      <c r="Q303" s="89"/>
      <c r="R303" s="89"/>
      <c r="S303" s="89"/>
      <c r="T303" s="89"/>
      <c r="U303" s="89"/>
      <c r="V303" s="89"/>
      <c r="W303" s="89"/>
      <c r="X303" s="89"/>
      <c r="Y303" s="89"/>
      <c r="Z303" s="89"/>
      <c r="AA303" s="89"/>
    </row>
    <row r="304" spans="1:27" ht="13.8">
      <c r="A304" s="89"/>
      <c r="B304" s="89"/>
      <c r="C304" s="89"/>
      <c r="D304" s="89"/>
      <c r="E304" s="89"/>
      <c r="F304" s="110"/>
      <c r="G304" s="89"/>
      <c r="H304" s="89"/>
      <c r="I304" s="89"/>
      <c r="J304" s="89"/>
      <c r="K304" s="89"/>
      <c r="L304" s="89"/>
      <c r="M304" s="89"/>
      <c r="N304" s="89"/>
      <c r="O304" s="89"/>
      <c r="P304" s="89"/>
      <c r="Q304" s="89"/>
      <c r="R304" s="89"/>
      <c r="S304" s="89"/>
      <c r="T304" s="89"/>
      <c r="U304" s="89"/>
      <c r="V304" s="89"/>
      <c r="W304" s="89"/>
      <c r="X304" s="89"/>
      <c r="Y304" s="89"/>
      <c r="Z304" s="89"/>
      <c r="AA304" s="89"/>
    </row>
    <row r="305" spans="1:27" ht="13.8">
      <c r="A305" s="89"/>
      <c r="B305" s="89"/>
      <c r="C305" s="89"/>
      <c r="D305" s="89"/>
      <c r="E305" s="89"/>
      <c r="F305" s="110"/>
      <c r="G305" s="89"/>
      <c r="H305" s="89"/>
      <c r="I305" s="89"/>
      <c r="J305" s="89"/>
      <c r="K305" s="89"/>
      <c r="L305" s="89"/>
      <c r="M305" s="89"/>
      <c r="N305" s="89"/>
      <c r="O305" s="89"/>
      <c r="P305" s="89"/>
      <c r="Q305" s="89"/>
      <c r="R305" s="89"/>
      <c r="S305" s="89"/>
      <c r="T305" s="89"/>
      <c r="U305" s="89"/>
      <c r="V305" s="89"/>
      <c r="W305" s="89"/>
      <c r="X305" s="89"/>
      <c r="Y305" s="89"/>
      <c r="Z305" s="89"/>
      <c r="AA305" s="89"/>
    </row>
    <row r="306" spans="1:27" ht="13.8">
      <c r="A306" s="89"/>
      <c r="B306" s="89"/>
      <c r="C306" s="89"/>
      <c r="D306" s="89"/>
      <c r="E306" s="89"/>
      <c r="F306" s="110"/>
      <c r="G306" s="89"/>
      <c r="H306" s="89"/>
      <c r="I306" s="89"/>
      <c r="J306" s="89"/>
      <c r="K306" s="89"/>
      <c r="L306" s="89"/>
      <c r="M306" s="89"/>
      <c r="N306" s="89"/>
      <c r="O306" s="89"/>
      <c r="P306" s="89"/>
      <c r="Q306" s="89"/>
      <c r="R306" s="89"/>
      <c r="S306" s="89"/>
      <c r="T306" s="89"/>
      <c r="U306" s="89"/>
      <c r="V306" s="89"/>
      <c r="W306" s="89"/>
      <c r="X306" s="89"/>
      <c r="Y306" s="89"/>
      <c r="Z306" s="89"/>
      <c r="AA306" s="89"/>
    </row>
    <row r="307" spans="1:27" ht="13.8">
      <c r="A307" s="89"/>
      <c r="B307" s="89"/>
      <c r="C307" s="89"/>
      <c r="D307" s="89"/>
      <c r="E307" s="89"/>
      <c r="F307" s="110"/>
      <c r="G307" s="89"/>
      <c r="H307" s="89"/>
      <c r="I307" s="89"/>
      <c r="J307" s="89"/>
      <c r="K307" s="89"/>
      <c r="L307" s="89"/>
      <c r="M307" s="89"/>
      <c r="N307" s="89"/>
      <c r="O307" s="89"/>
      <c r="P307" s="89"/>
      <c r="Q307" s="89"/>
      <c r="R307" s="89"/>
      <c r="S307" s="89"/>
      <c r="T307" s="89"/>
      <c r="U307" s="89"/>
      <c r="V307" s="89"/>
      <c r="W307" s="89"/>
      <c r="X307" s="89"/>
      <c r="Y307" s="89"/>
      <c r="Z307" s="89"/>
      <c r="AA307" s="89"/>
    </row>
    <row r="308" spans="1:27" ht="13.8">
      <c r="A308" s="89"/>
      <c r="B308" s="89"/>
      <c r="C308" s="89"/>
      <c r="D308" s="89"/>
      <c r="E308" s="89"/>
      <c r="F308" s="110"/>
      <c r="G308" s="89"/>
      <c r="H308" s="89"/>
      <c r="I308" s="89"/>
      <c r="J308" s="89"/>
      <c r="K308" s="89"/>
      <c r="L308" s="89"/>
      <c r="M308" s="89"/>
      <c r="N308" s="89"/>
      <c r="O308" s="89"/>
      <c r="P308" s="89"/>
      <c r="Q308" s="89"/>
      <c r="R308" s="89"/>
      <c r="S308" s="89"/>
      <c r="T308" s="89"/>
      <c r="U308" s="89"/>
      <c r="V308" s="89"/>
      <c r="W308" s="89"/>
      <c r="X308" s="89"/>
      <c r="Y308" s="89"/>
      <c r="Z308" s="89"/>
      <c r="AA308" s="89"/>
    </row>
    <row r="309" spans="1:27" ht="13.8">
      <c r="A309" s="89"/>
      <c r="B309" s="89"/>
      <c r="C309" s="89"/>
      <c r="D309" s="89"/>
      <c r="E309" s="89"/>
      <c r="F309" s="110"/>
      <c r="G309" s="89"/>
      <c r="H309" s="89"/>
      <c r="I309" s="89"/>
      <c r="J309" s="89"/>
      <c r="K309" s="89"/>
      <c r="L309" s="89"/>
      <c r="M309" s="89"/>
      <c r="N309" s="89"/>
      <c r="O309" s="89"/>
      <c r="P309" s="89"/>
      <c r="Q309" s="89"/>
      <c r="R309" s="89"/>
      <c r="S309" s="89"/>
      <c r="T309" s="89"/>
      <c r="U309" s="89"/>
      <c r="V309" s="89"/>
      <c r="W309" s="89"/>
      <c r="X309" s="89"/>
      <c r="Y309" s="89"/>
      <c r="Z309" s="89"/>
      <c r="AA309" s="89"/>
    </row>
    <row r="310" spans="1:27" ht="13.8">
      <c r="A310" s="89"/>
      <c r="B310" s="89"/>
      <c r="C310" s="89"/>
      <c r="D310" s="89"/>
      <c r="E310" s="89"/>
      <c r="F310" s="110"/>
      <c r="G310" s="89"/>
      <c r="H310" s="89"/>
      <c r="I310" s="89"/>
      <c r="J310" s="89"/>
      <c r="K310" s="89"/>
      <c r="L310" s="89"/>
      <c r="M310" s="89"/>
      <c r="N310" s="89"/>
      <c r="O310" s="89"/>
      <c r="P310" s="89"/>
      <c r="Q310" s="89"/>
      <c r="R310" s="89"/>
      <c r="S310" s="89"/>
      <c r="T310" s="89"/>
      <c r="U310" s="89"/>
      <c r="V310" s="89"/>
      <c r="W310" s="89"/>
      <c r="X310" s="89"/>
      <c r="Y310" s="89"/>
      <c r="Z310" s="89"/>
      <c r="AA310" s="89"/>
    </row>
    <row r="311" spans="1:27" ht="13.8">
      <c r="A311" s="89"/>
      <c r="B311" s="89"/>
      <c r="C311" s="89"/>
      <c r="D311" s="89"/>
      <c r="E311" s="89"/>
      <c r="F311" s="110"/>
      <c r="G311" s="89"/>
      <c r="H311" s="89"/>
      <c r="I311" s="89"/>
      <c r="J311" s="89"/>
      <c r="K311" s="89"/>
      <c r="L311" s="89"/>
      <c r="M311" s="89"/>
      <c r="N311" s="89"/>
      <c r="O311" s="89"/>
      <c r="P311" s="89"/>
      <c r="Q311" s="89"/>
      <c r="R311" s="89"/>
      <c r="S311" s="89"/>
      <c r="T311" s="89"/>
      <c r="U311" s="89"/>
      <c r="V311" s="89"/>
      <c r="W311" s="89"/>
      <c r="X311" s="89"/>
      <c r="Y311" s="89"/>
      <c r="Z311" s="89"/>
      <c r="AA311" s="89"/>
    </row>
    <row r="312" spans="1:27" ht="13.8">
      <c r="A312" s="89"/>
      <c r="B312" s="89"/>
      <c r="C312" s="89"/>
      <c r="D312" s="89"/>
      <c r="E312" s="89"/>
      <c r="F312" s="110"/>
      <c r="G312" s="89"/>
      <c r="H312" s="89"/>
      <c r="I312" s="89"/>
      <c r="J312" s="89"/>
      <c r="K312" s="89"/>
      <c r="L312" s="89"/>
      <c r="M312" s="89"/>
      <c r="N312" s="89"/>
      <c r="O312" s="89"/>
      <c r="P312" s="89"/>
      <c r="Q312" s="89"/>
      <c r="R312" s="89"/>
      <c r="S312" s="89"/>
      <c r="T312" s="89"/>
      <c r="U312" s="89"/>
      <c r="V312" s="89"/>
      <c r="W312" s="89"/>
      <c r="X312" s="89"/>
      <c r="Y312" s="89"/>
      <c r="Z312" s="89"/>
      <c r="AA312" s="89"/>
    </row>
    <row r="313" spans="1:27" ht="13.8">
      <c r="A313" s="89"/>
      <c r="B313" s="89"/>
      <c r="C313" s="89"/>
      <c r="D313" s="89"/>
      <c r="E313" s="89"/>
      <c r="F313" s="110"/>
      <c r="G313" s="89"/>
      <c r="H313" s="89"/>
      <c r="I313" s="89"/>
      <c r="J313" s="89"/>
      <c r="K313" s="89"/>
      <c r="L313" s="89"/>
      <c r="M313" s="89"/>
      <c r="N313" s="89"/>
      <c r="O313" s="89"/>
      <c r="P313" s="89"/>
      <c r="Q313" s="89"/>
      <c r="R313" s="89"/>
      <c r="S313" s="89"/>
      <c r="T313" s="89"/>
      <c r="U313" s="89"/>
      <c r="V313" s="89"/>
      <c r="W313" s="89"/>
      <c r="X313" s="89"/>
      <c r="Y313" s="89"/>
      <c r="Z313" s="89"/>
      <c r="AA313" s="89"/>
    </row>
    <row r="314" spans="1:27" ht="13.8">
      <c r="A314" s="89"/>
      <c r="B314" s="89"/>
      <c r="C314" s="89"/>
      <c r="D314" s="89"/>
      <c r="E314" s="89"/>
      <c r="F314" s="110"/>
      <c r="G314" s="89"/>
      <c r="H314" s="89"/>
      <c r="I314" s="89"/>
      <c r="J314" s="89"/>
      <c r="K314" s="89"/>
      <c r="L314" s="89"/>
      <c r="M314" s="89"/>
      <c r="N314" s="89"/>
      <c r="O314" s="89"/>
      <c r="P314" s="89"/>
      <c r="Q314" s="89"/>
      <c r="R314" s="89"/>
      <c r="S314" s="89"/>
      <c r="T314" s="89"/>
      <c r="U314" s="89"/>
      <c r="V314" s="89"/>
      <c r="W314" s="89"/>
      <c r="X314" s="89"/>
      <c r="Y314" s="89"/>
      <c r="Z314" s="89"/>
      <c r="AA314" s="89"/>
    </row>
    <row r="315" spans="1:27" ht="13.8">
      <c r="A315" s="89"/>
      <c r="B315" s="89"/>
      <c r="C315" s="89"/>
      <c r="D315" s="89"/>
      <c r="E315" s="89"/>
      <c r="F315" s="110"/>
      <c r="G315" s="89"/>
      <c r="H315" s="89"/>
      <c r="I315" s="89"/>
      <c r="J315" s="89"/>
      <c r="K315" s="89"/>
      <c r="L315" s="89"/>
      <c r="M315" s="89"/>
      <c r="N315" s="89"/>
      <c r="O315" s="89"/>
      <c r="P315" s="89"/>
      <c r="Q315" s="89"/>
      <c r="R315" s="89"/>
      <c r="S315" s="89"/>
      <c r="T315" s="89"/>
      <c r="U315" s="89"/>
      <c r="V315" s="89"/>
      <c r="W315" s="89"/>
      <c r="X315" s="89"/>
      <c r="Y315" s="89"/>
      <c r="Z315" s="89"/>
      <c r="AA315" s="89"/>
    </row>
    <row r="316" spans="1:27" ht="13.8">
      <c r="A316" s="89"/>
      <c r="B316" s="89"/>
      <c r="C316" s="89"/>
      <c r="D316" s="89"/>
      <c r="E316" s="89"/>
      <c r="F316" s="110"/>
      <c r="G316" s="89"/>
      <c r="H316" s="89"/>
      <c r="I316" s="89"/>
      <c r="J316" s="89"/>
      <c r="K316" s="89"/>
      <c r="L316" s="89"/>
      <c r="M316" s="89"/>
      <c r="N316" s="89"/>
      <c r="O316" s="89"/>
      <c r="P316" s="89"/>
      <c r="Q316" s="89"/>
      <c r="R316" s="89"/>
      <c r="S316" s="89"/>
      <c r="T316" s="89"/>
      <c r="U316" s="89"/>
      <c r="V316" s="89"/>
      <c r="W316" s="89"/>
      <c r="X316" s="89"/>
      <c r="Y316" s="89"/>
      <c r="Z316" s="89"/>
      <c r="AA316" s="89"/>
    </row>
    <row r="317" spans="1:27" ht="13.8">
      <c r="A317" s="89"/>
      <c r="B317" s="89"/>
      <c r="C317" s="89"/>
      <c r="D317" s="89"/>
      <c r="E317" s="89"/>
      <c r="F317" s="110"/>
      <c r="G317" s="89"/>
      <c r="H317" s="89"/>
      <c r="I317" s="89"/>
      <c r="J317" s="89"/>
      <c r="K317" s="89"/>
      <c r="L317" s="89"/>
      <c r="M317" s="89"/>
      <c r="N317" s="89"/>
      <c r="O317" s="89"/>
      <c r="P317" s="89"/>
      <c r="Q317" s="89"/>
      <c r="R317" s="89"/>
      <c r="S317" s="89"/>
      <c r="T317" s="89"/>
      <c r="U317" s="89"/>
      <c r="V317" s="89"/>
      <c r="W317" s="89"/>
      <c r="X317" s="89"/>
      <c r="Y317" s="89"/>
      <c r="Z317" s="89"/>
      <c r="AA317" s="89"/>
    </row>
    <row r="318" spans="1:27" ht="13.8">
      <c r="A318" s="89"/>
      <c r="B318" s="89"/>
      <c r="C318" s="89"/>
      <c r="D318" s="89"/>
      <c r="E318" s="89"/>
      <c r="F318" s="110"/>
      <c r="G318" s="89"/>
      <c r="H318" s="89"/>
      <c r="I318" s="89"/>
      <c r="J318" s="89"/>
      <c r="K318" s="89"/>
      <c r="L318" s="89"/>
      <c r="M318" s="89"/>
      <c r="N318" s="89"/>
      <c r="O318" s="89"/>
      <c r="P318" s="89"/>
      <c r="Q318" s="89"/>
      <c r="R318" s="89"/>
      <c r="S318" s="89"/>
      <c r="T318" s="89"/>
      <c r="U318" s="89"/>
      <c r="V318" s="89"/>
      <c r="W318" s="89"/>
      <c r="X318" s="89"/>
      <c r="Y318" s="89"/>
      <c r="Z318" s="89"/>
      <c r="AA318" s="89"/>
    </row>
    <row r="319" spans="1:27" ht="13.8">
      <c r="A319" s="89"/>
      <c r="B319" s="89"/>
      <c r="C319" s="89"/>
      <c r="D319" s="89"/>
      <c r="E319" s="89"/>
      <c r="F319" s="110"/>
      <c r="G319" s="89"/>
      <c r="H319" s="89"/>
      <c r="I319" s="89"/>
      <c r="J319" s="89"/>
      <c r="K319" s="89"/>
      <c r="L319" s="89"/>
      <c r="M319" s="89"/>
      <c r="N319" s="89"/>
      <c r="O319" s="89"/>
      <c r="P319" s="89"/>
      <c r="Q319" s="89"/>
      <c r="R319" s="89"/>
      <c r="S319" s="89"/>
      <c r="T319" s="89"/>
      <c r="U319" s="89"/>
      <c r="V319" s="89"/>
      <c r="W319" s="89"/>
      <c r="X319" s="89"/>
      <c r="Y319" s="89"/>
      <c r="Z319" s="89"/>
      <c r="AA319" s="89"/>
    </row>
    <row r="320" spans="1:27" ht="13.8">
      <c r="A320" s="89"/>
      <c r="B320" s="89"/>
      <c r="C320" s="89"/>
      <c r="D320" s="89"/>
      <c r="E320" s="89"/>
      <c r="F320" s="110"/>
      <c r="G320" s="89"/>
      <c r="H320" s="89"/>
      <c r="I320" s="89"/>
      <c r="J320" s="89"/>
      <c r="K320" s="89"/>
      <c r="L320" s="89"/>
      <c r="M320" s="89"/>
      <c r="N320" s="89"/>
      <c r="O320" s="89"/>
      <c r="P320" s="89"/>
      <c r="Q320" s="89"/>
      <c r="R320" s="89"/>
      <c r="S320" s="89"/>
      <c r="T320" s="89"/>
      <c r="U320" s="89"/>
      <c r="V320" s="89"/>
      <c r="W320" s="89"/>
      <c r="X320" s="89"/>
      <c r="Y320" s="89"/>
      <c r="Z320" s="89"/>
      <c r="AA320" s="89"/>
    </row>
    <row r="321" spans="1:27" ht="13.8">
      <c r="A321" s="89"/>
      <c r="B321" s="89"/>
      <c r="C321" s="89"/>
      <c r="D321" s="89"/>
      <c r="E321" s="89"/>
      <c r="F321" s="110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</row>
    <row r="322" spans="1:27" ht="13.8">
      <c r="A322" s="89"/>
      <c r="B322" s="89"/>
      <c r="C322" s="89"/>
      <c r="D322" s="89"/>
      <c r="E322" s="89"/>
      <c r="F322" s="110"/>
      <c r="G322" s="89"/>
      <c r="H322" s="89"/>
      <c r="I322" s="89"/>
      <c r="J322" s="89"/>
      <c r="K322" s="89"/>
      <c r="L322" s="89"/>
      <c r="M322" s="89"/>
      <c r="N322" s="89"/>
      <c r="O322" s="89"/>
      <c r="P322" s="89"/>
      <c r="Q322" s="89"/>
      <c r="R322" s="89"/>
      <c r="S322" s="89"/>
      <c r="T322" s="89"/>
      <c r="U322" s="89"/>
      <c r="V322" s="89"/>
      <c r="W322" s="89"/>
      <c r="X322" s="89"/>
      <c r="Y322" s="89"/>
      <c r="Z322" s="89"/>
      <c r="AA322" s="89"/>
    </row>
    <row r="323" spans="1:27" ht="13.8">
      <c r="A323" s="89"/>
      <c r="B323" s="89"/>
      <c r="C323" s="89"/>
      <c r="D323" s="89"/>
      <c r="E323" s="89"/>
      <c r="F323" s="110"/>
      <c r="G323" s="89"/>
      <c r="H323" s="89"/>
      <c r="I323" s="89"/>
      <c r="J323" s="89"/>
      <c r="K323" s="89"/>
      <c r="L323" s="89"/>
      <c r="M323" s="89"/>
      <c r="N323" s="89"/>
      <c r="O323" s="89"/>
      <c r="P323" s="89"/>
      <c r="Q323" s="89"/>
      <c r="R323" s="89"/>
      <c r="S323" s="89"/>
      <c r="T323" s="89"/>
      <c r="U323" s="89"/>
      <c r="V323" s="89"/>
      <c r="W323" s="89"/>
      <c r="X323" s="89"/>
      <c r="Y323" s="89"/>
      <c r="Z323" s="89"/>
      <c r="AA323" s="89"/>
    </row>
    <row r="324" spans="1:27" ht="13.8">
      <c r="A324" s="89"/>
      <c r="B324" s="89"/>
      <c r="C324" s="89"/>
      <c r="D324" s="89"/>
      <c r="E324" s="89"/>
      <c r="F324" s="110"/>
      <c r="G324" s="89"/>
      <c r="H324" s="89"/>
      <c r="I324" s="89"/>
      <c r="J324" s="89"/>
      <c r="K324" s="89"/>
      <c r="L324" s="89"/>
      <c r="M324" s="89"/>
      <c r="N324" s="89"/>
      <c r="O324" s="89"/>
      <c r="P324" s="89"/>
      <c r="Q324" s="89"/>
      <c r="R324" s="89"/>
      <c r="S324" s="89"/>
      <c r="T324" s="89"/>
      <c r="U324" s="89"/>
      <c r="V324" s="89"/>
      <c r="W324" s="89"/>
      <c r="X324" s="89"/>
      <c r="Y324" s="89"/>
      <c r="Z324" s="89"/>
      <c r="AA324" s="89"/>
    </row>
    <row r="325" spans="1:27" ht="13.8">
      <c r="A325" s="89"/>
      <c r="B325" s="89"/>
      <c r="C325" s="89"/>
      <c r="D325" s="89"/>
      <c r="E325" s="89"/>
      <c r="F325" s="110"/>
      <c r="G325" s="89"/>
      <c r="H325" s="89"/>
      <c r="I325" s="89"/>
      <c r="J325" s="89"/>
      <c r="K325" s="89"/>
      <c r="L325" s="89"/>
      <c r="M325" s="89"/>
      <c r="N325" s="89"/>
      <c r="O325" s="89"/>
      <c r="P325" s="89"/>
      <c r="Q325" s="89"/>
      <c r="R325" s="89"/>
      <c r="S325" s="89"/>
      <c r="T325" s="89"/>
      <c r="U325" s="89"/>
      <c r="V325" s="89"/>
      <c r="W325" s="89"/>
      <c r="X325" s="89"/>
      <c r="Y325" s="89"/>
      <c r="Z325" s="89"/>
      <c r="AA325" s="89"/>
    </row>
    <row r="326" spans="1:27" ht="13.8">
      <c r="A326" s="89"/>
      <c r="B326" s="89"/>
      <c r="C326" s="89"/>
      <c r="D326" s="89"/>
      <c r="E326" s="89"/>
      <c r="F326" s="110"/>
      <c r="G326" s="89"/>
      <c r="H326" s="89"/>
      <c r="I326" s="89"/>
      <c r="J326" s="89"/>
      <c r="K326" s="89"/>
      <c r="L326" s="89"/>
      <c r="M326" s="89"/>
      <c r="N326" s="89"/>
      <c r="O326" s="89"/>
      <c r="P326" s="89"/>
      <c r="Q326" s="89"/>
      <c r="R326" s="89"/>
      <c r="S326" s="89"/>
      <c r="T326" s="89"/>
      <c r="U326" s="89"/>
      <c r="V326" s="89"/>
      <c r="W326" s="89"/>
      <c r="X326" s="89"/>
      <c r="Y326" s="89"/>
      <c r="Z326" s="89"/>
      <c r="AA326" s="89"/>
    </row>
    <row r="327" spans="1:27" ht="13.8">
      <c r="A327" s="89"/>
      <c r="B327" s="89"/>
      <c r="C327" s="89"/>
      <c r="D327" s="89"/>
      <c r="E327" s="89"/>
      <c r="F327" s="110"/>
      <c r="G327" s="89"/>
      <c r="H327" s="89"/>
      <c r="I327" s="89"/>
      <c r="J327" s="89"/>
      <c r="K327" s="89"/>
      <c r="L327" s="89"/>
      <c r="M327" s="89"/>
      <c r="N327" s="89"/>
      <c r="O327" s="89"/>
      <c r="P327" s="89"/>
      <c r="Q327" s="89"/>
      <c r="R327" s="89"/>
      <c r="S327" s="89"/>
      <c r="T327" s="89"/>
      <c r="U327" s="89"/>
      <c r="V327" s="89"/>
      <c r="W327" s="89"/>
      <c r="X327" s="89"/>
      <c r="Y327" s="89"/>
      <c r="Z327" s="89"/>
      <c r="AA327" s="89"/>
    </row>
    <row r="328" spans="1:27" ht="13.8">
      <c r="A328" s="89"/>
      <c r="B328" s="89"/>
      <c r="C328" s="89"/>
      <c r="D328" s="89"/>
      <c r="E328" s="89"/>
      <c r="F328" s="110"/>
      <c r="G328" s="89"/>
      <c r="H328" s="89"/>
      <c r="I328" s="89"/>
      <c r="J328" s="89"/>
      <c r="K328" s="89"/>
      <c r="L328" s="89"/>
      <c r="M328" s="89"/>
      <c r="N328" s="89"/>
      <c r="O328" s="89"/>
      <c r="P328" s="89"/>
      <c r="Q328" s="89"/>
      <c r="R328" s="89"/>
      <c r="S328" s="89"/>
      <c r="T328" s="89"/>
      <c r="U328" s="89"/>
      <c r="V328" s="89"/>
      <c r="W328" s="89"/>
      <c r="X328" s="89"/>
      <c r="Y328" s="89"/>
      <c r="Z328" s="89"/>
      <c r="AA328" s="89"/>
    </row>
    <row r="329" spans="1:27" ht="13.8">
      <c r="A329" s="89"/>
      <c r="B329" s="89"/>
      <c r="C329" s="89"/>
      <c r="D329" s="89"/>
      <c r="E329" s="89"/>
      <c r="F329" s="110"/>
      <c r="G329" s="89"/>
      <c r="H329" s="89"/>
      <c r="I329" s="89"/>
      <c r="J329" s="89"/>
      <c r="K329" s="89"/>
      <c r="L329" s="89"/>
      <c r="M329" s="89"/>
      <c r="N329" s="89"/>
      <c r="O329" s="89"/>
      <c r="P329" s="89"/>
      <c r="Q329" s="89"/>
      <c r="R329" s="89"/>
      <c r="S329" s="89"/>
      <c r="T329" s="89"/>
      <c r="U329" s="89"/>
      <c r="V329" s="89"/>
      <c r="W329" s="89"/>
      <c r="X329" s="89"/>
      <c r="Y329" s="89"/>
      <c r="Z329" s="89"/>
      <c r="AA329" s="89"/>
    </row>
    <row r="330" spans="1:27" ht="13.8">
      <c r="A330" s="89"/>
      <c r="B330" s="89"/>
      <c r="C330" s="89"/>
      <c r="D330" s="89"/>
      <c r="E330" s="89"/>
      <c r="F330" s="110"/>
      <c r="G330" s="89"/>
      <c r="H330" s="89"/>
      <c r="I330" s="89"/>
      <c r="J330" s="89"/>
      <c r="K330" s="89"/>
      <c r="L330" s="89"/>
      <c r="M330" s="89"/>
      <c r="N330" s="89"/>
      <c r="O330" s="89"/>
      <c r="P330" s="89"/>
      <c r="Q330" s="89"/>
      <c r="R330" s="89"/>
      <c r="S330" s="89"/>
      <c r="T330" s="89"/>
      <c r="U330" s="89"/>
      <c r="V330" s="89"/>
      <c r="W330" s="89"/>
      <c r="X330" s="89"/>
      <c r="Y330" s="89"/>
      <c r="Z330" s="89"/>
      <c r="AA330" s="89"/>
    </row>
    <row r="331" spans="1:27" ht="13.8">
      <c r="A331" s="89"/>
      <c r="B331" s="89"/>
      <c r="C331" s="89"/>
      <c r="D331" s="89"/>
      <c r="E331" s="89"/>
      <c r="F331" s="110"/>
      <c r="G331" s="89"/>
      <c r="H331" s="89"/>
      <c r="I331" s="89"/>
      <c r="J331" s="89"/>
      <c r="K331" s="89"/>
      <c r="L331" s="89"/>
      <c r="M331" s="89"/>
      <c r="N331" s="89"/>
      <c r="O331" s="89"/>
      <c r="P331" s="89"/>
      <c r="Q331" s="89"/>
      <c r="R331" s="89"/>
      <c r="S331" s="89"/>
      <c r="T331" s="89"/>
      <c r="U331" s="89"/>
      <c r="V331" s="89"/>
      <c r="W331" s="89"/>
      <c r="X331" s="89"/>
      <c r="Y331" s="89"/>
      <c r="Z331" s="89"/>
      <c r="AA331" s="89"/>
    </row>
    <row r="332" spans="1:27" ht="13.8">
      <c r="A332" s="89"/>
      <c r="B332" s="89"/>
      <c r="C332" s="89"/>
      <c r="D332" s="89"/>
      <c r="E332" s="89"/>
      <c r="F332" s="110"/>
      <c r="G332" s="89"/>
      <c r="H332" s="89"/>
      <c r="I332" s="89"/>
      <c r="J332" s="89"/>
      <c r="K332" s="89"/>
      <c r="L332" s="89"/>
      <c r="M332" s="89"/>
      <c r="N332" s="89"/>
      <c r="O332" s="89"/>
      <c r="P332" s="89"/>
      <c r="Q332" s="89"/>
      <c r="R332" s="89"/>
      <c r="S332" s="89"/>
      <c r="T332" s="89"/>
      <c r="U332" s="89"/>
      <c r="V332" s="89"/>
      <c r="W332" s="89"/>
      <c r="X332" s="89"/>
      <c r="Y332" s="89"/>
      <c r="Z332" s="89"/>
      <c r="AA332" s="89"/>
    </row>
    <row r="333" spans="1:27" ht="13.8">
      <c r="A333" s="89"/>
      <c r="B333" s="89"/>
      <c r="C333" s="89"/>
      <c r="D333" s="89"/>
      <c r="E333" s="89"/>
      <c r="F333" s="110"/>
      <c r="G333" s="89"/>
      <c r="H333" s="89"/>
      <c r="I333" s="89"/>
      <c r="J333" s="89"/>
      <c r="K333" s="89"/>
      <c r="L333" s="89"/>
      <c r="M333" s="89"/>
      <c r="N333" s="89"/>
      <c r="O333" s="89"/>
      <c r="P333" s="89"/>
      <c r="Q333" s="89"/>
      <c r="R333" s="89"/>
      <c r="S333" s="89"/>
      <c r="T333" s="89"/>
      <c r="U333" s="89"/>
      <c r="V333" s="89"/>
      <c r="W333" s="89"/>
      <c r="X333" s="89"/>
      <c r="Y333" s="89"/>
      <c r="Z333" s="89"/>
      <c r="AA333" s="89"/>
    </row>
    <row r="334" spans="1:27" ht="13.8">
      <c r="A334" s="89"/>
      <c r="B334" s="89"/>
      <c r="C334" s="89"/>
      <c r="D334" s="89"/>
      <c r="E334" s="89"/>
      <c r="F334" s="110"/>
      <c r="G334" s="89"/>
      <c r="H334" s="89"/>
      <c r="I334" s="89"/>
      <c r="J334" s="89"/>
      <c r="K334" s="89"/>
      <c r="L334" s="89"/>
      <c r="M334" s="89"/>
      <c r="N334" s="89"/>
      <c r="O334" s="89"/>
      <c r="P334" s="89"/>
      <c r="Q334" s="89"/>
      <c r="R334" s="89"/>
      <c r="S334" s="89"/>
      <c r="T334" s="89"/>
      <c r="U334" s="89"/>
      <c r="V334" s="89"/>
      <c r="W334" s="89"/>
      <c r="X334" s="89"/>
      <c r="Y334" s="89"/>
      <c r="Z334" s="89"/>
      <c r="AA334" s="89"/>
    </row>
    <row r="335" spans="1:27" ht="13.8">
      <c r="A335" s="89"/>
      <c r="B335" s="89"/>
      <c r="C335" s="89"/>
      <c r="D335" s="89"/>
      <c r="E335" s="89"/>
      <c r="F335" s="110"/>
      <c r="G335" s="89"/>
      <c r="H335" s="89"/>
      <c r="I335" s="89"/>
      <c r="J335" s="89"/>
      <c r="K335" s="89"/>
      <c r="L335" s="89"/>
      <c r="M335" s="89"/>
      <c r="N335" s="89"/>
      <c r="O335" s="89"/>
      <c r="P335" s="89"/>
      <c r="Q335" s="89"/>
      <c r="R335" s="89"/>
      <c r="S335" s="89"/>
      <c r="T335" s="89"/>
      <c r="U335" s="89"/>
      <c r="V335" s="89"/>
      <c r="W335" s="89"/>
      <c r="X335" s="89"/>
      <c r="Y335" s="89"/>
      <c r="Z335" s="89"/>
      <c r="AA335" s="89"/>
    </row>
    <row r="336" spans="1:27" ht="13.8">
      <c r="A336" s="89"/>
      <c r="B336" s="89"/>
      <c r="C336" s="89"/>
      <c r="D336" s="89"/>
      <c r="E336" s="89"/>
      <c r="F336" s="110"/>
      <c r="G336" s="89"/>
      <c r="H336" s="89"/>
      <c r="I336" s="89"/>
      <c r="J336" s="89"/>
      <c r="K336" s="89"/>
      <c r="L336" s="89"/>
      <c r="M336" s="89"/>
      <c r="N336" s="89"/>
      <c r="O336" s="89"/>
      <c r="P336" s="89"/>
      <c r="Q336" s="89"/>
      <c r="R336" s="89"/>
      <c r="S336" s="89"/>
      <c r="T336" s="89"/>
      <c r="U336" s="89"/>
      <c r="V336" s="89"/>
      <c r="W336" s="89"/>
      <c r="X336" s="89"/>
      <c r="Y336" s="89"/>
      <c r="Z336" s="89"/>
      <c r="AA336" s="89"/>
    </row>
    <row r="337" spans="1:27" ht="13.8">
      <c r="A337" s="89"/>
      <c r="B337" s="89"/>
      <c r="C337" s="89"/>
      <c r="D337" s="89"/>
      <c r="E337" s="89"/>
      <c r="F337" s="110"/>
      <c r="G337" s="89"/>
      <c r="H337" s="89"/>
      <c r="I337" s="89"/>
      <c r="J337" s="89"/>
      <c r="K337" s="89"/>
      <c r="L337" s="89"/>
      <c r="M337" s="89"/>
      <c r="N337" s="89"/>
      <c r="O337" s="89"/>
      <c r="P337" s="89"/>
      <c r="Q337" s="89"/>
      <c r="R337" s="89"/>
      <c r="S337" s="89"/>
      <c r="T337" s="89"/>
      <c r="U337" s="89"/>
      <c r="V337" s="89"/>
      <c r="W337" s="89"/>
      <c r="X337" s="89"/>
      <c r="Y337" s="89"/>
      <c r="Z337" s="89"/>
      <c r="AA337" s="89"/>
    </row>
    <row r="338" spans="1:27" ht="13.8">
      <c r="A338" s="89"/>
      <c r="B338" s="89"/>
      <c r="C338" s="89"/>
      <c r="D338" s="89"/>
      <c r="E338" s="89"/>
      <c r="F338" s="110"/>
      <c r="G338" s="89"/>
      <c r="H338" s="89"/>
      <c r="I338" s="89"/>
      <c r="J338" s="89"/>
      <c r="K338" s="89"/>
      <c r="L338" s="89"/>
      <c r="M338" s="89"/>
      <c r="N338" s="89"/>
      <c r="O338" s="89"/>
      <c r="P338" s="89"/>
      <c r="Q338" s="89"/>
      <c r="R338" s="89"/>
      <c r="S338" s="89"/>
      <c r="T338" s="89"/>
      <c r="U338" s="89"/>
      <c r="V338" s="89"/>
      <c r="W338" s="89"/>
      <c r="X338" s="89"/>
      <c r="Y338" s="89"/>
      <c r="Z338" s="89"/>
      <c r="AA338" s="89"/>
    </row>
    <row r="339" spans="1:27" ht="13.8">
      <c r="A339" s="89"/>
      <c r="B339" s="89"/>
      <c r="C339" s="89"/>
      <c r="D339" s="89"/>
      <c r="E339" s="89"/>
      <c r="F339" s="110"/>
      <c r="G339" s="89"/>
      <c r="H339" s="89"/>
      <c r="I339" s="89"/>
      <c r="J339" s="89"/>
      <c r="K339" s="89"/>
      <c r="L339" s="89"/>
      <c r="M339" s="89"/>
      <c r="N339" s="89"/>
      <c r="O339" s="89"/>
      <c r="P339" s="89"/>
      <c r="Q339" s="89"/>
      <c r="R339" s="89"/>
      <c r="S339" s="89"/>
      <c r="T339" s="89"/>
      <c r="U339" s="89"/>
      <c r="V339" s="89"/>
      <c r="W339" s="89"/>
      <c r="X339" s="89"/>
      <c r="Y339" s="89"/>
      <c r="Z339" s="89"/>
      <c r="AA339" s="89"/>
    </row>
    <row r="340" spans="1:27" ht="13.8">
      <c r="A340" s="89"/>
      <c r="B340" s="89"/>
      <c r="C340" s="89"/>
      <c r="D340" s="89"/>
      <c r="E340" s="89"/>
      <c r="F340" s="110"/>
      <c r="G340" s="89"/>
      <c r="H340" s="89"/>
      <c r="I340" s="89"/>
      <c r="J340" s="89"/>
      <c r="K340" s="89"/>
      <c r="L340" s="89"/>
      <c r="M340" s="89"/>
      <c r="N340" s="89"/>
      <c r="O340" s="89"/>
      <c r="P340" s="89"/>
      <c r="Q340" s="89"/>
      <c r="R340" s="89"/>
      <c r="S340" s="89"/>
      <c r="T340" s="89"/>
      <c r="U340" s="89"/>
      <c r="V340" s="89"/>
      <c r="W340" s="89"/>
      <c r="X340" s="89"/>
      <c r="Y340" s="89"/>
      <c r="Z340" s="89"/>
      <c r="AA340" s="89"/>
    </row>
    <row r="341" spans="1:27" ht="13.8">
      <c r="A341" s="89"/>
      <c r="B341" s="89"/>
      <c r="C341" s="89"/>
      <c r="D341" s="89"/>
      <c r="E341" s="89"/>
      <c r="F341" s="110"/>
      <c r="G341" s="89"/>
      <c r="H341" s="89"/>
      <c r="I341" s="89"/>
      <c r="J341" s="89"/>
      <c r="K341" s="89"/>
      <c r="L341" s="89"/>
      <c r="M341" s="89"/>
      <c r="N341" s="89"/>
      <c r="O341" s="89"/>
      <c r="P341" s="89"/>
      <c r="Q341" s="89"/>
      <c r="R341" s="89"/>
      <c r="S341" s="89"/>
      <c r="T341" s="89"/>
      <c r="U341" s="89"/>
      <c r="V341" s="89"/>
      <c r="W341" s="89"/>
      <c r="X341" s="89"/>
      <c r="Y341" s="89"/>
      <c r="Z341" s="89"/>
      <c r="AA341" s="89"/>
    </row>
    <row r="342" spans="1:27" ht="13.8">
      <c r="A342" s="89"/>
      <c r="B342" s="89"/>
      <c r="C342" s="89"/>
      <c r="D342" s="89"/>
      <c r="E342" s="89"/>
      <c r="F342" s="110"/>
      <c r="G342" s="89"/>
      <c r="H342" s="89"/>
      <c r="I342" s="89"/>
      <c r="J342" s="89"/>
      <c r="K342" s="89"/>
      <c r="L342" s="89"/>
      <c r="M342" s="89"/>
      <c r="N342" s="89"/>
      <c r="O342" s="89"/>
      <c r="P342" s="89"/>
      <c r="Q342" s="89"/>
      <c r="R342" s="89"/>
      <c r="S342" s="89"/>
      <c r="T342" s="89"/>
      <c r="U342" s="89"/>
      <c r="V342" s="89"/>
      <c r="W342" s="89"/>
      <c r="X342" s="89"/>
      <c r="Y342" s="89"/>
      <c r="Z342" s="89"/>
      <c r="AA342" s="89"/>
    </row>
    <row r="343" spans="1:27" ht="13.8">
      <c r="A343" s="89"/>
      <c r="B343" s="89"/>
      <c r="C343" s="89"/>
      <c r="D343" s="89"/>
      <c r="E343" s="89"/>
      <c r="F343" s="110"/>
      <c r="G343" s="89"/>
      <c r="H343" s="89"/>
      <c r="I343" s="89"/>
      <c r="J343" s="89"/>
      <c r="K343" s="89"/>
      <c r="L343" s="89"/>
      <c r="M343" s="89"/>
      <c r="N343" s="89"/>
      <c r="O343" s="89"/>
      <c r="P343" s="89"/>
      <c r="Q343" s="89"/>
      <c r="R343" s="89"/>
      <c r="S343" s="89"/>
      <c r="T343" s="89"/>
      <c r="U343" s="89"/>
      <c r="V343" s="89"/>
      <c r="W343" s="89"/>
      <c r="X343" s="89"/>
      <c r="Y343" s="89"/>
      <c r="Z343" s="89"/>
      <c r="AA343" s="89"/>
    </row>
    <row r="344" spans="1:27" ht="13.8">
      <c r="A344" s="89"/>
      <c r="B344" s="89"/>
      <c r="C344" s="89"/>
      <c r="D344" s="89"/>
      <c r="E344" s="89"/>
      <c r="F344" s="110"/>
      <c r="G344" s="89"/>
      <c r="H344" s="89"/>
      <c r="I344" s="89"/>
      <c r="J344" s="89"/>
      <c r="K344" s="89"/>
      <c r="L344" s="89"/>
      <c r="M344" s="89"/>
      <c r="N344" s="89"/>
      <c r="O344" s="89"/>
      <c r="P344" s="89"/>
      <c r="Q344" s="89"/>
      <c r="R344" s="89"/>
      <c r="S344" s="89"/>
      <c r="T344" s="89"/>
      <c r="U344" s="89"/>
      <c r="V344" s="89"/>
      <c r="W344" s="89"/>
      <c r="X344" s="89"/>
      <c r="Y344" s="89"/>
      <c r="Z344" s="89"/>
      <c r="AA344" s="89"/>
    </row>
    <row r="345" spans="1:27" ht="13.8">
      <c r="A345" s="89"/>
      <c r="B345" s="89"/>
      <c r="C345" s="89"/>
      <c r="D345" s="89"/>
      <c r="E345" s="89"/>
      <c r="F345" s="110"/>
      <c r="G345" s="89"/>
      <c r="H345" s="89"/>
      <c r="I345" s="89"/>
      <c r="J345" s="89"/>
      <c r="K345" s="89"/>
      <c r="L345" s="89"/>
      <c r="M345" s="89"/>
      <c r="N345" s="89"/>
      <c r="O345" s="89"/>
      <c r="P345" s="89"/>
      <c r="Q345" s="89"/>
      <c r="R345" s="89"/>
      <c r="S345" s="89"/>
      <c r="T345" s="89"/>
      <c r="U345" s="89"/>
      <c r="V345" s="89"/>
      <c r="W345" s="89"/>
      <c r="X345" s="89"/>
      <c r="Y345" s="89"/>
      <c r="Z345" s="89"/>
      <c r="AA345" s="89"/>
    </row>
    <row r="346" spans="1:27" ht="13.8">
      <c r="A346" s="89"/>
      <c r="B346" s="89"/>
      <c r="C346" s="89"/>
      <c r="D346" s="89"/>
      <c r="E346" s="89"/>
      <c r="F346" s="110"/>
      <c r="G346" s="89"/>
      <c r="H346" s="89"/>
      <c r="I346" s="89"/>
      <c r="J346" s="89"/>
      <c r="K346" s="89"/>
      <c r="L346" s="89"/>
      <c r="M346" s="89"/>
      <c r="N346" s="89"/>
      <c r="O346" s="89"/>
      <c r="P346" s="89"/>
      <c r="Q346" s="89"/>
      <c r="R346" s="89"/>
      <c r="S346" s="89"/>
      <c r="T346" s="89"/>
      <c r="U346" s="89"/>
      <c r="V346" s="89"/>
      <c r="W346" s="89"/>
      <c r="X346" s="89"/>
      <c r="Y346" s="89"/>
      <c r="Z346" s="89"/>
      <c r="AA346" s="89"/>
    </row>
    <row r="347" spans="1:27" ht="13.8">
      <c r="A347" s="89"/>
      <c r="B347" s="89"/>
      <c r="C347" s="89"/>
      <c r="D347" s="89"/>
      <c r="E347" s="89"/>
      <c r="F347" s="110"/>
      <c r="G347" s="89"/>
      <c r="H347" s="89"/>
      <c r="I347" s="89"/>
      <c r="J347" s="89"/>
      <c r="K347" s="89"/>
      <c r="L347" s="89"/>
      <c r="M347" s="89"/>
      <c r="N347" s="89"/>
      <c r="O347" s="89"/>
      <c r="P347" s="89"/>
      <c r="Q347" s="89"/>
      <c r="R347" s="89"/>
      <c r="S347" s="89"/>
      <c r="T347" s="89"/>
      <c r="U347" s="89"/>
      <c r="V347" s="89"/>
      <c r="W347" s="89"/>
      <c r="X347" s="89"/>
      <c r="Y347" s="89"/>
      <c r="Z347" s="89"/>
      <c r="AA347" s="89"/>
    </row>
    <row r="348" spans="1:27" ht="13.8">
      <c r="A348" s="89"/>
      <c r="B348" s="89"/>
      <c r="C348" s="89"/>
      <c r="D348" s="89"/>
      <c r="E348" s="89"/>
      <c r="F348" s="110"/>
      <c r="G348" s="89"/>
      <c r="H348" s="89"/>
      <c r="I348" s="89"/>
      <c r="J348" s="89"/>
      <c r="K348" s="89"/>
      <c r="L348" s="89"/>
      <c r="M348" s="89"/>
      <c r="N348" s="89"/>
      <c r="O348" s="89"/>
      <c r="P348" s="89"/>
      <c r="Q348" s="89"/>
      <c r="R348" s="89"/>
      <c r="S348" s="89"/>
      <c r="T348" s="89"/>
      <c r="U348" s="89"/>
      <c r="V348" s="89"/>
      <c r="W348" s="89"/>
      <c r="X348" s="89"/>
      <c r="Y348" s="89"/>
      <c r="Z348" s="89"/>
      <c r="AA348" s="89"/>
    </row>
    <row r="349" spans="1:27" ht="13.8">
      <c r="A349" s="89"/>
      <c r="B349" s="89"/>
      <c r="C349" s="89"/>
      <c r="D349" s="89"/>
      <c r="E349" s="89"/>
      <c r="F349" s="110"/>
      <c r="G349" s="89"/>
      <c r="H349" s="89"/>
      <c r="I349" s="89"/>
      <c r="J349" s="89"/>
      <c r="K349" s="89"/>
      <c r="L349" s="89"/>
      <c r="M349" s="89"/>
      <c r="N349" s="89"/>
      <c r="O349" s="89"/>
      <c r="P349" s="89"/>
      <c r="Q349" s="89"/>
      <c r="R349" s="89"/>
      <c r="S349" s="89"/>
      <c r="T349" s="89"/>
      <c r="U349" s="89"/>
      <c r="V349" s="89"/>
      <c r="W349" s="89"/>
      <c r="X349" s="89"/>
      <c r="Y349" s="89"/>
      <c r="Z349" s="89"/>
      <c r="AA349" s="89"/>
    </row>
    <row r="350" spans="1:27" ht="13.8">
      <c r="A350" s="89"/>
      <c r="B350" s="89"/>
      <c r="C350" s="89"/>
      <c r="D350" s="89"/>
      <c r="E350" s="89"/>
      <c r="F350" s="110"/>
      <c r="G350" s="89"/>
      <c r="H350" s="89"/>
      <c r="I350" s="89"/>
      <c r="J350" s="89"/>
      <c r="K350" s="89"/>
      <c r="L350" s="89"/>
      <c r="M350" s="89"/>
      <c r="N350" s="89"/>
      <c r="O350" s="89"/>
      <c r="P350" s="89"/>
      <c r="Q350" s="89"/>
      <c r="R350" s="89"/>
      <c r="S350" s="89"/>
      <c r="T350" s="89"/>
      <c r="U350" s="89"/>
      <c r="V350" s="89"/>
      <c r="W350" s="89"/>
      <c r="X350" s="89"/>
      <c r="Y350" s="89"/>
      <c r="Z350" s="89"/>
      <c r="AA350" s="89"/>
    </row>
    <row r="351" spans="1:27" ht="13.8">
      <c r="A351" s="89"/>
      <c r="B351" s="89"/>
      <c r="C351" s="89"/>
      <c r="D351" s="89"/>
      <c r="E351" s="89"/>
      <c r="F351" s="110"/>
      <c r="G351" s="89"/>
      <c r="H351" s="89"/>
      <c r="I351" s="89"/>
      <c r="J351" s="89"/>
      <c r="K351" s="89"/>
      <c r="L351" s="89"/>
      <c r="M351" s="89"/>
      <c r="N351" s="89"/>
      <c r="O351" s="89"/>
      <c r="P351" s="89"/>
      <c r="Q351" s="89"/>
      <c r="R351" s="89"/>
      <c r="S351" s="89"/>
      <c r="T351" s="89"/>
      <c r="U351" s="89"/>
      <c r="V351" s="89"/>
      <c r="W351" s="89"/>
      <c r="X351" s="89"/>
      <c r="Y351" s="89"/>
      <c r="Z351" s="89"/>
      <c r="AA351" s="89"/>
    </row>
    <row r="352" spans="1:27" ht="13.8">
      <c r="A352" s="89"/>
      <c r="B352" s="89"/>
      <c r="C352" s="89"/>
      <c r="D352" s="89"/>
      <c r="E352" s="89"/>
      <c r="F352" s="110"/>
      <c r="G352" s="89"/>
      <c r="H352" s="89"/>
      <c r="I352" s="89"/>
      <c r="J352" s="89"/>
      <c r="K352" s="89"/>
      <c r="L352" s="89"/>
      <c r="M352" s="89"/>
      <c r="N352" s="89"/>
      <c r="O352" s="89"/>
      <c r="P352" s="89"/>
      <c r="Q352" s="89"/>
      <c r="R352" s="89"/>
      <c r="S352" s="89"/>
      <c r="T352" s="89"/>
      <c r="U352" s="89"/>
      <c r="V352" s="89"/>
      <c r="W352" s="89"/>
      <c r="X352" s="89"/>
      <c r="Y352" s="89"/>
      <c r="Z352" s="89"/>
      <c r="AA352" s="89"/>
    </row>
    <row r="353" spans="1:27" ht="13.8">
      <c r="A353" s="89"/>
      <c r="B353" s="89"/>
      <c r="C353" s="89"/>
      <c r="D353" s="89"/>
      <c r="E353" s="89"/>
      <c r="F353" s="110"/>
      <c r="G353" s="89"/>
      <c r="H353" s="89"/>
      <c r="I353" s="89"/>
      <c r="J353" s="89"/>
      <c r="K353" s="89"/>
      <c r="L353" s="89"/>
      <c r="M353" s="89"/>
      <c r="N353" s="89"/>
      <c r="O353" s="89"/>
      <c r="P353" s="89"/>
      <c r="Q353" s="89"/>
      <c r="R353" s="89"/>
      <c r="S353" s="89"/>
      <c r="T353" s="89"/>
      <c r="U353" s="89"/>
      <c r="V353" s="89"/>
      <c r="W353" s="89"/>
      <c r="X353" s="89"/>
      <c r="Y353" s="89"/>
      <c r="Z353" s="89"/>
      <c r="AA353" s="89"/>
    </row>
    <row r="354" spans="1:27" ht="13.8">
      <c r="A354" s="89"/>
      <c r="B354" s="89"/>
      <c r="C354" s="89"/>
      <c r="D354" s="89"/>
      <c r="E354" s="89"/>
      <c r="F354" s="110"/>
      <c r="G354" s="89"/>
      <c r="H354" s="89"/>
      <c r="I354" s="89"/>
      <c r="J354" s="89"/>
      <c r="K354" s="89"/>
      <c r="L354" s="89"/>
      <c r="M354" s="89"/>
      <c r="N354" s="89"/>
      <c r="O354" s="89"/>
      <c r="P354" s="89"/>
      <c r="Q354" s="89"/>
      <c r="R354" s="89"/>
      <c r="S354" s="89"/>
      <c r="T354" s="89"/>
      <c r="U354" s="89"/>
      <c r="V354" s="89"/>
      <c r="W354" s="89"/>
      <c r="X354" s="89"/>
      <c r="Y354" s="89"/>
      <c r="Z354" s="89"/>
      <c r="AA354" s="89"/>
    </row>
    <row r="355" spans="1:27" ht="13.8">
      <c r="A355" s="89"/>
      <c r="B355" s="89"/>
      <c r="C355" s="89"/>
      <c r="D355" s="89"/>
      <c r="E355" s="89"/>
      <c r="F355" s="110"/>
      <c r="G355" s="89"/>
      <c r="H355" s="89"/>
      <c r="I355" s="89"/>
      <c r="J355" s="89"/>
      <c r="K355" s="89"/>
      <c r="L355" s="89"/>
      <c r="M355" s="89"/>
      <c r="N355" s="89"/>
      <c r="O355" s="89"/>
      <c r="P355" s="89"/>
      <c r="Q355" s="89"/>
      <c r="R355" s="89"/>
      <c r="S355" s="89"/>
      <c r="T355" s="89"/>
      <c r="U355" s="89"/>
      <c r="V355" s="89"/>
      <c r="W355" s="89"/>
      <c r="X355" s="89"/>
      <c r="Y355" s="89"/>
      <c r="Z355" s="89"/>
      <c r="AA355" s="89"/>
    </row>
    <row r="356" spans="1:27" ht="13.8">
      <c r="A356" s="89"/>
      <c r="B356" s="89"/>
      <c r="C356" s="89"/>
      <c r="D356" s="89"/>
      <c r="E356" s="89"/>
      <c r="F356" s="110"/>
      <c r="G356" s="89"/>
      <c r="H356" s="89"/>
      <c r="I356" s="89"/>
      <c r="J356" s="89"/>
      <c r="K356" s="89"/>
      <c r="L356" s="89"/>
      <c r="M356" s="89"/>
      <c r="N356" s="89"/>
      <c r="O356" s="89"/>
      <c r="P356" s="89"/>
      <c r="Q356" s="89"/>
      <c r="R356" s="89"/>
      <c r="S356" s="89"/>
      <c r="T356" s="89"/>
      <c r="U356" s="89"/>
      <c r="V356" s="89"/>
      <c r="W356" s="89"/>
      <c r="X356" s="89"/>
      <c r="Y356" s="89"/>
      <c r="Z356" s="89"/>
      <c r="AA356" s="89"/>
    </row>
    <row r="357" spans="1:27" ht="13.8">
      <c r="A357" s="89"/>
      <c r="B357" s="89"/>
      <c r="C357" s="89"/>
      <c r="D357" s="89"/>
      <c r="E357" s="89"/>
      <c r="F357" s="110"/>
      <c r="G357" s="89"/>
      <c r="H357" s="89"/>
      <c r="I357" s="89"/>
      <c r="J357" s="89"/>
      <c r="K357" s="89"/>
      <c r="L357" s="89"/>
      <c r="M357" s="89"/>
      <c r="N357" s="89"/>
      <c r="O357" s="89"/>
      <c r="P357" s="89"/>
      <c r="Q357" s="89"/>
      <c r="R357" s="89"/>
      <c r="S357" s="89"/>
      <c r="T357" s="89"/>
      <c r="U357" s="89"/>
      <c r="V357" s="89"/>
      <c r="W357" s="89"/>
      <c r="X357" s="89"/>
      <c r="Y357" s="89"/>
      <c r="Z357" s="89"/>
      <c r="AA357" s="89"/>
    </row>
    <row r="358" spans="1:27" ht="13.8">
      <c r="A358" s="89"/>
      <c r="B358" s="89"/>
      <c r="C358" s="89"/>
      <c r="D358" s="89"/>
      <c r="E358" s="89"/>
      <c r="F358" s="110"/>
      <c r="G358" s="89"/>
      <c r="H358" s="89"/>
      <c r="I358" s="89"/>
      <c r="J358" s="89"/>
      <c r="K358" s="89"/>
      <c r="L358" s="89"/>
      <c r="M358" s="89"/>
      <c r="N358" s="89"/>
      <c r="O358" s="89"/>
      <c r="P358" s="89"/>
      <c r="Q358" s="89"/>
      <c r="R358" s="89"/>
      <c r="S358" s="89"/>
      <c r="T358" s="89"/>
      <c r="U358" s="89"/>
      <c r="V358" s="89"/>
      <c r="W358" s="89"/>
      <c r="X358" s="89"/>
      <c r="Y358" s="89"/>
      <c r="Z358" s="89"/>
      <c r="AA358" s="89"/>
    </row>
    <row r="359" spans="1:27" ht="13.8">
      <c r="A359" s="89"/>
      <c r="B359" s="89"/>
      <c r="C359" s="89"/>
      <c r="D359" s="89"/>
      <c r="E359" s="89"/>
      <c r="F359" s="110"/>
      <c r="G359" s="89"/>
      <c r="H359" s="89"/>
      <c r="I359" s="89"/>
      <c r="J359" s="89"/>
      <c r="K359" s="89"/>
      <c r="L359" s="89"/>
      <c r="M359" s="89"/>
      <c r="N359" s="89"/>
      <c r="O359" s="89"/>
      <c r="P359" s="89"/>
      <c r="Q359" s="89"/>
      <c r="R359" s="89"/>
      <c r="S359" s="89"/>
      <c r="T359" s="89"/>
      <c r="U359" s="89"/>
      <c r="V359" s="89"/>
      <c r="W359" s="89"/>
      <c r="X359" s="89"/>
      <c r="Y359" s="89"/>
      <c r="Z359" s="89"/>
      <c r="AA359" s="89"/>
    </row>
    <row r="360" spans="1:27" ht="13.8">
      <c r="A360" s="89"/>
      <c r="B360" s="89"/>
      <c r="C360" s="89"/>
      <c r="D360" s="89"/>
      <c r="E360" s="89"/>
      <c r="F360" s="110"/>
      <c r="G360" s="89"/>
      <c r="H360" s="89"/>
      <c r="I360" s="89"/>
      <c r="J360" s="89"/>
      <c r="K360" s="89"/>
      <c r="L360" s="89"/>
      <c r="M360" s="89"/>
      <c r="N360" s="89"/>
      <c r="O360" s="89"/>
      <c r="P360" s="89"/>
      <c r="Q360" s="89"/>
      <c r="R360" s="89"/>
      <c r="S360" s="89"/>
      <c r="T360" s="89"/>
      <c r="U360" s="89"/>
      <c r="V360" s="89"/>
      <c r="W360" s="89"/>
      <c r="X360" s="89"/>
      <c r="Y360" s="89"/>
      <c r="Z360" s="89"/>
      <c r="AA360" s="89"/>
    </row>
    <row r="361" spans="1:27" ht="13.8">
      <c r="A361" s="89"/>
      <c r="B361" s="89"/>
      <c r="C361" s="89"/>
      <c r="D361" s="89"/>
      <c r="E361" s="89"/>
      <c r="F361" s="110"/>
      <c r="G361" s="89"/>
      <c r="H361" s="89"/>
      <c r="I361" s="89"/>
      <c r="J361" s="89"/>
      <c r="K361" s="89"/>
      <c r="L361" s="89"/>
      <c r="M361" s="89"/>
      <c r="N361" s="89"/>
      <c r="O361" s="89"/>
      <c r="P361" s="89"/>
      <c r="Q361" s="89"/>
      <c r="R361" s="89"/>
      <c r="S361" s="89"/>
      <c r="T361" s="89"/>
      <c r="U361" s="89"/>
      <c r="V361" s="89"/>
      <c r="W361" s="89"/>
      <c r="X361" s="89"/>
      <c r="Y361" s="89"/>
      <c r="Z361" s="89"/>
      <c r="AA361" s="89"/>
    </row>
    <row r="362" spans="1:27" ht="13.8">
      <c r="A362" s="89"/>
      <c r="B362" s="89"/>
      <c r="C362" s="89"/>
      <c r="D362" s="89"/>
      <c r="E362" s="89"/>
      <c r="F362" s="110"/>
      <c r="G362" s="89"/>
      <c r="H362" s="89"/>
      <c r="I362" s="89"/>
      <c r="J362" s="89"/>
      <c r="K362" s="89"/>
      <c r="L362" s="89"/>
      <c r="M362" s="89"/>
      <c r="N362" s="89"/>
      <c r="O362" s="89"/>
      <c r="P362" s="89"/>
      <c r="Q362" s="89"/>
      <c r="R362" s="89"/>
      <c r="S362" s="89"/>
      <c r="T362" s="89"/>
      <c r="U362" s="89"/>
      <c r="V362" s="89"/>
      <c r="W362" s="89"/>
      <c r="X362" s="89"/>
      <c r="Y362" s="89"/>
      <c r="Z362" s="89"/>
      <c r="AA362" s="89"/>
    </row>
    <row r="363" spans="1:27" ht="13.8">
      <c r="A363" s="89"/>
      <c r="B363" s="89"/>
      <c r="C363" s="89"/>
      <c r="D363" s="89"/>
      <c r="E363" s="89"/>
      <c r="F363" s="110"/>
      <c r="G363" s="89"/>
      <c r="H363" s="89"/>
      <c r="I363" s="89"/>
      <c r="J363" s="89"/>
      <c r="K363" s="89"/>
      <c r="L363" s="89"/>
      <c r="M363" s="89"/>
      <c r="N363" s="89"/>
      <c r="O363" s="89"/>
      <c r="P363" s="89"/>
      <c r="Q363" s="89"/>
      <c r="R363" s="89"/>
      <c r="S363" s="89"/>
      <c r="T363" s="89"/>
      <c r="U363" s="89"/>
      <c r="V363" s="89"/>
      <c r="W363" s="89"/>
      <c r="X363" s="89"/>
      <c r="Y363" s="89"/>
      <c r="Z363" s="89"/>
      <c r="AA363" s="89"/>
    </row>
    <row r="364" spans="1:27" ht="13.8">
      <c r="A364" s="89"/>
      <c r="B364" s="89"/>
      <c r="C364" s="89"/>
      <c r="D364" s="89"/>
      <c r="E364" s="89"/>
      <c r="F364" s="110"/>
      <c r="G364" s="89"/>
      <c r="H364" s="89"/>
      <c r="I364" s="89"/>
      <c r="J364" s="89"/>
      <c r="K364" s="89"/>
      <c r="L364" s="89"/>
      <c r="M364" s="89"/>
      <c r="N364" s="89"/>
      <c r="O364" s="89"/>
      <c r="P364" s="89"/>
      <c r="Q364" s="89"/>
      <c r="R364" s="89"/>
      <c r="S364" s="89"/>
      <c r="T364" s="89"/>
      <c r="U364" s="89"/>
      <c r="V364" s="89"/>
      <c r="W364" s="89"/>
      <c r="X364" s="89"/>
      <c r="Y364" s="89"/>
      <c r="Z364" s="89"/>
      <c r="AA364" s="89"/>
    </row>
    <row r="365" spans="1:27" ht="13.8">
      <c r="A365" s="89"/>
      <c r="B365" s="89"/>
      <c r="C365" s="89"/>
      <c r="D365" s="89"/>
      <c r="E365" s="89"/>
      <c r="F365" s="110"/>
      <c r="G365" s="89"/>
      <c r="H365" s="89"/>
      <c r="I365" s="89"/>
      <c r="J365" s="89"/>
      <c r="K365" s="89"/>
      <c r="L365" s="89"/>
      <c r="M365" s="89"/>
      <c r="N365" s="89"/>
      <c r="O365" s="89"/>
      <c r="P365" s="89"/>
      <c r="Q365" s="89"/>
      <c r="R365" s="89"/>
      <c r="S365" s="89"/>
      <c r="T365" s="89"/>
      <c r="U365" s="89"/>
      <c r="V365" s="89"/>
      <c r="W365" s="89"/>
      <c r="X365" s="89"/>
      <c r="Y365" s="89"/>
      <c r="Z365" s="89"/>
      <c r="AA365" s="89"/>
    </row>
    <row r="366" spans="1:27" ht="13.8">
      <c r="A366" s="89"/>
      <c r="B366" s="89"/>
      <c r="C366" s="89"/>
      <c r="D366" s="89"/>
      <c r="E366" s="89"/>
      <c r="F366" s="110"/>
      <c r="G366" s="89"/>
      <c r="H366" s="89"/>
      <c r="I366" s="89"/>
      <c r="J366" s="89"/>
      <c r="K366" s="89"/>
      <c r="L366" s="89"/>
      <c r="M366" s="89"/>
      <c r="N366" s="89"/>
      <c r="O366" s="89"/>
      <c r="P366" s="89"/>
      <c r="Q366" s="89"/>
      <c r="R366" s="89"/>
      <c r="S366" s="89"/>
      <c r="T366" s="89"/>
      <c r="U366" s="89"/>
      <c r="V366" s="89"/>
      <c r="W366" s="89"/>
      <c r="X366" s="89"/>
      <c r="Y366" s="89"/>
      <c r="Z366" s="89"/>
      <c r="AA366" s="89"/>
    </row>
    <row r="367" spans="1:27" ht="13.8">
      <c r="A367" s="89"/>
      <c r="B367" s="89"/>
      <c r="C367" s="89"/>
      <c r="D367" s="89"/>
      <c r="E367" s="89"/>
      <c r="F367" s="110"/>
      <c r="G367" s="89"/>
      <c r="H367" s="89"/>
      <c r="I367" s="89"/>
      <c r="J367" s="89"/>
      <c r="K367" s="89"/>
      <c r="L367" s="89"/>
      <c r="M367" s="89"/>
      <c r="N367" s="89"/>
      <c r="O367" s="89"/>
      <c r="P367" s="89"/>
      <c r="Q367" s="89"/>
      <c r="R367" s="89"/>
      <c r="S367" s="89"/>
      <c r="T367" s="89"/>
      <c r="U367" s="89"/>
      <c r="V367" s="89"/>
      <c r="W367" s="89"/>
      <c r="X367" s="89"/>
      <c r="Y367" s="89"/>
      <c r="Z367" s="89"/>
      <c r="AA367" s="89"/>
    </row>
    <row r="368" spans="1:27" ht="13.8">
      <c r="A368" s="89"/>
      <c r="B368" s="89"/>
      <c r="C368" s="89"/>
      <c r="D368" s="89"/>
      <c r="E368" s="89"/>
      <c r="F368" s="110"/>
      <c r="G368" s="89"/>
      <c r="H368" s="89"/>
      <c r="I368" s="89"/>
      <c r="J368" s="89"/>
      <c r="K368" s="89"/>
      <c r="L368" s="89"/>
      <c r="M368" s="89"/>
      <c r="N368" s="89"/>
      <c r="O368" s="89"/>
      <c r="P368" s="89"/>
      <c r="Q368" s="89"/>
      <c r="R368" s="89"/>
      <c r="S368" s="89"/>
      <c r="T368" s="89"/>
      <c r="U368" s="89"/>
      <c r="V368" s="89"/>
      <c r="W368" s="89"/>
      <c r="X368" s="89"/>
      <c r="Y368" s="89"/>
      <c r="Z368" s="89"/>
      <c r="AA368" s="89"/>
    </row>
    <row r="369" spans="1:27" ht="13.8">
      <c r="A369" s="89"/>
      <c r="B369" s="89"/>
      <c r="C369" s="89"/>
      <c r="D369" s="89"/>
      <c r="E369" s="89"/>
      <c r="F369" s="110"/>
      <c r="G369" s="89"/>
      <c r="H369" s="89"/>
      <c r="I369" s="89"/>
      <c r="J369" s="89"/>
      <c r="K369" s="89"/>
      <c r="L369" s="89"/>
      <c r="M369" s="89"/>
      <c r="N369" s="89"/>
      <c r="O369" s="89"/>
      <c r="P369" s="89"/>
      <c r="Q369" s="89"/>
      <c r="R369" s="89"/>
      <c r="S369" s="89"/>
      <c r="T369" s="89"/>
      <c r="U369" s="89"/>
      <c r="V369" s="89"/>
      <c r="W369" s="89"/>
      <c r="X369" s="89"/>
      <c r="Y369" s="89"/>
      <c r="Z369" s="89"/>
      <c r="AA369" s="89"/>
    </row>
    <row r="370" spans="1:27" ht="13.8">
      <c r="A370" s="89"/>
      <c r="B370" s="89"/>
      <c r="C370" s="89"/>
      <c r="D370" s="89"/>
      <c r="E370" s="89"/>
      <c r="F370" s="110"/>
      <c r="G370" s="89"/>
      <c r="H370" s="89"/>
      <c r="I370" s="89"/>
      <c r="J370" s="89"/>
      <c r="K370" s="89"/>
      <c r="L370" s="89"/>
      <c r="M370" s="89"/>
      <c r="N370" s="89"/>
      <c r="O370" s="89"/>
      <c r="P370" s="89"/>
      <c r="Q370" s="89"/>
      <c r="R370" s="89"/>
      <c r="S370" s="89"/>
      <c r="T370" s="89"/>
      <c r="U370" s="89"/>
      <c r="V370" s="89"/>
      <c r="W370" s="89"/>
      <c r="X370" s="89"/>
      <c r="Y370" s="89"/>
      <c r="Z370" s="89"/>
      <c r="AA370" s="89"/>
    </row>
    <row r="371" spans="1:27" ht="13.8">
      <c r="A371" s="89"/>
      <c r="B371" s="89"/>
      <c r="C371" s="89"/>
      <c r="D371" s="89"/>
      <c r="E371" s="89"/>
      <c r="F371" s="110"/>
      <c r="G371" s="89"/>
      <c r="H371" s="89"/>
      <c r="I371" s="89"/>
      <c r="J371" s="89"/>
      <c r="K371" s="89"/>
      <c r="L371" s="89"/>
      <c r="M371" s="89"/>
      <c r="N371" s="89"/>
      <c r="O371" s="89"/>
      <c r="P371" s="89"/>
      <c r="Q371" s="89"/>
      <c r="R371" s="89"/>
      <c r="S371" s="89"/>
      <c r="T371" s="89"/>
      <c r="U371" s="89"/>
      <c r="V371" s="89"/>
      <c r="W371" s="89"/>
      <c r="X371" s="89"/>
      <c r="Y371" s="89"/>
      <c r="Z371" s="89"/>
      <c r="AA371" s="89"/>
    </row>
    <row r="372" spans="1:27" ht="13.8">
      <c r="A372" s="89"/>
      <c r="B372" s="89"/>
      <c r="C372" s="89"/>
      <c r="D372" s="89"/>
      <c r="E372" s="89"/>
      <c r="F372" s="110"/>
      <c r="G372" s="89"/>
      <c r="H372" s="89"/>
      <c r="I372" s="89"/>
      <c r="J372" s="89"/>
      <c r="K372" s="89"/>
      <c r="L372" s="89"/>
      <c r="M372" s="89"/>
      <c r="N372" s="89"/>
      <c r="O372" s="89"/>
      <c r="P372" s="89"/>
      <c r="Q372" s="89"/>
      <c r="R372" s="89"/>
      <c r="S372" s="89"/>
      <c r="T372" s="89"/>
      <c r="U372" s="89"/>
      <c r="V372" s="89"/>
      <c r="W372" s="89"/>
      <c r="X372" s="89"/>
      <c r="Y372" s="89"/>
      <c r="Z372" s="89"/>
      <c r="AA372" s="89"/>
    </row>
    <row r="373" spans="1:27" ht="13.8">
      <c r="A373" s="89"/>
      <c r="B373" s="89"/>
      <c r="C373" s="89"/>
      <c r="D373" s="89"/>
      <c r="E373" s="89"/>
      <c r="F373" s="110"/>
      <c r="G373" s="89"/>
      <c r="H373" s="89"/>
      <c r="I373" s="89"/>
      <c r="J373" s="89"/>
      <c r="K373" s="89"/>
      <c r="L373" s="89"/>
      <c r="M373" s="89"/>
      <c r="N373" s="89"/>
      <c r="O373" s="89"/>
      <c r="P373" s="89"/>
      <c r="Q373" s="89"/>
      <c r="R373" s="89"/>
      <c r="S373" s="89"/>
      <c r="T373" s="89"/>
      <c r="U373" s="89"/>
      <c r="V373" s="89"/>
      <c r="W373" s="89"/>
      <c r="X373" s="89"/>
      <c r="Y373" s="89"/>
      <c r="Z373" s="89"/>
      <c r="AA373" s="89"/>
    </row>
    <row r="374" spans="1:27" ht="13.8">
      <c r="A374" s="89"/>
      <c r="B374" s="89"/>
      <c r="C374" s="89"/>
      <c r="D374" s="89"/>
      <c r="E374" s="89"/>
      <c r="F374" s="110"/>
      <c r="G374" s="89"/>
      <c r="H374" s="89"/>
      <c r="I374" s="89"/>
      <c r="J374" s="89"/>
      <c r="K374" s="89"/>
      <c r="L374" s="89"/>
      <c r="M374" s="89"/>
      <c r="N374" s="89"/>
      <c r="O374" s="89"/>
      <c r="P374" s="89"/>
      <c r="Q374" s="89"/>
      <c r="R374" s="89"/>
      <c r="S374" s="89"/>
      <c r="T374" s="89"/>
      <c r="U374" s="89"/>
      <c r="V374" s="89"/>
      <c r="W374" s="89"/>
      <c r="X374" s="89"/>
      <c r="Y374" s="89"/>
      <c r="Z374" s="89"/>
      <c r="AA374" s="89"/>
    </row>
    <row r="375" spans="1:27" ht="13.8">
      <c r="A375" s="89"/>
      <c r="B375" s="89"/>
      <c r="C375" s="89"/>
      <c r="D375" s="89"/>
      <c r="E375" s="89"/>
      <c r="F375" s="110"/>
      <c r="G375" s="89"/>
      <c r="H375" s="89"/>
      <c r="I375" s="89"/>
      <c r="J375" s="89"/>
      <c r="K375" s="89"/>
      <c r="L375" s="89"/>
      <c r="M375" s="89"/>
      <c r="N375" s="89"/>
      <c r="O375" s="89"/>
      <c r="P375" s="89"/>
      <c r="Q375" s="89"/>
      <c r="R375" s="89"/>
      <c r="S375" s="89"/>
      <c r="T375" s="89"/>
      <c r="U375" s="89"/>
      <c r="V375" s="89"/>
      <c r="W375" s="89"/>
      <c r="X375" s="89"/>
      <c r="Y375" s="89"/>
      <c r="Z375" s="89"/>
      <c r="AA375" s="89"/>
    </row>
    <row r="376" spans="1:27" ht="13.8">
      <c r="A376" s="89"/>
      <c r="B376" s="89"/>
      <c r="C376" s="89"/>
      <c r="D376" s="89"/>
      <c r="E376" s="89"/>
      <c r="F376" s="110"/>
      <c r="G376" s="89"/>
      <c r="H376" s="89"/>
      <c r="I376" s="89"/>
      <c r="J376" s="89"/>
      <c r="K376" s="89"/>
      <c r="L376" s="89"/>
      <c r="M376" s="89"/>
      <c r="N376" s="89"/>
      <c r="O376" s="89"/>
      <c r="P376" s="89"/>
      <c r="Q376" s="89"/>
      <c r="R376" s="89"/>
      <c r="S376" s="89"/>
      <c r="T376" s="89"/>
      <c r="U376" s="89"/>
      <c r="V376" s="89"/>
      <c r="W376" s="89"/>
      <c r="X376" s="89"/>
      <c r="Y376" s="89"/>
      <c r="Z376" s="89"/>
      <c r="AA376" s="89"/>
    </row>
    <row r="377" spans="1:27" ht="13.8">
      <c r="A377" s="89"/>
      <c r="B377" s="89"/>
      <c r="C377" s="89"/>
      <c r="D377" s="89"/>
      <c r="E377" s="89"/>
      <c r="F377" s="110"/>
      <c r="G377" s="89"/>
      <c r="H377" s="89"/>
      <c r="I377" s="89"/>
      <c r="J377" s="89"/>
      <c r="K377" s="89"/>
      <c r="L377" s="89"/>
      <c r="M377" s="89"/>
      <c r="N377" s="89"/>
      <c r="O377" s="89"/>
      <c r="P377" s="89"/>
      <c r="Q377" s="89"/>
      <c r="R377" s="89"/>
      <c r="S377" s="89"/>
      <c r="T377" s="89"/>
      <c r="U377" s="89"/>
      <c r="V377" s="89"/>
      <c r="W377" s="89"/>
      <c r="X377" s="89"/>
      <c r="Y377" s="89"/>
      <c r="Z377" s="89"/>
      <c r="AA377" s="89"/>
    </row>
    <row r="378" spans="1:27" ht="13.8">
      <c r="A378" s="89"/>
      <c r="B378" s="89"/>
      <c r="C378" s="89"/>
      <c r="D378" s="89"/>
      <c r="E378" s="89"/>
      <c r="F378" s="110"/>
      <c r="G378" s="89"/>
      <c r="H378" s="89"/>
      <c r="I378" s="89"/>
      <c r="J378" s="89"/>
      <c r="K378" s="89"/>
      <c r="L378" s="89"/>
      <c r="M378" s="89"/>
      <c r="N378" s="89"/>
      <c r="O378" s="89"/>
      <c r="P378" s="89"/>
      <c r="Q378" s="89"/>
      <c r="R378" s="89"/>
      <c r="S378" s="89"/>
      <c r="T378" s="89"/>
      <c r="U378" s="89"/>
      <c r="V378" s="89"/>
      <c r="W378" s="89"/>
      <c r="X378" s="89"/>
      <c r="Y378" s="89"/>
      <c r="Z378" s="89"/>
      <c r="AA378" s="89"/>
    </row>
    <row r="379" spans="1:27" ht="13.8">
      <c r="A379" s="89"/>
      <c r="B379" s="89"/>
      <c r="C379" s="89"/>
      <c r="D379" s="89"/>
      <c r="E379" s="89"/>
      <c r="F379" s="110"/>
      <c r="G379" s="89"/>
      <c r="H379" s="89"/>
      <c r="I379" s="89"/>
      <c r="J379" s="89"/>
      <c r="K379" s="89"/>
      <c r="L379" s="89"/>
      <c r="M379" s="89"/>
      <c r="N379" s="89"/>
      <c r="O379" s="89"/>
      <c r="P379" s="89"/>
      <c r="Q379" s="89"/>
      <c r="R379" s="89"/>
      <c r="S379" s="89"/>
      <c r="T379" s="89"/>
      <c r="U379" s="89"/>
      <c r="V379" s="89"/>
      <c r="W379" s="89"/>
      <c r="X379" s="89"/>
      <c r="Y379" s="89"/>
      <c r="Z379" s="89"/>
      <c r="AA379" s="89"/>
    </row>
    <row r="380" spans="1:27" ht="13.8">
      <c r="A380" s="89"/>
      <c r="B380" s="89"/>
      <c r="C380" s="89"/>
      <c r="D380" s="89"/>
      <c r="E380" s="89"/>
      <c r="F380" s="110"/>
      <c r="G380" s="89"/>
      <c r="H380" s="89"/>
      <c r="I380" s="89"/>
      <c r="J380" s="89"/>
      <c r="K380" s="89"/>
      <c r="L380" s="89"/>
      <c r="M380" s="89"/>
      <c r="N380" s="89"/>
      <c r="O380" s="89"/>
      <c r="P380" s="89"/>
      <c r="Q380" s="89"/>
      <c r="R380" s="89"/>
      <c r="S380" s="89"/>
      <c r="T380" s="89"/>
      <c r="U380" s="89"/>
      <c r="V380" s="89"/>
      <c r="W380" s="89"/>
      <c r="X380" s="89"/>
      <c r="Y380" s="89"/>
      <c r="Z380" s="89"/>
      <c r="AA380" s="89"/>
    </row>
    <row r="381" spans="1:27" ht="13.8">
      <c r="A381" s="89"/>
      <c r="B381" s="89"/>
      <c r="C381" s="89"/>
      <c r="D381" s="89"/>
      <c r="E381" s="89"/>
      <c r="F381" s="110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</row>
    <row r="382" spans="1:27" ht="13.8">
      <c r="A382" s="89"/>
      <c r="B382" s="89"/>
      <c r="C382" s="89"/>
      <c r="D382" s="89"/>
      <c r="E382" s="89"/>
      <c r="F382" s="110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</row>
    <row r="383" spans="1:27" ht="13.8">
      <c r="A383" s="89"/>
      <c r="B383" s="89"/>
      <c r="C383" s="89"/>
      <c r="D383" s="89"/>
      <c r="E383" s="89"/>
      <c r="F383" s="110"/>
      <c r="G383" s="89"/>
      <c r="H383" s="89"/>
      <c r="I383" s="89"/>
      <c r="J383" s="89"/>
      <c r="K383" s="89"/>
      <c r="L383" s="89"/>
      <c r="M383" s="89"/>
      <c r="N383" s="89"/>
      <c r="O383" s="89"/>
      <c r="P383" s="89"/>
      <c r="Q383" s="89"/>
      <c r="R383" s="89"/>
      <c r="S383" s="89"/>
      <c r="T383" s="89"/>
      <c r="U383" s="89"/>
      <c r="V383" s="89"/>
      <c r="W383" s="89"/>
      <c r="X383" s="89"/>
      <c r="Y383" s="89"/>
      <c r="Z383" s="89"/>
      <c r="AA383" s="89"/>
    </row>
    <row r="384" spans="1:27" ht="13.8">
      <c r="A384" s="89"/>
      <c r="B384" s="89"/>
      <c r="C384" s="89"/>
      <c r="D384" s="89"/>
      <c r="E384" s="89"/>
      <c r="F384" s="110"/>
      <c r="G384" s="89"/>
      <c r="H384" s="89"/>
      <c r="I384" s="89"/>
      <c r="J384" s="89"/>
      <c r="K384" s="89"/>
      <c r="L384" s="89"/>
      <c r="M384" s="89"/>
      <c r="N384" s="89"/>
      <c r="O384" s="89"/>
      <c r="P384" s="89"/>
      <c r="Q384" s="89"/>
      <c r="R384" s="89"/>
      <c r="S384" s="89"/>
      <c r="T384" s="89"/>
      <c r="U384" s="89"/>
      <c r="V384" s="89"/>
      <c r="W384" s="89"/>
      <c r="X384" s="89"/>
      <c r="Y384" s="89"/>
      <c r="Z384" s="89"/>
      <c r="AA384" s="89"/>
    </row>
    <row r="385" spans="1:27" ht="13.8">
      <c r="A385" s="89"/>
      <c r="B385" s="89"/>
      <c r="C385" s="89"/>
      <c r="D385" s="89"/>
      <c r="E385" s="89"/>
      <c r="F385" s="110"/>
      <c r="G385" s="89"/>
      <c r="H385" s="89"/>
      <c r="I385" s="89"/>
      <c r="J385" s="89"/>
      <c r="K385" s="89"/>
      <c r="L385" s="89"/>
      <c r="M385" s="89"/>
      <c r="N385" s="89"/>
      <c r="O385" s="89"/>
      <c r="P385" s="89"/>
      <c r="Q385" s="89"/>
      <c r="R385" s="89"/>
      <c r="S385" s="89"/>
      <c r="T385" s="89"/>
      <c r="U385" s="89"/>
      <c r="V385" s="89"/>
      <c r="W385" s="89"/>
      <c r="X385" s="89"/>
      <c r="Y385" s="89"/>
      <c r="Z385" s="89"/>
      <c r="AA385" s="89"/>
    </row>
    <row r="386" spans="1:27" ht="13.8">
      <c r="A386" s="89"/>
      <c r="B386" s="89"/>
      <c r="C386" s="89"/>
      <c r="D386" s="89"/>
      <c r="E386" s="89"/>
      <c r="F386" s="110"/>
      <c r="G386" s="89"/>
      <c r="H386" s="89"/>
      <c r="I386" s="89"/>
      <c r="J386" s="89"/>
      <c r="K386" s="89"/>
      <c r="L386" s="89"/>
      <c r="M386" s="89"/>
      <c r="N386" s="89"/>
      <c r="O386" s="89"/>
      <c r="P386" s="89"/>
      <c r="Q386" s="89"/>
      <c r="R386" s="89"/>
      <c r="S386" s="89"/>
      <c r="T386" s="89"/>
      <c r="U386" s="89"/>
      <c r="V386" s="89"/>
      <c r="W386" s="89"/>
      <c r="X386" s="89"/>
      <c r="Y386" s="89"/>
      <c r="Z386" s="89"/>
      <c r="AA386" s="89"/>
    </row>
    <row r="387" spans="1:27" ht="13.8">
      <c r="A387" s="89"/>
      <c r="B387" s="89"/>
      <c r="C387" s="89"/>
      <c r="D387" s="89"/>
      <c r="E387" s="89"/>
      <c r="F387" s="110"/>
      <c r="G387" s="89"/>
      <c r="H387" s="89"/>
      <c r="I387" s="89"/>
      <c r="J387" s="89"/>
      <c r="K387" s="89"/>
      <c r="L387" s="89"/>
      <c r="M387" s="89"/>
      <c r="N387" s="89"/>
      <c r="O387" s="89"/>
      <c r="P387" s="89"/>
      <c r="Q387" s="89"/>
      <c r="R387" s="89"/>
      <c r="S387" s="89"/>
      <c r="T387" s="89"/>
      <c r="U387" s="89"/>
      <c r="V387" s="89"/>
      <c r="W387" s="89"/>
      <c r="X387" s="89"/>
      <c r="Y387" s="89"/>
      <c r="Z387" s="89"/>
      <c r="AA387" s="89"/>
    </row>
    <row r="388" spans="1:27" ht="13.8">
      <c r="A388" s="89"/>
      <c r="B388" s="89"/>
      <c r="C388" s="89"/>
      <c r="D388" s="89"/>
      <c r="E388" s="89"/>
      <c r="F388" s="110"/>
      <c r="G388" s="89"/>
      <c r="H388" s="89"/>
      <c r="I388" s="89"/>
      <c r="J388" s="89"/>
      <c r="K388" s="89"/>
      <c r="L388" s="89"/>
      <c r="M388" s="89"/>
      <c r="N388" s="89"/>
      <c r="O388" s="89"/>
      <c r="P388" s="89"/>
      <c r="Q388" s="89"/>
      <c r="R388" s="89"/>
      <c r="S388" s="89"/>
      <c r="T388" s="89"/>
      <c r="U388" s="89"/>
      <c r="V388" s="89"/>
      <c r="W388" s="89"/>
      <c r="X388" s="89"/>
      <c r="Y388" s="89"/>
      <c r="Z388" s="89"/>
      <c r="AA388" s="89"/>
    </row>
    <row r="389" spans="1:27" ht="13.8">
      <c r="A389" s="89"/>
      <c r="B389" s="89"/>
      <c r="C389" s="89"/>
      <c r="D389" s="89"/>
      <c r="E389" s="89"/>
      <c r="F389" s="110"/>
      <c r="G389" s="89"/>
      <c r="H389" s="89"/>
      <c r="I389" s="89"/>
      <c r="J389" s="89"/>
      <c r="K389" s="89"/>
      <c r="L389" s="89"/>
      <c r="M389" s="89"/>
      <c r="N389" s="89"/>
      <c r="O389" s="89"/>
      <c r="P389" s="89"/>
      <c r="Q389" s="89"/>
      <c r="R389" s="89"/>
      <c r="S389" s="89"/>
      <c r="T389" s="89"/>
      <c r="U389" s="89"/>
      <c r="V389" s="89"/>
      <c r="W389" s="89"/>
      <c r="X389" s="89"/>
      <c r="Y389" s="89"/>
      <c r="Z389" s="89"/>
      <c r="AA389" s="89"/>
    </row>
    <row r="390" spans="1:27" ht="13.8">
      <c r="A390" s="89"/>
      <c r="B390" s="89"/>
      <c r="C390" s="89"/>
      <c r="D390" s="89"/>
      <c r="E390" s="89"/>
      <c r="F390" s="110"/>
      <c r="G390" s="89"/>
      <c r="H390" s="89"/>
      <c r="I390" s="89"/>
      <c r="J390" s="89"/>
      <c r="K390" s="89"/>
      <c r="L390" s="89"/>
      <c r="M390" s="89"/>
      <c r="N390" s="89"/>
      <c r="O390" s="89"/>
      <c r="P390" s="89"/>
      <c r="Q390" s="89"/>
      <c r="R390" s="89"/>
      <c r="S390" s="89"/>
      <c r="T390" s="89"/>
      <c r="U390" s="89"/>
      <c r="V390" s="89"/>
      <c r="W390" s="89"/>
      <c r="X390" s="89"/>
      <c r="Y390" s="89"/>
      <c r="Z390" s="89"/>
      <c r="AA390" s="89"/>
    </row>
    <row r="391" spans="1:27" ht="13.8">
      <c r="A391" s="89"/>
      <c r="B391" s="89"/>
      <c r="C391" s="89"/>
      <c r="D391" s="89"/>
      <c r="E391" s="89"/>
      <c r="F391" s="110"/>
      <c r="G391" s="89"/>
      <c r="H391" s="89"/>
      <c r="I391" s="89"/>
      <c r="J391" s="89"/>
      <c r="K391" s="89"/>
      <c r="L391" s="89"/>
      <c r="M391" s="89"/>
      <c r="N391" s="89"/>
      <c r="O391" s="89"/>
      <c r="P391" s="89"/>
      <c r="Q391" s="89"/>
      <c r="R391" s="89"/>
      <c r="S391" s="89"/>
      <c r="T391" s="89"/>
      <c r="U391" s="89"/>
      <c r="V391" s="89"/>
      <c r="W391" s="89"/>
      <c r="X391" s="89"/>
      <c r="Y391" s="89"/>
      <c r="Z391" s="89"/>
      <c r="AA391" s="89"/>
    </row>
    <row r="392" spans="1:27" ht="13.8">
      <c r="A392" s="89"/>
      <c r="B392" s="89"/>
      <c r="C392" s="89"/>
      <c r="D392" s="89"/>
      <c r="E392" s="89"/>
      <c r="F392" s="110"/>
      <c r="G392" s="89"/>
      <c r="H392" s="89"/>
      <c r="I392" s="89"/>
      <c r="J392" s="89"/>
      <c r="K392" s="89"/>
      <c r="L392" s="89"/>
      <c r="M392" s="89"/>
      <c r="N392" s="89"/>
      <c r="O392" s="89"/>
      <c r="P392" s="89"/>
      <c r="Q392" s="89"/>
      <c r="R392" s="89"/>
      <c r="S392" s="89"/>
      <c r="T392" s="89"/>
      <c r="U392" s="89"/>
      <c r="V392" s="89"/>
      <c r="W392" s="89"/>
      <c r="X392" s="89"/>
      <c r="Y392" s="89"/>
      <c r="Z392" s="89"/>
      <c r="AA392" s="89"/>
    </row>
    <row r="393" spans="1:27" ht="13.8">
      <c r="A393" s="89"/>
      <c r="B393" s="89"/>
      <c r="C393" s="89"/>
      <c r="D393" s="89"/>
      <c r="E393" s="89"/>
      <c r="F393" s="110"/>
      <c r="G393" s="89"/>
      <c r="H393" s="89"/>
      <c r="I393" s="89"/>
      <c r="J393" s="89"/>
      <c r="K393" s="89"/>
      <c r="L393" s="89"/>
      <c r="M393" s="89"/>
      <c r="N393" s="89"/>
      <c r="O393" s="89"/>
      <c r="P393" s="89"/>
      <c r="Q393" s="89"/>
      <c r="R393" s="89"/>
      <c r="S393" s="89"/>
      <c r="T393" s="89"/>
      <c r="U393" s="89"/>
      <c r="V393" s="89"/>
      <c r="W393" s="89"/>
      <c r="X393" s="89"/>
      <c r="Y393" s="89"/>
      <c r="Z393" s="89"/>
      <c r="AA393" s="89"/>
    </row>
    <row r="394" spans="1:27" ht="13.8">
      <c r="A394" s="89"/>
      <c r="B394" s="89"/>
      <c r="C394" s="89"/>
      <c r="D394" s="89"/>
      <c r="E394" s="89"/>
      <c r="F394" s="110"/>
      <c r="G394" s="89"/>
      <c r="H394" s="89"/>
      <c r="I394" s="89"/>
      <c r="J394" s="89"/>
      <c r="K394" s="89"/>
      <c r="L394" s="89"/>
      <c r="M394" s="89"/>
      <c r="N394" s="89"/>
      <c r="O394" s="89"/>
      <c r="P394" s="89"/>
      <c r="Q394" s="89"/>
      <c r="R394" s="89"/>
      <c r="S394" s="89"/>
      <c r="T394" s="89"/>
      <c r="U394" s="89"/>
      <c r="V394" s="89"/>
      <c r="W394" s="89"/>
      <c r="X394" s="89"/>
      <c r="Y394" s="89"/>
      <c r="Z394" s="89"/>
      <c r="AA394" s="89"/>
    </row>
    <row r="395" spans="1:27" ht="13.8">
      <c r="A395" s="89"/>
      <c r="B395" s="89"/>
      <c r="C395" s="89"/>
      <c r="D395" s="89"/>
      <c r="E395" s="89"/>
      <c r="F395" s="110"/>
      <c r="G395" s="89"/>
      <c r="H395" s="89"/>
      <c r="I395" s="89"/>
      <c r="J395" s="89"/>
      <c r="K395" s="89"/>
      <c r="L395" s="89"/>
      <c r="M395" s="89"/>
      <c r="N395" s="89"/>
      <c r="O395" s="89"/>
      <c r="P395" s="89"/>
      <c r="Q395" s="89"/>
      <c r="R395" s="89"/>
      <c r="S395" s="89"/>
      <c r="T395" s="89"/>
      <c r="U395" s="89"/>
      <c r="V395" s="89"/>
      <c r="W395" s="89"/>
      <c r="X395" s="89"/>
      <c r="Y395" s="89"/>
      <c r="Z395" s="89"/>
      <c r="AA395" s="89"/>
    </row>
    <row r="396" spans="1:27" ht="13.8">
      <c r="A396" s="89"/>
      <c r="B396" s="89"/>
      <c r="C396" s="89"/>
      <c r="D396" s="89"/>
      <c r="E396" s="89"/>
      <c r="F396" s="110"/>
      <c r="G396" s="89"/>
      <c r="H396" s="89"/>
      <c r="I396" s="89"/>
      <c r="J396" s="89"/>
      <c r="K396" s="89"/>
      <c r="L396" s="89"/>
      <c r="M396" s="89"/>
      <c r="N396" s="89"/>
      <c r="O396" s="89"/>
      <c r="P396" s="89"/>
      <c r="Q396" s="89"/>
      <c r="R396" s="89"/>
      <c r="S396" s="89"/>
      <c r="T396" s="89"/>
      <c r="U396" s="89"/>
      <c r="V396" s="89"/>
      <c r="W396" s="89"/>
      <c r="X396" s="89"/>
      <c r="Y396" s="89"/>
      <c r="Z396" s="89"/>
      <c r="AA396" s="89"/>
    </row>
    <row r="397" spans="1:27" ht="13.8">
      <c r="A397" s="89"/>
      <c r="B397" s="89"/>
      <c r="C397" s="89"/>
      <c r="D397" s="89"/>
      <c r="E397" s="89"/>
      <c r="F397" s="110"/>
      <c r="G397" s="89"/>
      <c r="H397" s="89"/>
      <c r="I397" s="89"/>
      <c r="J397" s="89"/>
      <c r="K397" s="89"/>
      <c r="L397" s="89"/>
      <c r="M397" s="89"/>
      <c r="N397" s="89"/>
      <c r="O397" s="89"/>
      <c r="P397" s="89"/>
      <c r="Q397" s="89"/>
      <c r="R397" s="89"/>
      <c r="S397" s="89"/>
      <c r="T397" s="89"/>
      <c r="U397" s="89"/>
      <c r="V397" s="89"/>
      <c r="W397" s="89"/>
      <c r="X397" s="89"/>
      <c r="Y397" s="89"/>
      <c r="Z397" s="89"/>
      <c r="AA397" s="89"/>
    </row>
    <row r="398" spans="1:27" ht="13.8">
      <c r="A398" s="89"/>
      <c r="B398" s="89"/>
      <c r="C398" s="89"/>
      <c r="D398" s="89"/>
      <c r="E398" s="89"/>
      <c r="F398" s="110"/>
      <c r="G398" s="89"/>
      <c r="H398" s="89"/>
      <c r="I398" s="89"/>
      <c r="J398" s="89"/>
      <c r="K398" s="89"/>
      <c r="L398" s="89"/>
      <c r="M398" s="89"/>
      <c r="N398" s="89"/>
      <c r="O398" s="89"/>
      <c r="P398" s="89"/>
      <c r="Q398" s="89"/>
      <c r="R398" s="89"/>
      <c r="S398" s="89"/>
      <c r="T398" s="89"/>
      <c r="U398" s="89"/>
      <c r="V398" s="89"/>
      <c r="W398" s="89"/>
      <c r="X398" s="89"/>
      <c r="Y398" s="89"/>
      <c r="Z398" s="89"/>
      <c r="AA398" s="89"/>
    </row>
    <row r="399" spans="1:27" ht="13.8">
      <c r="A399" s="89"/>
      <c r="B399" s="89"/>
      <c r="C399" s="89"/>
      <c r="D399" s="89"/>
      <c r="E399" s="89"/>
      <c r="F399" s="110"/>
      <c r="G399" s="89"/>
      <c r="H399" s="89"/>
      <c r="I399" s="89"/>
      <c r="J399" s="89"/>
      <c r="K399" s="89"/>
      <c r="L399" s="89"/>
      <c r="M399" s="89"/>
      <c r="N399" s="89"/>
      <c r="O399" s="89"/>
      <c r="P399" s="89"/>
      <c r="Q399" s="89"/>
      <c r="R399" s="89"/>
      <c r="S399" s="89"/>
      <c r="T399" s="89"/>
      <c r="U399" s="89"/>
      <c r="V399" s="89"/>
      <c r="W399" s="89"/>
      <c r="X399" s="89"/>
      <c r="Y399" s="89"/>
      <c r="Z399" s="89"/>
      <c r="AA399" s="89"/>
    </row>
    <row r="400" spans="1:27" ht="13.8">
      <c r="A400" s="89"/>
      <c r="B400" s="89"/>
      <c r="C400" s="89"/>
      <c r="D400" s="89"/>
      <c r="E400" s="89"/>
      <c r="F400" s="110"/>
      <c r="G400" s="89"/>
      <c r="H400" s="89"/>
      <c r="I400" s="89"/>
      <c r="J400" s="89"/>
      <c r="K400" s="89"/>
      <c r="L400" s="89"/>
      <c r="M400" s="89"/>
      <c r="N400" s="89"/>
      <c r="O400" s="89"/>
      <c r="P400" s="89"/>
      <c r="Q400" s="89"/>
      <c r="R400" s="89"/>
      <c r="S400" s="89"/>
      <c r="T400" s="89"/>
      <c r="U400" s="89"/>
      <c r="V400" s="89"/>
      <c r="W400" s="89"/>
      <c r="X400" s="89"/>
      <c r="Y400" s="89"/>
      <c r="Z400" s="89"/>
      <c r="AA400" s="89"/>
    </row>
    <row r="401" spans="1:27" ht="13.8">
      <c r="A401" s="89"/>
      <c r="B401" s="89"/>
      <c r="C401" s="89"/>
      <c r="D401" s="89"/>
      <c r="E401" s="89"/>
      <c r="F401" s="110"/>
      <c r="G401" s="89"/>
      <c r="H401" s="89"/>
      <c r="I401" s="89"/>
      <c r="J401" s="89"/>
      <c r="K401" s="89"/>
      <c r="L401" s="89"/>
      <c r="M401" s="89"/>
      <c r="N401" s="89"/>
      <c r="O401" s="89"/>
      <c r="P401" s="89"/>
      <c r="Q401" s="89"/>
      <c r="R401" s="89"/>
      <c r="S401" s="89"/>
      <c r="T401" s="89"/>
      <c r="U401" s="89"/>
      <c r="V401" s="89"/>
      <c r="W401" s="89"/>
      <c r="X401" s="89"/>
      <c r="Y401" s="89"/>
      <c r="Z401" s="89"/>
      <c r="AA401" s="89"/>
    </row>
    <row r="402" spans="1:27" ht="13.8">
      <c r="A402" s="89"/>
      <c r="B402" s="89"/>
      <c r="C402" s="89"/>
      <c r="D402" s="89"/>
      <c r="E402" s="89"/>
      <c r="F402" s="110"/>
      <c r="G402" s="89"/>
      <c r="H402" s="89"/>
      <c r="I402" s="89"/>
      <c r="J402" s="89"/>
      <c r="K402" s="89"/>
      <c r="L402" s="89"/>
      <c r="M402" s="89"/>
      <c r="N402" s="89"/>
      <c r="O402" s="89"/>
      <c r="P402" s="89"/>
      <c r="Q402" s="89"/>
      <c r="R402" s="89"/>
      <c r="S402" s="89"/>
      <c r="T402" s="89"/>
      <c r="U402" s="89"/>
      <c r="V402" s="89"/>
      <c r="W402" s="89"/>
      <c r="X402" s="89"/>
      <c r="Y402" s="89"/>
      <c r="Z402" s="89"/>
      <c r="AA402" s="89"/>
    </row>
    <row r="403" spans="1:27" ht="13.8">
      <c r="A403" s="89"/>
      <c r="B403" s="89"/>
      <c r="C403" s="89"/>
      <c r="D403" s="89"/>
      <c r="E403" s="89"/>
      <c r="F403" s="110"/>
      <c r="G403" s="89"/>
      <c r="H403" s="89"/>
      <c r="I403" s="89"/>
      <c r="J403" s="89"/>
      <c r="K403" s="89"/>
      <c r="L403" s="89"/>
      <c r="M403" s="89"/>
      <c r="N403" s="89"/>
      <c r="O403" s="89"/>
      <c r="P403" s="89"/>
      <c r="Q403" s="89"/>
      <c r="R403" s="89"/>
      <c r="S403" s="89"/>
      <c r="T403" s="89"/>
      <c r="U403" s="89"/>
      <c r="V403" s="89"/>
      <c r="W403" s="89"/>
      <c r="X403" s="89"/>
      <c r="Y403" s="89"/>
      <c r="Z403" s="89"/>
      <c r="AA403" s="89"/>
    </row>
    <row r="404" spans="1:27" ht="13.8">
      <c r="A404" s="89"/>
      <c r="B404" s="89"/>
      <c r="C404" s="89"/>
      <c r="D404" s="89"/>
      <c r="E404" s="89"/>
      <c r="F404" s="110"/>
      <c r="G404" s="89"/>
      <c r="H404" s="89"/>
      <c r="I404" s="89"/>
      <c r="J404" s="89"/>
      <c r="K404" s="89"/>
      <c r="L404" s="89"/>
      <c r="M404" s="89"/>
      <c r="N404" s="89"/>
      <c r="O404" s="89"/>
      <c r="P404" s="89"/>
      <c r="Q404" s="89"/>
      <c r="R404" s="89"/>
      <c r="S404" s="89"/>
      <c r="T404" s="89"/>
      <c r="U404" s="89"/>
      <c r="V404" s="89"/>
      <c r="W404" s="89"/>
      <c r="X404" s="89"/>
      <c r="Y404" s="89"/>
      <c r="Z404" s="89"/>
      <c r="AA404" s="89"/>
    </row>
    <row r="405" spans="1:27" ht="13.8">
      <c r="A405" s="89"/>
      <c r="B405" s="89"/>
      <c r="C405" s="89"/>
      <c r="D405" s="89"/>
      <c r="E405" s="89"/>
      <c r="F405" s="110"/>
      <c r="G405" s="89"/>
      <c r="H405" s="89"/>
      <c r="I405" s="89"/>
      <c r="J405" s="89"/>
      <c r="K405" s="89"/>
      <c r="L405" s="89"/>
      <c r="M405" s="89"/>
      <c r="N405" s="89"/>
      <c r="O405" s="89"/>
      <c r="P405" s="89"/>
      <c r="Q405" s="89"/>
      <c r="R405" s="89"/>
      <c r="S405" s="89"/>
      <c r="T405" s="89"/>
      <c r="U405" s="89"/>
      <c r="V405" s="89"/>
      <c r="W405" s="89"/>
      <c r="X405" s="89"/>
      <c r="Y405" s="89"/>
      <c r="Z405" s="89"/>
      <c r="AA405" s="89"/>
    </row>
    <row r="406" spans="1:27" ht="13.8">
      <c r="A406" s="89"/>
      <c r="B406" s="89"/>
      <c r="C406" s="89"/>
      <c r="D406" s="89"/>
      <c r="E406" s="89"/>
      <c r="F406" s="110"/>
      <c r="G406" s="89"/>
      <c r="H406" s="89"/>
      <c r="I406" s="89"/>
      <c r="J406" s="89"/>
      <c r="K406" s="89"/>
      <c r="L406" s="89"/>
      <c r="M406" s="89"/>
      <c r="N406" s="89"/>
      <c r="O406" s="89"/>
      <c r="P406" s="89"/>
      <c r="Q406" s="89"/>
      <c r="R406" s="89"/>
      <c r="S406" s="89"/>
      <c r="T406" s="89"/>
      <c r="U406" s="89"/>
      <c r="V406" s="89"/>
      <c r="W406" s="89"/>
      <c r="X406" s="89"/>
      <c r="Y406" s="89"/>
      <c r="Z406" s="89"/>
      <c r="AA406" s="89"/>
    </row>
    <row r="407" spans="1:27" ht="13.8">
      <c r="A407" s="89"/>
      <c r="B407" s="89"/>
      <c r="C407" s="89"/>
      <c r="D407" s="89"/>
      <c r="E407" s="89"/>
      <c r="F407" s="110"/>
      <c r="G407" s="89"/>
      <c r="H407" s="89"/>
      <c r="I407" s="89"/>
      <c r="J407" s="89"/>
      <c r="K407" s="89"/>
      <c r="L407" s="89"/>
      <c r="M407" s="89"/>
      <c r="N407" s="89"/>
      <c r="O407" s="89"/>
      <c r="P407" s="89"/>
      <c r="Q407" s="89"/>
      <c r="R407" s="89"/>
      <c r="S407" s="89"/>
      <c r="T407" s="89"/>
      <c r="U407" s="89"/>
      <c r="V407" s="89"/>
      <c r="W407" s="89"/>
      <c r="X407" s="89"/>
      <c r="Y407" s="89"/>
      <c r="Z407" s="89"/>
      <c r="AA407" s="89"/>
    </row>
    <row r="408" spans="1:27" ht="13.8">
      <c r="A408" s="89"/>
      <c r="B408" s="89"/>
      <c r="C408" s="89"/>
      <c r="D408" s="89"/>
      <c r="E408" s="89"/>
      <c r="F408" s="110"/>
      <c r="G408" s="89"/>
      <c r="H408" s="89"/>
      <c r="I408" s="89"/>
      <c r="J408" s="89"/>
      <c r="K408" s="89"/>
      <c r="L408" s="89"/>
      <c r="M408" s="89"/>
      <c r="N408" s="89"/>
      <c r="O408" s="89"/>
      <c r="P408" s="89"/>
      <c r="Q408" s="89"/>
      <c r="R408" s="89"/>
      <c r="S408" s="89"/>
      <c r="T408" s="89"/>
      <c r="U408" s="89"/>
      <c r="V408" s="89"/>
      <c r="W408" s="89"/>
      <c r="X408" s="89"/>
      <c r="Y408" s="89"/>
      <c r="Z408" s="89"/>
      <c r="AA408" s="89"/>
    </row>
    <row r="409" spans="1:27" ht="13.8">
      <c r="A409" s="89"/>
      <c r="B409" s="89"/>
      <c r="C409" s="89"/>
      <c r="D409" s="89"/>
      <c r="E409" s="89"/>
      <c r="F409" s="110"/>
      <c r="G409" s="89"/>
      <c r="H409" s="89"/>
      <c r="I409" s="89"/>
      <c r="J409" s="89"/>
      <c r="K409" s="89"/>
      <c r="L409" s="89"/>
      <c r="M409" s="89"/>
      <c r="N409" s="89"/>
      <c r="O409" s="89"/>
      <c r="P409" s="89"/>
      <c r="Q409" s="89"/>
      <c r="R409" s="89"/>
      <c r="S409" s="89"/>
      <c r="T409" s="89"/>
      <c r="U409" s="89"/>
      <c r="V409" s="89"/>
      <c r="W409" s="89"/>
      <c r="X409" s="89"/>
      <c r="Y409" s="89"/>
      <c r="Z409" s="89"/>
      <c r="AA409" s="89"/>
    </row>
    <row r="410" spans="1:27" ht="13.8">
      <c r="A410" s="89"/>
      <c r="B410" s="89"/>
      <c r="C410" s="89"/>
      <c r="D410" s="89"/>
      <c r="E410" s="89"/>
      <c r="F410" s="110"/>
      <c r="G410" s="89"/>
      <c r="H410" s="89"/>
      <c r="I410" s="89"/>
      <c r="J410" s="89"/>
      <c r="K410" s="89"/>
      <c r="L410" s="89"/>
      <c r="M410" s="89"/>
      <c r="N410" s="89"/>
      <c r="O410" s="89"/>
      <c r="P410" s="89"/>
      <c r="Q410" s="89"/>
      <c r="R410" s="89"/>
      <c r="S410" s="89"/>
      <c r="T410" s="89"/>
      <c r="U410" s="89"/>
      <c r="V410" s="89"/>
      <c r="W410" s="89"/>
      <c r="X410" s="89"/>
      <c r="Y410" s="89"/>
      <c r="Z410" s="89"/>
      <c r="AA410" s="89"/>
    </row>
    <row r="411" spans="1:27" ht="13.8">
      <c r="A411" s="89"/>
      <c r="B411" s="89"/>
      <c r="C411" s="89"/>
      <c r="D411" s="89"/>
      <c r="E411" s="89"/>
      <c r="F411" s="110"/>
      <c r="G411" s="89"/>
      <c r="H411" s="89"/>
      <c r="I411" s="89"/>
      <c r="J411" s="89"/>
      <c r="K411" s="89"/>
      <c r="L411" s="89"/>
      <c r="M411" s="89"/>
      <c r="N411" s="89"/>
      <c r="O411" s="89"/>
      <c r="P411" s="89"/>
      <c r="Q411" s="89"/>
      <c r="R411" s="89"/>
      <c r="S411" s="89"/>
      <c r="T411" s="89"/>
      <c r="U411" s="89"/>
      <c r="V411" s="89"/>
      <c r="W411" s="89"/>
      <c r="X411" s="89"/>
      <c r="Y411" s="89"/>
      <c r="Z411" s="89"/>
      <c r="AA411" s="89"/>
    </row>
    <row r="412" spans="1:27" ht="13.8">
      <c r="A412" s="89"/>
      <c r="B412" s="89"/>
      <c r="C412" s="89"/>
      <c r="D412" s="89"/>
      <c r="E412" s="89"/>
      <c r="F412" s="110"/>
      <c r="G412" s="89"/>
      <c r="H412" s="89"/>
      <c r="I412" s="89"/>
      <c r="J412" s="89"/>
      <c r="K412" s="89"/>
      <c r="L412" s="89"/>
      <c r="M412" s="89"/>
      <c r="N412" s="89"/>
      <c r="O412" s="89"/>
      <c r="P412" s="89"/>
      <c r="Q412" s="89"/>
      <c r="R412" s="89"/>
      <c r="S412" s="89"/>
      <c r="T412" s="89"/>
      <c r="U412" s="89"/>
      <c r="V412" s="89"/>
      <c r="W412" s="89"/>
      <c r="X412" s="89"/>
      <c r="Y412" s="89"/>
      <c r="Z412" s="89"/>
      <c r="AA412" s="89"/>
    </row>
    <row r="413" spans="1:27" ht="13.8">
      <c r="A413" s="89"/>
      <c r="B413" s="89"/>
      <c r="C413" s="89"/>
      <c r="D413" s="89"/>
      <c r="E413" s="89"/>
      <c r="F413" s="110"/>
      <c r="G413" s="89"/>
      <c r="H413" s="89"/>
      <c r="I413" s="89"/>
      <c r="J413" s="89"/>
      <c r="K413" s="89"/>
      <c r="L413" s="89"/>
      <c r="M413" s="89"/>
      <c r="N413" s="89"/>
      <c r="O413" s="89"/>
      <c r="P413" s="89"/>
      <c r="Q413" s="89"/>
      <c r="R413" s="89"/>
      <c r="S413" s="89"/>
      <c r="T413" s="89"/>
      <c r="U413" s="89"/>
      <c r="V413" s="89"/>
      <c r="W413" s="89"/>
      <c r="X413" s="89"/>
      <c r="Y413" s="89"/>
      <c r="Z413" s="89"/>
      <c r="AA413" s="89"/>
    </row>
    <row r="414" spans="1:27" ht="13.8">
      <c r="A414" s="89"/>
      <c r="B414" s="89"/>
      <c r="C414" s="89"/>
      <c r="D414" s="89"/>
      <c r="E414" s="89"/>
      <c r="F414" s="110"/>
      <c r="G414" s="89"/>
      <c r="H414" s="89"/>
      <c r="I414" s="89"/>
      <c r="J414" s="89"/>
      <c r="K414" s="89"/>
      <c r="L414" s="89"/>
      <c r="M414" s="89"/>
      <c r="N414" s="89"/>
      <c r="O414" s="89"/>
      <c r="P414" s="89"/>
      <c r="Q414" s="89"/>
      <c r="R414" s="89"/>
      <c r="S414" s="89"/>
      <c r="T414" s="89"/>
      <c r="U414" s="89"/>
      <c r="V414" s="89"/>
      <c r="W414" s="89"/>
      <c r="X414" s="89"/>
      <c r="Y414" s="89"/>
      <c r="Z414" s="89"/>
      <c r="AA414" s="89"/>
    </row>
    <row r="415" spans="1:27" ht="13.8">
      <c r="A415" s="89"/>
      <c r="B415" s="89"/>
      <c r="C415" s="89"/>
      <c r="D415" s="89"/>
      <c r="E415" s="89"/>
      <c r="F415" s="110"/>
      <c r="G415" s="89"/>
      <c r="H415" s="89"/>
      <c r="I415" s="89"/>
      <c r="J415" s="89"/>
      <c r="K415" s="89"/>
      <c r="L415" s="89"/>
      <c r="M415" s="89"/>
      <c r="N415" s="89"/>
      <c r="O415" s="89"/>
      <c r="P415" s="89"/>
      <c r="Q415" s="89"/>
      <c r="R415" s="89"/>
      <c r="S415" s="89"/>
      <c r="T415" s="89"/>
      <c r="U415" s="89"/>
      <c r="V415" s="89"/>
      <c r="W415" s="89"/>
      <c r="X415" s="89"/>
      <c r="Y415" s="89"/>
      <c r="Z415" s="89"/>
      <c r="AA415" s="89"/>
    </row>
    <row r="416" spans="1:27" ht="13.8">
      <c r="A416" s="89"/>
      <c r="B416" s="89"/>
      <c r="C416" s="89"/>
      <c r="D416" s="89"/>
      <c r="E416" s="89"/>
      <c r="F416" s="110"/>
      <c r="G416" s="89"/>
      <c r="H416" s="89"/>
      <c r="I416" s="89"/>
      <c r="J416" s="89"/>
      <c r="K416" s="89"/>
      <c r="L416" s="89"/>
      <c r="M416" s="89"/>
      <c r="N416" s="89"/>
      <c r="O416" s="89"/>
      <c r="P416" s="89"/>
      <c r="Q416" s="89"/>
      <c r="R416" s="89"/>
      <c r="S416" s="89"/>
      <c r="T416" s="89"/>
      <c r="U416" s="89"/>
      <c r="V416" s="89"/>
      <c r="W416" s="89"/>
      <c r="X416" s="89"/>
      <c r="Y416" s="89"/>
      <c r="Z416" s="89"/>
      <c r="AA416" s="89"/>
    </row>
    <row r="417" spans="1:27" ht="13.8">
      <c r="A417" s="89"/>
      <c r="B417" s="89"/>
      <c r="C417" s="89"/>
      <c r="D417" s="89"/>
      <c r="E417" s="89"/>
      <c r="F417" s="110"/>
      <c r="G417" s="89"/>
      <c r="H417" s="89"/>
      <c r="I417" s="89"/>
      <c r="J417" s="89"/>
      <c r="K417" s="89"/>
      <c r="L417" s="89"/>
      <c r="M417" s="89"/>
      <c r="N417" s="89"/>
      <c r="O417" s="89"/>
      <c r="P417" s="89"/>
      <c r="Q417" s="89"/>
      <c r="R417" s="89"/>
      <c r="S417" s="89"/>
      <c r="T417" s="89"/>
      <c r="U417" s="89"/>
      <c r="V417" s="89"/>
      <c r="W417" s="89"/>
      <c r="X417" s="89"/>
      <c r="Y417" s="89"/>
      <c r="Z417" s="89"/>
      <c r="AA417" s="89"/>
    </row>
    <row r="418" spans="1:27" ht="13.8">
      <c r="A418" s="89"/>
      <c r="B418" s="89"/>
      <c r="C418" s="89"/>
      <c r="D418" s="89"/>
      <c r="E418" s="89"/>
      <c r="F418" s="110"/>
      <c r="G418" s="89"/>
      <c r="H418" s="89"/>
      <c r="I418" s="89"/>
      <c r="J418" s="89"/>
      <c r="K418" s="89"/>
      <c r="L418" s="89"/>
      <c r="M418" s="89"/>
      <c r="N418" s="89"/>
      <c r="O418" s="89"/>
      <c r="P418" s="89"/>
      <c r="Q418" s="89"/>
      <c r="R418" s="89"/>
      <c r="S418" s="89"/>
      <c r="T418" s="89"/>
      <c r="U418" s="89"/>
      <c r="V418" s="89"/>
      <c r="W418" s="89"/>
      <c r="X418" s="89"/>
      <c r="Y418" s="89"/>
      <c r="Z418" s="89"/>
      <c r="AA418" s="89"/>
    </row>
    <row r="419" spans="1:27" ht="13.8">
      <c r="A419" s="89"/>
      <c r="B419" s="89"/>
      <c r="C419" s="89"/>
      <c r="D419" s="89"/>
      <c r="E419" s="89"/>
      <c r="F419" s="110"/>
      <c r="G419" s="89"/>
      <c r="H419" s="89"/>
      <c r="I419" s="89"/>
      <c r="J419" s="89"/>
      <c r="K419" s="89"/>
      <c r="L419" s="89"/>
      <c r="M419" s="89"/>
      <c r="N419" s="89"/>
      <c r="O419" s="89"/>
      <c r="P419" s="89"/>
      <c r="Q419" s="89"/>
      <c r="R419" s="89"/>
      <c r="S419" s="89"/>
      <c r="T419" s="89"/>
      <c r="U419" s="89"/>
      <c r="V419" s="89"/>
      <c r="W419" s="89"/>
      <c r="X419" s="89"/>
      <c r="Y419" s="89"/>
      <c r="Z419" s="89"/>
      <c r="AA419" s="89"/>
    </row>
    <row r="420" spans="1:27" ht="13.8">
      <c r="A420" s="89"/>
      <c r="B420" s="89"/>
      <c r="C420" s="89"/>
      <c r="D420" s="89"/>
      <c r="E420" s="89"/>
      <c r="F420" s="110"/>
      <c r="G420" s="89"/>
      <c r="H420" s="89"/>
      <c r="I420" s="89"/>
      <c r="J420" s="89"/>
      <c r="K420" s="89"/>
      <c r="L420" s="89"/>
      <c r="M420" s="89"/>
      <c r="N420" s="89"/>
      <c r="O420" s="89"/>
      <c r="P420" s="89"/>
      <c r="Q420" s="89"/>
      <c r="R420" s="89"/>
      <c r="S420" s="89"/>
      <c r="T420" s="89"/>
      <c r="U420" s="89"/>
      <c r="V420" s="89"/>
      <c r="W420" s="89"/>
      <c r="X420" s="89"/>
      <c r="Y420" s="89"/>
      <c r="Z420" s="89"/>
      <c r="AA420" s="89"/>
    </row>
    <row r="421" spans="1:27" ht="13.8">
      <c r="A421" s="89"/>
      <c r="B421" s="89"/>
      <c r="C421" s="89"/>
      <c r="D421" s="89"/>
      <c r="E421" s="89"/>
      <c r="F421" s="110"/>
      <c r="G421" s="89"/>
      <c r="H421" s="89"/>
      <c r="I421" s="89"/>
      <c r="J421" s="89"/>
      <c r="K421" s="89"/>
      <c r="L421" s="89"/>
      <c r="M421" s="89"/>
      <c r="N421" s="89"/>
      <c r="O421" s="89"/>
      <c r="P421" s="89"/>
      <c r="Q421" s="89"/>
      <c r="R421" s="89"/>
      <c r="S421" s="89"/>
      <c r="T421" s="89"/>
      <c r="U421" s="89"/>
      <c r="V421" s="89"/>
      <c r="W421" s="89"/>
      <c r="X421" s="89"/>
      <c r="Y421" s="89"/>
      <c r="Z421" s="89"/>
      <c r="AA421" s="89"/>
    </row>
    <row r="422" spans="1:27" ht="13.8">
      <c r="A422" s="89"/>
      <c r="B422" s="89"/>
      <c r="C422" s="89"/>
      <c r="D422" s="89"/>
      <c r="E422" s="89"/>
      <c r="F422" s="110"/>
      <c r="G422" s="89"/>
      <c r="H422" s="89"/>
      <c r="I422" s="89"/>
      <c r="J422" s="89"/>
      <c r="K422" s="89"/>
      <c r="L422" s="89"/>
      <c r="M422" s="89"/>
      <c r="N422" s="89"/>
      <c r="O422" s="89"/>
      <c r="P422" s="89"/>
      <c r="Q422" s="89"/>
      <c r="R422" s="89"/>
      <c r="S422" s="89"/>
      <c r="T422" s="89"/>
      <c r="U422" s="89"/>
      <c r="V422" s="89"/>
      <c r="W422" s="89"/>
      <c r="X422" s="89"/>
      <c r="Y422" s="89"/>
      <c r="Z422" s="89"/>
      <c r="AA422" s="89"/>
    </row>
    <row r="423" spans="1:27" ht="13.8">
      <c r="A423" s="89"/>
      <c r="B423" s="89"/>
      <c r="C423" s="89"/>
      <c r="D423" s="89"/>
      <c r="E423" s="89"/>
      <c r="F423" s="110"/>
      <c r="G423" s="89"/>
      <c r="H423" s="89"/>
      <c r="I423" s="89"/>
      <c r="J423" s="89"/>
      <c r="K423" s="89"/>
      <c r="L423" s="89"/>
      <c r="M423" s="89"/>
      <c r="N423" s="89"/>
      <c r="O423" s="89"/>
      <c r="P423" s="89"/>
      <c r="Q423" s="89"/>
      <c r="R423" s="89"/>
      <c r="S423" s="89"/>
      <c r="T423" s="89"/>
      <c r="U423" s="89"/>
      <c r="V423" s="89"/>
      <c r="W423" s="89"/>
      <c r="X423" s="89"/>
      <c r="Y423" s="89"/>
      <c r="Z423" s="89"/>
      <c r="AA423" s="89"/>
    </row>
    <row r="424" spans="1:27" ht="13.8">
      <c r="A424" s="89"/>
      <c r="B424" s="89"/>
      <c r="C424" s="89"/>
      <c r="D424" s="89"/>
      <c r="E424" s="89"/>
      <c r="F424" s="110"/>
      <c r="G424" s="89"/>
      <c r="H424" s="89"/>
      <c r="I424" s="89"/>
      <c r="J424" s="89"/>
      <c r="K424" s="89"/>
      <c r="L424" s="89"/>
      <c r="M424" s="89"/>
      <c r="N424" s="89"/>
      <c r="O424" s="89"/>
      <c r="P424" s="89"/>
      <c r="Q424" s="89"/>
      <c r="R424" s="89"/>
      <c r="S424" s="89"/>
      <c r="T424" s="89"/>
      <c r="U424" s="89"/>
      <c r="V424" s="89"/>
      <c r="W424" s="89"/>
      <c r="X424" s="89"/>
      <c r="Y424" s="89"/>
      <c r="Z424" s="89"/>
      <c r="AA424" s="89"/>
    </row>
    <row r="425" spans="1:27" ht="13.8">
      <c r="A425" s="89"/>
      <c r="B425" s="89"/>
      <c r="C425" s="89"/>
      <c r="D425" s="89"/>
      <c r="E425" s="89"/>
      <c r="F425" s="110"/>
      <c r="G425" s="89"/>
      <c r="H425" s="89"/>
      <c r="I425" s="89"/>
      <c r="J425" s="89"/>
      <c r="K425" s="89"/>
      <c r="L425" s="89"/>
      <c r="M425" s="89"/>
      <c r="N425" s="89"/>
      <c r="O425" s="89"/>
      <c r="P425" s="89"/>
      <c r="Q425" s="89"/>
      <c r="R425" s="89"/>
      <c r="S425" s="89"/>
      <c r="T425" s="89"/>
      <c r="U425" s="89"/>
      <c r="V425" s="89"/>
      <c r="W425" s="89"/>
      <c r="X425" s="89"/>
      <c r="Y425" s="89"/>
      <c r="Z425" s="89"/>
      <c r="AA425" s="89"/>
    </row>
    <row r="426" spans="1:27" ht="13.8">
      <c r="A426" s="89"/>
      <c r="B426" s="89"/>
      <c r="C426" s="89"/>
      <c r="D426" s="89"/>
      <c r="E426" s="89"/>
      <c r="F426" s="110"/>
      <c r="G426" s="89"/>
      <c r="H426" s="89"/>
      <c r="I426" s="89"/>
      <c r="J426" s="89"/>
      <c r="K426" s="89"/>
      <c r="L426" s="89"/>
      <c r="M426" s="89"/>
      <c r="N426" s="89"/>
      <c r="O426" s="89"/>
      <c r="P426" s="89"/>
      <c r="Q426" s="89"/>
      <c r="R426" s="89"/>
      <c r="S426" s="89"/>
      <c r="T426" s="89"/>
      <c r="U426" s="89"/>
      <c r="V426" s="89"/>
      <c r="W426" s="89"/>
      <c r="X426" s="89"/>
      <c r="Y426" s="89"/>
      <c r="Z426" s="89"/>
      <c r="AA426" s="89"/>
    </row>
    <row r="427" spans="1:27" ht="13.8">
      <c r="A427" s="89"/>
      <c r="B427" s="89"/>
      <c r="C427" s="89"/>
      <c r="D427" s="89"/>
      <c r="E427" s="89"/>
      <c r="F427" s="110"/>
      <c r="G427" s="89"/>
      <c r="H427" s="89"/>
      <c r="I427" s="89"/>
      <c r="J427" s="89"/>
      <c r="K427" s="89"/>
      <c r="L427" s="89"/>
      <c r="M427" s="89"/>
      <c r="N427" s="89"/>
      <c r="O427" s="89"/>
      <c r="P427" s="89"/>
      <c r="Q427" s="89"/>
      <c r="R427" s="89"/>
      <c r="S427" s="89"/>
      <c r="T427" s="89"/>
      <c r="U427" s="89"/>
      <c r="V427" s="89"/>
      <c r="W427" s="89"/>
      <c r="X427" s="89"/>
      <c r="Y427" s="89"/>
      <c r="Z427" s="89"/>
      <c r="AA427" s="89"/>
    </row>
    <row r="428" spans="1:27" ht="13.8">
      <c r="A428" s="89"/>
      <c r="B428" s="89"/>
      <c r="C428" s="89"/>
      <c r="D428" s="89"/>
      <c r="E428" s="89"/>
      <c r="F428" s="110"/>
      <c r="G428" s="89"/>
      <c r="H428" s="89"/>
      <c r="I428" s="89"/>
      <c r="J428" s="89"/>
      <c r="K428" s="89"/>
      <c r="L428" s="89"/>
      <c r="M428" s="89"/>
      <c r="N428" s="89"/>
      <c r="O428" s="89"/>
      <c r="P428" s="89"/>
      <c r="Q428" s="89"/>
      <c r="R428" s="89"/>
      <c r="S428" s="89"/>
      <c r="T428" s="89"/>
      <c r="U428" s="89"/>
      <c r="V428" s="89"/>
      <c r="W428" s="89"/>
      <c r="X428" s="89"/>
      <c r="Y428" s="89"/>
      <c r="Z428" s="89"/>
      <c r="AA428" s="89"/>
    </row>
    <row r="429" spans="1:27" ht="13.8">
      <c r="A429" s="89"/>
      <c r="B429" s="89"/>
      <c r="C429" s="89"/>
      <c r="D429" s="89"/>
      <c r="E429" s="89"/>
      <c r="F429" s="110"/>
      <c r="G429" s="89"/>
      <c r="H429" s="89"/>
      <c r="I429" s="89"/>
      <c r="J429" s="89"/>
      <c r="K429" s="89"/>
      <c r="L429" s="89"/>
      <c r="M429" s="89"/>
      <c r="N429" s="89"/>
      <c r="O429" s="89"/>
      <c r="P429" s="89"/>
      <c r="Q429" s="89"/>
      <c r="R429" s="89"/>
      <c r="S429" s="89"/>
      <c r="T429" s="89"/>
      <c r="U429" s="89"/>
      <c r="V429" s="89"/>
      <c r="W429" s="89"/>
      <c r="X429" s="89"/>
      <c r="Y429" s="89"/>
      <c r="Z429" s="89"/>
      <c r="AA429" s="89"/>
    </row>
    <row r="430" spans="1:27" ht="13.8">
      <c r="A430" s="89"/>
      <c r="B430" s="89"/>
      <c r="C430" s="89"/>
      <c r="D430" s="89"/>
      <c r="E430" s="89"/>
      <c r="F430" s="110"/>
      <c r="G430" s="89"/>
      <c r="H430" s="89"/>
      <c r="I430" s="89"/>
      <c r="J430" s="89"/>
      <c r="K430" s="89"/>
      <c r="L430" s="89"/>
      <c r="M430" s="89"/>
      <c r="N430" s="89"/>
      <c r="O430" s="89"/>
      <c r="P430" s="89"/>
      <c r="Q430" s="89"/>
      <c r="R430" s="89"/>
      <c r="S430" s="89"/>
      <c r="T430" s="89"/>
      <c r="U430" s="89"/>
      <c r="V430" s="89"/>
      <c r="W430" s="89"/>
      <c r="X430" s="89"/>
      <c r="Y430" s="89"/>
      <c r="Z430" s="89"/>
      <c r="AA430" s="89"/>
    </row>
    <row r="431" spans="1:27" ht="13.8">
      <c r="A431" s="89"/>
      <c r="B431" s="89"/>
      <c r="C431" s="89"/>
      <c r="D431" s="89"/>
      <c r="E431" s="89"/>
      <c r="F431" s="110"/>
      <c r="G431" s="89"/>
      <c r="H431" s="89"/>
      <c r="I431" s="89"/>
      <c r="J431" s="89"/>
      <c r="K431" s="89"/>
      <c r="L431" s="89"/>
      <c r="M431" s="89"/>
      <c r="N431" s="89"/>
      <c r="O431" s="89"/>
      <c r="P431" s="89"/>
      <c r="Q431" s="89"/>
      <c r="R431" s="89"/>
      <c r="S431" s="89"/>
      <c r="T431" s="89"/>
      <c r="U431" s="89"/>
      <c r="V431" s="89"/>
      <c r="W431" s="89"/>
      <c r="X431" s="89"/>
      <c r="Y431" s="89"/>
      <c r="Z431" s="89"/>
      <c r="AA431" s="89"/>
    </row>
    <row r="432" spans="1:27" ht="13.8">
      <c r="A432" s="89"/>
      <c r="B432" s="89"/>
      <c r="C432" s="89"/>
      <c r="D432" s="89"/>
      <c r="E432" s="89"/>
      <c r="F432" s="110"/>
      <c r="G432" s="89"/>
      <c r="H432" s="89"/>
      <c r="I432" s="89"/>
      <c r="J432" s="89"/>
      <c r="K432" s="89"/>
      <c r="L432" s="89"/>
      <c r="M432" s="89"/>
      <c r="N432" s="89"/>
      <c r="O432" s="89"/>
      <c r="P432" s="89"/>
      <c r="Q432" s="89"/>
      <c r="R432" s="89"/>
      <c r="S432" s="89"/>
      <c r="T432" s="89"/>
      <c r="U432" s="89"/>
      <c r="V432" s="89"/>
      <c r="W432" s="89"/>
      <c r="X432" s="89"/>
      <c r="Y432" s="89"/>
      <c r="Z432" s="89"/>
      <c r="AA432" s="89"/>
    </row>
    <row r="433" spans="1:27" ht="13.8">
      <c r="A433" s="89"/>
      <c r="B433" s="89"/>
      <c r="C433" s="89"/>
      <c r="D433" s="89"/>
      <c r="E433" s="89"/>
      <c r="F433" s="110"/>
      <c r="G433" s="89"/>
      <c r="H433" s="89"/>
      <c r="I433" s="89"/>
      <c r="J433" s="89"/>
      <c r="K433" s="89"/>
      <c r="L433" s="89"/>
      <c r="M433" s="89"/>
      <c r="N433" s="89"/>
      <c r="O433" s="89"/>
      <c r="P433" s="89"/>
      <c r="Q433" s="89"/>
      <c r="R433" s="89"/>
      <c r="S433" s="89"/>
      <c r="T433" s="89"/>
      <c r="U433" s="89"/>
      <c r="V433" s="89"/>
      <c r="W433" s="89"/>
      <c r="X433" s="89"/>
      <c r="Y433" s="89"/>
      <c r="Z433" s="89"/>
      <c r="AA433" s="89"/>
    </row>
    <row r="434" spans="1:27" ht="13.8">
      <c r="A434" s="89"/>
      <c r="B434" s="89"/>
      <c r="C434" s="89"/>
      <c r="D434" s="89"/>
      <c r="E434" s="89"/>
      <c r="F434" s="110"/>
      <c r="G434" s="89"/>
      <c r="H434" s="89"/>
      <c r="I434" s="89"/>
      <c r="J434" s="89"/>
      <c r="K434" s="89"/>
      <c r="L434" s="89"/>
      <c r="M434" s="89"/>
      <c r="N434" s="89"/>
      <c r="O434" s="89"/>
      <c r="P434" s="89"/>
      <c r="Q434" s="89"/>
      <c r="R434" s="89"/>
      <c r="S434" s="89"/>
      <c r="T434" s="89"/>
      <c r="U434" s="89"/>
      <c r="V434" s="89"/>
      <c r="W434" s="89"/>
      <c r="X434" s="89"/>
      <c r="Y434" s="89"/>
      <c r="Z434" s="89"/>
      <c r="AA434" s="89"/>
    </row>
    <row r="435" spans="1:27" ht="13.8">
      <c r="A435" s="89"/>
      <c r="B435" s="89"/>
      <c r="C435" s="89"/>
      <c r="D435" s="89"/>
      <c r="E435" s="89"/>
      <c r="F435" s="110"/>
      <c r="G435" s="89"/>
      <c r="H435" s="89"/>
      <c r="I435" s="89"/>
      <c r="J435" s="89"/>
      <c r="K435" s="89"/>
      <c r="L435" s="89"/>
      <c r="M435" s="89"/>
      <c r="N435" s="89"/>
      <c r="O435" s="89"/>
      <c r="P435" s="89"/>
      <c r="Q435" s="89"/>
      <c r="R435" s="89"/>
      <c r="S435" s="89"/>
      <c r="T435" s="89"/>
      <c r="U435" s="89"/>
      <c r="V435" s="89"/>
      <c r="W435" s="89"/>
      <c r="X435" s="89"/>
      <c r="Y435" s="89"/>
      <c r="Z435" s="89"/>
      <c r="AA435" s="89"/>
    </row>
    <row r="436" spans="1:27" ht="13.8">
      <c r="A436" s="89"/>
      <c r="B436" s="89"/>
      <c r="C436" s="89"/>
      <c r="D436" s="89"/>
      <c r="E436" s="89"/>
      <c r="F436" s="110"/>
      <c r="G436" s="89"/>
      <c r="H436" s="89"/>
      <c r="I436" s="89"/>
      <c r="J436" s="89"/>
      <c r="K436" s="89"/>
      <c r="L436" s="89"/>
      <c r="M436" s="89"/>
      <c r="N436" s="89"/>
      <c r="O436" s="89"/>
      <c r="P436" s="89"/>
      <c r="Q436" s="89"/>
      <c r="R436" s="89"/>
      <c r="S436" s="89"/>
      <c r="T436" s="89"/>
      <c r="U436" s="89"/>
      <c r="V436" s="89"/>
      <c r="W436" s="89"/>
      <c r="X436" s="89"/>
      <c r="Y436" s="89"/>
      <c r="Z436" s="89"/>
      <c r="AA436" s="89"/>
    </row>
    <row r="437" spans="1:27" ht="13.8">
      <c r="A437" s="89"/>
      <c r="B437" s="89"/>
      <c r="C437" s="89"/>
      <c r="D437" s="89"/>
      <c r="E437" s="89"/>
      <c r="F437" s="110"/>
      <c r="G437" s="89"/>
      <c r="H437" s="89"/>
      <c r="I437" s="89"/>
      <c r="J437" s="89"/>
      <c r="K437" s="89"/>
      <c r="L437" s="89"/>
      <c r="M437" s="89"/>
      <c r="N437" s="89"/>
      <c r="O437" s="89"/>
      <c r="P437" s="89"/>
      <c r="Q437" s="89"/>
      <c r="R437" s="89"/>
      <c r="S437" s="89"/>
      <c r="T437" s="89"/>
      <c r="U437" s="89"/>
      <c r="V437" s="89"/>
      <c r="W437" s="89"/>
      <c r="X437" s="89"/>
      <c r="Y437" s="89"/>
      <c r="Z437" s="89"/>
      <c r="AA437" s="89"/>
    </row>
    <row r="438" spans="1:27" ht="13.8">
      <c r="A438" s="89"/>
      <c r="B438" s="89"/>
      <c r="C438" s="89"/>
      <c r="D438" s="89"/>
      <c r="E438" s="89"/>
      <c r="F438" s="110"/>
      <c r="G438" s="89"/>
      <c r="H438" s="89"/>
      <c r="I438" s="89"/>
      <c r="J438" s="89"/>
      <c r="K438" s="89"/>
      <c r="L438" s="89"/>
      <c r="M438" s="89"/>
      <c r="N438" s="89"/>
      <c r="O438" s="89"/>
      <c r="P438" s="89"/>
      <c r="Q438" s="89"/>
      <c r="R438" s="89"/>
      <c r="S438" s="89"/>
      <c r="T438" s="89"/>
      <c r="U438" s="89"/>
      <c r="V438" s="89"/>
      <c r="W438" s="89"/>
      <c r="X438" s="89"/>
      <c r="Y438" s="89"/>
      <c r="Z438" s="89"/>
      <c r="AA438" s="89"/>
    </row>
    <row r="439" spans="1:27" ht="13.8">
      <c r="A439" s="89"/>
      <c r="B439" s="89"/>
      <c r="C439" s="89"/>
      <c r="D439" s="89"/>
      <c r="E439" s="89"/>
      <c r="F439" s="110"/>
      <c r="G439" s="89"/>
      <c r="H439" s="89"/>
      <c r="I439" s="89"/>
      <c r="J439" s="89"/>
      <c r="K439" s="89"/>
      <c r="L439" s="89"/>
      <c r="M439" s="89"/>
      <c r="N439" s="89"/>
      <c r="O439" s="89"/>
      <c r="P439" s="89"/>
      <c r="Q439" s="89"/>
      <c r="R439" s="89"/>
      <c r="S439" s="89"/>
      <c r="T439" s="89"/>
      <c r="U439" s="89"/>
      <c r="V439" s="89"/>
      <c r="W439" s="89"/>
      <c r="X439" s="89"/>
      <c r="Y439" s="89"/>
      <c r="Z439" s="89"/>
      <c r="AA439" s="89"/>
    </row>
    <row r="440" spans="1:27" ht="13.8">
      <c r="A440" s="89"/>
      <c r="B440" s="89"/>
      <c r="C440" s="89"/>
      <c r="D440" s="89"/>
      <c r="E440" s="89"/>
      <c r="F440" s="110"/>
      <c r="G440" s="89"/>
      <c r="H440" s="89"/>
      <c r="I440" s="89"/>
      <c r="J440" s="89"/>
      <c r="K440" s="89"/>
      <c r="L440" s="89"/>
      <c r="M440" s="89"/>
      <c r="N440" s="89"/>
      <c r="O440" s="89"/>
      <c r="P440" s="89"/>
      <c r="Q440" s="89"/>
      <c r="R440" s="89"/>
      <c r="S440" s="89"/>
      <c r="T440" s="89"/>
      <c r="U440" s="89"/>
      <c r="V440" s="89"/>
      <c r="W440" s="89"/>
      <c r="X440" s="89"/>
      <c r="Y440" s="89"/>
      <c r="Z440" s="89"/>
      <c r="AA440" s="89"/>
    </row>
    <row r="441" spans="1:27" ht="13.8">
      <c r="A441" s="89"/>
      <c r="B441" s="89"/>
      <c r="C441" s="89"/>
      <c r="D441" s="89"/>
      <c r="E441" s="89"/>
      <c r="F441" s="110"/>
      <c r="G441" s="89"/>
      <c r="H441" s="89"/>
      <c r="I441" s="89"/>
      <c r="J441" s="89"/>
      <c r="K441" s="89"/>
      <c r="L441" s="89"/>
      <c r="M441" s="89"/>
      <c r="N441" s="89"/>
      <c r="O441" s="89"/>
      <c r="P441" s="89"/>
      <c r="Q441" s="89"/>
      <c r="R441" s="89"/>
      <c r="S441" s="89"/>
      <c r="T441" s="89"/>
      <c r="U441" s="89"/>
      <c r="V441" s="89"/>
      <c r="W441" s="89"/>
      <c r="X441" s="89"/>
      <c r="Y441" s="89"/>
      <c r="Z441" s="89"/>
      <c r="AA441" s="89"/>
    </row>
    <row r="442" spans="1:27" ht="13.8">
      <c r="A442" s="89"/>
      <c r="B442" s="89"/>
      <c r="C442" s="89"/>
      <c r="D442" s="89"/>
      <c r="E442" s="89"/>
      <c r="F442" s="110"/>
      <c r="G442" s="89"/>
      <c r="H442" s="89"/>
      <c r="I442" s="89"/>
      <c r="J442" s="89"/>
      <c r="K442" s="89"/>
      <c r="L442" s="89"/>
      <c r="M442" s="89"/>
      <c r="N442" s="89"/>
      <c r="O442" s="89"/>
      <c r="P442" s="89"/>
      <c r="Q442" s="89"/>
      <c r="R442" s="89"/>
      <c r="S442" s="89"/>
      <c r="T442" s="89"/>
      <c r="U442" s="89"/>
      <c r="V442" s="89"/>
      <c r="W442" s="89"/>
      <c r="X442" s="89"/>
      <c r="Y442" s="89"/>
      <c r="Z442" s="89"/>
      <c r="AA442" s="89"/>
    </row>
    <row r="443" spans="1:27" ht="13.8">
      <c r="A443" s="89"/>
      <c r="B443" s="89"/>
      <c r="C443" s="89"/>
      <c r="D443" s="89"/>
      <c r="E443" s="89"/>
      <c r="F443" s="110"/>
      <c r="G443" s="89"/>
      <c r="H443" s="89"/>
      <c r="I443" s="89"/>
      <c r="J443" s="89"/>
      <c r="K443" s="89"/>
      <c r="L443" s="89"/>
      <c r="M443" s="89"/>
      <c r="N443" s="89"/>
      <c r="O443" s="89"/>
      <c r="P443" s="89"/>
      <c r="Q443" s="89"/>
      <c r="R443" s="89"/>
      <c r="S443" s="89"/>
      <c r="T443" s="89"/>
      <c r="U443" s="89"/>
      <c r="V443" s="89"/>
      <c r="W443" s="89"/>
      <c r="X443" s="89"/>
      <c r="Y443" s="89"/>
      <c r="Z443" s="89"/>
      <c r="AA443" s="89"/>
    </row>
    <row r="444" spans="1:27" ht="13.8">
      <c r="A444" s="89"/>
      <c r="B444" s="89"/>
      <c r="C444" s="89"/>
      <c r="D444" s="89"/>
      <c r="E444" s="89"/>
      <c r="F444" s="110"/>
      <c r="G444" s="89"/>
      <c r="H444" s="89"/>
      <c r="I444" s="89"/>
      <c r="J444" s="89"/>
      <c r="K444" s="89"/>
      <c r="L444" s="89"/>
      <c r="M444" s="89"/>
      <c r="N444" s="89"/>
      <c r="O444" s="89"/>
      <c r="P444" s="89"/>
      <c r="Q444" s="89"/>
      <c r="R444" s="89"/>
      <c r="S444" s="89"/>
      <c r="T444" s="89"/>
      <c r="U444" s="89"/>
      <c r="V444" s="89"/>
      <c r="W444" s="89"/>
      <c r="X444" s="89"/>
      <c r="Y444" s="89"/>
      <c r="Z444" s="89"/>
      <c r="AA444" s="89"/>
    </row>
    <row r="445" spans="1:27" ht="13.8">
      <c r="A445" s="89"/>
      <c r="B445" s="89"/>
      <c r="C445" s="89"/>
      <c r="D445" s="89"/>
      <c r="E445" s="89"/>
      <c r="F445" s="110"/>
      <c r="G445" s="89"/>
      <c r="H445" s="89"/>
      <c r="I445" s="89"/>
      <c r="J445" s="89"/>
      <c r="K445" s="89"/>
      <c r="L445" s="89"/>
      <c r="M445" s="89"/>
      <c r="N445" s="89"/>
      <c r="O445" s="89"/>
      <c r="P445" s="89"/>
      <c r="Q445" s="89"/>
      <c r="R445" s="89"/>
      <c r="S445" s="89"/>
      <c r="T445" s="89"/>
      <c r="U445" s="89"/>
      <c r="V445" s="89"/>
      <c r="W445" s="89"/>
      <c r="X445" s="89"/>
      <c r="Y445" s="89"/>
      <c r="Z445" s="89"/>
      <c r="AA445" s="89"/>
    </row>
    <row r="446" spans="1:27" ht="13.8">
      <c r="A446" s="89"/>
      <c r="B446" s="89"/>
      <c r="C446" s="89"/>
      <c r="D446" s="89"/>
      <c r="E446" s="89"/>
      <c r="F446" s="110"/>
      <c r="G446" s="89"/>
      <c r="H446" s="89"/>
      <c r="I446" s="89"/>
      <c r="J446" s="89"/>
      <c r="K446" s="89"/>
      <c r="L446" s="89"/>
      <c r="M446" s="89"/>
      <c r="N446" s="89"/>
      <c r="O446" s="89"/>
      <c r="P446" s="89"/>
      <c r="Q446" s="89"/>
      <c r="R446" s="89"/>
      <c r="S446" s="89"/>
      <c r="T446" s="89"/>
      <c r="U446" s="89"/>
      <c r="V446" s="89"/>
      <c r="W446" s="89"/>
      <c r="X446" s="89"/>
      <c r="Y446" s="89"/>
      <c r="Z446" s="89"/>
      <c r="AA446" s="89"/>
    </row>
    <row r="447" spans="1:27" ht="13.8">
      <c r="A447" s="89"/>
      <c r="B447" s="89"/>
      <c r="C447" s="89"/>
      <c r="D447" s="89"/>
      <c r="E447" s="89"/>
      <c r="F447" s="110"/>
      <c r="G447" s="89"/>
      <c r="H447" s="89"/>
      <c r="I447" s="89"/>
      <c r="J447" s="89"/>
      <c r="K447" s="89"/>
      <c r="L447" s="89"/>
      <c r="M447" s="89"/>
      <c r="N447" s="89"/>
      <c r="O447" s="89"/>
      <c r="P447" s="89"/>
      <c r="Q447" s="89"/>
      <c r="R447" s="89"/>
      <c r="S447" s="89"/>
      <c r="T447" s="89"/>
      <c r="U447" s="89"/>
      <c r="V447" s="89"/>
      <c r="W447" s="89"/>
      <c r="X447" s="89"/>
      <c r="Y447" s="89"/>
      <c r="Z447" s="89"/>
      <c r="AA447" s="89"/>
    </row>
    <row r="448" spans="1:27" ht="13.8">
      <c r="A448" s="89"/>
      <c r="B448" s="89"/>
      <c r="C448" s="89"/>
      <c r="D448" s="89"/>
      <c r="E448" s="89"/>
      <c r="F448" s="110"/>
      <c r="G448" s="89"/>
      <c r="H448" s="89"/>
      <c r="I448" s="89"/>
      <c r="J448" s="89"/>
      <c r="K448" s="89"/>
      <c r="L448" s="89"/>
      <c r="M448" s="89"/>
      <c r="N448" s="89"/>
      <c r="O448" s="89"/>
      <c r="P448" s="89"/>
      <c r="Q448" s="89"/>
      <c r="R448" s="89"/>
      <c r="S448" s="89"/>
      <c r="T448" s="89"/>
      <c r="U448" s="89"/>
      <c r="V448" s="89"/>
      <c r="W448" s="89"/>
      <c r="X448" s="89"/>
      <c r="Y448" s="89"/>
      <c r="Z448" s="89"/>
      <c r="AA448" s="89"/>
    </row>
    <row r="449" spans="1:27" ht="13.8">
      <c r="A449" s="89"/>
      <c r="B449" s="89"/>
      <c r="C449" s="89"/>
      <c r="D449" s="89"/>
      <c r="E449" s="89"/>
      <c r="F449" s="110"/>
      <c r="G449" s="89"/>
      <c r="H449" s="89"/>
      <c r="I449" s="89"/>
      <c r="J449" s="89"/>
      <c r="K449" s="89"/>
      <c r="L449" s="89"/>
      <c r="M449" s="89"/>
      <c r="N449" s="89"/>
      <c r="O449" s="89"/>
      <c r="P449" s="89"/>
      <c r="Q449" s="89"/>
      <c r="R449" s="89"/>
      <c r="S449" s="89"/>
      <c r="T449" s="89"/>
      <c r="U449" s="89"/>
      <c r="V449" s="89"/>
      <c r="W449" s="89"/>
      <c r="X449" s="89"/>
      <c r="Y449" s="89"/>
      <c r="Z449" s="89"/>
      <c r="AA449" s="89"/>
    </row>
    <row r="450" spans="1:27" ht="13.8">
      <c r="A450" s="89"/>
      <c r="B450" s="89"/>
      <c r="C450" s="89"/>
      <c r="D450" s="89"/>
      <c r="E450" s="89"/>
      <c r="F450" s="110"/>
      <c r="G450" s="89"/>
      <c r="H450" s="89"/>
      <c r="I450" s="89"/>
      <c r="J450" s="89"/>
      <c r="K450" s="89"/>
      <c r="L450" s="89"/>
      <c r="M450" s="89"/>
      <c r="N450" s="89"/>
      <c r="O450" s="89"/>
      <c r="P450" s="89"/>
      <c r="Q450" s="89"/>
      <c r="R450" s="89"/>
      <c r="S450" s="89"/>
      <c r="T450" s="89"/>
      <c r="U450" s="89"/>
      <c r="V450" s="89"/>
      <c r="W450" s="89"/>
      <c r="X450" s="89"/>
      <c r="Y450" s="89"/>
      <c r="Z450" s="89"/>
      <c r="AA450" s="89"/>
    </row>
    <row r="451" spans="1:27" ht="13.8">
      <c r="A451" s="89"/>
      <c r="B451" s="89"/>
      <c r="C451" s="89"/>
      <c r="D451" s="89"/>
      <c r="E451" s="89"/>
      <c r="F451" s="110"/>
      <c r="G451" s="89"/>
      <c r="H451" s="89"/>
      <c r="I451" s="89"/>
      <c r="J451" s="89"/>
      <c r="K451" s="89"/>
      <c r="L451" s="89"/>
      <c r="M451" s="89"/>
      <c r="N451" s="89"/>
      <c r="O451" s="89"/>
      <c r="P451" s="89"/>
      <c r="Q451" s="89"/>
      <c r="R451" s="89"/>
      <c r="S451" s="89"/>
      <c r="T451" s="89"/>
      <c r="U451" s="89"/>
      <c r="V451" s="89"/>
      <c r="W451" s="89"/>
      <c r="X451" s="89"/>
      <c r="Y451" s="89"/>
      <c r="Z451" s="89"/>
      <c r="AA451" s="89"/>
    </row>
    <row r="452" spans="1:27" ht="13.8">
      <c r="A452" s="89"/>
      <c r="B452" s="89"/>
      <c r="C452" s="89"/>
      <c r="D452" s="89"/>
      <c r="E452" s="89"/>
      <c r="F452" s="110"/>
      <c r="G452" s="89"/>
      <c r="H452" s="89"/>
      <c r="I452" s="89"/>
      <c r="J452" s="89"/>
      <c r="K452" s="89"/>
      <c r="L452" s="89"/>
      <c r="M452" s="89"/>
      <c r="N452" s="89"/>
      <c r="O452" s="89"/>
      <c r="P452" s="89"/>
      <c r="Q452" s="89"/>
      <c r="R452" s="89"/>
      <c r="S452" s="89"/>
      <c r="T452" s="89"/>
      <c r="U452" s="89"/>
      <c r="V452" s="89"/>
      <c r="W452" s="89"/>
      <c r="X452" s="89"/>
      <c r="Y452" s="89"/>
      <c r="Z452" s="89"/>
      <c r="AA452" s="89"/>
    </row>
    <row r="453" spans="1:27" ht="13.8">
      <c r="A453" s="89"/>
      <c r="B453" s="89"/>
      <c r="C453" s="89"/>
      <c r="D453" s="89"/>
      <c r="E453" s="89"/>
      <c r="F453" s="110"/>
      <c r="G453" s="89"/>
      <c r="H453" s="89"/>
      <c r="I453" s="89"/>
      <c r="J453" s="89"/>
      <c r="K453" s="89"/>
      <c r="L453" s="89"/>
      <c r="M453" s="89"/>
      <c r="N453" s="89"/>
      <c r="O453" s="89"/>
      <c r="P453" s="89"/>
      <c r="Q453" s="89"/>
      <c r="R453" s="89"/>
      <c r="S453" s="89"/>
      <c r="T453" s="89"/>
      <c r="U453" s="89"/>
      <c r="V453" s="89"/>
      <c r="W453" s="89"/>
      <c r="X453" s="89"/>
      <c r="Y453" s="89"/>
      <c r="Z453" s="89"/>
      <c r="AA453" s="89"/>
    </row>
    <row r="454" spans="1:27" ht="13.8">
      <c r="A454" s="89"/>
      <c r="B454" s="89"/>
      <c r="C454" s="89"/>
      <c r="D454" s="89"/>
      <c r="E454" s="89"/>
      <c r="F454" s="110"/>
      <c r="G454" s="89"/>
      <c r="H454" s="89"/>
      <c r="I454" s="89"/>
      <c r="J454" s="89"/>
      <c r="K454" s="89"/>
      <c r="L454" s="89"/>
      <c r="M454" s="89"/>
      <c r="N454" s="89"/>
      <c r="O454" s="89"/>
      <c r="P454" s="89"/>
      <c r="Q454" s="89"/>
      <c r="R454" s="89"/>
      <c r="S454" s="89"/>
      <c r="T454" s="89"/>
      <c r="U454" s="89"/>
      <c r="V454" s="89"/>
      <c r="W454" s="89"/>
      <c r="X454" s="89"/>
      <c r="Y454" s="89"/>
      <c r="Z454" s="89"/>
      <c r="AA454" s="89"/>
    </row>
    <row r="455" spans="1:27" ht="13.8">
      <c r="A455" s="89"/>
      <c r="B455" s="89"/>
      <c r="C455" s="89"/>
      <c r="D455" s="89"/>
      <c r="E455" s="89"/>
      <c r="F455" s="110"/>
      <c r="G455" s="89"/>
      <c r="H455" s="89"/>
      <c r="I455" s="89"/>
      <c r="J455" s="89"/>
      <c r="K455" s="89"/>
      <c r="L455" s="89"/>
      <c r="M455" s="89"/>
      <c r="N455" s="89"/>
      <c r="O455" s="89"/>
      <c r="P455" s="89"/>
      <c r="Q455" s="89"/>
      <c r="R455" s="89"/>
      <c r="S455" s="89"/>
      <c r="T455" s="89"/>
      <c r="U455" s="89"/>
      <c r="V455" s="89"/>
      <c r="W455" s="89"/>
      <c r="X455" s="89"/>
      <c r="Y455" s="89"/>
      <c r="Z455" s="89"/>
      <c r="AA455" s="89"/>
    </row>
    <row r="456" spans="1:27" ht="13.8">
      <c r="A456" s="89"/>
      <c r="B456" s="89"/>
      <c r="C456" s="89"/>
      <c r="D456" s="89"/>
      <c r="E456" s="89"/>
      <c r="F456" s="110"/>
      <c r="G456" s="89"/>
      <c r="H456" s="89"/>
      <c r="I456" s="89"/>
      <c r="J456" s="89"/>
      <c r="K456" s="89"/>
      <c r="L456" s="89"/>
      <c r="M456" s="89"/>
      <c r="N456" s="89"/>
      <c r="O456" s="89"/>
      <c r="P456" s="89"/>
      <c r="Q456" s="89"/>
      <c r="R456" s="89"/>
      <c r="S456" s="89"/>
      <c r="T456" s="89"/>
      <c r="U456" s="89"/>
      <c r="V456" s="89"/>
      <c r="W456" s="89"/>
      <c r="X456" s="89"/>
      <c r="Y456" s="89"/>
      <c r="Z456" s="89"/>
      <c r="AA456" s="89"/>
    </row>
    <row r="457" spans="1:27" ht="13.8">
      <c r="A457" s="89"/>
      <c r="B457" s="89"/>
      <c r="C457" s="89"/>
      <c r="D457" s="89"/>
      <c r="E457" s="89"/>
      <c r="F457" s="110"/>
      <c r="G457" s="89"/>
      <c r="H457" s="89"/>
      <c r="I457" s="89"/>
      <c r="J457" s="89"/>
      <c r="K457" s="89"/>
      <c r="L457" s="89"/>
      <c r="M457" s="89"/>
      <c r="N457" s="89"/>
      <c r="O457" s="89"/>
      <c r="P457" s="89"/>
      <c r="Q457" s="89"/>
      <c r="R457" s="89"/>
      <c r="S457" s="89"/>
      <c r="T457" s="89"/>
      <c r="U457" s="89"/>
      <c r="V457" s="89"/>
      <c r="W457" s="89"/>
      <c r="X457" s="89"/>
      <c r="Y457" s="89"/>
      <c r="Z457" s="89"/>
      <c r="AA457" s="89"/>
    </row>
    <row r="458" spans="1:27" ht="13.8">
      <c r="A458" s="89"/>
      <c r="B458" s="89"/>
      <c r="C458" s="89"/>
      <c r="D458" s="89"/>
      <c r="E458" s="89"/>
      <c r="F458" s="110"/>
      <c r="G458" s="89"/>
      <c r="H458" s="89"/>
      <c r="I458" s="89"/>
      <c r="J458" s="89"/>
      <c r="K458" s="89"/>
      <c r="L458" s="89"/>
      <c r="M458" s="89"/>
      <c r="N458" s="89"/>
      <c r="O458" s="89"/>
      <c r="P458" s="89"/>
      <c r="Q458" s="89"/>
      <c r="R458" s="89"/>
      <c r="S458" s="89"/>
      <c r="T458" s="89"/>
      <c r="U458" s="89"/>
      <c r="V458" s="89"/>
      <c r="W458" s="89"/>
      <c r="X458" s="89"/>
      <c r="Y458" s="89"/>
      <c r="Z458" s="89"/>
      <c r="AA458" s="89"/>
    </row>
    <row r="459" spans="1:27" ht="13.8">
      <c r="A459" s="89"/>
      <c r="B459" s="89"/>
      <c r="C459" s="89"/>
      <c r="D459" s="89"/>
      <c r="E459" s="89"/>
      <c r="F459" s="110"/>
      <c r="G459" s="89"/>
      <c r="H459" s="89"/>
      <c r="I459" s="89"/>
      <c r="J459" s="89"/>
      <c r="K459" s="89"/>
      <c r="L459" s="89"/>
      <c r="M459" s="89"/>
      <c r="N459" s="89"/>
      <c r="O459" s="89"/>
      <c r="P459" s="89"/>
      <c r="Q459" s="89"/>
      <c r="R459" s="89"/>
      <c r="S459" s="89"/>
      <c r="T459" s="89"/>
      <c r="U459" s="89"/>
      <c r="V459" s="89"/>
      <c r="W459" s="89"/>
      <c r="X459" s="89"/>
      <c r="Y459" s="89"/>
      <c r="Z459" s="89"/>
      <c r="AA459" s="89"/>
    </row>
    <row r="460" spans="1:27" ht="13.8">
      <c r="A460" s="89"/>
      <c r="B460" s="89"/>
      <c r="C460" s="89"/>
      <c r="D460" s="89"/>
      <c r="E460" s="89"/>
      <c r="F460" s="110"/>
      <c r="G460" s="89"/>
      <c r="H460" s="89"/>
      <c r="I460" s="89"/>
      <c r="J460" s="89"/>
      <c r="K460" s="89"/>
      <c r="L460" s="89"/>
      <c r="M460" s="89"/>
      <c r="N460" s="89"/>
      <c r="O460" s="89"/>
      <c r="P460" s="89"/>
      <c r="Q460" s="89"/>
      <c r="R460" s="89"/>
      <c r="S460" s="89"/>
      <c r="T460" s="89"/>
      <c r="U460" s="89"/>
      <c r="V460" s="89"/>
      <c r="W460" s="89"/>
      <c r="X460" s="89"/>
      <c r="Y460" s="89"/>
      <c r="Z460" s="89"/>
      <c r="AA460" s="89"/>
    </row>
    <row r="461" spans="1:27" ht="13.8">
      <c r="A461" s="89"/>
      <c r="B461" s="89"/>
      <c r="C461" s="89"/>
      <c r="D461" s="89"/>
      <c r="E461" s="89"/>
      <c r="F461" s="110"/>
      <c r="G461" s="89"/>
      <c r="H461" s="89"/>
      <c r="I461" s="89"/>
      <c r="J461" s="89"/>
      <c r="K461" s="89"/>
      <c r="L461" s="89"/>
      <c r="M461" s="89"/>
      <c r="N461" s="89"/>
      <c r="O461" s="89"/>
      <c r="P461" s="89"/>
      <c r="Q461" s="89"/>
      <c r="R461" s="89"/>
      <c r="S461" s="89"/>
      <c r="T461" s="89"/>
      <c r="U461" s="89"/>
      <c r="V461" s="89"/>
      <c r="W461" s="89"/>
      <c r="X461" s="89"/>
      <c r="Y461" s="89"/>
      <c r="Z461" s="89"/>
      <c r="AA461" s="89"/>
    </row>
    <row r="462" spans="1:27" ht="13.8">
      <c r="A462" s="89"/>
      <c r="B462" s="89"/>
      <c r="C462" s="89"/>
      <c r="D462" s="89"/>
      <c r="E462" s="89"/>
      <c r="F462" s="110"/>
      <c r="G462" s="89"/>
      <c r="H462" s="89"/>
      <c r="I462" s="89"/>
      <c r="J462" s="89"/>
      <c r="K462" s="89"/>
      <c r="L462" s="89"/>
      <c r="M462" s="89"/>
      <c r="N462" s="89"/>
      <c r="O462" s="89"/>
      <c r="P462" s="89"/>
      <c r="Q462" s="89"/>
      <c r="R462" s="89"/>
      <c r="S462" s="89"/>
      <c r="T462" s="89"/>
      <c r="U462" s="89"/>
      <c r="V462" s="89"/>
      <c r="W462" s="89"/>
      <c r="X462" s="89"/>
      <c r="Y462" s="89"/>
      <c r="Z462" s="89"/>
      <c r="AA462" s="89"/>
    </row>
    <row r="463" spans="1:27" ht="13.8">
      <c r="A463" s="89"/>
      <c r="B463" s="89"/>
      <c r="C463" s="89"/>
      <c r="D463" s="89"/>
      <c r="E463" s="89"/>
      <c r="F463" s="110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89"/>
      <c r="R463" s="89"/>
      <c r="S463" s="89"/>
      <c r="T463" s="89"/>
      <c r="U463" s="89"/>
      <c r="V463" s="89"/>
      <c r="W463" s="89"/>
      <c r="X463" s="89"/>
      <c r="Y463" s="89"/>
      <c r="Z463" s="89"/>
      <c r="AA463" s="89"/>
    </row>
    <row r="464" spans="1:27" ht="13.8">
      <c r="A464" s="89"/>
      <c r="B464" s="89"/>
      <c r="C464" s="89"/>
      <c r="D464" s="89"/>
      <c r="E464" s="89"/>
      <c r="F464" s="110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89"/>
      <c r="R464" s="89"/>
      <c r="S464" s="89"/>
      <c r="T464" s="89"/>
      <c r="U464" s="89"/>
      <c r="V464" s="89"/>
      <c r="W464" s="89"/>
      <c r="X464" s="89"/>
      <c r="Y464" s="89"/>
      <c r="Z464" s="89"/>
      <c r="AA464" s="89"/>
    </row>
    <row r="465" spans="1:27" ht="13.8">
      <c r="A465" s="89"/>
      <c r="B465" s="89"/>
      <c r="C465" s="89"/>
      <c r="D465" s="89"/>
      <c r="E465" s="89"/>
      <c r="F465" s="110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89"/>
      <c r="R465" s="89"/>
      <c r="S465" s="89"/>
      <c r="T465" s="89"/>
      <c r="U465" s="89"/>
      <c r="V465" s="89"/>
      <c r="W465" s="89"/>
      <c r="X465" s="89"/>
      <c r="Y465" s="89"/>
      <c r="Z465" s="89"/>
      <c r="AA465" s="89"/>
    </row>
    <row r="466" spans="1:27" ht="13.8">
      <c r="A466" s="89"/>
      <c r="B466" s="89"/>
      <c r="C466" s="89"/>
      <c r="D466" s="89"/>
      <c r="E466" s="89"/>
      <c r="F466" s="110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89"/>
      <c r="R466" s="89"/>
      <c r="S466" s="89"/>
      <c r="T466" s="89"/>
      <c r="U466" s="89"/>
      <c r="V466" s="89"/>
      <c r="W466" s="89"/>
      <c r="X466" s="89"/>
      <c r="Y466" s="89"/>
      <c r="Z466" s="89"/>
      <c r="AA466" s="89"/>
    </row>
    <row r="467" spans="1:27" ht="13.8">
      <c r="A467" s="89"/>
      <c r="B467" s="89"/>
      <c r="C467" s="89"/>
      <c r="D467" s="89"/>
      <c r="E467" s="89"/>
      <c r="F467" s="110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89"/>
      <c r="R467" s="89"/>
      <c r="S467" s="89"/>
      <c r="T467" s="89"/>
      <c r="U467" s="89"/>
      <c r="V467" s="89"/>
      <c r="W467" s="89"/>
      <c r="X467" s="89"/>
      <c r="Y467" s="89"/>
      <c r="Z467" s="89"/>
      <c r="AA467" s="89"/>
    </row>
    <row r="468" spans="1:27" ht="13.8">
      <c r="A468" s="89"/>
      <c r="B468" s="89"/>
      <c r="C468" s="89"/>
      <c r="D468" s="89"/>
      <c r="E468" s="89"/>
      <c r="F468" s="110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89"/>
      <c r="R468" s="89"/>
      <c r="S468" s="89"/>
      <c r="T468" s="89"/>
      <c r="U468" s="89"/>
      <c r="V468" s="89"/>
      <c r="W468" s="89"/>
      <c r="X468" s="89"/>
      <c r="Y468" s="89"/>
      <c r="Z468" s="89"/>
      <c r="AA468" s="89"/>
    </row>
    <row r="469" spans="1:27" ht="13.8">
      <c r="A469" s="89"/>
      <c r="B469" s="89"/>
      <c r="C469" s="89"/>
      <c r="D469" s="89"/>
      <c r="E469" s="89"/>
      <c r="F469" s="110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89"/>
      <c r="R469" s="89"/>
      <c r="S469" s="89"/>
      <c r="T469" s="89"/>
      <c r="U469" s="89"/>
      <c r="V469" s="89"/>
      <c r="W469" s="89"/>
      <c r="X469" s="89"/>
      <c r="Y469" s="89"/>
      <c r="Z469" s="89"/>
      <c r="AA469" s="89"/>
    </row>
    <row r="470" spans="1:27" ht="13.8">
      <c r="A470" s="89"/>
      <c r="B470" s="89"/>
      <c r="C470" s="89"/>
      <c r="D470" s="89"/>
      <c r="E470" s="89"/>
      <c r="F470" s="110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89"/>
      <c r="R470" s="89"/>
      <c r="S470" s="89"/>
      <c r="T470" s="89"/>
      <c r="U470" s="89"/>
      <c r="V470" s="89"/>
      <c r="W470" s="89"/>
      <c r="X470" s="89"/>
      <c r="Y470" s="89"/>
      <c r="Z470" s="89"/>
      <c r="AA470" s="89"/>
    </row>
    <row r="471" spans="1:27" ht="13.8">
      <c r="A471" s="89"/>
      <c r="B471" s="89"/>
      <c r="C471" s="89"/>
      <c r="D471" s="89"/>
      <c r="E471" s="89"/>
      <c r="F471" s="110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89"/>
      <c r="R471" s="89"/>
      <c r="S471" s="89"/>
      <c r="T471" s="89"/>
      <c r="U471" s="89"/>
      <c r="V471" s="89"/>
      <c r="W471" s="89"/>
      <c r="X471" s="89"/>
      <c r="Y471" s="89"/>
      <c r="Z471" s="89"/>
      <c r="AA471" s="89"/>
    </row>
    <row r="472" spans="1:27" ht="13.8">
      <c r="A472" s="89"/>
      <c r="B472" s="89"/>
      <c r="C472" s="89"/>
      <c r="D472" s="89"/>
      <c r="E472" s="89"/>
      <c r="F472" s="110"/>
      <c r="G472" s="89"/>
      <c r="H472" s="89"/>
      <c r="I472" s="89"/>
      <c r="J472" s="89"/>
      <c r="K472" s="89"/>
      <c r="L472" s="89"/>
      <c r="M472" s="89"/>
      <c r="N472" s="89"/>
      <c r="O472" s="89"/>
      <c r="P472" s="89"/>
      <c r="Q472" s="89"/>
      <c r="R472" s="89"/>
      <c r="S472" s="89"/>
      <c r="T472" s="89"/>
      <c r="U472" s="89"/>
      <c r="V472" s="89"/>
      <c r="W472" s="89"/>
      <c r="X472" s="89"/>
      <c r="Y472" s="89"/>
      <c r="Z472" s="89"/>
      <c r="AA472" s="89"/>
    </row>
    <row r="473" spans="1:27" ht="13.8">
      <c r="A473" s="89"/>
      <c r="B473" s="89"/>
      <c r="C473" s="89"/>
      <c r="D473" s="89"/>
      <c r="E473" s="89"/>
      <c r="F473" s="110"/>
      <c r="G473" s="89"/>
      <c r="H473" s="89"/>
      <c r="I473" s="89"/>
      <c r="J473" s="89"/>
      <c r="K473" s="89"/>
      <c r="L473" s="89"/>
      <c r="M473" s="89"/>
      <c r="N473" s="89"/>
      <c r="O473" s="89"/>
      <c r="P473" s="89"/>
      <c r="Q473" s="89"/>
      <c r="R473" s="89"/>
      <c r="S473" s="89"/>
      <c r="T473" s="89"/>
      <c r="U473" s="89"/>
      <c r="V473" s="89"/>
      <c r="W473" s="89"/>
      <c r="X473" s="89"/>
      <c r="Y473" s="89"/>
      <c r="Z473" s="89"/>
      <c r="AA473" s="89"/>
    </row>
    <row r="474" spans="1:27" ht="13.8">
      <c r="A474" s="89"/>
      <c r="B474" s="89"/>
      <c r="C474" s="89"/>
      <c r="D474" s="89"/>
      <c r="E474" s="89"/>
      <c r="F474" s="110"/>
      <c r="G474" s="89"/>
      <c r="H474" s="89"/>
      <c r="I474" s="89"/>
      <c r="J474" s="89"/>
      <c r="K474" s="89"/>
      <c r="L474" s="89"/>
      <c r="M474" s="89"/>
      <c r="N474" s="89"/>
      <c r="O474" s="89"/>
      <c r="P474" s="89"/>
      <c r="Q474" s="89"/>
      <c r="R474" s="89"/>
      <c r="S474" s="89"/>
      <c r="T474" s="89"/>
      <c r="U474" s="89"/>
      <c r="V474" s="89"/>
      <c r="W474" s="89"/>
      <c r="X474" s="89"/>
      <c r="Y474" s="89"/>
      <c r="Z474" s="89"/>
      <c r="AA474" s="89"/>
    </row>
    <row r="475" spans="1:27" ht="13.8">
      <c r="A475" s="89"/>
      <c r="B475" s="89"/>
      <c r="C475" s="89"/>
      <c r="D475" s="89"/>
      <c r="E475" s="89"/>
      <c r="F475" s="110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89"/>
      <c r="R475" s="89"/>
      <c r="S475" s="89"/>
      <c r="T475" s="89"/>
      <c r="U475" s="89"/>
      <c r="V475" s="89"/>
      <c r="W475" s="89"/>
      <c r="X475" s="89"/>
      <c r="Y475" s="89"/>
      <c r="Z475" s="89"/>
      <c r="AA475" s="89"/>
    </row>
    <row r="476" spans="1:27" ht="13.8">
      <c r="A476" s="89"/>
      <c r="B476" s="89"/>
      <c r="C476" s="89"/>
      <c r="D476" s="89"/>
      <c r="E476" s="89"/>
      <c r="F476" s="110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89"/>
      <c r="R476" s="89"/>
      <c r="S476" s="89"/>
      <c r="T476" s="89"/>
      <c r="U476" s="89"/>
      <c r="V476" s="89"/>
      <c r="W476" s="89"/>
      <c r="X476" s="89"/>
      <c r="Y476" s="89"/>
      <c r="Z476" s="89"/>
      <c r="AA476" s="89"/>
    </row>
    <row r="477" spans="1:27" ht="13.8">
      <c r="A477" s="89"/>
      <c r="B477" s="89"/>
      <c r="C477" s="89"/>
      <c r="D477" s="89"/>
      <c r="E477" s="89"/>
      <c r="F477" s="110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89"/>
      <c r="R477" s="89"/>
      <c r="S477" s="89"/>
      <c r="T477" s="89"/>
      <c r="U477" s="89"/>
      <c r="V477" s="89"/>
      <c r="W477" s="89"/>
      <c r="X477" s="89"/>
      <c r="Y477" s="89"/>
      <c r="Z477" s="89"/>
      <c r="AA477" s="89"/>
    </row>
    <row r="478" spans="1:27" ht="13.8">
      <c r="A478" s="89"/>
      <c r="B478" s="89"/>
      <c r="C478" s="89"/>
      <c r="D478" s="89"/>
      <c r="E478" s="89"/>
      <c r="F478" s="110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89"/>
      <c r="R478" s="89"/>
      <c r="S478" s="89"/>
      <c r="T478" s="89"/>
      <c r="U478" s="89"/>
      <c r="V478" s="89"/>
      <c r="W478" s="89"/>
      <c r="X478" s="89"/>
      <c r="Y478" s="89"/>
      <c r="Z478" s="89"/>
      <c r="AA478" s="89"/>
    </row>
    <row r="479" spans="1:27" ht="13.8">
      <c r="A479" s="89"/>
      <c r="B479" s="89"/>
      <c r="C479" s="89"/>
      <c r="D479" s="89"/>
      <c r="E479" s="89"/>
      <c r="F479" s="110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89"/>
      <c r="R479" s="89"/>
      <c r="S479" s="89"/>
      <c r="T479" s="89"/>
      <c r="U479" s="89"/>
      <c r="V479" s="89"/>
      <c r="W479" s="89"/>
      <c r="X479" s="89"/>
      <c r="Y479" s="89"/>
      <c r="Z479" s="89"/>
      <c r="AA479" s="89"/>
    </row>
    <row r="480" spans="1:27" ht="13.8">
      <c r="A480" s="89"/>
      <c r="B480" s="89"/>
      <c r="C480" s="89"/>
      <c r="D480" s="89"/>
      <c r="E480" s="89"/>
      <c r="F480" s="110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89"/>
      <c r="R480" s="89"/>
      <c r="S480" s="89"/>
      <c r="T480" s="89"/>
      <c r="U480" s="89"/>
      <c r="V480" s="89"/>
      <c r="W480" s="89"/>
      <c r="X480" s="89"/>
      <c r="Y480" s="89"/>
      <c r="Z480" s="89"/>
      <c r="AA480" s="89"/>
    </row>
    <row r="481" spans="1:27" ht="13.8">
      <c r="A481" s="89"/>
      <c r="B481" s="89"/>
      <c r="C481" s="89"/>
      <c r="D481" s="89"/>
      <c r="E481" s="89"/>
      <c r="F481" s="110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89"/>
      <c r="R481" s="89"/>
      <c r="S481" s="89"/>
      <c r="T481" s="89"/>
      <c r="U481" s="89"/>
      <c r="V481" s="89"/>
      <c r="W481" s="89"/>
      <c r="X481" s="89"/>
      <c r="Y481" s="89"/>
      <c r="Z481" s="89"/>
      <c r="AA481" s="89"/>
    </row>
    <row r="482" spans="1:27" ht="13.8">
      <c r="A482" s="89"/>
      <c r="B482" s="89"/>
      <c r="C482" s="89"/>
      <c r="D482" s="89"/>
      <c r="E482" s="89"/>
      <c r="F482" s="110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89"/>
      <c r="R482" s="89"/>
      <c r="S482" s="89"/>
      <c r="T482" s="89"/>
      <c r="U482" s="89"/>
      <c r="V482" s="89"/>
      <c r="W482" s="89"/>
      <c r="X482" s="89"/>
      <c r="Y482" s="89"/>
      <c r="Z482" s="89"/>
      <c r="AA482" s="89"/>
    </row>
    <row r="483" spans="1:27" ht="13.8">
      <c r="A483" s="89"/>
      <c r="B483" s="89"/>
      <c r="C483" s="89"/>
      <c r="D483" s="89"/>
      <c r="E483" s="89"/>
      <c r="F483" s="110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89"/>
      <c r="R483" s="89"/>
      <c r="S483" s="89"/>
      <c r="T483" s="89"/>
      <c r="U483" s="89"/>
      <c r="V483" s="89"/>
      <c r="W483" s="89"/>
      <c r="X483" s="89"/>
      <c r="Y483" s="89"/>
      <c r="Z483" s="89"/>
      <c r="AA483" s="89"/>
    </row>
    <row r="484" spans="1:27" ht="13.8">
      <c r="A484" s="89"/>
      <c r="B484" s="89"/>
      <c r="C484" s="89"/>
      <c r="D484" s="89"/>
      <c r="E484" s="89"/>
      <c r="F484" s="110"/>
      <c r="G484" s="89"/>
      <c r="H484" s="89"/>
      <c r="I484" s="89"/>
      <c r="J484" s="89"/>
      <c r="K484" s="89"/>
      <c r="L484" s="89"/>
      <c r="M484" s="89"/>
      <c r="N484" s="89"/>
      <c r="O484" s="89"/>
      <c r="P484" s="89"/>
      <c r="Q484" s="89"/>
      <c r="R484" s="89"/>
      <c r="S484" s="89"/>
      <c r="T484" s="89"/>
      <c r="U484" s="89"/>
      <c r="V484" s="89"/>
      <c r="W484" s="89"/>
      <c r="X484" s="89"/>
      <c r="Y484" s="89"/>
      <c r="Z484" s="89"/>
      <c r="AA484" s="89"/>
    </row>
    <row r="485" spans="1:27" ht="13.8">
      <c r="A485" s="89"/>
      <c r="B485" s="89"/>
      <c r="C485" s="89"/>
      <c r="D485" s="89"/>
      <c r="E485" s="89"/>
      <c r="F485" s="110"/>
      <c r="G485" s="89"/>
      <c r="H485" s="89"/>
      <c r="I485" s="89"/>
      <c r="J485" s="89"/>
      <c r="K485" s="89"/>
      <c r="L485" s="89"/>
      <c r="M485" s="89"/>
      <c r="N485" s="89"/>
      <c r="O485" s="89"/>
      <c r="P485" s="89"/>
      <c r="Q485" s="89"/>
      <c r="R485" s="89"/>
      <c r="S485" s="89"/>
      <c r="T485" s="89"/>
      <c r="U485" s="89"/>
      <c r="V485" s="89"/>
      <c r="W485" s="89"/>
      <c r="X485" s="89"/>
      <c r="Y485" s="89"/>
      <c r="Z485" s="89"/>
      <c r="AA485" s="89"/>
    </row>
    <row r="486" spans="1:27" ht="13.8">
      <c r="A486" s="89"/>
      <c r="B486" s="89"/>
      <c r="C486" s="89"/>
      <c r="D486" s="89"/>
      <c r="E486" s="89"/>
      <c r="F486" s="110"/>
      <c r="G486" s="89"/>
      <c r="H486" s="89"/>
      <c r="I486" s="89"/>
      <c r="J486" s="89"/>
      <c r="K486" s="89"/>
      <c r="L486" s="89"/>
      <c r="M486" s="89"/>
      <c r="N486" s="89"/>
      <c r="O486" s="89"/>
      <c r="P486" s="89"/>
      <c r="Q486" s="89"/>
      <c r="R486" s="89"/>
      <c r="S486" s="89"/>
      <c r="T486" s="89"/>
      <c r="U486" s="89"/>
      <c r="V486" s="89"/>
      <c r="W486" s="89"/>
      <c r="X486" s="89"/>
      <c r="Y486" s="89"/>
      <c r="Z486" s="89"/>
      <c r="AA486" s="89"/>
    </row>
    <row r="487" spans="1:27" ht="13.8">
      <c r="A487" s="89"/>
      <c r="B487" s="89"/>
      <c r="C487" s="89"/>
      <c r="D487" s="89"/>
      <c r="E487" s="89"/>
      <c r="F487" s="110"/>
      <c r="G487" s="89"/>
      <c r="H487" s="89"/>
      <c r="I487" s="89"/>
      <c r="J487" s="89"/>
      <c r="K487" s="89"/>
      <c r="L487" s="89"/>
      <c r="M487" s="89"/>
      <c r="N487" s="89"/>
      <c r="O487" s="89"/>
      <c r="P487" s="89"/>
      <c r="Q487" s="89"/>
      <c r="R487" s="89"/>
      <c r="S487" s="89"/>
      <c r="T487" s="89"/>
      <c r="U487" s="89"/>
      <c r="V487" s="89"/>
      <c r="W487" s="89"/>
      <c r="X487" s="89"/>
      <c r="Y487" s="89"/>
      <c r="Z487" s="89"/>
      <c r="AA487" s="89"/>
    </row>
    <row r="488" spans="1:27" ht="13.8">
      <c r="A488" s="89"/>
      <c r="B488" s="89"/>
      <c r="C488" s="89"/>
      <c r="D488" s="89"/>
      <c r="E488" s="89"/>
      <c r="F488" s="110"/>
      <c r="G488" s="89"/>
      <c r="H488" s="89"/>
      <c r="I488" s="89"/>
      <c r="J488" s="89"/>
      <c r="K488" s="89"/>
      <c r="L488" s="89"/>
      <c r="M488" s="89"/>
      <c r="N488" s="89"/>
      <c r="O488" s="89"/>
      <c r="P488" s="89"/>
      <c r="Q488" s="89"/>
      <c r="R488" s="89"/>
      <c r="S488" s="89"/>
      <c r="T488" s="89"/>
      <c r="U488" s="89"/>
      <c r="V488" s="89"/>
      <c r="W488" s="89"/>
      <c r="X488" s="89"/>
      <c r="Y488" s="89"/>
      <c r="Z488" s="89"/>
      <c r="AA488" s="89"/>
    </row>
    <row r="489" spans="1:27" ht="13.8">
      <c r="A489" s="89"/>
      <c r="B489" s="89"/>
      <c r="C489" s="89"/>
      <c r="D489" s="89"/>
      <c r="E489" s="89"/>
      <c r="F489" s="110"/>
      <c r="G489" s="89"/>
      <c r="H489" s="89"/>
      <c r="I489" s="89"/>
      <c r="J489" s="89"/>
      <c r="K489" s="89"/>
      <c r="L489" s="89"/>
      <c r="M489" s="89"/>
      <c r="N489" s="89"/>
      <c r="O489" s="89"/>
      <c r="P489" s="89"/>
      <c r="Q489" s="89"/>
      <c r="R489" s="89"/>
      <c r="S489" s="89"/>
      <c r="T489" s="89"/>
      <c r="U489" s="89"/>
      <c r="V489" s="89"/>
      <c r="W489" s="89"/>
      <c r="X489" s="89"/>
      <c r="Y489" s="89"/>
      <c r="Z489" s="89"/>
      <c r="AA489" s="89"/>
    </row>
    <row r="490" spans="1:27" ht="13.8">
      <c r="A490" s="89"/>
      <c r="B490" s="89"/>
      <c r="C490" s="89"/>
      <c r="D490" s="89"/>
      <c r="E490" s="89"/>
      <c r="F490" s="110"/>
      <c r="G490" s="89"/>
      <c r="H490" s="89"/>
      <c r="I490" s="89"/>
      <c r="J490" s="89"/>
      <c r="K490" s="89"/>
      <c r="L490" s="89"/>
      <c r="M490" s="89"/>
      <c r="N490" s="89"/>
      <c r="O490" s="89"/>
      <c r="P490" s="89"/>
      <c r="Q490" s="89"/>
      <c r="R490" s="89"/>
      <c r="S490" s="89"/>
      <c r="T490" s="89"/>
      <c r="U490" s="89"/>
      <c r="V490" s="89"/>
      <c r="W490" s="89"/>
      <c r="X490" s="89"/>
      <c r="Y490" s="89"/>
      <c r="Z490" s="89"/>
      <c r="AA490" s="89"/>
    </row>
    <row r="491" spans="1:27" ht="13.8">
      <c r="A491" s="89"/>
      <c r="B491" s="89"/>
      <c r="C491" s="89"/>
      <c r="D491" s="89"/>
      <c r="E491" s="89"/>
      <c r="F491" s="110"/>
      <c r="G491" s="89"/>
      <c r="H491" s="89"/>
      <c r="I491" s="89"/>
      <c r="J491" s="89"/>
      <c r="K491" s="89"/>
      <c r="L491" s="89"/>
      <c r="M491" s="89"/>
      <c r="N491" s="89"/>
      <c r="O491" s="89"/>
      <c r="P491" s="89"/>
      <c r="Q491" s="89"/>
      <c r="R491" s="89"/>
      <c r="S491" s="89"/>
      <c r="T491" s="89"/>
      <c r="U491" s="89"/>
      <c r="V491" s="89"/>
      <c r="W491" s="89"/>
      <c r="X491" s="89"/>
      <c r="Y491" s="89"/>
      <c r="Z491" s="89"/>
      <c r="AA491" s="89"/>
    </row>
    <row r="492" spans="1:27" ht="13.8">
      <c r="A492" s="89"/>
      <c r="B492" s="89"/>
      <c r="C492" s="89"/>
      <c r="D492" s="89"/>
      <c r="E492" s="89"/>
      <c r="F492" s="110"/>
      <c r="G492" s="89"/>
      <c r="H492" s="89"/>
      <c r="I492" s="89"/>
      <c r="J492" s="89"/>
      <c r="K492" s="89"/>
      <c r="L492" s="89"/>
      <c r="M492" s="89"/>
      <c r="N492" s="89"/>
      <c r="O492" s="89"/>
      <c r="P492" s="89"/>
      <c r="Q492" s="89"/>
      <c r="R492" s="89"/>
      <c r="S492" s="89"/>
      <c r="T492" s="89"/>
      <c r="U492" s="89"/>
      <c r="V492" s="89"/>
      <c r="W492" s="89"/>
      <c r="X492" s="89"/>
      <c r="Y492" s="89"/>
      <c r="Z492" s="89"/>
      <c r="AA492" s="89"/>
    </row>
    <row r="493" spans="1:27" ht="13.8">
      <c r="A493" s="89"/>
      <c r="B493" s="89"/>
      <c r="C493" s="89"/>
      <c r="D493" s="89"/>
      <c r="E493" s="89"/>
      <c r="F493" s="110"/>
      <c r="G493" s="89"/>
      <c r="H493" s="89"/>
      <c r="I493" s="89"/>
      <c r="J493" s="89"/>
      <c r="K493" s="89"/>
      <c r="L493" s="89"/>
      <c r="M493" s="89"/>
      <c r="N493" s="89"/>
      <c r="O493" s="89"/>
      <c r="P493" s="89"/>
      <c r="Q493" s="89"/>
      <c r="R493" s="89"/>
      <c r="S493" s="89"/>
      <c r="T493" s="89"/>
      <c r="U493" s="89"/>
      <c r="V493" s="89"/>
      <c r="W493" s="89"/>
      <c r="X493" s="89"/>
      <c r="Y493" s="89"/>
      <c r="Z493" s="89"/>
      <c r="AA493" s="89"/>
    </row>
    <row r="494" spans="1:27" ht="13.8">
      <c r="A494" s="89"/>
      <c r="B494" s="89"/>
      <c r="C494" s="89"/>
      <c r="D494" s="89"/>
      <c r="E494" s="89"/>
      <c r="F494" s="110"/>
      <c r="G494" s="89"/>
      <c r="H494" s="89"/>
      <c r="I494" s="89"/>
      <c r="J494" s="89"/>
      <c r="K494" s="89"/>
      <c r="L494" s="89"/>
      <c r="M494" s="89"/>
      <c r="N494" s="89"/>
      <c r="O494" s="89"/>
      <c r="P494" s="89"/>
      <c r="Q494" s="89"/>
      <c r="R494" s="89"/>
      <c r="S494" s="89"/>
      <c r="T494" s="89"/>
      <c r="U494" s="89"/>
      <c r="V494" s="89"/>
      <c r="W494" s="89"/>
      <c r="X494" s="89"/>
      <c r="Y494" s="89"/>
      <c r="Z494" s="89"/>
      <c r="AA494" s="89"/>
    </row>
    <row r="495" spans="1:27" ht="13.8">
      <c r="A495" s="89"/>
      <c r="B495" s="89"/>
      <c r="C495" s="89"/>
      <c r="D495" s="89"/>
      <c r="E495" s="89"/>
      <c r="F495" s="110"/>
      <c r="G495" s="89"/>
      <c r="H495" s="89"/>
      <c r="I495" s="89"/>
      <c r="J495" s="89"/>
      <c r="K495" s="89"/>
      <c r="L495" s="89"/>
      <c r="M495" s="89"/>
      <c r="N495" s="89"/>
      <c r="O495" s="89"/>
      <c r="P495" s="89"/>
      <c r="Q495" s="89"/>
      <c r="R495" s="89"/>
      <c r="S495" s="89"/>
      <c r="T495" s="89"/>
      <c r="U495" s="89"/>
      <c r="V495" s="89"/>
      <c r="W495" s="89"/>
      <c r="X495" s="89"/>
      <c r="Y495" s="89"/>
      <c r="Z495" s="89"/>
      <c r="AA495" s="89"/>
    </row>
    <row r="496" spans="1:27" ht="13.8">
      <c r="A496" s="89"/>
      <c r="B496" s="89"/>
      <c r="C496" s="89"/>
      <c r="D496" s="89"/>
      <c r="E496" s="89"/>
      <c r="F496" s="110"/>
      <c r="G496" s="89"/>
      <c r="H496" s="89"/>
      <c r="I496" s="89"/>
      <c r="J496" s="89"/>
      <c r="K496" s="89"/>
      <c r="L496" s="89"/>
      <c r="M496" s="89"/>
      <c r="N496" s="89"/>
      <c r="O496" s="89"/>
      <c r="P496" s="89"/>
      <c r="Q496" s="89"/>
      <c r="R496" s="89"/>
      <c r="S496" s="89"/>
      <c r="T496" s="89"/>
      <c r="U496" s="89"/>
      <c r="V496" s="89"/>
      <c r="W496" s="89"/>
      <c r="X496" s="89"/>
      <c r="Y496" s="89"/>
      <c r="Z496" s="89"/>
      <c r="AA496" s="89"/>
    </row>
    <row r="497" spans="1:27" ht="13.8">
      <c r="A497" s="89"/>
      <c r="B497" s="89"/>
      <c r="C497" s="89"/>
      <c r="D497" s="89"/>
      <c r="E497" s="89"/>
      <c r="F497" s="110"/>
      <c r="G497" s="89"/>
      <c r="H497" s="89"/>
      <c r="I497" s="89"/>
      <c r="J497" s="89"/>
      <c r="K497" s="89"/>
      <c r="L497" s="89"/>
      <c r="M497" s="89"/>
      <c r="N497" s="89"/>
      <c r="O497" s="89"/>
      <c r="P497" s="89"/>
      <c r="Q497" s="89"/>
      <c r="R497" s="89"/>
      <c r="S497" s="89"/>
      <c r="T497" s="89"/>
      <c r="U497" s="89"/>
      <c r="V497" s="89"/>
      <c r="W497" s="89"/>
      <c r="X497" s="89"/>
      <c r="Y497" s="89"/>
      <c r="Z497" s="89"/>
      <c r="AA497" s="89"/>
    </row>
    <row r="498" spans="1:27" ht="13.8">
      <c r="A498" s="89"/>
      <c r="B498" s="89"/>
      <c r="C498" s="89"/>
      <c r="D498" s="89"/>
      <c r="E498" s="89"/>
      <c r="F498" s="110"/>
      <c r="G498" s="89"/>
      <c r="H498" s="89"/>
      <c r="I498" s="89"/>
      <c r="J498" s="89"/>
      <c r="K498" s="89"/>
      <c r="L498" s="89"/>
      <c r="M498" s="89"/>
      <c r="N498" s="89"/>
      <c r="O498" s="89"/>
      <c r="P498" s="89"/>
      <c r="Q498" s="89"/>
      <c r="R498" s="89"/>
      <c r="S498" s="89"/>
      <c r="T498" s="89"/>
      <c r="U498" s="89"/>
      <c r="V498" s="89"/>
      <c r="W498" s="89"/>
      <c r="X498" s="89"/>
      <c r="Y498" s="89"/>
      <c r="Z498" s="89"/>
      <c r="AA498" s="89"/>
    </row>
    <row r="499" spans="1:27" ht="13.8">
      <c r="A499" s="89"/>
      <c r="B499" s="89"/>
      <c r="C499" s="89"/>
      <c r="D499" s="89"/>
      <c r="E499" s="89"/>
      <c r="F499" s="110"/>
      <c r="G499" s="89"/>
      <c r="H499" s="89"/>
      <c r="I499" s="89"/>
      <c r="J499" s="89"/>
      <c r="K499" s="89"/>
      <c r="L499" s="89"/>
      <c r="M499" s="89"/>
      <c r="N499" s="89"/>
      <c r="O499" s="89"/>
      <c r="P499" s="89"/>
      <c r="Q499" s="89"/>
      <c r="R499" s="89"/>
      <c r="S499" s="89"/>
      <c r="T499" s="89"/>
      <c r="U499" s="89"/>
      <c r="V499" s="89"/>
      <c r="W499" s="89"/>
      <c r="X499" s="89"/>
      <c r="Y499" s="89"/>
      <c r="Z499" s="89"/>
      <c r="AA499" s="89"/>
    </row>
    <row r="500" spans="1:27" ht="13.8">
      <c r="A500" s="89"/>
      <c r="B500" s="89"/>
      <c r="C500" s="89"/>
      <c r="D500" s="89"/>
      <c r="E500" s="89"/>
      <c r="F500" s="110"/>
      <c r="G500" s="89"/>
      <c r="H500" s="89"/>
      <c r="I500" s="89"/>
      <c r="J500" s="89"/>
      <c r="K500" s="89"/>
      <c r="L500" s="89"/>
      <c r="M500" s="89"/>
      <c r="N500" s="89"/>
      <c r="O500" s="89"/>
      <c r="P500" s="89"/>
      <c r="Q500" s="89"/>
      <c r="R500" s="89"/>
      <c r="S500" s="89"/>
      <c r="T500" s="89"/>
      <c r="U500" s="89"/>
      <c r="V500" s="89"/>
      <c r="W500" s="89"/>
      <c r="X500" s="89"/>
      <c r="Y500" s="89"/>
      <c r="Z500" s="89"/>
      <c r="AA500" s="89"/>
    </row>
    <row r="501" spans="1:27" ht="13.8">
      <c r="A501" s="89"/>
      <c r="B501" s="89"/>
      <c r="C501" s="89"/>
      <c r="D501" s="89"/>
      <c r="E501" s="89"/>
      <c r="F501" s="110"/>
      <c r="G501" s="89"/>
      <c r="H501" s="89"/>
      <c r="I501" s="89"/>
      <c r="J501" s="89"/>
      <c r="K501" s="89"/>
      <c r="L501" s="89"/>
      <c r="M501" s="89"/>
      <c r="N501" s="89"/>
      <c r="O501" s="89"/>
      <c r="P501" s="89"/>
      <c r="Q501" s="89"/>
      <c r="R501" s="89"/>
      <c r="S501" s="89"/>
      <c r="T501" s="89"/>
      <c r="U501" s="89"/>
      <c r="V501" s="89"/>
      <c r="W501" s="89"/>
      <c r="X501" s="89"/>
      <c r="Y501" s="89"/>
      <c r="Z501" s="89"/>
      <c r="AA501" s="89"/>
    </row>
    <row r="502" spans="1:27" ht="13.8">
      <c r="A502" s="89"/>
      <c r="B502" s="89"/>
      <c r="C502" s="89"/>
      <c r="D502" s="89"/>
      <c r="E502" s="89"/>
      <c r="F502" s="110"/>
      <c r="G502" s="89"/>
      <c r="H502" s="89"/>
      <c r="I502" s="89"/>
      <c r="J502" s="89"/>
      <c r="K502" s="89"/>
      <c r="L502" s="89"/>
      <c r="M502" s="89"/>
      <c r="N502" s="89"/>
      <c r="O502" s="89"/>
      <c r="P502" s="89"/>
      <c r="Q502" s="89"/>
      <c r="R502" s="89"/>
      <c r="S502" s="89"/>
      <c r="T502" s="89"/>
      <c r="U502" s="89"/>
      <c r="V502" s="89"/>
      <c r="W502" s="89"/>
      <c r="X502" s="89"/>
      <c r="Y502" s="89"/>
      <c r="Z502" s="89"/>
      <c r="AA502" s="89"/>
    </row>
    <row r="503" spans="1:27" ht="13.8">
      <c r="A503" s="89"/>
      <c r="B503" s="89"/>
      <c r="C503" s="89"/>
      <c r="D503" s="89"/>
      <c r="E503" s="89"/>
      <c r="F503" s="110"/>
      <c r="G503" s="89"/>
      <c r="H503" s="89"/>
      <c r="I503" s="89"/>
      <c r="J503" s="89"/>
      <c r="K503" s="89"/>
      <c r="L503" s="89"/>
      <c r="M503" s="89"/>
      <c r="N503" s="89"/>
      <c r="O503" s="89"/>
      <c r="P503" s="89"/>
      <c r="Q503" s="89"/>
      <c r="R503" s="89"/>
      <c r="S503" s="89"/>
      <c r="T503" s="89"/>
      <c r="U503" s="89"/>
      <c r="V503" s="89"/>
      <c r="W503" s="89"/>
      <c r="X503" s="89"/>
      <c r="Y503" s="89"/>
      <c r="Z503" s="89"/>
      <c r="AA503" s="89"/>
    </row>
    <row r="504" spans="1:27" ht="13.8">
      <c r="A504" s="89"/>
      <c r="B504" s="89"/>
      <c r="C504" s="89"/>
      <c r="D504" s="89"/>
      <c r="E504" s="89"/>
      <c r="F504" s="110"/>
      <c r="G504" s="89"/>
      <c r="H504" s="89"/>
      <c r="I504" s="89"/>
      <c r="J504" s="89"/>
      <c r="K504" s="89"/>
      <c r="L504" s="89"/>
      <c r="M504" s="89"/>
      <c r="N504" s="89"/>
      <c r="O504" s="89"/>
      <c r="P504" s="89"/>
      <c r="Q504" s="89"/>
      <c r="R504" s="89"/>
      <c r="S504" s="89"/>
      <c r="T504" s="89"/>
      <c r="U504" s="89"/>
      <c r="V504" s="89"/>
      <c r="W504" s="89"/>
      <c r="X504" s="89"/>
      <c r="Y504" s="89"/>
      <c r="Z504" s="89"/>
      <c r="AA504" s="89"/>
    </row>
    <row r="505" spans="1:27" ht="13.8">
      <c r="A505" s="89"/>
      <c r="B505" s="89"/>
      <c r="C505" s="89"/>
      <c r="D505" s="89"/>
      <c r="E505" s="89"/>
      <c r="F505" s="110"/>
      <c r="G505" s="89"/>
      <c r="H505" s="89"/>
      <c r="I505" s="89"/>
      <c r="J505" s="89"/>
      <c r="K505" s="89"/>
      <c r="L505" s="89"/>
      <c r="M505" s="89"/>
      <c r="N505" s="89"/>
      <c r="O505" s="89"/>
      <c r="P505" s="89"/>
      <c r="Q505" s="89"/>
      <c r="R505" s="89"/>
      <c r="S505" s="89"/>
      <c r="T505" s="89"/>
      <c r="U505" s="89"/>
      <c r="V505" s="89"/>
      <c r="W505" s="89"/>
      <c r="X505" s="89"/>
      <c r="Y505" s="89"/>
      <c r="Z505" s="89"/>
      <c r="AA505" s="89"/>
    </row>
    <row r="506" spans="1:27" ht="13.8">
      <c r="A506" s="89"/>
      <c r="B506" s="89"/>
      <c r="C506" s="89"/>
      <c r="D506" s="89"/>
      <c r="E506" s="89"/>
      <c r="F506" s="110"/>
      <c r="G506" s="89"/>
      <c r="H506" s="89"/>
      <c r="I506" s="89"/>
      <c r="J506" s="89"/>
      <c r="K506" s="89"/>
      <c r="L506" s="89"/>
      <c r="M506" s="89"/>
      <c r="N506" s="89"/>
      <c r="O506" s="89"/>
      <c r="P506" s="89"/>
      <c r="Q506" s="89"/>
      <c r="R506" s="89"/>
      <c r="S506" s="89"/>
      <c r="T506" s="89"/>
      <c r="U506" s="89"/>
      <c r="V506" s="89"/>
      <c r="W506" s="89"/>
      <c r="X506" s="89"/>
      <c r="Y506" s="89"/>
      <c r="Z506" s="89"/>
      <c r="AA506" s="89"/>
    </row>
    <row r="507" spans="1:27" ht="13.8">
      <c r="A507" s="89"/>
      <c r="B507" s="89"/>
      <c r="C507" s="89"/>
      <c r="D507" s="89"/>
      <c r="E507" s="89"/>
      <c r="F507" s="110"/>
      <c r="G507" s="89"/>
      <c r="H507" s="89"/>
      <c r="I507" s="89"/>
      <c r="J507" s="89"/>
      <c r="K507" s="89"/>
      <c r="L507" s="89"/>
      <c r="M507" s="89"/>
      <c r="N507" s="89"/>
      <c r="O507" s="89"/>
      <c r="P507" s="89"/>
      <c r="Q507" s="89"/>
      <c r="R507" s="89"/>
      <c r="S507" s="89"/>
      <c r="T507" s="89"/>
      <c r="U507" s="89"/>
      <c r="V507" s="89"/>
      <c r="W507" s="89"/>
      <c r="X507" s="89"/>
      <c r="Y507" s="89"/>
      <c r="Z507" s="89"/>
      <c r="AA507" s="89"/>
    </row>
    <row r="508" spans="1:27" ht="13.8">
      <c r="A508" s="89"/>
      <c r="B508" s="89"/>
      <c r="C508" s="89"/>
      <c r="D508" s="89"/>
      <c r="E508" s="89"/>
      <c r="F508" s="110"/>
      <c r="G508" s="89"/>
      <c r="H508" s="89"/>
      <c r="I508" s="89"/>
      <c r="J508" s="89"/>
      <c r="K508" s="89"/>
      <c r="L508" s="89"/>
      <c r="M508" s="89"/>
      <c r="N508" s="89"/>
      <c r="O508" s="89"/>
      <c r="P508" s="89"/>
      <c r="Q508" s="89"/>
      <c r="R508" s="89"/>
      <c r="S508" s="89"/>
      <c r="T508" s="89"/>
      <c r="U508" s="89"/>
      <c r="V508" s="89"/>
      <c r="W508" s="89"/>
      <c r="X508" s="89"/>
      <c r="Y508" s="89"/>
      <c r="Z508" s="89"/>
      <c r="AA508" s="89"/>
    </row>
    <row r="509" spans="1:27" ht="13.8">
      <c r="A509" s="89"/>
      <c r="B509" s="89"/>
      <c r="C509" s="89"/>
      <c r="D509" s="89"/>
      <c r="E509" s="89"/>
      <c r="F509" s="110"/>
      <c r="G509" s="89"/>
      <c r="H509" s="89"/>
      <c r="I509" s="89"/>
      <c r="J509" s="89"/>
      <c r="K509" s="89"/>
      <c r="L509" s="89"/>
      <c r="M509" s="89"/>
      <c r="N509" s="89"/>
      <c r="O509" s="89"/>
      <c r="P509" s="89"/>
      <c r="Q509" s="89"/>
      <c r="R509" s="89"/>
      <c r="S509" s="89"/>
      <c r="T509" s="89"/>
      <c r="U509" s="89"/>
      <c r="V509" s="89"/>
      <c r="W509" s="89"/>
      <c r="X509" s="89"/>
      <c r="Y509" s="89"/>
      <c r="Z509" s="89"/>
      <c r="AA509" s="89"/>
    </row>
    <row r="510" spans="1:27" ht="13.8">
      <c r="A510" s="89"/>
      <c r="B510" s="89"/>
      <c r="C510" s="89"/>
      <c r="D510" s="89"/>
      <c r="E510" s="89"/>
      <c r="F510" s="110"/>
      <c r="G510" s="89"/>
      <c r="H510" s="89"/>
      <c r="I510" s="89"/>
      <c r="J510" s="89"/>
      <c r="K510" s="89"/>
      <c r="L510" s="89"/>
      <c r="M510" s="89"/>
      <c r="N510" s="89"/>
      <c r="O510" s="89"/>
      <c r="P510" s="89"/>
      <c r="Q510" s="89"/>
      <c r="R510" s="89"/>
      <c r="S510" s="89"/>
      <c r="T510" s="89"/>
      <c r="U510" s="89"/>
      <c r="V510" s="89"/>
      <c r="W510" s="89"/>
      <c r="X510" s="89"/>
      <c r="Y510" s="89"/>
      <c r="Z510" s="89"/>
      <c r="AA510" s="89"/>
    </row>
    <row r="511" spans="1:27" ht="13.8">
      <c r="A511" s="89"/>
      <c r="B511" s="89"/>
      <c r="C511" s="89"/>
      <c r="D511" s="89"/>
      <c r="E511" s="89"/>
      <c r="F511" s="110"/>
      <c r="G511" s="89"/>
      <c r="H511" s="89"/>
      <c r="I511" s="89"/>
      <c r="J511" s="89"/>
      <c r="K511" s="89"/>
      <c r="L511" s="89"/>
      <c r="M511" s="89"/>
      <c r="N511" s="89"/>
      <c r="O511" s="89"/>
      <c r="P511" s="89"/>
      <c r="Q511" s="89"/>
      <c r="R511" s="89"/>
      <c r="S511" s="89"/>
      <c r="T511" s="89"/>
      <c r="U511" s="89"/>
      <c r="V511" s="89"/>
      <c r="W511" s="89"/>
      <c r="X511" s="89"/>
      <c r="Y511" s="89"/>
      <c r="Z511" s="89"/>
      <c r="AA511" s="89"/>
    </row>
    <row r="512" spans="1:27" ht="13.8">
      <c r="A512" s="89"/>
      <c r="B512" s="89"/>
      <c r="C512" s="89"/>
      <c r="D512" s="89"/>
      <c r="E512" s="89"/>
      <c r="F512" s="110"/>
      <c r="G512" s="89"/>
      <c r="H512" s="89"/>
      <c r="I512" s="89"/>
      <c r="J512" s="89"/>
      <c r="K512" s="89"/>
      <c r="L512" s="89"/>
      <c r="M512" s="89"/>
      <c r="N512" s="89"/>
      <c r="O512" s="89"/>
      <c r="P512" s="89"/>
      <c r="Q512" s="89"/>
      <c r="R512" s="89"/>
      <c r="S512" s="89"/>
      <c r="T512" s="89"/>
      <c r="U512" s="89"/>
      <c r="V512" s="89"/>
      <c r="W512" s="89"/>
      <c r="X512" s="89"/>
      <c r="Y512" s="89"/>
      <c r="Z512" s="89"/>
      <c r="AA512" s="89"/>
    </row>
    <row r="513" spans="1:27" ht="13.8">
      <c r="A513" s="89"/>
      <c r="B513" s="89"/>
      <c r="C513" s="89"/>
      <c r="D513" s="89"/>
      <c r="E513" s="89"/>
      <c r="F513" s="110"/>
      <c r="G513" s="89"/>
      <c r="H513" s="89"/>
      <c r="I513" s="89"/>
      <c r="J513" s="89"/>
      <c r="K513" s="89"/>
      <c r="L513" s="89"/>
      <c r="M513" s="89"/>
      <c r="N513" s="89"/>
      <c r="O513" s="89"/>
      <c r="P513" s="89"/>
      <c r="Q513" s="89"/>
      <c r="R513" s="89"/>
      <c r="S513" s="89"/>
      <c r="T513" s="89"/>
      <c r="U513" s="89"/>
      <c r="V513" s="89"/>
      <c r="W513" s="89"/>
      <c r="X513" s="89"/>
      <c r="Y513" s="89"/>
      <c r="Z513" s="89"/>
      <c r="AA513" s="89"/>
    </row>
    <row r="514" spans="1:27" ht="13.8">
      <c r="A514" s="89"/>
      <c r="B514" s="89"/>
      <c r="C514" s="89"/>
      <c r="D514" s="89"/>
      <c r="E514" s="89"/>
      <c r="F514" s="110"/>
      <c r="G514" s="89"/>
      <c r="H514" s="89"/>
      <c r="I514" s="89"/>
      <c r="J514" s="89"/>
      <c r="K514" s="89"/>
      <c r="L514" s="89"/>
      <c r="M514" s="89"/>
      <c r="N514" s="89"/>
      <c r="O514" s="89"/>
      <c r="P514" s="89"/>
      <c r="Q514" s="89"/>
      <c r="R514" s="89"/>
      <c r="S514" s="89"/>
      <c r="T514" s="89"/>
      <c r="U514" s="89"/>
      <c r="V514" s="89"/>
      <c r="W514" s="89"/>
      <c r="X514" s="89"/>
      <c r="Y514" s="89"/>
      <c r="Z514" s="89"/>
      <c r="AA514" s="89"/>
    </row>
    <row r="515" spans="1:27" ht="13.8">
      <c r="A515" s="89"/>
      <c r="B515" s="89"/>
      <c r="C515" s="89"/>
      <c r="D515" s="89"/>
      <c r="E515" s="89"/>
      <c r="F515" s="110"/>
      <c r="G515" s="89"/>
      <c r="H515" s="89"/>
      <c r="I515" s="89"/>
      <c r="J515" s="89"/>
      <c r="K515" s="89"/>
      <c r="L515" s="89"/>
      <c r="M515" s="89"/>
      <c r="N515" s="89"/>
      <c r="O515" s="89"/>
      <c r="P515" s="89"/>
      <c r="Q515" s="89"/>
      <c r="R515" s="89"/>
      <c r="S515" s="89"/>
      <c r="T515" s="89"/>
      <c r="U515" s="89"/>
      <c r="V515" s="89"/>
      <c r="W515" s="89"/>
      <c r="X515" s="89"/>
      <c r="Y515" s="89"/>
      <c r="Z515" s="89"/>
      <c r="AA515" s="89"/>
    </row>
    <row r="516" spans="1:27" ht="13.8">
      <c r="A516" s="89"/>
      <c r="B516" s="89"/>
      <c r="C516" s="89"/>
      <c r="D516" s="89"/>
      <c r="E516" s="89"/>
      <c r="F516" s="110"/>
      <c r="G516" s="89"/>
      <c r="H516" s="89"/>
      <c r="I516" s="89"/>
      <c r="J516" s="89"/>
      <c r="K516" s="89"/>
      <c r="L516" s="89"/>
      <c r="M516" s="89"/>
      <c r="N516" s="89"/>
      <c r="O516" s="89"/>
      <c r="P516" s="89"/>
      <c r="Q516" s="89"/>
      <c r="R516" s="89"/>
      <c r="S516" s="89"/>
      <c r="T516" s="89"/>
      <c r="U516" s="89"/>
      <c r="V516" s="89"/>
      <c r="W516" s="89"/>
      <c r="X516" s="89"/>
      <c r="Y516" s="89"/>
      <c r="Z516" s="89"/>
      <c r="AA516" s="89"/>
    </row>
    <row r="517" spans="1:27" ht="13.8">
      <c r="A517" s="89"/>
      <c r="B517" s="89"/>
      <c r="C517" s="89"/>
      <c r="D517" s="89"/>
      <c r="E517" s="89"/>
      <c r="F517" s="110"/>
      <c r="G517" s="89"/>
      <c r="H517" s="89"/>
      <c r="I517" s="89"/>
      <c r="J517" s="89"/>
      <c r="K517" s="89"/>
      <c r="L517" s="89"/>
      <c r="M517" s="89"/>
      <c r="N517" s="89"/>
      <c r="O517" s="89"/>
      <c r="P517" s="89"/>
      <c r="Q517" s="89"/>
      <c r="R517" s="89"/>
      <c r="S517" s="89"/>
      <c r="T517" s="89"/>
      <c r="U517" s="89"/>
      <c r="V517" s="89"/>
      <c r="W517" s="89"/>
      <c r="X517" s="89"/>
      <c r="Y517" s="89"/>
      <c r="Z517" s="89"/>
      <c r="AA517" s="89"/>
    </row>
    <row r="518" spans="1:27" ht="13.8">
      <c r="A518" s="89"/>
      <c r="B518" s="89"/>
      <c r="C518" s="89"/>
      <c r="D518" s="89"/>
      <c r="E518" s="89"/>
      <c r="F518" s="110"/>
      <c r="G518" s="89"/>
      <c r="H518" s="89"/>
      <c r="I518" s="89"/>
      <c r="J518" s="89"/>
      <c r="K518" s="89"/>
      <c r="L518" s="89"/>
      <c r="M518" s="89"/>
      <c r="N518" s="89"/>
      <c r="O518" s="89"/>
      <c r="P518" s="89"/>
      <c r="Q518" s="89"/>
      <c r="R518" s="89"/>
      <c r="S518" s="89"/>
      <c r="T518" s="89"/>
      <c r="U518" s="89"/>
      <c r="V518" s="89"/>
      <c r="W518" s="89"/>
      <c r="X518" s="89"/>
      <c r="Y518" s="89"/>
      <c r="Z518" s="89"/>
      <c r="AA518" s="89"/>
    </row>
    <row r="519" spans="1:27" ht="13.8">
      <c r="A519" s="89"/>
      <c r="B519" s="89"/>
      <c r="C519" s="89"/>
      <c r="D519" s="89"/>
      <c r="E519" s="89"/>
      <c r="F519" s="110"/>
      <c r="G519" s="89"/>
      <c r="H519" s="89"/>
      <c r="I519" s="89"/>
      <c r="J519" s="89"/>
      <c r="K519" s="89"/>
      <c r="L519" s="89"/>
      <c r="M519" s="89"/>
      <c r="N519" s="89"/>
      <c r="O519" s="89"/>
      <c r="P519" s="89"/>
      <c r="Q519" s="89"/>
      <c r="R519" s="89"/>
      <c r="S519" s="89"/>
      <c r="T519" s="89"/>
      <c r="U519" s="89"/>
      <c r="V519" s="89"/>
      <c r="W519" s="89"/>
      <c r="X519" s="89"/>
      <c r="Y519" s="89"/>
      <c r="Z519" s="89"/>
      <c r="AA519" s="89"/>
    </row>
    <row r="520" spans="1:27" ht="13.8">
      <c r="A520" s="89"/>
      <c r="B520" s="89"/>
      <c r="C520" s="89"/>
      <c r="D520" s="89"/>
      <c r="E520" s="89"/>
      <c r="F520" s="110"/>
      <c r="G520" s="89"/>
      <c r="H520" s="89"/>
      <c r="I520" s="89"/>
      <c r="J520" s="89"/>
      <c r="K520" s="89"/>
      <c r="L520" s="89"/>
      <c r="M520" s="89"/>
      <c r="N520" s="89"/>
      <c r="O520" s="89"/>
      <c r="P520" s="89"/>
      <c r="Q520" s="89"/>
      <c r="R520" s="89"/>
      <c r="S520" s="89"/>
      <c r="T520" s="89"/>
      <c r="U520" s="89"/>
      <c r="V520" s="89"/>
      <c r="W520" s="89"/>
      <c r="X520" s="89"/>
      <c r="Y520" s="89"/>
      <c r="Z520" s="89"/>
      <c r="AA520" s="89"/>
    </row>
    <row r="521" spans="1:27" ht="13.8">
      <c r="A521" s="89"/>
      <c r="B521" s="89"/>
      <c r="C521" s="89"/>
      <c r="D521" s="89"/>
      <c r="E521" s="89"/>
      <c r="F521" s="110"/>
      <c r="G521" s="89"/>
      <c r="H521" s="89"/>
      <c r="I521" s="89"/>
      <c r="J521" s="89"/>
      <c r="K521" s="89"/>
      <c r="L521" s="89"/>
      <c r="M521" s="89"/>
      <c r="N521" s="89"/>
      <c r="O521" s="89"/>
      <c r="P521" s="89"/>
      <c r="Q521" s="89"/>
      <c r="R521" s="89"/>
      <c r="S521" s="89"/>
      <c r="T521" s="89"/>
      <c r="U521" s="89"/>
      <c r="V521" s="89"/>
      <c r="W521" s="89"/>
      <c r="X521" s="89"/>
      <c r="Y521" s="89"/>
      <c r="Z521" s="89"/>
      <c r="AA521" s="89"/>
    </row>
    <row r="522" spans="1:27" ht="13.8">
      <c r="A522" s="89"/>
      <c r="B522" s="89"/>
      <c r="C522" s="89"/>
      <c r="D522" s="89"/>
      <c r="E522" s="89"/>
      <c r="F522" s="110"/>
      <c r="G522" s="89"/>
      <c r="H522" s="89"/>
      <c r="I522" s="89"/>
      <c r="J522" s="89"/>
      <c r="K522" s="89"/>
      <c r="L522" s="89"/>
      <c r="M522" s="89"/>
      <c r="N522" s="89"/>
      <c r="O522" s="89"/>
      <c r="P522" s="89"/>
      <c r="Q522" s="89"/>
      <c r="R522" s="89"/>
      <c r="S522" s="89"/>
      <c r="T522" s="89"/>
      <c r="U522" s="89"/>
      <c r="V522" s="89"/>
      <c r="W522" s="89"/>
      <c r="X522" s="89"/>
      <c r="Y522" s="89"/>
      <c r="Z522" s="89"/>
      <c r="AA522" s="89"/>
    </row>
    <row r="523" spans="1:27" ht="13.8">
      <c r="A523" s="89"/>
      <c r="B523" s="89"/>
      <c r="C523" s="89"/>
      <c r="D523" s="89"/>
      <c r="E523" s="89"/>
      <c r="F523" s="110"/>
      <c r="G523" s="89"/>
      <c r="H523" s="89"/>
      <c r="I523" s="89"/>
      <c r="J523" s="89"/>
      <c r="K523" s="89"/>
      <c r="L523" s="89"/>
      <c r="M523" s="89"/>
      <c r="N523" s="89"/>
      <c r="O523" s="89"/>
      <c r="P523" s="89"/>
      <c r="Q523" s="89"/>
      <c r="R523" s="89"/>
      <c r="S523" s="89"/>
      <c r="T523" s="89"/>
      <c r="U523" s="89"/>
      <c r="V523" s="89"/>
      <c r="W523" s="89"/>
      <c r="X523" s="89"/>
      <c r="Y523" s="89"/>
      <c r="Z523" s="89"/>
      <c r="AA523" s="89"/>
    </row>
    <row r="524" spans="1:27" ht="13.8">
      <c r="A524" s="89"/>
      <c r="B524" s="89"/>
      <c r="C524" s="89"/>
      <c r="D524" s="89"/>
      <c r="E524" s="89"/>
      <c r="F524" s="110"/>
      <c r="G524" s="89"/>
      <c r="H524" s="89"/>
      <c r="I524" s="89"/>
      <c r="J524" s="89"/>
      <c r="K524" s="89"/>
      <c r="L524" s="89"/>
      <c r="M524" s="89"/>
      <c r="N524" s="89"/>
      <c r="O524" s="89"/>
      <c r="P524" s="89"/>
      <c r="Q524" s="89"/>
      <c r="R524" s="89"/>
      <c r="S524" s="89"/>
      <c r="T524" s="89"/>
      <c r="U524" s="89"/>
      <c r="V524" s="89"/>
      <c r="W524" s="89"/>
      <c r="X524" s="89"/>
      <c r="Y524" s="89"/>
      <c r="Z524" s="89"/>
      <c r="AA524" s="89"/>
    </row>
    <row r="525" spans="1:27" ht="13.8">
      <c r="A525" s="89"/>
      <c r="B525" s="89"/>
      <c r="C525" s="89"/>
      <c r="D525" s="89"/>
      <c r="E525" s="89"/>
      <c r="F525" s="110"/>
      <c r="G525" s="89"/>
      <c r="H525" s="89"/>
      <c r="I525" s="89"/>
      <c r="J525" s="89"/>
      <c r="K525" s="89"/>
      <c r="L525" s="89"/>
      <c r="M525" s="89"/>
      <c r="N525" s="89"/>
      <c r="O525" s="89"/>
      <c r="P525" s="89"/>
      <c r="Q525" s="89"/>
      <c r="R525" s="89"/>
      <c r="S525" s="89"/>
      <c r="T525" s="89"/>
      <c r="U525" s="89"/>
      <c r="V525" s="89"/>
      <c r="W525" s="89"/>
      <c r="X525" s="89"/>
      <c r="Y525" s="89"/>
      <c r="Z525" s="89"/>
      <c r="AA525" s="89"/>
    </row>
    <row r="526" spans="1:27" ht="13.8">
      <c r="A526" s="89"/>
      <c r="B526" s="89"/>
      <c r="C526" s="89"/>
      <c r="D526" s="89"/>
      <c r="E526" s="89"/>
      <c r="F526" s="110"/>
      <c r="G526" s="89"/>
      <c r="H526" s="89"/>
      <c r="I526" s="89"/>
      <c r="J526" s="89"/>
      <c r="K526" s="89"/>
      <c r="L526" s="89"/>
      <c r="M526" s="89"/>
      <c r="N526" s="89"/>
      <c r="O526" s="89"/>
      <c r="P526" s="89"/>
      <c r="Q526" s="89"/>
      <c r="R526" s="89"/>
      <c r="S526" s="89"/>
      <c r="T526" s="89"/>
      <c r="U526" s="89"/>
      <c r="V526" s="89"/>
      <c r="W526" s="89"/>
      <c r="X526" s="89"/>
      <c r="Y526" s="89"/>
      <c r="Z526" s="89"/>
      <c r="AA526" s="89"/>
    </row>
    <row r="527" spans="1:27" ht="13.8">
      <c r="A527" s="89"/>
      <c r="B527" s="89"/>
      <c r="C527" s="89"/>
      <c r="D527" s="89"/>
      <c r="E527" s="89"/>
      <c r="F527" s="110"/>
      <c r="G527" s="89"/>
      <c r="H527" s="89"/>
      <c r="I527" s="89"/>
      <c r="J527" s="89"/>
      <c r="K527" s="89"/>
      <c r="L527" s="89"/>
      <c r="M527" s="89"/>
      <c r="N527" s="89"/>
      <c r="O527" s="89"/>
      <c r="P527" s="89"/>
      <c r="Q527" s="89"/>
      <c r="R527" s="89"/>
      <c r="S527" s="89"/>
      <c r="T527" s="89"/>
      <c r="U527" s="89"/>
      <c r="V527" s="89"/>
      <c r="W527" s="89"/>
      <c r="X527" s="89"/>
      <c r="Y527" s="89"/>
      <c r="Z527" s="89"/>
      <c r="AA527" s="89"/>
    </row>
    <row r="528" spans="1:27" ht="13.8">
      <c r="A528" s="89"/>
      <c r="B528" s="89"/>
      <c r="C528" s="89"/>
      <c r="D528" s="89"/>
      <c r="E528" s="89"/>
      <c r="F528" s="110"/>
      <c r="G528" s="89"/>
      <c r="H528" s="89"/>
      <c r="I528" s="89"/>
      <c r="J528" s="89"/>
      <c r="K528" s="89"/>
      <c r="L528" s="89"/>
      <c r="M528" s="89"/>
      <c r="N528" s="89"/>
      <c r="O528" s="89"/>
      <c r="P528" s="89"/>
      <c r="Q528" s="89"/>
      <c r="R528" s="89"/>
      <c r="S528" s="89"/>
      <c r="T528" s="89"/>
      <c r="U528" s="89"/>
      <c r="V528" s="89"/>
      <c r="W528" s="89"/>
      <c r="X528" s="89"/>
      <c r="Y528" s="89"/>
      <c r="Z528" s="89"/>
      <c r="AA528" s="89"/>
    </row>
    <row r="529" spans="1:27" ht="13.8">
      <c r="A529" s="89"/>
      <c r="B529" s="89"/>
      <c r="C529" s="89"/>
      <c r="D529" s="89"/>
      <c r="E529" s="89"/>
      <c r="F529" s="110"/>
      <c r="G529" s="89"/>
      <c r="H529" s="89"/>
      <c r="I529" s="89"/>
      <c r="J529" s="89"/>
      <c r="K529" s="89"/>
      <c r="L529" s="89"/>
      <c r="M529" s="89"/>
      <c r="N529" s="89"/>
      <c r="O529" s="89"/>
      <c r="P529" s="89"/>
      <c r="Q529" s="89"/>
      <c r="R529" s="89"/>
      <c r="S529" s="89"/>
      <c r="T529" s="89"/>
      <c r="U529" s="89"/>
      <c r="V529" s="89"/>
      <c r="W529" s="89"/>
      <c r="X529" s="89"/>
      <c r="Y529" s="89"/>
      <c r="Z529" s="89"/>
      <c r="AA529" s="89"/>
    </row>
    <row r="530" spans="1:27" ht="13.8">
      <c r="A530" s="89"/>
      <c r="B530" s="89"/>
      <c r="C530" s="89"/>
      <c r="D530" s="89"/>
      <c r="E530" s="89"/>
      <c r="F530" s="110"/>
      <c r="G530" s="89"/>
      <c r="H530" s="89"/>
      <c r="I530" s="89"/>
      <c r="J530" s="89"/>
      <c r="K530" s="89"/>
      <c r="L530" s="89"/>
      <c r="M530" s="89"/>
      <c r="N530" s="89"/>
      <c r="O530" s="89"/>
      <c r="P530" s="89"/>
      <c r="Q530" s="89"/>
      <c r="R530" s="89"/>
      <c r="S530" s="89"/>
      <c r="T530" s="89"/>
      <c r="U530" s="89"/>
      <c r="V530" s="89"/>
      <c r="W530" s="89"/>
      <c r="X530" s="89"/>
      <c r="Y530" s="89"/>
      <c r="Z530" s="89"/>
      <c r="AA530" s="89"/>
    </row>
    <row r="531" spans="1:27" ht="13.8">
      <c r="A531" s="89"/>
      <c r="B531" s="89"/>
      <c r="C531" s="89"/>
      <c r="D531" s="89"/>
      <c r="E531" s="89"/>
      <c r="F531" s="110"/>
      <c r="G531" s="89"/>
      <c r="H531" s="89"/>
      <c r="I531" s="89"/>
      <c r="J531" s="89"/>
      <c r="K531" s="89"/>
      <c r="L531" s="89"/>
      <c r="M531" s="89"/>
      <c r="N531" s="89"/>
      <c r="O531" s="89"/>
      <c r="P531" s="89"/>
      <c r="Q531" s="89"/>
      <c r="R531" s="89"/>
      <c r="S531" s="89"/>
      <c r="T531" s="89"/>
      <c r="U531" s="89"/>
      <c r="V531" s="89"/>
      <c r="W531" s="89"/>
      <c r="X531" s="89"/>
      <c r="Y531" s="89"/>
      <c r="Z531" s="89"/>
      <c r="AA531" s="89"/>
    </row>
    <row r="532" spans="1:27" ht="13.8">
      <c r="A532" s="89"/>
      <c r="B532" s="89"/>
      <c r="C532" s="89"/>
      <c r="D532" s="89"/>
      <c r="E532" s="89"/>
      <c r="F532" s="110"/>
      <c r="G532" s="89"/>
      <c r="H532" s="89"/>
      <c r="I532" s="89"/>
      <c r="J532" s="89"/>
      <c r="K532" s="89"/>
      <c r="L532" s="89"/>
      <c r="M532" s="89"/>
      <c r="N532" s="89"/>
      <c r="O532" s="89"/>
      <c r="P532" s="89"/>
      <c r="Q532" s="89"/>
      <c r="R532" s="89"/>
      <c r="S532" s="89"/>
      <c r="T532" s="89"/>
      <c r="U532" s="89"/>
      <c r="V532" s="89"/>
      <c r="W532" s="89"/>
      <c r="X532" s="89"/>
      <c r="Y532" s="89"/>
      <c r="Z532" s="89"/>
      <c r="AA532" s="89"/>
    </row>
    <row r="533" spans="1:27" ht="13.8">
      <c r="A533" s="89"/>
      <c r="B533" s="89"/>
      <c r="C533" s="89"/>
      <c r="D533" s="89"/>
      <c r="E533" s="89"/>
      <c r="F533" s="110"/>
      <c r="G533" s="89"/>
      <c r="H533" s="89"/>
      <c r="I533" s="89"/>
      <c r="J533" s="89"/>
      <c r="K533" s="89"/>
      <c r="L533" s="89"/>
      <c r="M533" s="89"/>
      <c r="N533" s="89"/>
      <c r="O533" s="89"/>
      <c r="P533" s="89"/>
      <c r="Q533" s="89"/>
      <c r="R533" s="89"/>
      <c r="S533" s="89"/>
      <c r="T533" s="89"/>
      <c r="U533" s="89"/>
      <c r="V533" s="89"/>
      <c r="W533" s="89"/>
      <c r="X533" s="89"/>
      <c r="Y533" s="89"/>
      <c r="Z533" s="89"/>
      <c r="AA533" s="89"/>
    </row>
    <row r="534" spans="1:27" ht="13.8">
      <c r="A534" s="89"/>
      <c r="B534" s="89"/>
      <c r="C534" s="89"/>
      <c r="D534" s="89"/>
      <c r="E534" s="89"/>
      <c r="F534" s="110"/>
      <c r="G534" s="89"/>
      <c r="H534" s="89"/>
      <c r="I534" s="89"/>
      <c r="J534" s="89"/>
      <c r="K534" s="89"/>
      <c r="L534" s="89"/>
      <c r="M534" s="89"/>
      <c r="N534" s="89"/>
      <c r="O534" s="89"/>
      <c r="P534" s="89"/>
      <c r="Q534" s="89"/>
      <c r="R534" s="89"/>
      <c r="S534" s="89"/>
      <c r="T534" s="89"/>
      <c r="U534" s="89"/>
      <c r="V534" s="89"/>
      <c r="W534" s="89"/>
      <c r="X534" s="89"/>
      <c r="Y534" s="89"/>
      <c r="Z534" s="89"/>
      <c r="AA534" s="89"/>
    </row>
    <row r="535" spans="1:27" ht="13.8">
      <c r="A535" s="89"/>
      <c r="B535" s="89"/>
      <c r="C535" s="89"/>
      <c r="D535" s="89"/>
      <c r="E535" s="89"/>
      <c r="F535" s="110"/>
      <c r="G535" s="89"/>
      <c r="H535" s="89"/>
      <c r="I535" s="89"/>
      <c r="J535" s="89"/>
      <c r="K535" s="89"/>
      <c r="L535" s="89"/>
      <c r="M535" s="89"/>
      <c r="N535" s="89"/>
      <c r="O535" s="89"/>
      <c r="P535" s="89"/>
      <c r="Q535" s="89"/>
      <c r="R535" s="89"/>
      <c r="S535" s="89"/>
      <c r="T535" s="89"/>
      <c r="U535" s="89"/>
      <c r="V535" s="89"/>
      <c r="W535" s="89"/>
      <c r="X535" s="89"/>
      <c r="Y535" s="89"/>
      <c r="Z535" s="89"/>
      <c r="AA535" s="89"/>
    </row>
    <row r="536" spans="1:27" ht="13.8">
      <c r="A536" s="89"/>
      <c r="B536" s="89"/>
      <c r="C536" s="89"/>
      <c r="D536" s="89"/>
      <c r="E536" s="89"/>
      <c r="F536" s="110"/>
      <c r="G536" s="89"/>
      <c r="H536" s="89"/>
      <c r="I536" s="89"/>
      <c r="J536" s="89"/>
      <c r="K536" s="89"/>
      <c r="L536" s="89"/>
      <c r="M536" s="89"/>
      <c r="N536" s="89"/>
      <c r="O536" s="89"/>
      <c r="P536" s="89"/>
      <c r="Q536" s="89"/>
      <c r="R536" s="89"/>
      <c r="S536" s="89"/>
      <c r="T536" s="89"/>
      <c r="U536" s="89"/>
      <c r="V536" s="89"/>
      <c r="W536" s="89"/>
      <c r="X536" s="89"/>
      <c r="Y536" s="89"/>
      <c r="Z536" s="89"/>
      <c r="AA536" s="89"/>
    </row>
    <row r="537" spans="1:27" ht="13.8">
      <c r="A537" s="89"/>
      <c r="B537" s="89"/>
      <c r="C537" s="89"/>
      <c r="D537" s="89"/>
      <c r="E537" s="89"/>
      <c r="F537" s="110"/>
      <c r="G537" s="89"/>
      <c r="H537" s="89"/>
      <c r="I537" s="89"/>
      <c r="J537" s="89"/>
      <c r="K537" s="89"/>
      <c r="L537" s="89"/>
      <c r="M537" s="89"/>
      <c r="N537" s="89"/>
      <c r="O537" s="89"/>
      <c r="P537" s="89"/>
      <c r="Q537" s="89"/>
      <c r="R537" s="89"/>
      <c r="S537" s="89"/>
      <c r="T537" s="89"/>
      <c r="U537" s="89"/>
      <c r="V537" s="89"/>
      <c r="W537" s="89"/>
      <c r="X537" s="89"/>
      <c r="Y537" s="89"/>
      <c r="Z537" s="89"/>
      <c r="AA537" s="89"/>
    </row>
    <row r="538" spans="1:27" ht="13.8">
      <c r="A538" s="89"/>
      <c r="B538" s="89"/>
      <c r="C538" s="89"/>
      <c r="D538" s="89"/>
      <c r="E538" s="89"/>
      <c r="F538" s="110"/>
      <c r="G538" s="89"/>
      <c r="H538" s="89"/>
      <c r="I538" s="89"/>
      <c r="J538" s="89"/>
      <c r="K538" s="89"/>
      <c r="L538" s="89"/>
      <c r="M538" s="89"/>
      <c r="N538" s="89"/>
      <c r="O538" s="89"/>
      <c r="P538" s="89"/>
      <c r="Q538" s="89"/>
      <c r="R538" s="89"/>
      <c r="S538" s="89"/>
      <c r="T538" s="89"/>
      <c r="U538" s="89"/>
      <c r="V538" s="89"/>
      <c r="W538" s="89"/>
      <c r="X538" s="89"/>
      <c r="Y538" s="89"/>
      <c r="Z538" s="89"/>
      <c r="AA538" s="89"/>
    </row>
    <row r="539" spans="1:27" ht="13.8">
      <c r="A539" s="89"/>
      <c r="B539" s="89"/>
      <c r="C539" s="89"/>
      <c r="D539" s="89"/>
      <c r="E539" s="89"/>
      <c r="F539" s="110"/>
      <c r="G539" s="89"/>
      <c r="H539" s="89"/>
      <c r="I539" s="89"/>
      <c r="J539" s="89"/>
      <c r="K539" s="89"/>
      <c r="L539" s="89"/>
      <c r="M539" s="89"/>
      <c r="N539" s="89"/>
      <c r="O539" s="89"/>
      <c r="P539" s="89"/>
      <c r="Q539" s="89"/>
      <c r="R539" s="89"/>
      <c r="S539" s="89"/>
      <c r="T539" s="89"/>
      <c r="U539" s="89"/>
      <c r="V539" s="89"/>
      <c r="W539" s="89"/>
      <c r="X539" s="89"/>
      <c r="Y539" s="89"/>
      <c r="Z539" s="89"/>
      <c r="AA539" s="89"/>
    </row>
    <row r="540" spans="1:27" ht="13.8">
      <c r="A540" s="89"/>
      <c r="B540" s="89"/>
      <c r="C540" s="89"/>
      <c r="D540" s="89"/>
      <c r="E540" s="89"/>
      <c r="F540" s="110"/>
      <c r="G540" s="89"/>
      <c r="H540" s="89"/>
      <c r="I540" s="89"/>
      <c r="J540" s="89"/>
      <c r="K540" s="89"/>
      <c r="L540" s="89"/>
      <c r="M540" s="89"/>
      <c r="N540" s="89"/>
      <c r="O540" s="89"/>
      <c r="P540" s="89"/>
      <c r="Q540" s="89"/>
      <c r="R540" s="89"/>
      <c r="S540" s="89"/>
      <c r="T540" s="89"/>
      <c r="U540" s="89"/>
      <c r="V540" s="89"/>
      <c r="W540" s="89"/>
      <c r="X540" s="89"/>
      <c r="Y540" s="89"/>
      <c r="Z540" s="89"/>
      <c r="AA540" s="89"/>
    </row>
    <row r="541" spans="1:27" ht="13.8">
      <c r="A541" s="89"/>
      <c r="B541" s="89"/>
      <c r="C541" s="89"/>
      <c r="D541" s="89"/>
      <c r="E541" s="89"/>
      <c r="F541" s="110"/>
      <c r="G541" s="89"/>
      <c r="H541" s="89"/>
      <c r="I541" s="89"/>
      <c r="J541" s="89"/>
      <c r="K541" s="89"/>
      <c r="L541" s="89"/>
      <c r="M541" s="89"/>
      <c r="N541" s="89"/>
      <c r="O541" s="89"/>
      <c r="P541" s="89"/>
      <c r="Q541" s="89"/>
      <c r="R541" s="89"/>
      <c r="S541" s="89"/>
      <c r="T541" s="89"/>
      <c r="U541" s="89"/>
      <c r="V541" s="89"/>
      <c r="W541" s="89"/>
      <c r="X541" s="89"/>
      <c r="Y541" s="89"/>
      <c r="Z541" s="89"/>
      <c r="AA541" s="89"/>
    </row>
    <row r="542" spans="1:27" ht="13.8">
      <c r="A542" s="89"/>
      <c r="B542" s="89"/>
      <c r="C542" s="89"/>
      <c r="D542" s="89"/>
      <c r="E542" s="89"/>
      <c r="F542" s="110"/>
      <c r="G542" s="89"/>
      <c r="H542" s="89"/>
      <c r="I542" s="89"/>
      <c r="J542" s="89"/>
      <c r="K542" s="89"/>
      <c r="L542" s="89"/>
      <c r="M542" s="89"/>
      <c r="N542" s="89"/>
      <c r="O542" s="89"/>
      <c r="P542" s="89"/>
      <c r="Q542" s="89"/>
      <c r="R542" s="89"/>
      <c r="S542" s="89"/>
      <c r="T542" s="89"/>
      <c r="U542" s="89"/>
      <c r="V542" s="89"/>
      <c r="W542" s="89"/>
      <c r="X542" s="89"/>
      <c r="Y542" s="89"/>
      <c r="Z542" s="89"/>
      <c r="AA542" s="89"/>
    </row>
    <row r="543" spans="1:27" ht="13.8">
      <c r="A543" s="89"/>
      <c r="B543" s="89"/>
      <c r="C543" s="89"/>
      <c r="D543" s="89"/>
      <c r="E543" s="89"/>
      <c r="F543" s="110"/>
      <c r="G543" s="89"/>
      <c r="H543" s="89"/>
      <c r="I543" s="89"/>
      <c r="J543" s="89"/>
      <c r="K543" s="89"/>
      <c r="L543" s="89"/>
      <c r="M543" s="89"/>
      <c r="N543" s="89"/>
      <c r="O543" s="89"/>
      <c r="P543" s="89"/>
      <c r="Q543" s="89"/>
      <c r="R543" s="89"/>
      <c r="S543" s="89"/>
      <c r="T543" s="89"/>
      <c r="U543" s="89"/>
      <c r="V543" s="89"/>
      <c r="W543" s="89"/>
      <c r="X543" s="89"/>
      <c r="Y543" s="89"/>
      <c r="Z543" s="89"/>
      <c r="AA543" s="89"/>
    </row>
    <row r="544" spans="1:27" ht="13.8">
      <c r="A544" s="89"/>
      <c r="B544" s="89"/>
      <c r="C544" s="89"/>
      <c r="D544" s="89"/>
      <c r="E544" s="89"/>
      <c r="F544" s="110"/>
      <c r="G544" s="89"/>
      <c r="H544" s="89"/>
      <c r="I544" s="89"/>
      <c r="J544" s="89"/>
      <c r="K544" s="89"/>
      <c r="L544" s="89"/>
      <c r="M544" s="89"/>
      <c r="N544" s="89"/>
      <c r="O544" s="89"/>
      <c r="P544" s="89"/>
      <c r="Q544" s="89"/>
      <c r="R544" s="89"/>
      <c r="S544" s="89"/>
      <c r="T544" s="89"/>
      <c r="U544" s="89"/>
      <c r="V544" s="89"/>
      <c r="W544" s="89"/>
      <c r="X544" s="89"/>
      <c r="Y544" s="89"/>
      <c r="Z544" s="89"/>
      <c r="AA544" s="89"/>
    </row>
    <row r="545" spans="1:27" ht="13.8">
      <c r="A545" s="89"/>
      <c r="B545" s="89"/>
      <c r="C545" s="89"/>
      <c r="D545" s="89"/>
      <c r="E545" s="89"/>
      <c r="F545" s="110"/>
      <c r="G545" s="89"/>
      <c r="H545" s="89"/>
      <c r="I545" s="89"/>
      <c r="J545" s="89"/>
      <c r="K545" s="89"/>
      <c r="L545" s="89"/>
      <c r="M545" s="89"/>
      <c r="N545" s="89"/>
      <c r="O545" s="89"/>
      <c r="P545" s="89"/>
      <c r="Q545" s="89"/>
      <c r="R545" s="89"/>
      <c r="S545" s="89"/>
      <c r="T545" s="89"/>
      <c r="U545" s="89"/>
      <c r="V545" s="89"/>
      <c r="W545" s="89"/>
      <c r="X545" s="89"/>
      <c r="Y545" s="89"/>
      <c r="Z545" s="89"/>
      <c r="AA545" s="89"/>
    </row>
    <row r="546" spans="1:27" ht="13.8">
      <c r="A546" s="89"/>
      <c r="B546" s="89"/>
      <c r="C546" s="89"/>
      <c r="D546" s="89"/>
      <c r="E546" s="89"/>
      <c r="F546" s="110"/>
      <c r="G546" s="89"/>
      <c r="H546" s="89"/>
      <c r="I546" s="89"/>
      <c r="J546" s="89"/>
      <c r="K546" s="89"/>
      <c r="L546" s="89"/>
      <c r="M546" s="89"/>
      <c r="N546" s="89"/>
      <c r="O546" s="89"/>
      <c r="P546" s="89"/>
      <c r="Q546" s="89"/>
      <c r="R546" s="89"/>
      <c r="S546" s="89"/>
      <c r="T546" s="89"/>
      <c r="U546" s="89"/>
      <c r="V546" s="89"/>
      <c r="W546" s="89"/>
      <c r="X546" s="89"/>
      <c r="Y546" s="89"/>
      <c r="Z546" s="89"/>
      <c r="AA546" s="89"/>
    </row>
    <row r="547" spans="1:27" ht="13.8">
      <c r="A547" s="89"/>
      <c r="B547" s="89"/>
      <c r="C547" s="89"/>
      <c r="D547" s="89"/>
      <c r="E547" s="89"/>
      <c r="F547" s="110"/>
      <c r="G547" s="89"/>
      <c r="H547" s="89"/>
      <c r="I547" s="89"/>
      <c r="J547" s="89"/>
      <c r="K547" s="89"/>
      <c r="L547" s="89"/>
      <c r="M547" s="89"/>
      <c r="N547" s="89"/>
      <c r="O547" s="89"/>
      <c r="P547" s="89"/>
      <c r="Q547" s="89"/>
      <c r="R547" s="89"/>
      <c r="S547" s="89"/>
      <c r="T547" s="89"/>
      <c r="U547" s="89"/>
      <c r="V547" s="89"/>
      <c r="W547" s="89"/>
      <c r="X547" s="89"/>
      <c r="Y547" s="89"/>
      <c r="Z547" s="89"/>
      <c r="AA547" s="89"/>
    </row>
    <row r="548" spans="1:27" ht="13.8">
      <c r="A548" s="89"/>
      <c r="B548" s="89"/>
      <c r="C548" s="89"/>
      <c r="D548" s="89"/>
      <c r="E548" s="89"/>
      <c r="F548" s="110"/>
      <c r="G548" s="89"/>
      <c r="H548" s="89"/>
      <c r="I548" s="89"/>
      <c r="J548" s="89"/>
      <c r="K548" s="89"/>
      <c r="L548" s="89"/>
      <c r="M548" s="89"/>
      <c r="N548" s="89"/>
      <c r="O548" s="89"/>
      <c r="P548" s="89"/>
      <c r="Q548" s="89"/>
      <c r="R548" s="89"/>
      <c r="S548" s="89"/>
      <c r="T548" s="89"/>
      <c r="U548" s="89"/>
      <c r="V548" s="89"/>
      <c r="W548" s="89"/>
      <c r="X548" s="89"/>
      <c r="Y548" s="89"/>
      <c r="Z548" s="89"/>
      <c r="AA548" s="89"/>
    </row>
    <row r="549" spans="1:27" ht="13.8">
      <c r="A549" s="89"/>
      <c r="B549" s="89"/>
      <c r="C549" s="89"/>
      <c r="D549" s="89"/>
      <c r="E549" s="89"/>
      <c r="F549" s="110"/>
      <c r="G549" s="89"/>
      <c r="H549" s="89"/>
      <c r="I549" s="89"/>
      <c r="J549" s="89"/>
      <c r="K549" s="89"/>
      <c r="L549" s="89"/>
      <c r="M549" s="89"/>
      <c r="N549" s="89"/>
      <c r="O549" s="89"/>
      <c r="P549" s="89"/>
      <c r="Q549" s="89"/>
      <c r="R549" s="89"/>
      <c r="S549" s="89"/>
      <c r="T549" s="89"/>
      <c r="U549" s="89"/>
      <c r="V549" s="89"/>
      <c r="W549" s="89"/>
      <c r="X549" s="89"/>
      <c r="Y549" s="89"/>
      <c r="Z549" s="89"/>
      <c r="AA549" s="89"/>
    </row>
    <row r="550" spans="1:27" ht="13.8">
      <c r="A550" s="89"/>
      <c r="B550" s="89"/>
      <c r="C550" s="89"/>
      <c r="D550" s="89"/>
      <c r="E550" s="89"/>
      <c r="F550" s="110"/>
      <c r="G550" s="89"/>
      <c r="H550" s="89"/>
      <c r="I550" s="89"/>
      <c r="J550" s="89"/>
      <c r="K550" s="89"/>
      <c r="L550" s="89"/>
      <c r="M550" s="89"/>
      <c r="N550" s="89"/>
      <c r="O550" s="89"/>
      <c r="P550" s="89"/>
      <c r="Q550" s="89"/>
      <c r="R550" s="89"/>
      <c r="S550" s="89"/>
      <c r="T550" s="89"/>
      <c r="U550" s="89"/>
      <c r="V550" s="89"/>
      <c r="W550" s="89"/>
      <c r="X550" s="89"/>
      <c r="Y550" s="89"/>
      <c r="Z550" s="89"/>
      <c r="AA550" s="89"/>
    </row>
    <row r="551" spans="1:27" ht="13.8">
      <c r="A551" s="89"/>
      <c r="B551" s="89"/>
      <c r="C551" s="89"/>
      <c r="D551" s="89"/>
      <c r="E551" s="89"/>
      <c r="F551" s="110"/>
      <c r="G551" s="89"/>
      <c r="H551" s="89"/>
      <c r="I551" s="89"/>
      <c r="J551" s="89"/>
      <c r="K551" s="89"/>
      <c r="L551" s="89"/>
      <c r="M551" s="89"/>
      <c r="N551" s="89"/>
      <c r="O551" s="89"/>
      <c r="P551" s="89"/>
      <c r="Q551" s="89"/>
      <c r="R551" s="89"/>
      <c r="S551" s="89"/>
      <c r="T551" s="89"/>
      <c r="U551" s="89"/>
      <c r="V551" s="89"/>
      <c r="W551" s="89"/>
      <c r="X551" s="89"/>
      <c r="Y551" s="89"/>
      <c r="Z551" s="89"/>
      <c r="AA551" s="89"/>
    </row>
    <row r="552" spans="1:27" ht="13.8">
      <c r="A552" s="89"/>
      <c r="B552" s="89"/>
      <c r="C552" s="89"/>
      <c r="D552" s="89"/>
      <c r="E552" s="89"/>
      <c r="F552" s="110"/>
      <c r="G552" s="89"/>
      <c r="H552" s="89"/>
      <c r="I552" s="89"/>
      <c r="J552" s="89"/>
      <c r="K552" s="89"/>
      <c r="L552" s="89"/>
      <c r="M552" s="89"/>
      <c r="N552" s="89"/>
      <c r="O552" s="89"/>
      <c r="P552" s="89"/>
      <c r="Q552" s="89"/>
      <c r="R552" s="89"/>
      <c r="S552" s="89"/>
      <c r="T552" s="89"/>
      <c r="U552" s="89"/>
      <c r="V552" s="89"/>
      <c r="W552" s="89"/>
      <c r="X552" s="89"/>
      <c r="Y552" s="89"/>
      <c r="Z552" s="89"/>
      <c r="AA552" s="89"/>
    </row>
    <row r="553" spans="1:27" ht="13.8">
      <c r="A553" s="89"/>
      <c r="B553" s="89"/>
      <c r="C553" s="89"/>
      <c r="D553" s="89"/>
      <c r="E553" s="89"/>
      <c r="F553" s="110"/>
      <c r="G553" s="89"/>
      <c r="H553" s="89"/>
      <c r="I553" s="89"/>
      <c r="J553" s="89"/>
      <c r="K553" s="89"/>
      <c r="L553" s="89"/>
      <c r="M553" s="89"/>
      <c r="N553" s="89"/>
      <c r="O553" s="89"/>
      <c r="P553" s="89"/>
      <c r="Q553" s="89"/>
      <c r="R553" s="89"/>
      <c r="S553" s="89"/>
      <c r="T553" s="89"/>
      <c r="U553" s="89"/>
      <c r="V553" s="89"/>
      <c r="W553" s="89"/>
      <c r="X553" s="89"/>
      <c r="Y553" s="89"/>
      <c r="Z553" s="89"/>
      <c r="AA553" s="89"/>
    </row>
    <row r="554" spans="1:27" ht="13.8">
      <c r="A554" s="89"/>
      <c r="B554" s="89"/>
      <c r="C554" s="89"/>
      <c r="D554" s="89"/>
      <c r="E554" s="89"/>
      <c r="F554" s="110"/>
      <c r="G554" s="89"/>
      <c r="H554" s="89"/>
      <c r="I554" s="89"/>
      <c r="J554" s="89"/>
      <c r="K554" s="89"/>
      <c r="L554" s="89"/>
      <c r="M554" s="89"/>
      <c r="N554" s="89"/>
      <c r="O554" s="89"/>
      <c r="P554" s="89"/>
      <c r="Q554" s="89"/>
      <c r="R554" s="89"/>
      <c r="S554" s="89"/>
      <c r="T554" s="89"/>
      <c r="U554" s="89"/>
      <c r="V554" s="89"/>
      <c r="W554" s="89"/>
      <c r="X554" s="89"/>
      <c r="Y554" s="89"/>
      <c r="Z554" s="89"/>
      <c r="AA554" s="89"/>
    </row>
    <row r="555" spans="1:27" ht="13.8">
      <c r="A555" s="89"/>
      <c r="B555" s="89"/>
      <c r="C555" s="89"/>
      <c r="D555" s="89"/>
      <c r="E555" s="89"/>
      <c r="F555" s="110"/>
      <c r="G555" s="89"/>
      <c r="H555" s="89"/>
      <c r="I555" s="89"/>
      <c r="J555" s="89"/>
      <c r="K555" s="89"/>
      <c r="L555" s="89"/>
      <c r="M555" s="89"/>
      <c r="N555" s="89"/>
      <c r="O555" s="89"/>
      <c r="P555" s="89"/>
      <c r="Q555" s="89"/>
      <c r="R555" s="89"/>
      <c r="S555" s="89"/>
      <c r="T555" s="89"/>
      <c r="U555" s="89"/>
      <c r="V555" s="89"/>
      <c r="W555" s="89"/>
      <c r="X555" s="89"/>
      <c r="Y555" s="89"/>
      <c r="Z555" s="89"/>
      <c r="AA555" s="89"/>
    </row>
    <row r="556" spans="1:27" ht="13.8">
      <c r="A556" s="89"/>
      <c r="B556" s="89"/>
      <c r="C556" s="89"/>
      <c r="D556" s="89"/>
      <c r="E556" s="89"/>
      <c r="F556" s="110"/>
      <c r="G556" s="89"/>
      <c r="H556" s="89"/>
      <c r="I556" s="89"/>
      <c r="J556" s="89"/>
      <c r="K556" s="89"/>
      <c r="L556" s="89"/>
      <c r="M556" s="89"/>
      <c r="N556" s="89"/>
      <c r="O556" s="89"/>
      <c r="P556" s="89"/>
      <c r="Q556" s="89"/>
      <c r="R556" s="89"/>
      <c r="S556" s="89"/>
      <c r="T556" s="89"/>
      <c r="U556" s="89"/>
      <c r="V556" s="89"/>
      <c r="W556" s="89"/>
      <c r="X556" s="89"/>
      <c r="Y556" s="89"/>
      <c r="Z556" s="89"/>
      <c r="AA556" s="89"/>
    </row>
    <row r="557" spans="1:27" ht="13.8">
      <c r="A557" s="89"/>
      <c r="B557" s="89"/>
      <c r="C557" s="89"/>
      <c r="D557" s="89"/>
      <c r="E557" s="89"/>
      <c r="F557" s="110"/>
      <c r="G557" s="89"/>
      <c r="H557" s="89"/>
      <c r="I557" s="89"/>
      <c r="J557" s="89"/>
      <c r="K557" s="89"/>
      <c r="L557" s="89"/>
      <c r="M557" s="89"/>
      <c r="N557" s="89"/>
      <c r="O557" s="89"/>
      <c r="P557" s="89"/>
      <c r="Q557" s="89"/>
      <c r="R557" s="89"/>
      <c r="S557" s="89"/>
      <c r="T557" s="89"/>
      <c r="U557" s="89"/>
      <c r="V557" s="89"/>
      <c r="W557" s="89"/>
      <c r="X557" s="89"/>
      <c r="Y557" s="89"/>
      <c r="Z557" s="89"/>
      <c r="AA557" s="89"/>
    </row>
    <row r="558" spans="1:27" ht="13.8">
      <c r="A558" s="89"/>
      <c r="B558" s="89"/>
      <c r="C558" s="89"/>
      <c r="D558" s="89"/>
      <c r="E558" s="89"/>
      <c r="F558" s="110"/>
      <c r="G558" s="89"/>
      <c r="H558" s="89"/>
      <c r="I558" s="89"/>
      <c r="J558" s="89"/>
      <c r="K558" s="89"/>
      <c r="L558" s="89"/>
      <c r="M558" s="89"/>
      <c r="N558" s="89"/>
      <c r="O558" s="89"/>
      <c r="P558" s="89"/>
      <c r="Q558" s="89"/>
      <c r="R558" s="89"/>
      <c r="S558" s="89"/>
      <c r="T558" s="89"/>
      <c r="U558" s="89"/>
      <c r="V558" s="89"/>
      <c r="W558" s="89"/>
      <c r="X558" s="89"/>
      <c r="Y558" s="89"/>
      <c r="Z558" s="89"/>
      <c r="AA558" s="89"/>
    </row>
    <row r="559" spans="1:27" ht="13.8">
      <c r="A559" s="89"/>
      <c r="B559" s="89"/>
      <c r="C559" s="89"/>
      <c r="D559" s="89"/>
      <c r="E559" s="89"/>
      <c r="F559" s="110"/>
      <c r="G559" s="89"/>
      <c r="H559" s="89"/>
      <c r="I559" s="89"/>
      <c r="J559" s="89"/>
      <c r="K559" s="89"/>
      <c r="L559" s="89"/>
      <c r="M559" s="89"/>
      <c r="N559" s="89"/>
      <c r="O559" s="89"/>
      <c r="P559" s="89"/>
      <c r="Q559" s="89"/>
      <c r="R559" s="89"/>
      <c r="S559" s="89"/>
      <c r="T559" s="89"/>
      <c r="U559" s="89"/>
      <c r="V559" s="89"/>
      <c r="W559" s="89"/>
      <c r="X559" s="89"/>
      <c r="Y559" s="89"/>
      <c r="Z559" s="89"/>
      <c r="AA559" s="89"/>
    </row>
    <row r="560" spans="1:27" ht="13.8">
      <c r="A560" s="89"/>
      <c r="B560" s="89"/>
      <c r="C560" s="89"/>
      <c r="D560" s="89"/>
      <c r="E560" s="89"/>
      <c r="F560" s="110"/>
      <c r="G560" s="89"/>
      <c r="H560" s="89"/>
      <c r="I560" s="89"/>
      <c r="J560" s="89"/>
      <c r="K560" s="89"/>
      <c r="L560" s="89"/>
      <c r="M560" s="89"/>
      <c r="N560" s="89"/>
      <c r="O560" s="89"/>
      <c r="P560" s="89"/>
      <c r="Q560" s="89"/>
      <c r="R560" s="89"/>
      <c r="S560" s="89"/>
      <c r="T560" s="89"/>
      <c r="U560" s="89"/>
      <c r="V560" s="89"/>
      <c r="W560" s="89"/>
      <c r="X560" s="89"/>
      <c r="Y560" s="89"/>
      <c r="Z560" s="89"/>
      <c r="AA560" s="89"/>
    </row>
    <row r="561" spans="1:27" ht="13.8">
      <c r="A561" s="89"/>
      <c r="B561" s="89"/>
      <c r="C561" s="89"/>
      <c r="D561" s="89"/>
      <c r="E561" s="89"/>
      <c r="F561" s="110"/>
      <c r="G561" s="89"/>
      <c r="H561" s="89"/>
      <c r="I561" s="89"/>
      <c r="J561" s="89"/>
      <c r="K561" s="89"/>
      <c r="L561" s="89"/>
      <c r="M561" s="89"/>
      <c r="N561" s="89"/>
      <c r="O561" s="89"/>
      <c r="P561" s="89"/>
      <c r="Q561" s="89"/>
      <c r="R561" s="89"/>
      <c r="S561" s="89"/>
      <c r="T561" s="89"/>
      <c r="U561" s="89"/>
      <c r="V561" s="89"/>
      <c r="W561" s="89"/>
      <c r="X561" s="89"/>
      <c r="Y561" s="89"/>
      <c r="Z561" s="89"/>
      <c r="AA561" s="89"/>
    </row>
    <row r="562" spans="1:27" ht="13.8">
      <c r="A562" s="89"/>
      <c r="B562" s="89"/>
      <c r="C562" s="89"/>
      <c r="D562" s="89"/>
      <c r="E562" s="89"/>
      <c r="F562" s="110"/>
      <c r="G562" s="89"/>
      <c r="H562" s="89"/>
      <c r="I562" s="89"/>
      <c r="J562" s="89"/>
      <c r="K562" s="89"/>
      <c r="L562" s="89"/>
      <c r="M562" s="89"/>
      <c r="N562" s="89"/>
      <c r="O562" s="89"/>
      <c r="P562" s="89"/>
      <c r="Q562" s="89"/>
      <c r="R562" s="89"/>
      <c r="S562" s="89"/>
      <c r="T562" s="89"/>
      <c r="U562" s="89"/>
      <c r="V562" s="89"/>
      <c r="W562" s="89"/>
      <c r="X562" s="89"/>
      <c r="Y562" s="89"/>
      <c r="Z562" s="89"/>
      <c r="AA562" s="89"/>
    </row>
    <row r="563" spans="1:27" ht="13.8">
      <c r="A563" s="89"/>
      <c r="B563" s="89"/>
      <c r="C563" s="89"/>
      <c r="D563" s="89"/>
      <c r="E563" s="89"/>
      <c r="F563" s="110"/>
      <c r="G563" s="89"/>
      <c r="H563" s="89"/>
      <c r="I563" s="89"/>
      <c r="J563" s="89"/>
      <c r="K563" s="89"/>
      <c r="L563" s="89"/>
      <c r="M563" s="89"/>
      <c r="N563" s="89"/>
      <c r="O563" s="89"/>
      <c r="P563" s="89"/>
      <c r="Q563" s="89"/>
      <c r="R563" s="89"/>
      <c r="S563" s="89"/>
      <c r="T563" s="89"/>
      <c r="U563" s="89"/>
      <c r="V563" s="89"/>
      <c r="W563" s="89"/>
      <c r="X563" s="89"/>
      <c r="Y563" s="89"/>
      <c r="Z563" s="89"/>
      <c r="AA563" s="89"/>
    </row>
    <row r="564" spans="1:27" ht="13.8">
      <c r="A564" s="89"/>
      <c r="B564" s="89"/>
      <c r="C564" s="89"/>
      <c r="D564" s="89"/>
      <c r="E564" s="89"/>
      <c r="F564" s="110"/>
      <c r="G564" s="89"/>
      <c r="H564" s="89"/>
      <c r="I564" s="89"/>
      <c r="J564" s="89"/>
      <c r="K564" s="89"/>
      <c r="L564" s="89"/>
      <c r="M564" s="89"/>
      <c r="N564" s="89"/>
      <c r="O564" s="89"/>
      <c r="P564" s="89"/>
      <c r="Q564" s="89"/>
      <c r="R564" s="89"/>
      <c r="S564" s="89"/>
      <c r="T564" s="89"/>
      <c r="U564" s="89"/>
      <c r="V564" s="89"/>
      <c r="W564" s="89"/>
      <c r="X564" s="89"/>
      <c r="Y564" s="89"/>
      <c r="Z564" s="89"/>
      <c r="AA564" s="89"/>
    </row>
    <row r="565" spans="1:27" ht="13.8">
      <c r="A565" s="89"/>
      <c r="B565" s="89"/>
      <c r="C565" s="89"/>
      <c r="D565" s="89"/>
      <c r="E565" s="89"/>
      <c r="F565" s="110"/>
      <c r="G565" s="89"/>
      <c r="H565" s="89"/>
      <c r="I565" s="89"/>
      <c r="J565" s="89"/>
      <c r="K565" s="89"/>
      <c r="L565" s="89"/>
      <c r="M565" s="89"/>
      <c r="N565" s="89"/>
      <c r="O565" s="89"/>
      <c r="P565" s="89"/>
      <c r="Q565" s="89"/>
      <c r="R565" s="89"/>
      <c r="S565" s="89"/>
      <c r="T565" s="89"/>
      <c r="U565" s="89"/>
      <c r="V565" s="89"/>
      <c r="W565" s="89"/>
      <c r="X565" s="89"/>
      <c r="Y565" s="89"/>
      <c r="Z565" s="89"/>
      <c r="AA565" s="89"/>
    </row>
    <row r="566" spans="1:27" ht="13.8">
      <c r="A566" s="89"/>
      <c r="B566" s="89"/>
      <c r="C566" s="89"/>
      <c r="D566" s="89"/>
      <c r="E566" s="89"/>
      <c r="F566" s="110"/>
      <c r="G566" s="89"/>
      <c r="H566" s="89"/>
      <c r="I566" s="89"/>
      <c r="J566" s="89"/>
      <c r="K566" s="89"/>
      <c r="L566" s="89"/>
      <c r="M566" s="89"/>
      <c r="N566" s="89"/>
      <c r="O566" s="89"/>
      <c r="P566" s="89"/>
      <c r="Q566" s="89"/>
      <c r="R566" s="89"/>
      <c r="S566" s="89"/>
      <c r="T566" s="89"/>
      <c r="U566" s="89"/>
      <c r="V566" s="89"/>
      <c r="W566" s="89"/>
      <c r="X566" s="89"/>
      <c r="Y566" s="89"/>
      <c r="Z566" s="89"/>
      <c r="AA566" s="89"/>
    </row>
    <row r="567" spans="1:27" ht="13.8">
      <c r="A567" s="89"/>
      <c r="B567" s="89"/>
      <c r="C567" s="89"/>
      <c r="D567" s="89"/>
      <c r="E567" s="89"/>
      <c r="F567" s="110"/>
      <c r="G567" s="89"/>
      <c r="H567" s="89"/>
      <c r="I567" s="89"/>
      <c r="J567" s="89"/>
      <c r="K567" s="89"/>
      <c r="L567" s="89"/>
      <c r="M567" s="89"/>
      <c r="N567" s="89"/>
      <c r="O567" s="89"/>
      <c r="P567" s="89"/>
      <c r="Q567" s="89"/>
      <c r="R567" s="89"/>
      <c r="S567" s="89"/>
      <c r="T567" s="89"/>
      <c r="U567" s="89"/>
      <c r="V567" s="89"/>
      <c r="W567" s="89"/>
      <c r="X567" s="89"/>
      <c r="Y567" s="89"/>
      <c r="Z567" s="89"/>
      <c r="AA567" s="89"/>
    </row>
    <row r="568" spans="1:27" ht="13.8">
      <c r="A568" s="89"/>
      <c r="B568" s="89"/>
      <c r="C568" s="89"/>
      <c r="D568" s="89"/>
      <c r="E568" s="89"/>
      <c r="F568" s="110"/>
      <c r="G568" s="89"/>
      <c r="H568" s="89"/>
      <c r="I568" s="89"/>
      <c r="J568" s="89"/>
      <c r="K568" s="89"/>
      <c r="L568" s="89"/>
      <c r="M568" s="89"/>
      <c r="N568" s="89"/>
      <c r="O568" s="89"/>
      <c r="P568" s="89"/>
      <c r="Q568" s="89"/>
      <c r="R568" s="89"/>
      <c r="S568" s="89"/>
      <c r="T568" s="89"/>
      <c r="U568" s="89"/>
      <c r="V568" s="89"/>
      <c r="W568" s="89"/>
      <c r="X568" s="89"/>
      <c r="Y568" s="89"/>
      <c r="Z568" s="89"/>
      <c r="AA568" s="89"/>
    </row>
    <row r="569" spans="1:27" ht="13.8">
      <c r="A569" s="89"/>
      <c r="B569" s="89"/>
      <c r="C569" s="89"/>
      <c r="D569" s="89"/>
      <c r="E569" s="89"/>
      <c r="F569" s="110"/>
      <c r="G569" s="89"/>
      <c r="H569" s="89"/>
      <c r="I569" s="89"/>
      <c r="J569" s="89"/>
      <c r="K569" s="89"/>
      <c r="L569" s="89"/>
      <c r="M569" s="89"/>
      <c r="N569" s="89"/>
      <c r="O569" s="89"/>
      <c r="P569" s="89"/>
      <c r="Q569" s="89"/>
      <c r="R569" s="89"/>
      <c r="S569" s="89"/>
      <c r="T569" s="89"/>
      <c r="U569" s="89"/>
      <c r="V569" s="89"/>
      <c r="W569" s="89"/>
      <c r="X569" s="89"/>
      <c r="Y569" s="89"/>
      <c r="Z569" s="89"/>
      <c r="AA569" s="89"/>
    </row>
    <row r="570" spans="1:27" ht="13.8">
      <c r="A570" s="89"/>
      <c r="B570" s="89"/>
      <c r="C570" s="89"/>
      <c r="D570" s="89"/>
      <c r="E570" s="89"/>
      <c r="F570" s="110"/>
      <c r="G570" s="89"/>
      <c r="H570" s="89"/>
      <c r="I570" s="89"/>
      <c r="J570" s="89"/>
      <c r="K570" s="89"/>
      <c r="L570" s="89"/>
      <c r="M570" s="89"/>
      <c r="N570" s="89"/>
      <c r="O570" s="89"/>
      <c r="P570" s="89"/>
      <c r="Q570" s="89"/>
      <c r="R570" s="89"/>
      <c r="S570" s="89"/>
      <c r="T570" s="89"/>
      <c r="U570" s="89"/>
      <c r="V570" s="89"/>
      <c r="W570" s="89"/>
      <c r="X570" s="89"/>
      <c r="Y570" s="89"/>
      <c r="Z570" s="89"/>
      <c r="AA570" s="89"/>
    </row>
    <row r="571" spans="1:27" ht="13.8">
      <c r="A571" s="89"/>
      <c r="B571" s="89"/>
      <c r="C571" s="89"/>
      <c r="D571" s="89"/>
      <c r="E571" s="89"/>
      <c r="F571" s="110"/>
      <c r="G571" s="89"/>
      <c r="H571" s="89"/>
      <c r="I571" s="89"/>
      <c r="J571" s="89"/>
      <c r="K571" s="89"/>
      <c r="L571" s="89"/>
      <c r="M571" s="89"/>
      <c r="N571" s="89"/>
      <c r="O571" s="89"/>
      <c r="P571" s="89"/>
      <c r="Q571" s="89"/>
      <c r="R571" s="89"/>
      <c r="S571" s="89"/>
      <c r="T571" s="89"/>
      <c r="U571" s="89"/>
      <c r="V571" s="89"/>
      <c r="W571" s="89"/>
      <c r="X571" s="89"/>
      <c r="Y571" s="89"/>
      <c r="Z571" s="89"/>
      <c r="AA571" s="89"/>
    </row>
    <row r="572" spans="1:27" ht="13.8">
      <c r="A572" s="89"/>
      <c r="B572" s="89"/>
      <c r="C572" s="89"/>
      <c r="D572" s="89"/>
      <c r="E572" s="89"/>
      <c r="F572" s="110"/>
      <c r="G572" s="89"/>
      <c r="H572" s="89"/>
      <c r="I572" s="89"/>
      <c r="J572" s="89"/>
      <c r="K572" s="89"/>
      <c r="L572" s="89"/>
      <c r="M572" s="89"/>
      <c r="N572" s="89"/>
      <c r="O572" s="89"/>
      <c r="P572" s="89"/>
      <c r="Q572" s="89"/>
      <c r="R572" s="89"/>
      <c r="S572" s="89"/>
      <c r="T572" s="89"/>
      <c r="U572" s="89"/>
      <c r="V572" s="89"/>
      <c r="W572" s="89"/>
      <c r="X572" s="89"/>
      <c r="Y572" s="89"/>
      <c r="Z572" s="89"/>
      <c r="AA572" s="89"/>
    </row>
    <row r="573" spans="1:27" ht="13.8">
      <c r="A573" s="89"/>
      <c r="B573" s="89"/>
      <c r="C573" s="89"/>
      <c r="D573" s="89"/>
      <c r="E573" s="89"/>
      <c r="F573" s="110"/>
      <c r="G573" s="89"/>
      <c r="H573" s="89"/>
      <c r="I573" s="89"/>
      <c r="J573" s="89"/>
      <c r="K573" s="89"/>
      <c r="L573" s="89"/>
      <c r="M573" s="89"/>
      <c r="N573" s="89"/>
      <c r="O573" s="89"/>
      <c r="P573" s="89"/>
      <c r="Q573" s="89"/>
      <c r="R573" s="89"/>
      <c r="S573" s="89"/>
      <c r="T573" s="89"/>
      <c r="U573" s="89"/>
      <c r="V573" s="89"/>
      <c r="W573" s="89"/>
      <c r="X573" s="89"/>
      <c r="Y573" s="89"/>
      <c r="Z573" s="89"/>
      <c r="AA573" s="89"/>
    </row>
    <row r="574" spans="1:27" ht="13.8">
      <c r="A574" s="89"/>
      <c r="B574" s="89"/>
      <c r="C574" s="89"/>
      <c r="D574" s="89"/>
      <c r="E574" s="89"/>
      <c r="F574" s="110"/>
      <c r="G574" s="89"/>
      <c r="H574" s="89"/>
      <c r="I574" s="89"/>
      <c r="J574" s="89"/>
      <c r="K574" s="89"/>
      <c r="L574" s="89"/>
      <c r="M574" s="89"/>
      <c r="N574" s="89"/>
      <c r="O574" s="89"/>
      <c r="P574" s="89"/>
      <c r="Q574" s="89"/>
      <c r="R574" s="89"/>
      <c r="S574" s="89"/>
      <c r="T574" s="89"/>
      <c r="U574" s="89"/>
      <c r="V574" s="89"/>
      <c r="W574" s="89"/>
      <c r="X574" s="89"/>
      <c r="Y574" s="89"/>
      <c r="Z574" s="89"/>
      <c r="AA574" s="89"/>
    </row>
    <row r="575" spans="1:27" ht="13.8">
      <c r="A575" s="89"/>
      <c r="B575" s="89"/>
      <c r="C575" s="89"/>
      <c r="D575" s="89"/>
      <c r="E575" s="89"/>
      <c r="F575" s="110"/>
      <c r="G575" s="89"/>
      <c r="H575" s="89"/>
      <c r="I575" s="89"/>
      <c r="J575" s="89"/>
      <c r="K575" s="89"/>
      <c r="L575" s="89"/>
      <c r="M575" s="89"/>
      <c r="N575" s="89"/>
      <c r="O575" s="89"/>
      <c r="P575" s="89"/>
      <c r="Q575" s="89"/>
      <c r="R575" s="89"/>
      <c r="S575" s="89"/>
      <c r="T575" s="89"/>
      <c r="U575" s="89"/>
      <c r="V575" s="89"/>
      <c r="W575" s="89"/>
      <c r="X575" s="89"/>
      <c r="Y575" s="89"/>
      <c r="Z575" s="89"/>
      <c r="AA575" s="89"/>
    </row>
    <row r="576" spans="1:27" ht="13.8">
      <c r="A576" s="89"/>
      <c r="B576" s="89"/>
      <c r="C576" s="89"/>
      <c r="D576" s="89"/>
      <c r="E576" s="89"/>
      <c r="F576" s="110"/>
      <c r="G576" s="89"/>
      <c r="H576" s="89"/>
      <c r="I576" s="89"/>
      <c r="J576" s="89"/>
      <c r="K576" s="89"/>
      <c r="L576" s="89"/>
      <c r="M576" s="89"/>
      <c r="N576" s="89"/>
      <c r="O576" s="89"/>
      <c r="P576" s="89"/>
      <c r="Q576" s="89"/>
      <c r="R576" s="89"/>
      <c r="S576" s="89"/>
      <c r="T576" s="89"/>
      <c r="U576" s="89"/>
      <c r="V576" s="89"/>
      <c r="W576" s="89"/>
      <c r="X576" s="89"/>
      <c r="Y576" s="89"/>
      <c r="Z576" s="89"/>
      <c r="AA576" s="89"/>
    </row>
    <row r="577" spans="1:27" ht="13.8">
      <c r="A577" s="89"/>
      <c r="B577" s="89"/>
      <c r="C577" s="89"/>
      <c r="D577" s="89"/>
      <c r="E577" s="89"/>
      <c r="F577" s="110"/>
      <c r="G577" s="89"/>
      <c r="H577" s="89"/>
      <c r="I577" s="89"/>
      <c r="J577" s="89"/>
      <c r="K577" s="89"/>
      <c r="L577" s="89"/>
      <c r="M577" s="89"/>
      <c r="N577" s="89"/>
      <c r="O577" s="89"/>
      <c r="P577" s="89"/>
      <c r="Q577" s="89"/>
      <c r="R577" s="89"/>
      <c r="S577" s="89"/>
      <c r="T577" s="89"/>
      <c r="U577" s="89"/>
      <c r="V577" s="89"/>
      <c r="W577" s="89"/>
      <c r="X577" s="89"/>
      <c r="Y577" s="89"/>
      <c r="Z577" s="89"/>
      <c r="AA577" s="89"/>
    </row>
    <row r="578" spans="1:27" ht="13.8">
      <c r="A578" s="89"/>
      <c r="B578" s="89"/>
      <c r="C578" s="89"/>
      <c r="D578" s="89"/>
      <c r="E578" s="89"/>
      <c r="F578" s="110"/>
      <c r="G578" s="89"/>
      <c r="H578" s="89"/>
      <c r="I578" s="89"/>
      <c r="J578" s="89"/>
      <c r="K578" s="89"/>
      <c r="L578" s="89"/>
      <c r="M578" s="89"/>
      <c r="N578" s="89"/>
      <c r="O578" s="89"/>
      <c r="P578" s="89"/>
      <c r="Q578" s="89"/>
      <c r="R578" s="89"/>
      <c r="S578" s="89"/>
      <c r="T578" s="89"/>
      <c r="U578" s="89"/>
      <c r="V578" s="89"/>
      <c r="W578" s="89"/>
      <c r="X578" s="89"/>
      <c r="Y578" s="89"/>
      <c r="Z578" s="89"/>
      <c r="AA578" s="89"/>
    </row>
    <row r="579" spans="1:27" ht="13.8">
      <c r="A579" s="89"/>
      <c r="B579" s="89"/>
      <c r="C579" s="89"/>
      <c r="D579" s="89"/>
      <c r="E579" s="89"/>
      <c r="F579" s="110"/>
      <c r="G579" s="89"/>
      <c r="H579" s="89"/>
      <c r="I579" s="89"/>
      <c r="J579" s="89"/>
      <c r="K579" s="89"/>
      <c r="L579" s="89"/>
      <c r="M579" s="89"/>
      <c r="N579" s="89"/>
      <c r="O579" s="89"/>
      <c r="P579" s="89"/>
      <c r="Q579" s="89"/>
      <c r="R579" s="89"/>
      <c r="S579" s="89"/>
      <c r="T579" s="89"/>
      <c r="U579" s="89"/>
      <c r="V579" s="89"/>
      <c r="W579" s="89"/>
      <c r="X579" s="89"/>
      <c r="Y579" s="89"/>
      <c r="Z579" s="89"/>
      <c r="AA579" s="89"/>
    </row>
    <row r="580" spans="1:27" ht="13.8">
      <c r="A580" s="89"/>
      <c r="B580" s="89"/>
      <c r="C580" s="89"/>
      <c r="D580" s="89"/>
      <c r="E580" s="89"/>
      <c r="F580" s="110"/>
      <c r="G580" s="89"/>
      <c r="H580" s="89"/>
      <c r="I580" s="89"/>
      <c r="J580" s="89"/>
      <c r="K580" s="89"/>
      <c r="L580" s="89"/>
      <c r="M580" s="89"/>
      <c r="N580" s="89"/>
      <c r="O580" s="89"/>
      <c r="P580" s="89"/>
      <c r="Q580" s="89"/>
      <c r="R580" s="89"/>
      <c r="S580" s="89"/>
      <c r="T580" s="89"/>
      <c r="U580" s="89"/>
      <c r="V580" s="89"/>
      <c r="W580" s="89"/>
      <c r="X580" s="89"/>
      <c r="Y580" s="89"/>
      <c r="Z580" s="89"/>
      <c r="AA580" s="89"/>
    </row>
    <row r="581" spans="1:27" ht="13.8">
      <c r="A581" s="89"/>
      <c r="B581" s="89"/>
      <c r="C581" s="89"/>
      <c r="D581" s="89"/>
      <c r="E581" s="89"/>
      <c r="F581" s="110"/>
      <c r="G581" s="89"/>
      <c r="H581" s="89"/>
      <c r="I581" s="89"/>
      <c r="J581" s="89"/>
      <c r="K581" s="89"/>
      <c r="L581" s="89"/>
      <c r="M581" s="89"/>
      <c r="N581" s="89"/>
      <c r="O581" s="89"/>
      <c r="P581" s="89"/>
      <c r="Q581" s="89"/>
      <c r="R581" s="89"/>
      <c r="S581" s="89"/>
      <c r="T581" s="89"/>
      <c r="U581" s="89"/>
      <c r="V581" s="89"/>
      <c r="W581" s="89"/>
      <c r="X581" s="89"/>
      <c r="Y581" s="89"/>
      <c r="Z581" s="89"/>
      <c r="AA581" s="89"/>
    </row>
    <row r="582" spans="1:27" ht="13.8">
      <c r="A582" s="89"/>
      <c r="B582" s="89"/>
      <c r="C582" s="89"/>
      <c r="D582" s="89"/>
      <c r="E582" s="89"/>
      <c r="F582" s="110"/>
      <c r="G582" s="89"/>
      <c r="H582" s="89"/>
      <c r="I582" s="89"/>
      <c r="J582" s="89"/>
      <c r="K582" s="89"/>
      <c r="L582" s="89"/>
      <c r="M582" s="89"/>
      <c r="N582" s="89"/>
      <c r="O582" s="89"/>
      <c r="P582" s="89"/>
      <c r="Q582" s="89"/>
      <c r="R582" s="89"/>
      <c r="S582" s="89"/>
      <c r="T582" s="89"/>
      <c r="U582" s="89"/>
      <c r="V582" s="89"/>
      <c r="W582" s="89"/>
      <c r="X582" s="89"/>
      <c r="Y582" s="89"/>
      <c r="Z582" s="89"/>
      <c r="AA582" s="89"/>
    </row>
    <row r="583" spans="1:27" ht="13.8">
      <c r="A583" s="89"/>
      <c r="B583" s="89"/>
      <c r="C583" s="89"/>
      <c r="D583" s="89"/>
      <c r="E583" s="89"/>
      <c r="F583" s="110"/>
      <c r="G583" s="89"/>
      <c r="H583" s="89"/>
      <c r="I583" s="89"/>
      <c r="J583" s="89"/>
      <c r="K583" s="89"/>
      <c r="L583" s="89"/>
      <c r="M583" s="89"/>
      <c r="N583" s="89"/>
      <c r="O583" s="89"/>
      <c r="P583" s="89"/>
      <c r="Q583" s="89"/>
      <c r="R583" s="89"/>
      <c r="S583" s="89"/>
      <c r="T583" s="89"/>
      <c r="U583" s="89"/>
      <c r="V583" s="89"/>
      <c r="W583" s="89"/>
      <c r="X583" s="89"/>
      <c r="Y583" s="89"/>
      <c r="Z583" s="89"/>
      <c r="AA583" s="89"/>
    </row>
    <row r="584" spans="1:27" ht="13.8">
      <c r="A584" s="89"/>
      <c r="B584" s="89"/>
      <c r="C584" s="89"/>
      <c r="D584" s="89"/>
      <c r="E584" s="89"/>
      <c r="F584" s="110"/>
      <c r="G584" s="89"/>
      <c r="H584" s="89"/>
      <c r="I584" s="89"/>
      <c r="J584" s="89"/>
      <c r="K584" s="89"/>
      <c r="L584" s="89"/>
      <c r="M584" s="89"/>
      <c r="N584" s="89"/>
      <c r="O584" s="89"/>
      <c r="P584" s="89"/>
      <c r="Q584" s="89"/>
      <c r="R584" s="89"/>
      <c r="S584" s="89"/>
      <c r="T584" s="89"/>
      <c r="U584" s="89"/>
      <c r="V584" s="89"/>
      <c r="W584" s="89"/>
      <c r="X584" s="89"/>
      <c r="Y584" s="89"/>
      <c r="Z584" s="89"/>
      <c r="AA584" s="89"/>
    </row>
    <row r="585" spans="1:27" ht="13.8">
      <c r="A585" s="89"/>
      <c r="B585" s="89"/>
      <c r="C585" s="89"/>
      <c r="D585" s="89"/>
      <c r="E585" s="89"/>
      <c r="F585" s="110"/>
      <c r="G585" s="89"/>
      <c r="H585" s="89"/>
      <c r="I585" s="89"/>
      <c r="J585" s="89"/>
      <c r="K585" s="89"/>
      <c r="L585" s="89"/>
      <c r="M585" s="89"/>
      <c r="N585" s="89"/>
      <c r="O585" s="89"/>
      <c r="P585" s="89"/>
      <c r="Q585" s="89"/>
      <c r="R585" s="89"/>
      <c r="S585" s="89"/>
      <c r="T585" s="89"/>
      <c r="U585" s="89"/>
      <c r="V585" s="89"/>
      <c r="W585" s="89"/>
      <c r="X585" s="89"/>
      <c r="Y585" s="89"/>
      <c r="Z585" s="89"/>
      <c r="AA585" s="89"/>
    </row>
    <row r="586" spans="1:27" ht="13.8">
      <c r="A586" s="89"/>
      <c r="B586" s="89"/>
      <c r="C586" s="89"/>
      <c r="D586" s="89"/>
      <c r="E586" s="89"/>
      <c r="F586" s="110"/>
      <c r="G586" s="89"/>
      <c r="H586" s="89"/>
      <c r="I586" s="89"/>
      <c r="J586" s="89"/>
      <c r="K586" s="89"/>
      <c r="L586" s="89"/>
      <c r="M586" s="89"/>
      <c r="N586" s="89"/>
      <c r="O586" s="89"/>
      <c r="P586" s="89"/>
      <c r="Q586" s="89"/>
      <c r="R586" s="89"/>
      <c r="S586" s="89"/>
      <c r="T586" s="89"/>
      <c r="U586" s="89"/>
      <c r="V586" s="89"/>
      <c r="W586" s="89"/>
      <c r="X586" s="89"/>
      <c r="Y586" s="89"/>
      <c r="Z586" s="89"/>
      <c r="AA586" s="89"/>
    </row>
    <row r="587" spans="1:27" ht="13.8">
      <c r="A587" s="89"/>
      <c r="B587" s="89"/>
      <c r="C587" s="89"/>
      <c r="D587" s="89"/>
      <c r="E587" s="89"/>
      <c r="F587" s="110"/>
      <c r="G587" s="89"/>
      <c r="H587" s="89"/>
      <c r="I587" s="89"/>
      <c r="J587" s="89"/>
      <c r="K587" s="89"/>
      <c r="L587" s="89"/>
      <c r="M587" s="89"/>
      <c r="N587" s="89"/>
      <c r="O587" s="89"/>
      <c r="P587" s="89"/>
      <c r="Q587" s="89"/>
      <c r="R587" s="89"/>
      <c r="S587" s="89"/>
      <c r="T587" s="89"/>
      <c r="U587" s="89"/>
      <c r="V587" s="89"/>
      <c r="W587" s="89"/>
      <c r="X587" s="89"/>
      <c r="Y587" s="89"/>
      <c r="Z587" s="89"/>
      <c r="AA587" s="89"/>
    </row>
    <row r="588" spans="1:27" ht="13.8">
      <c r="A588" s="89"/>
      <c r="B588" s="89"/>
      <c r="C588" s="89"/>
      <c r="D588" s="89"/>
      <c r="E588" s="89"/>
      <c r="F588" s="110"/>
      <c r="G588" s="89"/>
      <c r="H588" s="89"/>
      <c r="I588" s="89"/>
      <c r="J588" s="89"/>
      <c r="K588" s="89"/>
      <c r="L588" s="89"/>
      <c r="M588" s="89"/>
      <c r="N588" s="89"/>
      <c r="O588" s="89"/>
      <c r="P588" s="89"/>
      <c r="Q588" s="89"/>
      <c r="R588" s="89"/>
      <c r="S588" s="89"/>
      <c r="T588" s="89"/>
      <c r="U588" s="89"/>
      <c r="V588" s="89"/>
      <c r="W588" s="89"/>
      <c r="X588" s="89"/>
      <c r="Y588" s="89"/>
      <c r="Z588" s="89"/>
      <c r="AA588" s="89"/>
    </row>
    <row r="589" spans="1:27" ht="13.8">
      <c r="A589" s="89"/>
      <c r="B589" s="89"/>
      <c r="C589" s="89"/>
      <c r="D589" s="89"/>
      <c r="E589" s="89"/>
      <c r="F589" s="110"/>
      <c r="G589" s="89"/>
      <c r="H589" s="89"/>
      <c r="I589" s="89"/>
      <c r="J589" s="89"/>
      <c r="K589" s="89"/>
      <c r="L589" s="89"/>
      <c r="M589" s="89"/>
      <c r="N589" s="89"/>
      <c r="O589" s="89"/>
      <c r="P589" s="89"/>
      <c r="Q589" s="89"/>
      <c r="R589" s="89"/>
      <c r="S589" s="89"/>
      <c r="T589" s="89"/>
      <c r="U589" s="89"/>
      <c r="V589" s="89"/>
      <c r="W589" s="89"/>
      <c r="X589" s="89"/>
      <c r="Y589" s="89"/>
      <c r="Z589" s="89"/>
      <c r="AA589" s="89"/>
    </row>
    <row r="590" spans="1:27" ht="13.8">
      <c r="A590" s="89"/>
      <c r="B590" s="89"/>
      <c r="C590" s="89"/>
      <c r="D590" s="89"/>
      <c r="E590" s="89"/>
      <c r="F590" s="110"/>
      <c r="G590" s="89"/>
      <c r="H590" s="89"/>
      <c r="I590" s="89"/>
      <c r="J590" s="89"/>
      <c r="K590" s="89"/>
      <c r="L590" s="89"/>
      <c r="M590" s="89"/>
      <c r="N590" s="89"/>
      <c r="O590" s="89"/>
      <c r="P590" s="89"/>
      <c r="Q590" s="89"/>
      <c r="R590" s="89"/>
      <c r="S590" s="89"/>
      <c r="T590" s="89"/>
      <c r="U590" s="89"/>
      <c r="V590" s="89"/>
      <c r="W590" s="89"/>
      <c r="X590" s="89"/>
      <c r="Y590" s="89"/>
      <c r="Z590" s="89"/>
      <c r="AA590" s="89"/>
    </row>
    <row r="591" spans="1:27" ht="13.8">
      <c r="A591" s="89"/>
      <c r="B591" s="89"/>
      <c r="C591" s="89"/>
      <c r="D591" s="89"/>
      <c r="E591" s="89"/>
      <c r="F591" s="110"/>
      <c r="G591" s="89"/>
      <c r="H591" s="89"/>
      <c r="I591" s="89"/>
      <c r="J591" s="89"/>
      <c r="K591" s="89"/>
      <c r="L591" s="89"/>
      <c r="M591" s="89"/>
      <c r="N591" s="89"/>
      <c r="O591" s="89"/>
      <c r="P591" s="89"/>
      <c r="Q591" s="89"/>
      <c r="R591" s="89"/>
      <c r="S591" s="89"/>
      <c r="T591" s="89"/>
      <c r="U591" s="89"/>
      <c r="V591" s="89"/>
      <c r="W591" s="89"/>
      <c r="X591" s="89"/>
      <c r="Y591" s="89"/>
      <c r="Z591" s="89"/>
      <c r="AA591" s="89"/>
    </row>
    <row r="592" spans="1:27" ht="13.8">
      <c r="A592" s="89"/>
      <c r="B592" s="89"/>
      <c r="C592" s="89"/>
      <c r="D592" s="89"/>
      <c r="E592" s="89"/>
      <c r="F592" s="110"/>
      <c r="G592" s="89"/>
      <c r="H592" s="89"/>
      <c r="I592" s="89"/>
      <c r="J592" s="89"/>
      <c r="K592" s="89"/>
      <c r="L592" s="89"/>
      <c r="M592" s="89"/>
      <c r="N592" s="89"/>
      <c r="O592" s="89"/>
      <c r="P592" s="89"/>
      <c r="Q592" s="89"/>
      <c r="R592" s="89"/>
      <c r="S592" s="89"/>
      <c r="T592" s="89"/>
      <c r="U592" s="89"/>
      <c r="V592" s="89"/>
      <c r="W592" s="89"/>
      <c r="X592" s="89"/>
      <c r="Y592" s="89"/>
      <c r="Z592" s="89"/>
      <c r="AA592" s="89"/>
    </row>
    <row r="593" spans="1:27" ht="13.8">
      <c r="A593" s="89"/>
      <c r="B593" s="89"/>
      <c r="C593" s="89"/>
      <c r="D593" s="89"/>
      <c r="E593" s="89"/>
      <c r="F593" s="110"/>
      <c r="G593" s="89"/>
      <c r="H593" s="89"/>
      <c r="I593" s="89"/>
      <c r="J593" s="89"/>
      <c r="K593" s="89"/>
      <c r="L593" s="89"/>
      <c r="M593" s="89"/>
      <c r="N593" s="89"/>
      <c r="O593" s="89"/>
      <c r="P593" s="89"/>
      <c r="Q593" s="89"/>
      <c r="R593" s="89"/>
      <c r="S593" s="89"/>
      <c r="T593" s="89"/>
      <c r="U593" s="89"/>
      <c r="V593" s="89"/>
      <c r="W593" s="89"/>
      <c r="X593" s="89"/>
      <c r="Y593" s="89"/>
      <c r="Z593" s="89"/>
      <c r="AA593" s="89"/>
    </row>
    <row r="594" spans="1:27" ht="13.8">
      <c r="A594" s="89"/>
      <c r="B594" s="89"/>
      <c r="C594" s="89"/>
      <c r="D594" s="89"/>
      <c r="E594" s="89"/>
      <c r="F594" s="110"/>
      <c r="G594" s="89"/>
      <c r="H594" s="89"/>
      <c r="I594" s="89"/>
      <c r="J594" s="89"/>
      <c r="K594" s="89"/>
      <c r="L594" s="89"/>
      <c r="M594" s="89"/>
      <c r="N594" s="89"/>
      <c r="O594" s="89"/>
      <c r="P594" s="89"/>
      <c r="Q594" s="89"/>
      <c r="R594" s="89"/>
      <c r="S594" s="89"/>
      <c r="T594" s="89"/>
      <c r="U594" s="89"/>
      <c r="V594" s="89"/>
      <c r="W594" s="89"/>
      <c r="X594" s="89"/>
      <c r="Y594" s="89"/>
      <c r="Z594" s="89"/>
      <c r="AA594" s="89"/>
    </row>
    <row r="595" spans="1:27" ht="13.8">
      <c r="A595" s="89"/>
      <c r="B595" s="89"/>
      <c r="C595" s="89"/>
      <c r="D595" s="89"/>
      <c r="E595" s="89"/>
      <c r="F595" s="110"/>
      <c r="G595" s="89"/>
      <c r="H595" s="89"/>
      <c r="I595" s="89"/>
      <c r="J595" s="89"/>
      <c r="K595" s="89"/>
      <c r="L595" s="89"/>
      <c r="M595" s="89"/>
      <c r="N595" s="89"/>
      <c r="O595" s="89"/>
      <c r="P595" s="89"/>
      <c r="Q595" s="89"/>
      <c r="R595" s="89"/>
      <c r="S595" s="89"/>
      <c r="T595" s="89"/>
      <c r="U595" s="89"/>
      <c r="V595" s="89"/>
      <c r="W595" s="89"/>
      <c r="X595" s="89"/>
      <c r="Y595" s="89"/>
      <c r="Z595" s="89"/>
      <c r="AA595" s="89"/>
    </row>
    <row r="596" spans="1:27" ht="13.8">
      <c r="A596" s="89"/>
      <c r="B596" s="89"/>
      <c r="C596" s="89"/>
      <c r="D596" s="89"/>
      <c r="E596" s="89"/>
      <c r="F596" s="110"/>
      <c r="G596" s="89"/>
      <c r="H596" s="89"/>
      <c r="I596" s="89"/>
      <c r="J596" s="89"/>
      <c r="K596" s="89"/>
      <c r="L596" s="89"/>
      <c r="M596" s="89"/>
      <c r="N596" s="89"/>
      <c r="O596" s="89"/>
      <c r="P596" s="89"/>
      <c r="Q596" s="89"/>
      <c r="R596" s="89"/>
      <c r="S596" s="89"/>
      <c r="T596" s="89"/>
      <c r="U596" s="89"/>
      <c r="V596" s="89"/>
      <c r="W596" s="89"/>
      <c r="X596" s="89"/>
      <c r="Y596" s="89"/>
      <c r="Z596" s="89"/>
      <c r="AA596" s="89"/>
    </row>
    <row r="597" spans="1:27" ht="13.8">
      <c r="A597" s="89"/>
      <c r="B597" s="89"/>
      <c r="C597" s="89"/>
      <c r="D597" s="89"/>
      <c r="E597" s="89"/>
      <c r="F597" s="110"/>
      <c r="G597" s="89"/>
      <c r="H597" s="89"/>
      <c r="I597" s="89"/>
      <c r="J597" s="89"/>
      <c r="K597" s="89"/>
      <c r="L597" s="89"/>
      <c r="M597" s="89"/>
      <c r="N597" s="89"/>
      <c r="O597" s="89"/>
      <c r="P597" s="89"/>
      <c r="Q597" s="89"/>
      <c r="R597" s="89"/>
      <c r="S597" s="89"/>
      <c r="T597" s="89"/>
      <c r="U597" s="89"/>
      <c r="V597" s="89"/>
      <c r="W597" s="89"/>
      <c r="X597" s="89"/>
      <c r="Y597" s="89"/>
      <c r="Z597" s="89"/>
      <c r="AA597" s="89"/>
    </row>
    <row r="598" spans="1:27" ht="13.8">
      <c r="A598" s="89"/>
      <c r="B598" s="89"/>
      <c r="C598" s="89"/>
      <c r="D598" s="89"/>
      <c r="E598" s="89"/>
      <c r="F598" s="110"/>
      <c r="G598" s="89"/>
      <c r="H598" s="89"/>
      <c r="I598" s="89"/>
      <c r="J598" s="89"/>
      <c r="K598" s="89"/>
      <c r="L598" s="89"/>
      <c r="M598" s="89"/>
      <c r="N598" s="89"/>
      <c r="O598" s="89"/>
      <c r="P598" s="89"/>
      <c r="Q598" s="89"/>
      <c r="R598" s="89"/>
      <c r="S598" s="89"/>
      <c r="T598" s="89"/>
      <c r="U598" s="89"/>
      <c r="V598" s="89"/>
      <c r="W598" s="89"/>
      <c r="X598" s="89"/>
      <c r="Y598" s="89"/>
      <c r="Z598" s="89"/>
      <c r="AA598" s="89"/>
    </row>
    <row r="599" spans="1:27" ht="13.8">
      <c r="A599" s="89"/>
      <c r="B599" s="89"/>
      <c r="C599" s="89"/>
      <c r="D599" s="89"/>
      <c r="E599" s="89"/>
      <c r="F599" s="110"/>
      <c r="G599" s="89"/>
      <c r="H599" s="89"/>
      <c r="I599" s="89"/>
      <c r="J599" s="89"/>
      <c r="K599" s="89"/>
      <c r="L599" s="89"/>
      <c r="M599" s="89"/>
      <c r="N599" s="89"/>
      <c r="O599" s="89"/>
      <c r="P599" s="89"/>
      <c r="Q599" s="89"/>
      <c r="R599" s="89"/>
      <c r="S599" s="89"/>
      <c r="T599" s="89"/>
      <c r="U599" s="89"/>
      <c r="V599" s="89"/>
      <c r="W599" s="89"/>
      <c r="X599" s="89"/>
      <c r="Y599" s="89"/>
      <c r="Z599" s="89"/>
      <c r="AA599" s="89"/>
    </row>
    <row r="600" spans="1:27" ht="13.8">
      <c r="A600" s="89"/>
      <c r="B600" s="89"/>
      <c r="C600" s="89"/>
      <c r="D600" s="89"/>
      <c r="E600" s="89"/>
      <c r="F600" s="110"/>
      <c r="G600" s="89"/>
      <c r="H600" s="89"/>
      <c r="I600" s="89"/>
      <c r="J600" s="89"/>
      <c r="K600" s="89"/>
      <c r="L600" s="89"/>
      <c r="M600" s="89"/>
      <c r="N600" s="89"/>
      <c r="O600" s="89"/>
      <c r="P600" s="89"/>
      <c r="Q600" s="89"/>
      <c r="R600" s="89"/>
      <c r="S600" s="89"/>
      <c r="T600" s="89"/>
      <c r="U600" s="89"/>
      <c r="V600" s="89"/>
      <c r="W600" s="89"/>
      <c r="X600" s="89"/>
      <c r="Y600" s="89"/>
      <c r="Z600" s="89"/>
      <c r="AA600" s="89"/>
    </row>
    <row r="601" spans="1:27" ht="13.8">
      <c r="A601" s="89"/>
      <c r="B601" s="89"/>
      <c r="C601" s="89"/>
      <c r="D601" s="89"/>
      <c r="E601" s="89"/>
      <c r="F601" s="110"/>
      <c r="G601" s="89"/>
      <c r="H601" s="89"/>
      <c r="I601" s="89"/>
      <c r="J601" s="89"/>
      <c r="K601" s="89"/>
      <c r="L601" s="89"/>
      <c r="M601" s="89"/>
      <c r="N601" s="89"/>
      <c r="O601" s="89"/>
      <c r="P601" s="89"/>
      <c r="Q601" s="89"/>
      <c r="R601" s="89"/>
      <c r="S601" s="89"/>
      <c r="T601" s="89"/>
      <c r="U601" s="89"/>
      <c r="V601" s="89"/>
      <c r="W601" s="89"/>
      <c r="X601" s="89"/>
      <c r="Y601" s="89"/>
      <c r="Z601" s="89"/>
      <c r="AA601" s="89"/>
    </row>
    <row r="602" spans="1:27" ht="13.8">
      <c r="A602" s="89"/>
      <c r="B602" s="89"/>
      <c r="C602" s="89"/>
      <c r="D602" s="89"/>
      <c r="E602" s="89"/>
      <c r="F602" s="110"/>
      <c r="G602" s="89"/>
      <c r="H602" s="89"/>
      <c r="I602" s="89"/>
      <c r="J602" s="89"/>
      <c r="K602" s="89"/>
      <c r="L602" s="89"/>
      <c r="M602" s="89"/>
      <c r="N602" s="89"/>
      <c r="O602" s="89"/>
      <c r="P602" s="89"/>
      <c r="Q602" s="89"/>
      <c r="R602" s="89"/>
      <c r="S602" s="89"/>
      <c r="T602" s="89"/>
      <c r="U602" s="89"/>
      <c r="V602" s="89"/>
      <c r="W602" s="89"/>
      <c r="X602" s="89"/>
      <c r="Y602" s="89"/>
      <c r="Z602" s="89"/>
      <c r="AA602" s="89"/>
    </row>
    <row r="603" spans="1:27" ht="13.8">
      <c r="A603" s="89"/>
      <c r="B603" s="89"/>
      <c r="C603" s="89"/>
      <c r="D603" s="89"/>
      <c r="E603" s="89"/>
      <c r="F603" s="110"/>
      <c r="G603" s="89"/>
      <c r="H603" s="89"/>
      <c r="I603" s="89"/>
      <c r="J603" s="89"/>
      <c r="K603" s="89"/>
      <c r="L603" s="89"/>
      <c r="M603" s="89"/>
      <c r="N603" s="89"/>
      <c r="O603" s="89"/>
      <c r="P603" s="89"/>
      <c r="Q603" s="89"/>
      <c r="R603" s="89"/>
      <c r="S603" s="89"/>
      <c r="T603" s="89"/>
      <c r="U603" s="89"/>
      <c r="V603" s="89"/>
      <c r="W603" s="89"/>
      <c r="X603" s="89"/>
      <c r="Y603" s="89"/>
      <c r="Z603" s="89"/>
      <c r="AA603" s="89"/>
    </row>
    <row r="604" spans="1:27" ht="13.8">
      <c r="A604" s="89"/>
      <c r="B604" s="89"/>
      <c r="C604" s="89"/>
      <c r="D604" s="89"/>
      <c r="E604" s="89"/>
      <c r="F604" s="110"/>
      <c r="G604" s="89"/>
      <c r="H604" s="89"/>
      <c r="I604" s="89"/>
      <c r="J604" s="89"/>
      <c r="K604" s="89"/>
      <c r="L604" s="89"/>
      <c r="M604" s="89"/>
      <c r="N604" s="89"/>
      <c r="O604" s="89"/>
      <c r="P604" s="89"/>
      <c r="Q604" s="89"/>
      <c r="R604" s="89"/>
      <c r="S604" s="89"/>
      <c r="T604" s="89"/>
      <c r="U604" s="89"/>
      <c r="V604" s="89"/>
      <c r="W604" s="89"/>
      <c r="X604" s="89"/>
      <c r="Y604" s="89"/>
      <c r="Z604" s="89"/>
      <c r="AA604" s="89"/>
    </row>
    <row r="605" spans="1:27" ht="13.8">
      <c r="A605" s="89"/>
      <c r="B605" s="89"/>
      <c r="C605" s="89"/>
      <c r="D605" s="89"/>
      <c r="E605" s="89"/>
      <c r="F605" s="110"/>
      <c r="G605" s="89"/>
      <c r="H605" s="89"/>
      <c r="I605" s="89"/>
      <c r="J605" s="89"/>
      <c r="K605" s="89"/>
      <c r="L605" s="89"/>
      <c r="M605" s="89"/>
      <c r="N605" s="89"/>
      <c r="O605" s="89"/>
      <c r="P605" s="89"/>
      <c r="Q605" s="89"/>
      <c r="R605" s="89"/>
      <c r="S605" s="89"/>
      <c r="T605" s="89"/>
      <c r="U605" s="89"/>
      <c r="V605" s="89"/>
      <c r="W605" s="89"/>
      <c r="X605" s="89"/>
      <c r="Y605" s="89"/>
      <c r="Z605" s="89"/>
      <c r="AA605" s="89"/>
    </row>
    <row r="606" spans="1:27" ht="13.8">
      <c r="A606" s="89"/>
      <c r="B606" s="89"/>
      <c r="C606" s="89"/>
      <c r="D606" s="89"/>
      <c r="E606" s="89"/>
      <c r="F606" s="110"/>
      <c r="G606" s="89"/>
      <c r="H606" s="89"/>
      <c r="I606" s="89"/>
      <c r="J606" s="89"/>
      <c r="K606" s="89"/>
      <c r="L606" s="89"/>
      <c r="M606" s="89"/>
      <c r="N606" s="89"/>
      <c r="O606" s="89"/>
      <c r="P606" s="89"/>
      <c r="Q606" s="89"/>
      <c r="R606" s="89"/>
      <c r="S606" s="89"/>
      <c r="T606" s="89"/>
      <c r="U606" s="89"/>
      <c r="V606" s="89"/>
      <c r="W606" s="89"/>
      <c r="X606" s="89"/>
      <c r="Y606" s="89"/>
      <c r="Z606" s="89"/>
      <c r="AA606" s="89"/>
    </row>
    <row r="607" spans="1:27" ht="13.8">
      <c r="A607" s="89"/>
      <c r="B607" s="89"/>
      <c r="C607" s="89"/>
      <c r="D607" s="89"/>
      <c r="E607" s="89"/>
      <c r="F607" s="110"/>
      <c r="G607" s="89"/>
      <c r="H607" s="89"/>
      <c r="I607" s="89"/>
      <c r="J607" s="89"/>
      <c r="K607" s="89"/>
      <c r="L607" s="89"/>
      <c r="M607" s="89"/>
      <c r="N607" s="89"/>
      <c r="O607" s="89"/>
      <c r="P607" s="89"/>
      <c r="Q607" s="89"/>
      <c r="R607" s="89"/>
      <c r="S607" s="89"/>
      <c r="T607" s="89"/>
      <c r="U607" s="89"/>
      <c r="V607" s="89"/>
      <c r="W607" s="89"/>
      <c r="X607" s="89"/>
      <c r="Y607" s="89"/>
      <c r="Z607" s="89"/>
      <c r="AA607" s="89"/>
    </row>
    <row r="608" spans="1:27" ht="13.8">
      <c r="A608" s="89"/>
      <c r="B608" s="89"/>
      <c r="C608" s="89"/>
      <c r="D608" s="89"/>
      <c r="E608" s="89"/>
      <c r="F608" s="110"/>
      <c r="G608" s="89"/>
      <c r="H608" s="89"/>
      <c r="I608" s="89"/>
      <c r="J608" s="89"/>
      <c r="K608" s="89"/>
      <c r="L608" s="89"/>
      <c r="M608" s="89"/>
      <c r="N608" s="89"/>
      <c r="O608" s="89"/>
      <c r="P608" s="89"/>
      <c r="Q608" s="89"/>
      <c r="R608" s="89"/>
      <c r="S608" s="89"/>
      <c r="T608" s="89"/>
      <c r="U608" s="89"/>
      <c r="V608" s="89"/>
      <c r="W608" s="89"/>
      <c r="X608" s="89"/>
      <c r="Y608" s="89"/>
      <c r="Z608" s="89"/>
      <c r="AA608" s="89"/>
    </row>
    <row r="609" spans="1:27" ht="13.8">
      <c r="A609" s="89"/>
      <c r="B609" s="89"/>
      <c r="C609" s="89"/>
      <c r="D609" s="89"/>
      <c r="E609" s="89"/>
      <c r="F609" s="110"/>
      <c r="G609" s="89"/>
      <c r="H609" s="89"/>
      <c r="I609" s="89"/>
      <c r="J609" s="89"/>
      <c r="K609" s="89"/>
      <c r="L609" s="89"/>
      <c r="M609" s="89"/>
      <c r="N609" s="89"/>
      <c r="O609" s="89"/>
      <c r="P609" s="89"/>
      <c r="Q609" s="89"/>
      <c r="R609" s="89"/>
      <c r="S609" s="89"/>
      <c r="T609" s="89"/>
      <c r="U609" s="89"/>
      <c r="V609" s="89"/>
      <c r="W609" s="89"/>
      <c r="X609" s="89"/>
      <c r="Y609" s="89"/>
      <c r="Z609" s="89"/>
      <c r="AA609" s="89"/>
    </row>
    <row r="610" spans="1:27" ht="13.8">
      <c r="A610" s="89"/>
      <c r="B610" s="89"/>
      <c r="C610" s="89"/>
      <c r="D610" s="89"/>
      <c r="E610" s="89"/>
      <c r="F610" s="110"/>
      <c r="G610" s="89"/>
      <c r="H610" s="89"/>
      <c r="I610" s="89"/>
      <c r="J610" s="89"/>
      <c r="K610" s="89"/>
      <c r="L610" s="89"/>
      <c r="M610" s="89"/>
      <c r="N610" s="89"/>
      <c r="O610" s="89"/>
      <c r="P610" s="89"/>
      <c r="Q610" s="89"/>
      <c r="R610" s="89"/>
      <c r="S610" s="89"/>
      <c r="T610" s="89"/>
      <c r="U610" s="89"/>
      <c r="V610" s="89"/>
      <c r="W610" s="89"/>
      <c r="X610" s="89"/>
      <c r="Y610" s="89"/>
      <c r="Z610" s="89"/>
      <c r="AA610" s="89"/>
    </row>
    <row r="611" spans="1:27" ht="13.8">
      <c r="A611" s="89"/>
      <c r="B611" s="89"/>
      <c r="C611" s="89"/>
      <c r="D611" s="89"/>
      <c r="E611" s="89"/>
      <c r="F611" s="110"/>
      <c r="G611" s="89"/>
      <c r="H611" s="89"/>
      <c r="I611" s="89"/>
      <c r="J611" s="89"/>
      <c r="K611" s="89"/>
      <c r="L611" s="89"/>
      <c r="M611" s="89"/>
      <c r="N611" s="89"/>
      <c r="O611" s="89"/>
      <c r="P611" s="89"/>
      <c r="Q611" s="89"/>
      <c r="R611" s="89"/>
      <c r="S611" s="89"/>
      <c r="T611" s="89"/>
      <c r="U611" s="89"/>
      <c r="V611" s="89"/>
      <c r="W611" s="89"/>
      <c r="X611" s="89"/>
      <c r="Y611" s="89"/>
      <c r="Z611" s="89"/>
      <c r="AA611" s="89"/>
    </row>
    <row r="612" spans="1:27" ht="13.8">
      <c r="A612" s="89"/>
      <c r="B612" s="89"/>
      <c r="C612" s="89"/>
      <c r="D612" s="89"/>
      <c r="E612" s="89"/>
      <c r="F612" s="110"/>
      <c r="G612" s="89"/>
      <c r="H612" s="89"/>
      <c r="I612" s="89"/>
      <c r="J612" s="89"/>
      <c r="K612" s="89"/>
      <c r="L612" s="89"/>
      <c r="M612" s="89"/>
      <c r="N612" s="89"/>
      <c r="O612" s="89"/>
      <c r="P612" s="89"/>
      <c r="Q612" s="89"/>
      <c r="R612" s="89"/>
      <c r="S612" s="89"/>
      <c r="T612" s="89"/>
      <c r="U612" s="89"/>
      <c r="V612" s="89"/>
      <c r="W612" s="89"/>
      <c r="X612" s="89"/>
      <c r="Y612" s="89"/>
      <c r="Z612" s="89"/>
      <c r="AA612" s="89"/>
    </row>
    <row r="613" spans="1:27" ht="13.8">
      <c r="A613" s="89"/>
      <c r="B613" s="89"/>
      <c r="C613" s="89"/>
      <c r="D613" s="89"/>
      <c r="E613" s="89"/>
      <c r="F613" s="110"/>
      <c r="G613" s="89"/>
      <c r="H613" s="89"/>
      <c r="I613" s="89"/>
      <c r="J613" s="89"/>
      <c r="K613" s="89"/>
      <c r="L613" s="89"/>
      <c r="M613" s="89"/>
      <c r="N613" s="89"/>
      <c r="O613" s="89"/>
      <c r="P613" s="89"/>
      <c r="Q613" s="89"/>
      <c r="R613" s="89"/>
      <c r="S613" s="89"/>
      <c r="T613" s="89"/>
      <c r="U613" s="89"/>
      <c r="V613" s="89"/>
      <c r="W613" s="89"/>
      <c r="X613" s="89"/>
      <c r="Y613" s="89"/>
      <c r="Z613" s="89"/>
      <c r="AA613" s="89"/>
    </row>
    <row r="614" spans="1:27" ht="13.8">
      <c r="A614" s="89"/>
      <c r="B614" s="89"/>
      <c r="C614" s="89"/>
      <c r="D614" s="89"/>
      <c r="E614" s="89"/>
      <c r="F614" s="110"/>
      <c r="G614" s="89"/>
      <c r="H614" s="89"/>
      <c r="I614" s="89"/>
      <c r="J614" s="89"/>
      <c r="K614" s="89"/>
      <c r="L614" s="89"/>
      <c r="M614" s="89"/>
      <c r="N614" s="89"/>
      <c r="O614" s="89"/>
      <c r="P614" s="89"/>
      <c r="Q614" s="89"/>
      <c r="R614" s="89"/>
      <c r="S614" s="89"/>
      <c r="T614" s="89"/>
      <c r="U614" s="89"/>
      <c r="V614" s="89"/>
      <c r="W614" s="89"/>
      <c r="X614" s="89"/>
      <c r="Y614" s="89"/>
      <c r="Z614" s="89"/>
      <c r="AA614" s="89"/>
    </row>
    <row r="615" spans="1:27" ht="13.8">
      <c r="A615" s="89"/>
      <c r="B615" s="89"/>
      <c r="C615" s="89"/>
      <c r="D615" s="89"/>
      <c r="E615" s="89"/>
      <c r="F615" s="110"/>
      <c r="G615" s="89"/>
      <c r="H615" s="89"/>
      <c r="I615" s="89"/>
      <c r="J615" s="89"/>
      <c r="K615" s="89"/>
      <c r="L615" s="89"/>
      <c r="M615" s="89"/>
      <c r="N615" s="89"/>
      <c r="O615" s="89"/>
      <c r="P615" s="89"/>
      <c r="Q615" s="89"/>
      <c r="R615" s="89"/>
      <c r="S615" s="89"/>
      <c r="T615" s="89"/>
      <c r="U615" s="89"/>
      <c r="V615" s="89"/>
      <c r="W615" s="89"/>
      <c r="X615" s="89"/>
      <c r="Y615" s="89"/>
      <c r="Z615" s="89"/>
      <c r="AA615" s="89"/>
    </row>
    <row r="616" spans="1:27" ht="13.8">
      <c r="A616" s="89"/>
      <c r="B616" s="89"/>
      <c r="C616" s="89"/>
      <c r="D616" s="89"/>
      <c r="E616" s="89"/>
      <c r="F616" s="110"/>
      <c r="G616" s="89"/>
      <c r="H616" s="89"/>
      <c r="I616" s="89"/>
      <c r="J616" s="89"/>
      <c r="K616" s="89"/>
      <c r="L616" s="89"/>
      <c r="M616" s="89"/>
      <c r="N616" s="89"/>
      <c r="O616" s="89"/>
      <c r="P616" s="89"/>
      <c r="Q616" s="89"/>
      <c r="R616" s="89"/>
      <c r="S616" s="89"/>
      <c r="T616" s="89"/>
      <c r="U616" s="89"/>
      <c r="V616" s="89"/>
      <c r="W616" s="89"/>
      <c r="X616" s="89"/>
      <c r="Y616" s="89"/>
      <c r="Z616" s="89"/>
      <c r="AA616" s="89"/>
    </row>
    <row r="617" spans="1:27" ht="13.8">
      <c r="A617" s="89"/>
      <c r="B617" s="89"/>
      <c r="C617" s="89"/>
      <c r="D617" s="89"/>
      <c r="E617" s="89"/>
      <c r="F617" s="110"/>
      <c r="G617" s="89"/>
      <c r="H617" s="89"/>
      <c r="I617" s="89"/>
      <c r="J617" s="89"/>
      <c r="K617" s="89"/>
      <c r="L617" s="89"/>
      <c r="M617" s="89"/>
      <c r="N617" s="89"/>
      <c r="O617" s="89"/>
      <c r="P617" s="89"/>
      <c r="Q617" s="89"/>
      <c r="R617" s="89"/>
      <c r="S617" s="89"/>
      <c r="T617" s="89"/>
      <c r="U617" s="89"/>
      <c r="V617" s="89"/>
      <c r="W617" s="89"/>
      <c r="X617" s="89"/>
      <c r="Y617" s="89"/>
      <c r="Z617" s="89"/>
      <c r="AA617" s="89"/>
    </row>
    <row r="618" spans="1:27" ht="13.8">
      <c r="A618" s="89"/>
      <c r="B618" s="89"/>
      <c r="C618" s="89"/>
      <c r="D618" s="89"/>
      <c r="E618" s="89"/>
      <c r="F618" s="110"/>
      <c r="G618" s="89"/>
      <c r="H618" s="89"/>
      <c r="I618" s="89"/>
      <c r="J618" s="89"/>
      <c r="K618" s="89"/>
      <c r="L618" s="89"/>
      <c r="M618" s="89"/>
      <c r="N618" s="89"/>
      <c r="O618" s="89"/>
      <c r="P618" s="89"/>
      <c r="Q618" s="89"/>
      <c r="R618" s="89"/>
      <c r="S618" s="89"/>
      <c r="T618" s="89"/>
      <c r="U618" s="89"/>
      <c r="V618" s="89"/>
      <c r="W618" s="89"/>
      <c r="X618" s="89"/>
      <c r="Y618" s="89"/>
      <c r="Z618" s="89"/>
      <c r="AA618" s="89"/>
    </row>
    <row r="619" spans="1:27" ht="13.8">
      <c r="A619" s="89"/>
      <c r="B619" s="89"/>
      <c r="C619" s="89"/>
      <c r="D619" s="89"/>
      <c r="E619" s="89"/>
      <c r="F619" s="110"/>
      <c r="G619" s="89"/>
      <c r="H619" s="89"/>
      <c r="I619" s="89"/>
      <c r="J619" s="89"/>
      <c r="K619" s="89"/>
      <c r="L619" s="89"/>
      <c r="M619" s="89"/>
      <c r="N619" s="89"/>
      <c r="O619" s="89"/>
      <c r="P619" s="89"/>
      <c r="Q619" s="89"/>
      <c r="R619" s="89"/>
      <c r="S619" s="89"/>
      <c r="T619" s="89"/>
      <c r="U619" s="89"/>
      <c r="V619" s="89"/>
      <c r="W619" s="89"/>
      <c r="X619" s="89"/>
      <c r="Y619" s="89"/>
      <c r="Z619" s="89"/>
      <c r="AA619" s="89"/>
    </row>
    <row r="620" spans="1:27" ht="13.8">
      <c r="A620" s="89"/>
      <c r="B620" s="89"/>
      <c r="C620" s="89"/>
      <c r="D620" s="89"/>
      <c r="E620" s="89"/>
      <c r="F620" s="110"/>
      <c r="G620" s="89"/>
      <c r="H620" s="89"/>
      <c r="I620" s="89"/>
      <c r="J620" s="89"/>
      <c r="K620" s="89"/>
      <c r="L620" s="89"/>
      <c r="M620" s="89"/>
      <c r="N620" s="89"/>
      <c r="O620" s="89"/>
      <c r="P620" s="89"/>
      <c r="Q620" s="89"/>
      <c r="R620" s="89"/>
      <c r="S620" s="89"/>
      <c r="T620" s="89"/>
      <c r="U620" s="89"/>
      <c r="V620" s="89"/>
      <c r="W620" s="89"/>
      <c r="X620" s="89"/>
      <c r="Y620" s="89"/>
      <c r="Z620" s="89"/>
      <c r="AA620" s="89"/>
    </row>
    <row r="621" spans="1:27" ht="13.8">
      <c r="A621" s="89"/>
      <c r="B621" s="89"/>
      <c r="C621" s="89"/>
      <c r="D621" s="89"/>
      <c r="E621" s="89"/>
      <c r="F621" s="110"/>
      <c r="G621" s="89"/>
      <c r="H621" s="89"/>
      <c r="I621" s="89"/>
      <c r="J621" s="89"/>
      <c r="K621" s="89"/>
      <c r="L621" s="89"/>
      <c r="M621" s="89"/>
      <c r="N621" s="89"/>
      <c r="O621" s="89"/>
      <c r="P621" s="89"/>
      <c r="Q621" s="89"/>
      <c r="R621" s="89"/>
      <c r="S621" s="89"/>
      <c r="T621" s="89"/>
      <c r="U621" s="89"/>
      <c r="V621" s="89"/>
      <c r="W621" s="89"/>
      <c r="X621" s="89"/>
      <c r="Y621" s="89"/>
      <c r="Z621" s="89"/>
      <c r="AA621" s="89"/>
    </row>
    <row r="622" spans="1:27" ht="13.8">
      <c r="A622" s="89"/>
      <c r="B622" s="89"/>
      <c r="C622" s="89"/>
      <c r="D622" s="89"/>
      <c r="E622" s="89"/>
      <c r="F622" s="110"/>
      <c r="G622" s="89"/>
      <c r="H622" s="89"/>
      <c r="I622" s="89"/>
      <c r="J622" s="89"/>
      <c r="K622" s="89"/>
      <c r="L622" s="89"/>
      <c r="M622" s="89"/>
      <c r="N622" s="89"/>
      <c r="O622" s="89"/>
      <c r="P622" s="89"/>
      <c r="Q622" s="89"/>
      <c r="R622" s="89"/>
      <c r="S622" s="89"/>
      <c r="T622" s="89"/>
      <c r="U622" s="89"/>
      <c r="V622" s="89"/>
      <c r="W622" s="89"/>
      <c r="X622" s="89"/>
      <c r="Y622" s="89"/>
      <c r="Z622" s="89"/>
      <c r="AA622" s="89"/>
    </row>
    <row r="623" spans="1:27" ht="13.8">
      <c r="A623" s="89"/>
      <c r="B623" s="89"/>
      <c r="C623" s="89"/>
      <c r="D623" s="89"/>
      <c r="E623" s="89"/>
      <c r="F623" s="110"/>
      <c r="G623" s="89"/>
      <c r="H623" s="89"/>
      <c r="I623" s="89"/>
      <c r="J623" s="89"/>
      <c r="K623" s="89"/>
      <c r="L623" s="89"/>
      <c r="M623" s="89"/>
      <c r="N623" s="89"/>
      <c r="O623" s="89"/>
      <c r="P623" s="89"/>
      <c r="Q623" s="89"/>
      <c r="R623" s="89"/>
      <c r="S623" s="89"/>
      <c r="T623" s="89"/>
      <c r="U623" s="89"/>
      <c r="V623" s="89"/>
      <c r="W623" s="89"/>
      <c r="X623" s="89"/>
      <c r="Y623" s="89"/>
      <c r="Z623" s="89"/>
      <c r="AA623" s="89"/>
    </row>
    <row r="624" spans="1:27" ht="13.8">
      <c r="A624" s="89"/>
      <c r="B624" s="89"/>
      <c r="C624" s="89"/>
      <c r="D624" s="89"/>
      <c r="E624" s="89"/>
      <c r="F624" s="110"/>
      <c r="G624" s="89"/>
      <c r="H624" s="89"/>
      <c r="I624" s="89"/>
      <c r="J624" s="89"/>
      <c r="K624" s="89"/>
      <c r="L624" s="89"/>
      <c r="M624" s="89"/>
      <c r="N624" s="89"/>
      <c r="O624" s="89"/>
      <c r="P624" s="89"/>
      <c r="Q624" s="89"/>
      <c r="R624" s="89"/>
      <c r="S624" s="89"/>
      <c r="T624" s="89"/>
      <c r="U624" s="89"/>
      <c r="V624" s="89"/>
      <c r="W624" s="89"/>
      <c r="X624" s="89"/>
      <c r="Y624" s="89"/>
      <c r="Z624" s="89"/>
      <c r="AA624" s="89"/>
    </row>
    <row r="625" spans="1:27" ht="13.8">
      <c r="A625" s="89"/>
      <c r="B625" s="89"/>
      <c r="C625" s="89"/>
      <c r="D625" s="89"/>
      <c r="E625" s="89"/>
      <c r="F625" s="110"/>
      <c r="G625" s="89"/>
      <c r="H625" s="89"/>
      <c r="I625" s="89"/>
      <c r="J625" s="89"/>
      <c r="K625" s="89"/>
      <c r="L625" s="89"/>
      <c r="M625" s="89"/>
      <c r="N625" s="89"/>
      <c r="O625" s="89"/>
      <c r="P625" s="89"/>
      <c r="Q625" s="89"/>
      <c r="R625" s="89"/>
      <c r="S625" s="89"/>
      <c r="T625" s="89"/>
      <c r="U625" s="89"/>
      <c r="V625" s="89"/>
      <c r="W625" s="89"/>
      <c r="X625" s="89"/>
      <c r="Y625" s="89"/>
      <c r="Z625" s="89"/>
      <c r="AA625" s="89"/>
    </row>
    <row r="626" spans="1:27" ht="13.8">
      <c r="A626" s="89"/>
      <c r="B626" s="89"/>
      <c r="C626" s="89"/>
      <c r="D626" s="89"/>
      <c r="E626" s="89"/>
      <c r="F626" s="110"/>
      <c r="G626" s="89"/>
      <c r="H626" s="89"/>
      <c r="I626" s="89"/>
      <c r="J626" s="89"/>
      <c r="K626" s="89"/>
      <c r="L626" s="89"/>
      <c r="M626" s="89"/>
      <c r="N626" s="89"/>
      <c r="O626" s="89"/>
      <c r="P626" s="89"/>
      <c r="Q626" s="89"/>
      <c r="R626" s="89"/>
      <c r="S626" s="89"/>
      <c r="T626" s="89"/>
      <c r="U626" s="89"/>
      <c r="V626" s="89"/>
      <c r="W626" s="89"/>
      <c r="X626" s="89"/>
      <c r="Y626" s="89"/>
      <c r="Z626" s="89"/>
      <c r="AA626" s="89"/>
    </row>
    <row r="627" spans="1:27" ht="13.8">
      <c r="A627" s="89"/>
      <c r="B627" s="89"/>
      <c r="C627" s="89"/>
      <c r="D627" s="89"/>
      <c r="E627" s="89"/>
      <c r="F627" s="110"/>
      <c r="G627" s="89"/>
      <c r="H627" s="89"/>
      <c r="I627" s="89"/>
      <c r="J627" s="89"/>
      <c r="K627" s="89"/>
      <c r="L627" s="89"/>
      <c r="M627" s="89"/>
      <c r="N627" s="89"/>
      <c r="O627" s="89"/>
      <c r="P627" s="89"/>
      <c r="Q627" s="89"/>
      <c r="R627" s="89"/>
      <c r="S627" s="89"/>
      <c r="T627" s="89"/>
      <c r="U627" s="89"/>
      <c r="V627" s="89"/>
      <c r="W627" s="89"/>
      <c r="X627" s="89"/>
      <c r="Y627" s="89"/>
      <c r="Z627" s="89"/>
      <c r="AA627" s="89"/>
    </row>
    <row r="628" spans="1:27" ht="13.8">
      <c r="A628" s="89"/>
      <c r="B628" s="89"/>
      <c r="C628" s="89"/>
      <c r="D628" s="89"/>
      <c r="E628" s="89"/>
      <c r="F628" s="110"/>
      <c r="G628" s="89"/>
      <c r="H628" s="89"/>
      <c r="I628" s="89"/>
      <c r="J628" s="89"/>
      <c r="K628" s="89"/>
      <c r="L628" s="89"/>
      <c r="M628" s="89"/>
      <c r="N628" s="89"/>
      <c r="O628" s="89"/>
      <c r="P628" s="89"/>
      <c r="Q628" s="89"/>
      <c r="R628" s="89"/>
      <c r="S628" s="89"/>
      <c r="T628" s="89"/>
      <c r="U628" s="89"/>
      <c r="V628" s="89"/>
      <c r="W628" s="89"/>
      <c r="X628" s="89"/>
      <c r="Y628" s="89"/>
      <c r="Z628" s="89"/>
      <c r="AA628" s="89"/>
    </row>
    <row r="629" spans="1:27" ht="13.8">
      <c r="A629" s="89"/>
      <c r="B629" s="89"/>
      <c r="C629" s="89"/>
      <c r="D629" s="89"/>
      <c r="E629" s="89"/>
      <c r="F629" s="110"/>
      <c r="G629" s="89"/>
      <c r="H629" s="89"/>
      <c r="I629" s="89"/>
      <c r="J629" s="89"/>
      <c r="K629" s="89"/>
      <c r="L629" s="89"/>
      <c r="M629" s="89"/>
      <c r="N629" s="89"/>
      <c r="O629" s="89"/>
      <c r="P629" s="89"/>
      <c r="Q629" s="89"/>
      <c r="R629" s="89"/>
      <c r="S629" s="89"/>
      <c r="T629" s="89"/>
      <c r="U629" s="89"/>
      <c r="V629" s="89"/>
      <c r="W629" s="89"/>
      <c r="X629" s="89"/>
      <c r="Y629" s="89"/>
      <c r="Z629" s="89"/>
      <c r="AA629" s="89"/>
    </row>
    <row r="630" spans="1:27" ht="13.8">
      <c r="A630" s="89"/>
      <c r="B630" s="89"/>
      <c r="C630" s="89"/>
      <c r="D630" s="89"/>
      <c r="E630" s="89"/>
      <c r="F630" s="110"/>
      <c r="G630" s="89"/>
      <c r="H630" s="89"/>
      <c r="I630" s="89"/>
      <c r="J630" s="89"/>
      <c r="K630" s="89"/>
      <c r="L630" s="89"/>
      <c r="M630" s="89"/>
      <c r="N630" s="89"/>
      <c r="O630" s="89"/>
      <c r="P630" s="89"/>
      <c r="Q630" s="89"/>
      <c r="R630" s="89"/>
      <c r="S630" s="89"/>
      <c r="T630" s="89"/>
      <c r="U630" s="89"/>
      <c r="V630" s="89"/>
      <c r="W630" s="89"/>
      <c r="X630" s="89"/>
      <c r="Y630" s="89"/>
      <c r="Z630" s="89"/>
      <c r="AA630" s="89"/>
    </row>
    <row r="631" spans="1:27" ht="13.8">
      <c r="A631" s="89"/>
      <c r="B631" s="89"/>
      <c r="C631" s="89"/>
      <c r="D631" s="89"/>
      <c r="E631" s="89"/>
      <c r="F631" s="110"/>
      <c r="G631" s="89"/>
      <c r="H631" s="89"/>
      <c r="I631" s="89"/>
      <c r="J631" s="89"/>
      <c r="K631" s="89"/>
      <c r="L631" s="89"/>
      <c r="M631" s="89"/>
      <c r="N631" s="89"/>
      <c r="O631" s="89"/>
      <c r="P631" s="89"/>
      <c r="Q631" s="89"/>
      <c r="R631" s="89"/>
      <c r="S631" s="89"/>
      <c r="T631" s="89"/>
      <c r="U631" s="89"/>
      <c r="V631" s="89"/>
      <c r="W631" s="89"/>
      <c r="X631" s="89"/>
      <c r="Y631" s="89"/>
      <c r="Z631" s="89"/>
      <c r="AA631" s="89"/>
    </row>
    <row r="632" spans="1:27" ht="13.8">
      <c r="A632" s="89"/>
      <c r="B632" s="89"/>
      <c r="C632" s="89"/>
      <c r="D632" s="89"/>
      <c r="E632" s="89"/>
      <c r="F632" s="110"/>
      <c r="G632" s="89"/>
      <c r="H632" s="89"/>
      <c r="I632" s="89"/>
      <c r="J632" s="89"/>
      <c r="K632" s="89"/>
      <c r="L632" s="89"/>
      <c r="M632" s="89"/>
      <c r="N632" s="89"/>
      <c r="O632" s="89"/>
      <c r="P632" s="89"/>
      <c r="Q632" s="89"/>
      <c r="R632" s="89"/>
      <c r="S632" s="89"/>
      <c r="T632" s="89"/>
      <c r="U632" s="89"/>
      <c r="V632" s="89"/>
      <c r="W632" s="89"/>
      <c r="X632" s="89"/>
      <c r="Y632" s="89"/>
      <c r="Z632" s="89"/>
      <c r="AA632" s="89"/>
    </row>
    <row r="633" spans="1:27" ht="13.8">
      <c r="A633" s="89"/>
      <c r="B633" s="89"/>
      <c r="C633" s="89"/>
      <c r="D633" s="89"/>
      <c r="E633" s="89"/>
      <c r="F633" s="110"/>
      <c r="G633" s="89"/>
      <c r="H633" s="89"/>
      <c r="I633" s="89"/>
      <c r="J633" s="89"/>
      <c r="K633" s="89"/>
      <c r="L633" s="89"/>
      <c r="M633" s="89"/>
      <c r="N633" s="89"/>
      <c r="O633" s="89"/>
      <c r="P633" s="89"/>
      <c r="Q633" s="89"/>
      <c r="R633" s="89"/>
      <c r="S633" s="89"/>
      <c r="T633" s="89"/>
      <c r="U633" s="89"/>
      <c r="V633" s="89"/>
      <c r="W633" s="89"/>
      <c r="X633" s="89"/>
      <c r="Y633" s="89"/>
      <c r="Z633" s="89"/>
      <c r="AA633" s="89"/>
    </row>
    <row r="634" spans="1:27" ht="13.8">
      <c r="A634" s="89"/>
      <c r="B634" s="89"/>
      <c r="C634" s="89"/>
      <c r="D634" s="89"/>
      <c r="E634" s="89"/>
      <c r="F634" s="110"/>
      <c r="G634" s="89"/>
      <c r="H634" s="89"/>
      <c r="I634" s="89"/>
      <c r="J634" s="89"/>
      <c r="K634" s="89"/>
      <c r="L634" s="89"/>
      <c r="M634" s="89"/>
      <c r="N634" s="89"/>
      <c r="O634" s="89"/>
      <c r="P634" s="89"/>
      <c r="Q634" s="89"/>
      <c r="R634" s="89"/>
      <c r="S634" s="89"/>
      <c r="T634" s="89"/>
      <c r="U634" s="89"/>
      <c r="V634" s="89"/>
      <c r="W634" s="89"/>
      <c r="X634" s="89"/>
      <c r="Y634" s="89"/>
      <c r="Z634" s="89"/>
      <c r="AA634" s="89"/>
    </row>
    <row r="635" spans="1:27" ht="13.8">
      <c r="A635" s="89"/>
      <c r="B635" s="89"/>
      <c r="C635" s="89"/>
      <c r="D635" s="89"/>
      <c r="E635" s="89"/>
      <c r="F635" s="110"/>
      <c r="G635" s="89"/>
      <c r="H635" s="89"/>
      <c r="I635" s="89"/>
      <c r="J635" s="89"/>
      <c r="K635" s="89"/>
      <c r="L635" s="89"/>
      <c r="M635" s="89"/>
      <c r="N635" s="89"/>
      <c r="O635" s="89"/>
      <c r="P635" s="89"/>
      <c r="Q635" s="89"/>
      <c r="R635" s="89"/>
      <c r="S635" s="89"/>
      <c r="T635" s="89"/>
      <c r="U635" s="89"/>
      <c r="V635" s="89"/>
      <c r="W635" s="89"/>
      <c r="X635" s="89"/>
      <c r="Y635" s="89"/>
      <c r="Z635" s="89"/>
      <c r="AA635" s="89"/>
    </row>
    <row r="636" spans="1:27" ht="13.8">
      <c r="A636" s="89"/>
      <c r="B636" s="89"/>
      <c r="C636" s="89"/>
      <c r="D636" s="89"/>
      <c r="E636" s="89"/>
      <c r="F636" s="110"/>
      <c r="G636" s="89"/>
      <c r="H636" s="89"/>
      <c r="I636" s="89"/>
      <c r="J636" s="89"/>
      <c r="K636" s="89"/>
      <c r="L636" s="89"/>
      <c r="M636" s="89"/>
      <c r="N636" s="89"/>
      <c r="O636" s="89"/>
      <c r="P636" s="89"/>
      <c r="Q636" s="89"/>
      <c r="R636" s="89"/>
      <c r="S636" s="89"/>
      <c r="T636" s="89"/>
      <c r="U636" s="89"/>
      <c r="V636" s="89"/>
      <c r="W636" s="89"/>
      <c r="X636" s="89"/>
      <c r="Y636" s="89"/>
      <c r="Z636" s="89"/>
      <c r="AA636" s="89"/>
    </row>
    <row r="637" spans="1:27" ht="13.8">
      <c r="A637" s="89"/>
      <c r="B637" s="89"/>
      <c r="C637" s="89"/>
      <c r="D637" s="89"/>
      <c r="E637" s="89"/>
      <c r="F637" s="110"/>
      <c r="G637" s="89"/>
      <c r="H637" s="89"/>
      <c r="I637" s="89"/>
      <c r="J637" s="89"/>
      <c r="K637" s="89"/>
      <c r="L637" s="89"/>
      <c r="M637" s="89"/>
      <c r="N637" s="89"/>
      <c r="O637" s="89"/>
      <c r="P637" s="89"/>
      <c r="Q637" s="89"/>
      <c r="R637" s="89"/>
      <c r="S637" s="89"/>
      <c r="T637" s="89"/>
      <c r="U637" s="89"/>
      <c r="V637" s="89"/>
      <c r="W637" s="89"/>
      <c r="X637" s="89"/>
      <c r="Y637" s="89"/>
      <c r="Z637" s="89"/>
      <c r="AA637" s="89"/>
    </row>
    <row r="638" spans="1:27" ht="13.8">
      <c r="A638" s="89"/>
      <c r="B638" s="89"/>
      <c r="C638" s="89"/>
      <c r="D638" s="89"/>
      <c r="E638" s="89"/>
      <c r="F638" s="110"/>
      <c r="G638" s="89"/>
      <c r="H638" s="89"/>
      <c r="I638" s="89"/>
      <c r="J638" s="89"/>
      <c r="K638" s="89"/>
      <c r="L638" s="89"/>
      <c r="M638" s="89"/>
      <c r="N638" s="89"/>
      <c r="O638" s="89"/>
      <c r="P638" s="89"/>
      <c r="Q638" s="89"/>
      <c r="R638" s="89"/>
      <c r="S638" s="89"/>
      <c r="T638" s="89"/>
      <c r="U638" s="89"/>
      <c r="V638" s="89"/>
      <c r="W638" s="89"/>
      <c r="X638" s="89"/>
      <c r="Y638" s="89"/>
      <c r="Z638" s="89"/>
      <c r="AA638" s="89"/>
    </row>
    <row r="639" spans="1:27" ht="13.8">
      <c r="A639" s="89"/>
      <c r="B639" s="89"/>
      <c r="C639" s="89"/>
      <c r="D639" s="89"/>
      <c r="E639" s="89"/>
      <c r="F639" s="110"/>
      <c r="G639" s="89"/>
      <c r="H639" s="89"/>
      <c r="I639" s="89"/>
      <c r="J639" s="89"/>
      <c r="K639" s="89"/>
      <c r="L639" s="89"/>
      <c r="M639" s="89"/>
      <c r="N639" s="89"/>
      <c r="O639" s="89"/>
      <c r="P639" s="89"/>
      <c r="Q639" s="89"/>
      <c r="R639" s="89"/>
      <c r="S639" s="89"/>
      <c r="T639" s="89"/>
      <c r="U639" s="89"/>
      <c r="V639" s="89"/>
      <c r="W639" s="89"/>
      <c r="X639" s="89"/>
      <c r="Y639" s="89"/>
      <c r="Z639" s="89"/>
      <c r="AA639" s="89"/>
    </row>
    <row r="640" spans="1:27" ht="13.8">
      <c r="A640" s="89"/>
      <c r="B640" s="89"/>
      <c r="C640" s="89"/>
      <c r="D640" s="89"/>
      <c r="E640" s="89"/>
      <c r="F640" s="110"/>
      <c r="G640" s="89"/>
      <c r="H640" s="89"/>
      <c r="I640" s="89"/>
      <c r="J640" s="89"/>
      <c r="K640" s="89"/>
      <c r="L640" s="89"/>
      <c r="M640" s="89"/>
      <c r="N640" s="89"/>
      <c r="O640" s="89"/>
      <c r="P640" s="89"/>
      <c r="Q640" s="89"/>
      <c r="R640" s="89"/>
      <c r="S640" s="89"/>
      <c r="T640" s="89"/>
      <c r="U640" s="89"/>
      <c r="V640" s="89"/>
      <c r="W640" s="89"/>
      <c r="X640" s="89"/>
      <c r="Y640" s="89"/>
      <c r="Z640" s="89"/>
      <c r="AA640" s="89"/>
    </row>
    <row r="641" spans="1:27" ht="13.8">
      <c r="A641" s="89"/>
      <c r="B641" s="89"/>
      <c r="C641" s="89"/>
      <c r="D641" s="89"/>
      <c r="E641" s="89"/>
      <c r="F641" s="110"/>
      <c r="G641" s="89"/>
      <c r="H641" s="89"/>
      <c r="I641" s="89"/>
      <c r="J641" s="89"/>
      <c r="K641" s="89"/>
      <c r="L641" s="89"/>
      <c r="M641" s="89"/>
      <c r="N641" s="89"/>
      <c r="O641" s="89"/>
      <c r="P641" s="89"/>
      <c r="Q641" s="89"/>
      <c r="R641" s="89"/>
      <c r="S641" s="89"/>
      <c r="T641" s="89"/>
      <c r="U641" s="89"/>
      <c r="V641" s="89"/>
      <c r="W641" s="89"/>
      <c r="X641" s="89"/>
      <c r="Y641" s="89"/>
      <c r="Z641" s="89"/>
      <c r="AA641" s="89"/>
    </row>
    <row r="642" spans="1:27" ht="13.8">
      <c r="A642" s="89"/>
      <c r="B642" s="89"/>
      <c r="C642" s="89"/>
      <c r="D642" s="89"/>
      <c r="E642" s="89"/>
      <c r="F642" s="110"/>
      <c r="G642" s="89"/>
      <c r="H642" s="89"/>
      <c r="I642" s="89"/>
      <c r="J642" s="89"/>
      <c r="K642" s="89"/>
      <c r="L642" s="89"/>
      <c r="M642" s="89"/>
      <c r="N642" s="89"/>
      <c r="O642" s="89"/>
      <c r="P642" s="89"/>
      <c r="Q642" s="89"/>
      <c r="R642" s="89"/>
      <c r="S642" s="89"/>
      <c r="T642" s="89"/>
      <c r="U642" s="89"/>
      <c r="V642" s="89"/>
      <c r="W642" s="89"/>
      <c r="X642" s="89"/>
      <c r="Y642" s="89"/>
      <c r="Z642" s="89"/>
      <c r="AA642" s="89"/>
    </row>
    <row r="643" spans="1:27" ht="13.8">
      <c r="A643" s="89"/>
      <c r="B643" s="89"/>
      <c r="C643" s="89"/>
      <c r="D643" s="89"/>
      <c r="E643" s="89"/>
      <c r="F643" s="110"/>
      <c r="G643" s="89"/>
      <c r="H643" s="89"/>
      <c r="I643" s="89"/>
      <c r="J643" s="89"/>
      <c r="K643" s="89"/>
      <c r="L643" s="89"/>
      <c r="M643" s="89"/>
      <c r="N643" s="89"/>
      <c r="O643" s="89"/>
      <c r="P643" s="89"/>
      <c r="Q643" s="89"/>
      <c r="R643" s="89"/>
      <c r="S643" s="89"/>
      <c r="T643" s="89"/>
      <c r="U643" s="89"/>
      <c r="V643" s="89"/>
      <c r="W643" s="89"/>
      <c r="X643" s="89"/>
      <c r="Y643" s="89"/>
      <c r="Z643" s="89"/>
      <c r="AA643" s="89"/>
    </row>
    <row r="644" spans="1:27" ht="13.8">
      <c r="A644" s="89"/>
      <c r="B644" s="89"/>
      <c r="C644" s="89"/>
      <c r="D644" s="89"/>
      <c r="E644" s="89"/>
      <c r="F644" s="110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</row>
    <row r="645" spans="1:27" ht="13.8">
      <c r="A645" s="89"/>
      <c r="B645" s="89"/>
      <c r="C645" s="89"/>
      <c r="D645" s="89"/>
      <c r="E645" s="89"/>
      <c r="F645" s="110"/>
      <c r="G645" s="89"/>
      <c r="H645" s="89"/>
      <c r="I645" s="89"/>
      <c r="J645" s="89"/>
      <c r="K645" s="89"/>
      <c r="L645" s="89"/>
      <c r="M645" s="89"/>
      <c r="N645" s="89"/>
      <c r="O645" s="89"/>
      <c r="P645" s="89"/>
      <c r="Q645" s="89"/>
      <c r="R645" s="89"/>
      <c r="S645" s="89"/>
      <c r="T645" s="89"/>
      <c r="U645" s="89"/>
      <c r="V645" s="89"/>
      <c r="W645" s="89"/>
      <c r="X645" s="89"/>
      <c r="Y645" s="89"/>
      <c r="Z645" s="89"/>
      <c r="AA645" s="89"/>
    </row>
    <row r="646" spans="1:27" ht="13.8">
      <c r="A646" s="89"/>
      <c r="B646" s="89"/>
      <c r="C646" s="89"/>
      <c r="D646" s="89"/>
      <c r="E646" s="89"/>
      <c r="F646" s="110"/>
      <c r="G646" s="89"/>
      <c r="H646" s="89"/>
      <c r="I646" s="89"/>
      <c r="J646" s="89"/>
      <c r="K646" s="89"/>
      <c r="L646" s="89"/>
      <c r="M646" s="89"/>
      <c r="N646" s="89"/>
      <c r="O646" s="89"/>
      <c r="P646" s="89"/>
      <c r="Q646" s="89"/>
      <c r="R646" s="89"/>
      <c r="S646" s="89"/>
      <c r="T646" s="89"/>
      <c r="U646" s="89"/>
      <c r="V646" s="89"/>
      <c r="W646" s="89"/>
      <c r="X646" s="89"/>
      <c r="Y646" s="89"/>
      <c r="Z646" s="89"/>
      <c r="AA646" s="89"/>
    </row>
    <row r="647" spans="1:27" ht="13.8">
      <c r="A647" s="89"/>
      <c r="B647" s="89"/>
      <c r="C647" s="89"/>
      <c r="D647" s="89"/>
      <c r="E647" s="89"/>
      <c r="F647" s="110"/>
      <c r="G647" s="89"/>
      <c r="H647" s="89"/>
      <c r="I647" s="89"/>
      <c r="J647" s="89"/>
      <c r="K647" s="89"/>
      <c r="L647" s="89"/>
      <c r="M647" s="89"/>
      <c r="N647" s="89"/>
      <c r="O647" s="89"/>
      <c r="P647" s="89"/>
      <c r="Q647" s="89"/>
      <c r="R647" s="89"/>
      <c r="S647" s="89"/>
      <c r="T647" s="89"/>
      <c r="U647" s="89"/>
      <c r="V647" s="89"/>
      <c r="W647" s="89"/>
      <c r="X647" s="89"/>
      <c r="Y647" s="89"/>
      <c r="Z647" s="89"/>
      <c r="AA647" s="89"/>
    </row>
    <row r="648" spans="1:27" ht="13.8">
      <c r="A648" s="89"/>
      <c r="B648" s="89"/>
      <c r="C648" s="89"/>
      <c r="D648" s="89"/>
      <c r="E648" s="89"/>
      <c r="F648" s="110"/>
      <c r="G648" s="89"/>
      <c r="H648" s="89"/>
      <c r="I648" s="89"/>
      <c r="J648" s="89"/>
      <c r="K648" s="89"/>
      <c r="L648" s="89"/>
      <c r="M648" s="89"/>
      <c r="N648" s="89"/>
      <c r="O648" s="89"/>
      <c r="P648" s="89"/>
      <c r="Q648" s="89"/>
      <c r="R648" s="89"/>
      <c r="S648" s="89"/>
      <c r="T648" s="89"/>
      <c r="U648" s="89"/>
      <c r="V648" s="89"/>
      <c r="W648" s="89"/>
      <c r="X648" s="89"/>
      <c r="Y648" s="89"/>
      <c r="Z648" s="89"/>
      <c r="AA648" s="89"/>
    </row>
    <row r="649" spans="1:27" ht="13.8">
      <c r="A649" s="89"/>
      <c r="B649" s="89"/>
      <c r="C649" s="89"/>
      <c r="D649" s="89"/>
      <c r="E649" s="89"/>
      <c r="F649" s="110"/>
      <c r="G649" s="89"/>
      <c r="H649" s="89"/>
      <c r="I649" s="89"/>
      <c r="J649" s="89"/>
      <c r="K649" s="89"/>
      <c r="L649" s="89"/>
      <c r="M649" s="89"/>
      <c r="N649" s="89"/>
      <c r="O649" s="89"/>
      <c r="P649" s="89"/>
      <c r="Q649" s="89"/>
      <c r="R649" s="89"/>
      <c r="S649" s="89"/>
      <c r="T649" s="89"/>
      <c r="U649" s="89"/>
      <c r="V649" s="89"/>
      <c r="W649" s="89"/>
      <c r="X649" s="89"/>
      <c r="Y649" s="89"/>
      <c r="Z649" s="89"/>
      <c r="AA649" s="89"/>
    </row>
    <row r="650" spans="1:27" ht="13.8">
      <c r="A650" s="89"/>
      <c r="B650" s="89"/>
      <c r="C650" s="89"/>
      <c r="D650" s="89"/>
      <c r="E650" s="89"/>
      <c r="F650" s="110"/>
      <c r="G650" s="89"/>
      <c r="H650" s="89"/>
      <c r="I650" s="89"/>
      <c r="J650" s="89"/>
      <c r="K650" s="89"/>
      <c r="L650" s="89"/>
      <c r="M650" s="89"/>
      <c r="N650" s="89"/>
      <c r="O650" s="89"/>
      <c r="P650" s="89"/>
      <c r="Q650" s="89"/>
      <c r="R650" s="89"/>
      <c r="S650" s="89"/>
      <c r="T650" s="89"/>
      <c r="U650" s="89"/>
      <c r="V650" s="89"/>
      <c r="W650" s="89"/>
      <c r="X650" s="89"/>
      <c r="Y650" s="89"/>
      <c r="Z650" s="89"/>
      <c r="AA650" s="89"/>
    </row>
    <row r="651" spans="1:27" ht="13.8">
      <c r="A651" s="89"/>
      <c r="B651" s="89"/>
      <c r="C651" s="89"/>
      <c r="D651" s="89"/>
      <c r="E651" s="89"/>
      <c r="F651" s="110"/>
      <c r="G651" s="89"/>
      <c r="H651" s="89"/>
      <c r="I651" s="89"/>
      <c r="J651" s="89"/>
      <c r="K651" s="89"/>
      <c r="L651" s="89"/>
      <c r="M651" s="89"/>
      <c r="N651" s="89"/>
      <c r="O651" s="89"/>
      <c r="P651" s="89"/>
      <c r="Q651" s="89"/>
      <c r="R651" s="89"/>
      <c r="S651" s="89"/>
      <c r="T651" s="89"/>
      <c r="U651" s="89"/>
      <c r="V651" s="89"/>
      <c r="W651" s="89"/>
      <c r="X651" s="89"/>
      <c r="Y651" s="89"/>
      <c r="Z651" s="89"/>
      <c r="AA651" s="89"/>
    </row>
    <row r="652" spans="1:27" ht="13.8">
      <c r="A652" s="89"/>
      <c r="B652" s="89"/>
      <c r="C652" s="89"/>
      <c r="D652" s="89"/>
      <c r="E652" s="89"/>
      <c r="F652" s="110"/>
      <c r="G652" s="89"/>
      <c r="H652" s="89"/>
      <c r="I652" s="89"/>
      <c r="J652" s="89"/>
      <c r="K652" s="89"/>
      <c r="L652" s="89"/>
      <c r="M652" s="89"/>
      <c r="N652" s="89"/>
      <c r="O652" s="89"/>
      <c r="P652" s="89"/>
      <c r="Q652" s="89"/>
      <c r="R652" s="89"/>
      <c r="S652" s="89"/>
      <c r="T652" s="89"/>
      <c r="U652" s="89"/>
      <c r="V652" s="89"/>
      <c r="W652" s="89"/>
      <c r="X652" s="89"/>
      <c r="Y652" s="89"/>
      <c r="Z652" s="89"/>
      <c r="AA652" s="89"/>
    </row>
    <row r="653" spans="1:27" ht="13.8">
      <c r="A653" s="89"/>
      <c r="B653" s="89"/>
      <c r="C653" s="89"/>
      <c r="D653" s="89"/>
      <c r="E653" s="89"/>
      <c r="F653" s="110"/>
      <c r="G653" s="89"/>
      <c r="H653" s="89"/>
      <c r="I653" s="89"/>
      <c r="J653" s="89"/>
      <c r="K653" s="89"/>
      <c r="L653" s="89"/>
      <c r="M653" s="89"/>
      <c r="N653" s="89"/>
      <c r="O653" s="89"/>
      <c r="P653" s="89"/>
      <c r="Q653" s="89"/>
      <c r="R653" s="89"/>
      <c r="S653" s="89"/>
      <c r="T653" s="89"/>
      <c r="U653" s="89"/>
      <c r="V653" s="89"/>
      <c r="W653" s="89"/>
      <c r="X653" s="89"/>
      <c r="Y653" s="89"/>
      <c r="Z653" s="89"/>
      <c r="AA653" s="89"/>
    </row>
    <row r="654" spans="1:27" ht="13.8">
      <c r="A654" s="89"/>
      <c r="B654" s="89"/>
      <c r="C654" s="89"/>
      <c r="D654" s="89"/>
      <c r="E654" s="89"/>
      <c r="F654" s="110"/>
      <c r="G654" s="89"/>
      <c r="H654" s="89"/>
      <c r="I654" s="89"/>
      <c r="J654" s="89"/>
      <c r="K654" s="89"/>
      <c r="L654" s="89"/>
      <c r="M654" s="89"/>
      <c r="N654" s="89"/>
      <c r="O654" s="89"/>
      <c r="P654" s="89"/>
      <c r="Q654" s="89"/>
      <c r="R654" s="89"/>
      <c r="S654" s="89"/>
      <c r="T654" s="89"/>
      <c r="U654" s="89"/>
      <c r="V654" s="89"/>
      <c r="W654" s="89"/>
      <c r="X654" s="89"/>
      <c r="Y654" s="89"/>
      <c r="Z654" s="89"/>
      <c r="AA654" s="89"/>
    </row>
    <row r="655" spans="1:27" ht="13.8">
      <c r="A655" s="89"/>
      <c r="B655" s="89"/>
      <c r="C655" s="89"/>
      <c r="D655" s="89"/>
      <c r="E655" s="89"/>
      <c r="F655" s="110"/>
      <c r="G655" s="89"/>
      <c r="H655" s="89"/>
      <c r="I655" s="89"/>
      <c r="J655" s="89"/>
      <c r="K655" s="89"/>
      <c r="L655" s="89"/>
      <c r="M655" s="89"/>
      <c r="N655" s="89"/>
      <c r="O655" s="89"/>
      <c r="P655" s="89"/>
      <c r="Q655" s="89"/>
      <c r="R655" s="89"/>
      <c r="S655" s="89"/>
      <c r="T655" s="89"/>
      <c r="U655" s="89"/>
      <c r="V655" s="89"/>
      <c r="W655" s="89"/>
      <c r="X655" s="89"/>
      <c r="Y655" s="89"/>
      <c r="Z655" s="89"/>
      <c r="AA655" s="89"/>
    </row>
    <row r="656" spans="1:27" ht="13.8">
      <c r="A656" s="89"/>
      <c r="B656" s="89"/>
      <c r="C656" s="89"/>
      <c r="D656" s="89"/>
      <c r="E656" s="89"/>
      <c r="F656" s="110"/>
      <c r="G656" s="89"/>
      <c r="H656" s="89"/>
      <c r="I656" s="89"/>
      <c r="J656" s="89"/>
      <c r="K656" s="89"/>
      <c r="L656" s="89"/>
      <c r="M656" s="89"/>
      <c r="N656" s="89"/>
      <c r="O656" s="89"/>
      <c r="P656" s="89"/>
      <c r="Q656" s="89"/>
      <c r="R656" s="89"/>
      <c r="S656" s="89"/>
      <c r="T656" s="89"/>
      <c r="U656" s="89"/>
      <c r="V656" s="89"/>
      <c r="W656" s="89"/>
      <c r="X656" s="89"/>
      <c r="Y656" s="89"/>
      <c r="Z656" s="89"/>
      <c r="AA656" s="89"/>
    </row>
    <row r="657" spans="1:27" ht="13.8">
      <c r="A657" s="89"/>
      <c r="B657" s="89"/>
      <c r="C657" s="89"/>
      <c r="D657" s="89"/>
      <c r="E657" s="89"/>
      <c r="F657" s="110"/>
      <c r="G657" s="89"/>
      <c r="H657" s="89"/>
      <c r="I657" s="89"/>
      <c r="J657" s="89"/>
      <c r="K657" s="89"/>
      <c r="L657" s="89"/>
      <c r="M657" s="89"/>
      <c r="N657" s="89"/>
      <c r="O657" s="89"/>
      <c r="P657" s="89"/>
      <c r="Q657" s="89"/>
      <c r="R657" s="89"/>
      <c r="S657" s="89"/>
      <c r="T657" s="89"/>
      <c r="U657" s="89"/>
      <c r="V657" s="89"/>
      <c r="W657" s="89"/>
      <c r="X657" s="89"/>
      <c r="Y657" s="89"/>
      <c r="Z657" s="89"/>
      <c r="AA657" s="89"/>
    </row>
    <row r="658" spans="1:27" ht="13.8">
      <c r="A658" s="89"/>
      <c r="B658" s="89"/>
      <c r="C658" s="89"/>
      <c r="D658" s="89"/>
      <c r="E658" s="89"/>
      <c r="F658" s="110"/>
      <c r="G658" s="89"/>
      <c r="H658" s="89"/>
      <c r="I658" s="89"/>
      <c r="J658" s="89"/>
      <c r="K658" s="89"/>
      <c r="L658" s="89"/>
      <c r="M658" s="89"/>
      <c r="N658" s="89"/>
      <c r="O658" s="89"/>
      <c r="P658" s="89"/>
      <c r="Q658" s="89"/>
      <c r="R658" s="89"/>
      <c r="S658" s="89"/>
      <c r="T658" s="89"/>
      <c r="U658" s="89"/>
      <c r="V658" s="89"/>
      <c r="W658" s="89"/>
      <c r="X658" s="89"/>
      <c r="Y658" s="89"/>
      <c r="Z658" s="89"/>
      <c r="AA658" s="89"/>
    </row>
    <row r="659" spans="1:27" ht="13.8">
      <c r="A659" s="89"/>
      <c r="B659" s="89"/>
      <c r="C659" s="89"/>
      <c r="D659" s="89"/>
      <c r="E659" s="89"/>
      <c r="F659" s="110"/>
      <c r="G659" s="89"/>
      <c r="H659" s="89"/>
      <c r="I659" s="89"/>
      <c r="J659" s="89"/>
      <c r="K659" s="89"/>
      <c r="L659" s="89"/>
      <c r="M659" s="89"/>
      <c r="N659" s="89"/>
      <c r="O659" s="89"/>
      <c r="P659" s="89"/>
      <c r="Q659" s="89"/>
      <c r="R659" s="89"/>
      <c r="S659" s="89"/>
      <c r="T659" s="89"/>
      <c r="U659" s="89"/>
      <c r="V659" s="89"/>
      <c r="W659" s="89"/>
      <c r="X659" s="89"/>
      <c r="Y659" s="89"/>
      <c r="Z659" s="89"/>
      <c r="AA659" s="89"/>
    </row>
    <row r="660" spans="1:27" ht="13.8">
      <c r="A660" s="89"/>
      <c r="B660" s="89"/>
      <c r="C660" s="89"/>
      <c r="D660" s="89"/>
      <c r="E660" s="89"/>
      <c r="F660" s="110"/>
      <c r="G660" s="89"/>
      <c r="H660" s="89"/>
      <c r="I660" s="89"/>
      <c r="J660" s="89"/>
      <c r="K660" s="89"/>
      <c r="L660" s="89"/>
      <c r="M660" s="89"/>
      <c r="N660" s="89"/>
      <c r="O660" s="89"/>
      <c r="P660" s="89"/>
      <c r="Q660" s="89"/>
      <c r="R660" s="89"/>
      <c r="S660" s="89"/>
      <c r="T660" s="89"/>
      <c r="U660" s="89"/>
      <c r="V660" s="89"/>
      <c r="W660" s="89"/>
      <c r="X660" s="89"/>
      <c r="Y660" s="89"/>
      <c r="Z660" s="89"/>
      <c r="AA660" s="89"/>
    </row>
    <row r="661" spans="1:27" ht="13.8">
      <c r="A661" s="89"/>
      <c r="B661" s="89"/>
      <c r="C661" s="89"/>
      <c r="D661" s="89"/>
      <c r="E661" s="89"/>
      <c r="F661" s="110"/>
      <c r="G661" s="89"/>
      <c r="H661" s="89"/>
      <c r="I661" s="89"/>
      <c r="J661" s="89"/>
      <c r="K661" s="89"/>
      <c r="L661" s="89"/>
      <c r="M661" s="89"/>
      <c r="N661" s="89"/>
      <c r="O661" s="89"/>
      <c r="P661" s="89"/>
      <c r="Q661" s="89"/>
      <c r="R661" s="89"/>
      <c r="S661" s="89"/>
      <c r="T661" s="89"/>
      <c r="U661" s="89"/>
      <c r="V661" s="89"/>
      <c r="W661" s="89"/>
      <c r="X661" s="89"/>
      <c r="Y661" s="89"/>
      <c r="Z661" s="89"/>
      <c r="AA661" s="89"/>
    </row>
    <row r="662" spans="1:27" ht="13.8">
      <c r="A662" s="89"/>
      <c r="B662" s="89"/>
      <c r="C662" s="89"/>
      <c r="D662" s="89"/>
      <c r="E662" s="89"/>
      <c r="F662" s="110"/>
      <c r="G662" s="89"/>
      <c r="H662" s="89"/>
      <c r="I662" s="89"/>
      <c r="J662" s="89"/>
      <c r="K662" s="89"/>
      <c r="L662" s="89"/>
      <c r="M662" s="89"/>
      <c r="N662" s="89"/>
      <c r="O662" s="89"/>
      <c r="P662" s="89"/>
      <c r="Q662" s="89"/>
      <c r="R662" s="89"/>
      <c r="S662" s="89"/>
      <c r="T662" s="89"/>
      <c r="U662" s="89"/>
      <c r="V662" s="89"/>
      <c r="W662" s="89"/>
      <c r="X662" s="89"/>
      <c r="Y662" s="89"/>
      <c r="Z662" s="89"/>
      <c r="AA662" s="89"/>
    </row>
    <row r="663" spans="1:27" ht="13.8">
      <c r="A663" s="89"/>
      <c r="B663" s="89"/>
      <c r="C663" s="89"/>
      <c r="D663" s="89"/>
      <c r="E663" s="89"/>
      <c r="F663" s="110"/>
      <c r="G663" s="89"/>
      <c r="H663" s="89"/>
      <c r="I663" s="89"/>
      <c r="J663" s="89"/>
      <c r="K663" s="89"/>
      <c r="L663" s="89"/>
      <c r="M663" s="89"/>
      <c r="N663" s="89"/>
      <c r="O663" s="89"/>
      <c r="P663" s="89"/>
      <c r="Q663" s="89"/>
      <c r="R663" s="89"/>
      <c r="S663" s="89"/>
      <c r="T663" s="89"/>
      <c r="U663" s="89"/>
      <c r="V663" s="89"/>
      <c r="W663" s="89"/>
      <c r="X663" s="89"/>
      <c r="Y663" s="89"/>
      <c r="Z663" s="89"/>
      <c r="AA663" s="89"/>
    </row>
    <row r="664" spans="1:27" ht="13.8">
      <c r="A664" s="89"/>
      <c r="B664" s="89"/>
      <c r="C664" s="89"/>
      <c r="D664" s="89"/>
      <c r="E664" s="89"/>
      <c r="F664" s="110"/>
      <c r="G664" s="89"/>
      <c r="H664" s="89"/>
      <c r="I664" s="89"/>
      <c r="J664" s="89"/>
      <c r="K664" s="89"/>
      <c r="L664" s="89"/>
      <c r="M664" s="89"/>
      <c r="N664" s="89"/>
      <c r="O664" s="89"/>
      <c r="P664" s="89"/>
      <c r="Q664" s="89"/>
      <c r="R664" s="89"/>
      <c r="S664" s="89"/>
      <c r="T664" s="89"/>
      <c r="U664" s="89"/>
      <c r="V664" s="89"/>
      <c r="W664" s="89"/>
      <c r="X664" s="89"/>
      <c r="Y664" s="89"/>
      <c r="Z664" s="89"/>
      <c r="AA664" s="89"/>
    </row>
    <row r="665" spans="1:27" ht="13.8">
      <c r="A665" s="89"/>
      <c r="B665" s="89"/>
      <c r="C665" s="89"/>
      <c r="D665" s="89"/>
      <c r="E665" s="89"/>
      <c r="F665" s="110"/>
      <c r="G665" s="89"/>
      <c r="H665" s="89"/>
      <c r="I665" s="89"/>
      <c r="J665" s="89"/>
      <c r="K665" s="89"/>
      <c r="L665" s="89"/>
      <c r="M665" s="89"/>
      <c r="N665" s="89"/>
      <c r="O665" s="89"/>
      <c r="P665" s="89"/>
      <c r="Q665" s="89"/>
      <c r="R665" s="89"/>
      <c r="S665" s="89"/>
      <c r="T665" s="89"/>
      <c r="U665" s="89"/>
      <c r="V665" s="89"/>
      <c r="W665" s="89"/>
      <c r="X665" s="89"/>
      <c r="Y665" s="89"/>
      <c r="Z665" s="89"/>
      <c r="AA665" s="89"/>
    </row>
    <row r="666" spans="1:27" ht="13.8">
      <c r="A666" s="89"/>
      <c r="B666" s="89"/>
      <c r="C666" s="89"/>
      <c r="D666" s="89"/>
      <c r="E666" s="89"/>
      <c r="F666" s="110"/>
      <c r="G666" s="89"/>
      <c r="H666" s="89"/>
      <c r="I666" s="89"/>
      <c r="J666" s="89"/>
      <c r="K666" s="89"/>
      <c r="L666" s="89"/>
      <c r="M666" s="89"/>
      <c r="N666" s="89"/>
      <c r="O666" s="89"/>
      <c r="P666" s="89"/>
      <c r="Q666" s="89"/>
      <c r="R666" s="89"/>
      <c r="S666" s="89"/>
      <c r="T666" s="89"/>
      <c r="U666" s="89"/>
      <c r="V666" s="89"/>
      <c r="W666" s="89"/>
      <c r="X666" s="89"/>
      <c r="Y666" s="89"/>
      <c r="Z666" s="89"/>
      <c r="AA666" s="89"/>
    </row>
    <row r="667" spans="1:27" ht="13.8">
      <c r="A667" s="89"/>
      <c r="B667" s="89"/>
      <c r="C667" s="89"/>
      <c r="D667" s="89"/>
      <c r="E667" s="89"/>
      <c r="F667" s="110"/>
      <c r="G667" s="89"/>
      <c r="H667" s="89"/>
      <c r="I667" s="89"/>
      <c r="J667" s="89"/>
      <c r="K667" s="89"/>
      <c r="L667" s="89"/>
      <c r="M667" s="89"/>
      <c r="N667" s="89"/>
      <c r="O667" s="89"/>
      <c r="P667" s="89"/>
      <c r="Q667" s="89"/>
      <c r="R667" s="89"/>
      <c r="S667" s="89"/>
      <c r="T667" s="89"/>
      <c r="U667" s="89"/>
      <c r="V667" s="89"/>
      <c r="W667" s="89"/>
      <c r="X667" s="89"/>
      <c r="Y667" s="89"/>
      <c r="Z667" s="89"/>
      <c r="AA667" s="89"/>
    </row>
    <row r="668" spans="1:27" ht="13.8">
      <c r="A668" s="89"/>
      <c r="B668" s="89"/>
      <c r="C668" s="89"/>
      <c r="D668" s="89"/>
      <c r="E668" s="89"/>
      <c r="F668" s="110"/>
      <c r="G668" s="89"/>
      <c r="H668" s="89"/>
      <c r="I668" s="89"/>
      <c r="J668" s="89"/>
      <c r="K668" s="89"/>
      <c r="L668" s="89"/>
      <c r="M668" s="89"/>
      <c r="N668" s="89"/>
      <c r="O668" s="89"/>
      <c r="P668" s="89"/>
      <c r="Q668" s="89"/>
      <c r="R668" s="89"/>
      <c r="S668" s="89"/>
      <c r="T668" s="89"/>
      <c r="U668" s="89"/>
      <c r="V668" s="89"/>
      <c r="W668" s="89"/>
      <c r="X668" s="89"/>
      <c r="Y668" s="89"/>
      <c r="Z668" s="89"/>
      <c r="AA668" s="89"/>
    </row>
    <row r="669" spans="1:27" ht="13.8">
      <c r="A669" s="89"/>
      <c r="B669" s="89"/>
      <c r="C669" s="89"/>
      <c r="D669" s="89"/>
      <c r="E669" s="89"/>
      <c r="F669" s="110"/>
      <c r="G669" s="89"/>
      <c r="H669" s="89"/>
      <c r="I669" s="89"/>
      <c r="J669" s="89"/>
      <c r="K669" s="89"/>
      <c r="L669" s="89"/>
      <c r="M669" s="89"/>
      <c r="N669" s="89"/>
      <c r="O669" s="89"/>
      <c r="P669" s="89"/>
      <c r="Q669" s="89"/>
      <c r="R669" s="89"/>
      <c r="S669" s="89"/>
      <c r="T669" s="89"/>
      <c r="U669" s="89"/>
      <c r="V669" s="89"/>
      <c r="W669" s="89"/>
      <c r="X669" s="89"/>
      <c r="Y669" s="89"/>
      <c r="Z669" s="89"/>
      <c r="AA669" s="89"/>
    </row>
    <row r="670" spans="1:27" ht="13.8">
      <c r="A670" s="89"/>
      <c r="B670" s="89"/>
      <c r="C670" s="89"/>
      <c r="D670" s="89"/>
      <c r="E670" s="89"/>
      <c r="F670" s="110"/>
      <c r="G670" s="89"/>
      <c r="H670" s="89"/>
      <c r="I670" s="89"/>
      <c r="J670" s="89"/>
      <c r="K670" s="89"/>
      <c r="L670" s="89"/>
      <c r="M670" s="89"/>
      <c r="N670" s="89"/>
      <c r="O670" s="89"/>
      <c r="P670" s="89"/>
      <c r="Q670" s="89"/>
      <c r="R670" s="89"/>
      <c r="S670" s="89"/>
      <c r="T670" s="89"/>
      <c r="U670" s="89"/>
      <c r="V670" s="89"/>
      <c r="W670" s="89"/>
      <c r="X670" s="89"/>
      <c r="Y670" s="89"/>
      <c r="Z670" s="89"/>
      <c r="AA670" s="89"/>
    </row>
    <row r="671" spans="1:27" ht="13.8">
      <c r="A671" s="89"/>
      <c r="B671" s="89"/>
      <c r="C671" s="89"/>
      <c r="D671" s="89"/>
      <c r="E671" s="89"/>
      <c r="F671" s="110"/>
      <c r="G671" s="89"/>
      <c r="H671" s="89"/>
      <c r="I671" s="89"/>
      <c r="J671" s="89"/>
      <c r="K671" s="89"/>
      <c r="L671" s="89"/>
      <c r="M671" s="89"/>
      <c r="N671" s="89"/>
      <c r="O671" s="89"/>
      <c r="P671" s="89"/>
      <c r="Q671" s="89"/>
      <c r="R671" s="89"/>
      <c r="S671" s="89"/>
      <c r="T671" s="89"/>
      <c r="U671" s="89"/>
      <c r="V671" s="89"/>
      <c r="W671" s="89"/>
      <c r="X671" s="89"/>
      <c r="Y671" s="89"/>
      <c r="Z671" s="89"/>
      <c r="AA671" s="89"/>
    </row>
    <row r="672" spans="1:27" ht="13.8">
      <c r="A672" s="89"/>
      <c r="B672" s="89"/>
      <c r="C672" s="89"/>
      <c r="D672" s="89"/>
      <c r="E672" s="89"/>
      <c r="F672" s="110"/>
      <c r="G672" s="89"/>
      <c r="H672" s="89"/>
      <c r="I672" s="89"/>
      <c r="J672" s="89"/>
      <c r="K672" s="89"/>
      <c r="L672" s="89"/>
      <c r="M672" s="89"/>
      <c r="N672" s="89"/>
      <c r="O672" s="89"/>
      <c r="P672" s="89"/>
      <c r="Q672" s="89"/>
      <c r="R672" s="89"/>
      <c r="S672" s="89"/>
      <c r="T672" s="89"/>
      <c r="U672" s="89"/>
      <c r="V672" s="89"/>
      <c r="W672" s="89"/>
      <c r="X672" s="89"/>
      <c r="Y672" s="89"/>
      <c r="Z672" s="89"/>
      <c r="AA672" s="89"/>
    </row>
    <row r="673" spans="1:27" ht="13.8">
      <c r="A673" s="89"/>
      <c r="B673" s="89"/>
      <c r="C673" s="89"/>
      <c r="D673" s="89"/>
      <c r="E673" s="89"/>
      <c r="F673" s="110"/>
      <c r="G673" s="89"/>
      <c r="H673" s="89"/>
      <c r="I673" s="89"/>
      <c r="J673" s="89"/>
      <c r="K673" s="89"/>
      <c r="L673" s="89"/>
      <c r="M673" s="89"/>
      <c r="N673" s="89"/>
      <c r="O673" s="89"/>
      <c r="P673" s="89"/>
      <c r="Q673" s="89"/>
      <c r="R673" s="89"/>
      <c r="S673" s="89"/>
      <c r="T673" s="89"/>
      <c r="U673" s="89"/>
      <c r="V673" s="89"/>
      <c r="W673" s="89"/>
      <c r="X673" s="89"/>
      <c r="Y673" s="89"/>
      <c r="Z673" s="89"/>
      <c r="AA673" s="89"/>
    </row>
    <row r="674" spans="1:27" ht="13.8">
      <c r="A674" s="89"/>
      <c r="B674" s="89"/>
      <c r="C674" s="89"/>
      <c r="D674" s="89"/>
      <c r="E674" s="89"/>
      <c r="F674" s="110"/>
      <c r="G674" s="89"/>
      <c r="H674" s="89"/>
      <c r="I674" s="89"/>
      <c r="J674" s="89"/>
      <c r="K674" s="89"/>
      <c r="L674" s="89"/>
      <c r="M674" s="89"/>
      <c r="N674" s="89"/>
      <c r="O674" s="89"/>
      <c r="P674" s="89"/>
      <c r="Q674" s="89"/>
      <c r="R674" s="89"/>
      <c r="S674" s="89"/>
      <c r="T674" s="89"/>
      <c r="U674" s="89"/>
      <c r="V674" s="89"/>
      <c r="W674" s="89"/>
      <c r="X674" s="89"/>
      <c r="Y674" s="89"/>
      <c r="Z674" s="89"/>
      <c r="AA674" s="89"/>
    </row>
    <row r="675" spans="1:27" ht="13.8">
      <c r="A675" s="89"/>
      <c r="B675" s="89"/>
      <c r="C675" s="89"/>
      <c r="D675" s="89"/>
      <c r="E675" s="89"/>
      <c r="F675" s="110"/>
      <c r="G675" s="89"/>
      <c r="H675" s="89"/>
      <c r="I675" s="89"/>
      <c r="J675" s="89"/>
      <c r="K675" s="89"/>
      <c r="L675" s="89"/>
      <c r="M675" s="89"/>
      <c r="N675" s="89"/>
      <c r="O675" s="89"/>
      <c r="P675" s="89"/>
      <c r="Q675" s="89"/>
      <c r="R675" s="89"/>
      <c r="S675" s="89"/>
      <c r="T675" s="89"/>
      <c r="U675" s="89"/>
      <c r="V675" s="89"/>
      <c r="W675" s="89"/>
      <c r="X675" s="89"/>
      <c r="Y675" s="89"/>
      <c r="Z675" s="89"/>
      <c r="AA675" s="89"/>
    </row>
    <row r="676" spans="1:27" ht="13.8">
      <c r="A676" s="89"/>
      <c r="B676" s="89"/>
      <c r="C676" s="89"/>
      <c r="D676" s="89"/>
      <c r="E676" s="89"/>
      <c r="F676" s="110"/>
      <c r="G676" s="89"/>
      <c r="H676" s="89"/>
      <c r="I676" s="89"/>
      <c r="J676" s="89"/>
      <c r="K676" s="89"/>
      <c r="L676" s="89"/>
      <c r="M676" s="89"/>
      <c r="N676" s="89"/>
      <c r="O676" s="89"/>
      <c r="P676" s="89"/>
      <c r="Q676" s="89"/>
      <c r="R676" s="89"/>
      <c r="S676" s="89"/>
      <c r="T676" s="89"/>
      <c r="U676" s="89"/>
      <c r="V676" s="89"/>
      <c r="W676" s="89"/>
      <c r="X676" s="89"/>
      <c r="Y676" s="89"/>
      <c r="Z676" s="89"/>
      <c r="AA676" s="89"/>
    </row>
    <row r="677" spans="1:27" ht="13.8">
      <c r="A677" s="89"/>
      <c r="B677" s="89"/>
      <c r="C677" s="89"/>
      <c r="D677" s="89"/>
      <c r="E677" s="89"/>
      <c r="F677" s="110"/>
      <c r="G677" s="89"/>
      <c r="H677" s="89"/>
      <c r="I677" s="89"/>
      <c r="J677" s="89"/>
      <c r="K677" s="89"/>
      <c r="L677" s="89"/>
      <c r="M677" s="89"/>
      <c r="N677" s="89"/>
      <c r="O677" s="89"/>
      <c r="P677" s="89"/>
      <c r="Q677" s="89"/>
      <c r="R677" s="89"/>
      <c r="S677" s="89"/>
      <c r="T677" s="89"/>
      <c r="U677" s="89"/>
      <c r="V677" s="89"/>
      <c r="W677" s="89"/>
      <c r="X677" s="89"/>
      <c r="Y677" s="89"/>
      <c r="Z677" s="89"/>
      <c r="AA677" s="89"/>
    </row>
    <row r="678" spans="1:27" ht="13.8">
      <c r="A678" s="89"/>
      <c r="B678" s="89"/>
      <c r="C678" s="89"/>
      <c r="D678" s="89"/>
      <c r="E678" s="89"/>
      <c r="F678" s="110"/>
      <c r="G678" s="89"/>
      <c r="H678" s="89"/>
      <c r="I678" s="89"/>
      <c r="J678" s="89"/>
      <c r="K678" s="89"/>
      <c r="L678" s="89"/>
      <c r="M678" s="89"/>
      <c r="N678" s="89"/>
      <c r="O678" s="89"/>
      <c r="P678" s="89"/>
      <c r="Q678" s="89"/>
      <c r="R678" s="89"/>
      <c r="S678" s="89"/>
      <c r="T678" s="89"/>
      <c r="U678" s="89"/>
      <c r="V678" s="89"/>
      <c r="W678" s="89"/>
      <c r="X678" s="89"/>
      <c r="Y678" s="89"/>
      <c r="Z678" s="89"/>
      <c r="AA678" s="89"/>
    </row>
    <row r="679" spans="1:27" ht="13.8">
      <c r="A679" s="89"/>
      <c r="B679" s="89"/>
      <c r="C679" s="89"/>
      <c r="D679" s="89"/>
      <c r="E679" s="89"/>
      <c r="F679" s="110"/>
      <c r="G679" s="89"/>
      <c r="H679" s="89"/>
      <c r="I679" s="89"/>
      <c r="J679" s="89"/>
      <c r="K679" s="89"/>
      <c r="L679" s="89"/>
      <c r="M679" s="89"/>
      <c r="N679" s="89"/>
      <c r="O679" s="89"/>
      <c r="P679" s="89"/>
      <c r="Q679" s="89"/>
      <c r="R679" s="89"/>
      <c r="S679" s="89"/>
      <c r="T679" s="89"/>
      <c r="U679" s="89"/>
      <c r="V679" s="89"/>
      <c r="W679" s="89"/>
      <c r="X679" s="89"/>
      <c r="Y679" s="89"/>
      <c r="Z679" s="89"/>
      <c r="AA679" s="89"/>
    </row>
    <row r="680" spans="1:27" ht="13.8">
      <c r="A680" s="89"/>
      <c r="B680" s="89"/>
      <c r="C680" s="89"/>
      <c r="D680" s="89"/>
      <c r="E680" s="89"/>
      <c r="F680" s="110"/>
      <c r="G680" s="89"/>
      <c r="H680" s="89"/>
      <c r="I680" s="89"/>
      <c r="J680" s="89"/>
      <c r="K680" s="89"/>
      <c r="L680" s="89"/>
      <c r="M680" s="89"/>
      <c r="N680" s="89"/>
      <c r="O680" s="89"/>
      <c r="P680" s="89"/>
      <c r="Q680" s="89"/>
      <c r="R680" s="89"/>
      <c r="S680" s="89"/>
      <c r="T680" s="89"/>
      <c r="U680" s="89"/>
      <c r="V680" s="89"/>
      <c r="W680" s="89"/>
      <c r="X680" s="89"/>
      <c r="Y680" s="89"/>
      <c r="Z680" s="89"/>
      <c r="AA680" s="89"/>
    </row>
    <row r="681" spans="1:27" ht="13.8">
      <c r="A681" s="89"/>
      <c r="B681" s="89"/>
      <c r="C681" s="89"/>
      <c r="D681" s="89"/>
      <c r="E681" s="89"/>
      <c r="F681" s="110"/>
      <c r="G681" s="89"/>
      <c r="H681" s="89"/>
      <c r="I681" s="89"/>
      <c r="J681" s="89"/>
      <c r="K681" s="89"/>
      <c r="L681" s="89"/>
      <c r="M681" s="89"/>
      <c r="N681" s="89"/>
      <c r="O681" s="89"/>
      <c r="P681" s="89"/>
      <c r="Q681" s="89"/>
      <c r="R681" s="89"/>
      <c r="S681" s="89"/>
      <c r="T681" s="89"/>
      <c r="U681" s="89"/>
      <c r="V681" s="89"/>
      <c r="W681" s="89"/>
      <c r="X681" s="89"/>
      <c r="Y681" s="89"/>
      <c r="Z681" s="89"/>
      <c r="AA681" s="89"/>
    </row>
    <row r="682" spans="1:27" ht="13.8">
      <c r="A682" s="89"/>
      <c r="B682" s="89"/>
      <c r="C682" s="89"/>
      <c r="D682" s="89"/>
      <c r="E682" s="89"/>
      <c r="F682" s="110"/>
      <c r="G682" s="89"/>
      <c r="H682" s="89"/>
      <c r="I682" s="89"/>
      <c r="J682" s="89"/>
      <c r="K682" s="89"/>
      <c r="L682" s="89"/>
      <c r="M682" s="89"/>
      <c r="N682" s="89"/>
      <c r="O682" s="89"/>
      <c r="P682" s="89"/>
      <c r="Q682" s="89"/>
      <c r="R682" s="89"/>
      <c r="S682" s="89"/>
      <c r="T682" s="89"/>
      <c r="U682" s="89"/>
      <c r="V682" s="89"/>
      <c r="W682" s="89"/>
      <c r="X682" s="89"/>
      <c r="Y682" s="89"/>
      <c r="Z682" s="89"/>
      <c r="AA682" s="89"/>
    </row>
    <row r="683" spans="1:27" ht="13.8">
      <c r="A683" s="89"/>
      <c r="B683" s="89"/>
      <c r="C683" s="89"/>
      <c r="D683" s="89"/>
      <c r="E683" s="89"/>
      <c r="F683" s="110"/>
      <c r="G683" s="89"/>
      <c r="H683" s="89"/>
      <c r="I683" s="89"/>
      <c r="J683" s="89"/>
      <c r="K683" s="89"/>
      <c r="L683" s="89"/>
      <c r="M683" s="89"/>
      <c r="N683" s="89"/>
      <c r="O683" s="89"/>
      <c r="P683" s="89"/>
      <c r="Q683" s="89"/>
      <c r="R683" s="89"/>
      <c r="S683" s="89"/>
      <c r="T683" s="89"/>
      <c r="U683" s="89"/>
      <c r="V683" s="89"/>
      <c r="W683" s="89"/>
      <c r="X683" s="89"/>
      <c r="Y683" s="89"/>
      <c r="Z683" s="89"/>
      <c r="AA683" s="89"/>
    </row>
    <row r="684" spans="1:27" ht="13.8">
      <c r="A684" s="89"/>
      <c r="B684" s="89"/>
      <c r="C684" s="89"/>
      <c r="D684" s="89"/>
      <c r="E684" s="89"/>
      <c r="F684" s="110"/>
      <c r="G684" s="89"/>
      <c r="H684" s="89"/>
      <c r="I684" s="89"/>
      <c r="J684" s="89"/>
      <c r="K684" s="89"/>
      <c r="L684" s="89"/>
      <c r="M684" s="89"/>
      <c r="N684" s="89"/>
      <c r="O684" s="89"/>
      <c r="P684" s="89"/>
      <c r="Q684" s="89"/>
      <c r="R684" s="89"/>
      <c r="S684" s="89"/>
      <c r="T684" s="89"/>
      <c r="U684" s="89"/>
      <c r="V684" s="89"/>
      <c r="W684" s="89"/>
      <c r="X684" s="89"/>
      <c r="Y684" s="89"/>
      <c r="Z684" s="89"/>
      <c r="AA684" s="89"/>
    </row>
    <row r="685" spans="1:27" ht="13.8">
      <c r="A685" s="89"/>
      <c r="B685" s="89"/>
      <c r="C685" s="89"/>
      <c r="D685" s="89"/>
      <c r="E685" s="89"/>
      <c r="F685" s="110"/>
      <c r="G685" s="89"/>
      <c r="H685" s="89"/>
      <c r="I685" s="89"/>
      <c r="J685" s="89"/>
      <c r="K685" s="89"/>
      <c r="L685" s="89"/>
      <c r="M685" s="89"/>
      <c r="N685" s="89"/>
      <c r="O685" s="89"/>
      <c r="P685" s="89"/>
      <c r="Q685" s="89"/>
      <c r="R685" s="89"/>
      <c r="S685" s="89"/>
      <c r="T685" s="89"/>
      <c r="U685" s="89"/>
      <c r="V685" s="89"/>
      <c r="W685" s="89"/>
      <c r="X685" s="89"/>
      <c r="Y685" s="89"/>
      <c r="Z685" s="89"/>
      <c r="AA685" s="89"/>
    </row>
    <row r="686" spans="1:27" ht="13.8">
      <c r="A686" s="89"/>
      <c r="B686" s="89"/>
      <c r="C686" s="89"/>
      <c r="D686" s="89"/>
      <c r="E686" s="89"/>
      <c r="F686" s="110"/>
      <c r="G686" s="89"/>
      <c r="H686" s="89"/>
      <c r="I686" s="89"/>
      <c r="J686" s="89"/>
      <c r="K686" s="89"/>
      <c r="L686" s="89"/>
      <c r="M686" s="89"/>
      <c r="N686" s="89"/>
      <c r="O686" s="89"/>
      <c r="P686" s="89"/>
      <c r="Q686" s="89"/>
      <c r="R686" s="89"/>
      <c r="S686" s="89"/>
      <c r="T686" s="89"/>
      <c r="U686" s="89"/>
      <c r="V686" s="89"/>
      <c r="W686" s="89"/>
      <c r="X686" s="89"/>
      <c r="Y686" s="89"/>
      <c r="Z686" s="89"/>
      <c r="AA686" s="89"/>
    </row>
    <row r="687" spans="1:27" ht="13.8">
      <c r="A687" s="89"/>
      <c r="B687" s="89"/>
      <c r="C687" s="89"/>
      <c r="D687" s="89"/>
      <c r="E687" s="89"/>
      <c r="F687" s="110"/>
      <c r="G687" s="89"/>
      <c r="H687" s="89"/>
      <c r="I687" s="89"/>
      <c r="J687" s="89"/>
      <c r="K687" s="89"/>
      <c r="L687" s="89"/>
      <c r="M687" s="89"/>
      <c r="N687" s="89"/>
      <c r="O687" s="89"/>
      <c r="P687" s="89"/>
      <c r="Q687" s="89"/>
      <c r="R687" s="89"/>
      <c r="S687" s="89"/>
      <c r="T687" s="89"/>
      <c r="U687" s="89"/>
      <c r="V687" s="89"/>
      <c r="W687" s="89"/>
      <c r="X687" s="89"/>
      <c r="Y687" s="89"/>
      <c r="Z687" s="89"/>
      <c r="AA687" s="89"/>
    </row>
    <row r="688" spans="1:27" ht="13.8">
      <c r="A688" s="89"/>
      <c r="B688" s="89"/>
      <c r="C688" s="89"/>
      <c r="D688" s="89"/>
      <c r="E688" s="89"/>
      <c r="F688" s="110"/>
      <c r="G688" s="89"/>
      <c r="H688" s="89"/>
      <c r="I688" s="89"/>
      <c r="J688" s="89"/>
      <c r="K688" s="89"/>
      <c r="L688" s="89"/>
      <c r="M688" s="89"/>
      <c r="N688" s="89"/>
      <c r="O688" s="89"/>
      <c r="P688" s="89"/>
      <c r="Q688" s="89"/>
      <c r="R688" s="89"/>
      <c r="S688" s="89"/>
      <c r="T688" s="89"/>
      <c r="U688" s="89"/>
      <c r="V688" s="89"/>
      <c r="W688" s="89"/>
      <c r="X688" s="89"/>
      <c r="Y688" s="89"/>
      <c r="Z688" s="89"/>
      <c r="AA688" s="89"/>
    </row>
    <row r="689" spans="1:27" ht="13.8">
      <c r="A689" s="89"/>
      <c r="B689" s="89"/>
      <c r="C689" s="89"/>
      <c r="D689" s="89"/>
      <c r="E689" s="89"/>
      <c r="F689" s="110"/>
      <c r="G689" s="89"/>
      <c r="H689" s="89"/>
      <c r="I689" s="89"/>
      <c r="J689" s="89"/>
      <c r="K689" s="89"/>
      <c r="L689" s="89"/>
      <c r="M689" s="89"/>
      <c r="N689" s="89"/>
      <c r="O689" s="89"/>
      <c r="P689" s="89"/>
      <c r="Q689" s="89"/>
      <c r="R689" s="89"/>
      <c r="S689" s="89"/>
      <c r="T689" s="89"/>
      <c r="U689" s="89"/>
      <c r="V689" s="89"/>
      <c r="W689" s="89"/>
      <c r="X689" s="89"/>
      <c r="Y689" s="89"/>
      <c r="Z689" s="89"/>
      <c r="AA689" s="89"/>
    </row>
    <row r="690" spans="1:27" ht="13.8">
      <c r="A690" s="89"/>
      <c r="B690" s="89"/>
      <c r="C690" s="89"/>
      <c r="D690" s="89"/>
      <c r="E690" s="89"/>
      <c r="F690" s="110"/>
      <c r="G690" s="89"/>
      <c r="H690" s="89"/>
      <c r="I690" s="89"/>
      <c r="J690" s="89"/>
      <c r="K690" s="89"/>
      <c r="L690" s="89"/>
      <c r="M690" s="89"/>
      <c r="N690" s="89"/>
      <c r="O690" s="89"/>
      <c r="P690" s="89"/>
      <c r="Q690" s="89"/>
      <c r="R690" s="89"/>
      <c r="S690" s="89"/>
      <c r="T690" s="89"/>
      <c r="U690" s="89"/>
      <c r="V690" s="89"/>
      <c r="W690" s="89"/>
      <c r="X690" s="89"/>
      <c r="Y690" s="89"/>
      <c r="Z690" s="89"/>
      <c r="AA690" s="89"/>
    </row>
    <row r="691" spans="1:27" ht="13.8">
      <c r="A691" s="89"/>
      <c r="B691" s="89"/>
      <c r="C691" s="89"/>
      <c r="D691" s="89"/>
      <c r="E691" s="89"/>
      <c r="F691" s="110"/>
      <c r="G691" s="89"/>
      <c r="H691" s="89"/>
      <c r="I691" s="89"/>
      <c r="J691" s="89"/>
      <c r="K691" s="89"/>
      <c r="L691" s="89"/>
      <c r="M691" s="89"/>
      <c r="N691" s="89"/>
      <c r="O691" s="89"/>
      <c r="P691" s="89"/>
      <c r="Q691" s="89"/>
      <c r="R691" s="89"/>
      <c r="S691" s="89"/>
      <c r="T691" s="89"/>
      <c r="U691" s="89"/>
      <c r="V691" s="89"/>
      <c r="W691" s="89"/>
      <c r="X691" s="89"/>
      <c r="Y691" s="89"/>
      <c r="Z691" s="89"/>
      <c r="AA691" s="89"/>
    </row>
    <row r="692" spans="1:27" ht="13.8">
      <c r="A692" s="89"/>
      <c r="B692" s="89"/>
      <c r="C692" s="89"/>
      <c r="D692" s="89"/>
      <c r="E692" s="89"/>
      <c r="F692" s="110"/>
      <c r="G692" s="89"/>
      <c r="H692" s="89"/>
      <c r="I692" s="89"/>
      <c r="J692" s="89"/>
      <c r="K692" s="89"/>
      <c r="L692" s="89"/>
      <c r="M692" s="89"/>
      <c r="N692" s="89"/>
      <c r="O692" s="89"/>
      <c r="P692" s="89"/>
      <c r="Q692" s="89"/>
      <c r="R692" s="89"/>
      <c r="S692" s="89"/>
      <c r="T692" s="89"/>
      <c r="U692" s="89"/>
      <c r="V692" s="89"/>
      <c r="W692" s="89"/>
      <c r="X692" s="89"/>
      <c r="Y692" s="89"/>
      <c r="Z692" s="89"/>
      <c r="AA692" s="89"/>
    </row>
    <row r="693" spans="1:27" ht="13.8">
      <c r="A693" s="89"/>
      <c r="B693" s="89"/>
      <c r="C693" s="89"/>
      <c r="D693" s="89"/>
      <c r="E693" s="89"/>
      <c r="F693" s="110"/>
      <c r="G693" s="89"/>
      <c r="H693" s="89"/>
      <c r="I693" s="89"/>
      <c r="J693" s="89"/>
      <c r="K693" s="89"/>
      <c r="L693" s="89"/>
      <c r="M693" s="89"/>
      <c r="N693" s="89"/>
      <c r="O693" s="89"/>
      <c r="P693" s="89"/>
      <c r="Q693" s="89"/>
      <c r="R693" s="89"/>
      <c r="S693" s="89"/>
      <c r="T693" s="89"/>
      <c r="U693" s="89"/>
      <c r="V693" s="89"/>
      <c r="W693" s="89"/>
      <c r="X693" s="89"/>
      <c r="Y693" s="89"/>
      <c r="Z693" s="89"/>
      <c r="AA693" s="89"/>
    </row>
    <row r="694" spans="1:27" ht="13.8">
      <c r="A694" s="89"/>
      <c r="B694" s="89"/>
      <c r="C694" s="89"/>
      <c r="D694" s="89"/>
      <c r="E694" s="89"/>
      <c r="F694" s="110"/>
      <c r="G694" s="89"/>
      <c r="H694" s="89"/>
      <c r="I694" s="89"/>
      <c r="J694" s="89"/>
      <c r="K694" s="89"/>
      <c r="L694" s="89"/>
      <c r="M694" s="89"/>
      <c r="N694" s="89"/>
      <c r="O694" s="89"/>
      <c r="P694" s="89"/>
      <c r="Q694" s="89"/>
      <c r="R694" s="89"/>
      <c r="S694" s="89"/>
      <c r="T694" s="89"/>
      <c r="U694" s="89"/>
      <c r="V694" s="89"/>
      <c r="W694" s="89"/>
      <c r="X694" s="89"/>
      <c r="Y694" s="89"/>
      <c r="Z694" s="89"/>
      <c r="AA694" s="89"/>
    </row>
    <row r="695" spans="1:27" ht="13.8">
      <c r="A695" s="89"/>
      <c r="B695" s="89"/>
      <c r="C695" s="89"/>
      <c r="D695" s="89"/>
      <c r="E695" s="89"/>
      <c r="F695" s="110"/>
      <c r="G695" s="89"/>
      <c r="H695" s="89"/>
      <c r="I695" s="89"/>
      <c r="J695" s="89"/>
      <c r="K695" s="89"/>
      <c r="L695" s="89"/>
      <c r="M695" s="89"/>
      <c r="N695" s="89"/>
      <c r="O695" s="89"/>
      <c r="P695" s="89"/>
      <c r="Q695" s="89"/>
      <c r="R695" s="89"/>
      <c r="S695" s="89"/>
      <c r="T695" s="89"/>
      <c r="U695" s="89"/>
      <c r="V695" s="89"/>
      <c r="W695" s="89"/>
      <c r="X695" s="89"/>
      <c r="Y695" s="89"/>
      <c r="Z695" s="89"/>
      <c r="AA695" s="89"/>
    </row>
    <row r="696" spans="1:27" ht="13.8">
      <c r="A696" s="89"/>
      <c r="B696" s="89"/>
      <c r="C696" s="89"/>
      <c r="D696" s="89"/>
      <c r="E696" s="89"/>
      <c r="F696" s="110"/>
      <c r="G696" s="89"/>
      <c r="H696" s="89"/>
      <c r="I696" s="89"/>
      <c r="J696" s="89"/>
      <c r="K696" s="89"/>
      <c r="L696" s="89"/>
      <c r="M696" s="89"/>
      <c r="N696" s="89"/>
      <c r="O696" s="89"/>
      <c r="P696" s="89"/>
      <c r="Q696" s="89"/>
      <c r="R696" s="89"/>
      <c r="S696" s="89"/>
      <c r="T696" s="89"/>
      <c r="U696" s="89"/>
      <c r="V696" s="89"/>
      <c r="W696" s="89"/>
      <c r="X696" s="89"/>
      <c r="Y696" s="89"/>
      <c r="Z696" s="89"/>
      <c r="AA696" s="89"/>
    </row>
    <row r="697" spans="1:27" ht="13.8">
      <c r="A697" s="89"/>
      <c r="B697" s="89"/>
      <c r="C697" s="89"/>
      <c r="D697" s="89"/>
      <c r="E697" s="89"/>
      <c r="F697" s="110"/>
      <c r="G697" s="89"/>
      <c r="H697" s="89"/>
      <c r="I697" s="89"/>
      <c r="J697" s="89"/>
      <c r="K697" s="89"/>
      <c r="L697" s="89"/>
      <c r="M697" s="89"/>
      <c r="N697" s="89"/>
      <c r="O697" s="89"/>
      <c r="P697" s="89"/>
      <c r="Q697" s="89"/>
      <c r="R697" s="89"/>
      <c r="S697" s="89"/>
      <c r="T697" s="89"/>
      <c r="U697" s="89"/>
      <c r="V697" s="89"/>
      <c r="W697" s="89"/>
      <c r="X697" s="89"/>
      <c r="Y697" s="89"/>
      <c r="Z697" s="89"/>
      <c r="AA697" s="89"/>
    </row>
    <row r="698" spans="1:27" ht="13.8">
      <c r="A698" s="89"/>
      <c r="B698" s="89"/>
      <c r="C698" s="89"/>
      <c r="D698" s="89"/>
      <c r="E698" s="89"/>
      <c r="F698" s="110"/>
      <c r="G698" s="89"/>
      <c r="H698" s="89"/>
      <c r="I698" s="89"/>
      <c r="J698" s="89"/>
      <c r="K698" s="89"/>
      <c r="L698" s="89"/>
      <c r="M698" s="89"/>
      <c r="N698" s="89"/>
      <c r="O698" s="89"/>
      <c r="P698" s="89"/>
      <c r="Q698" s="89"/>
      <c r="R698" s="89"/>
      <c r="S698" s="89"/>
      <c r="T698" s="89"/>
      <c r="U698" s="89"/>
      <c r="V698" s="89"/>
      <c r="W698" s="89"/>
      <c r="X698" s="89"/>
      <c r="Y698" s="89"/>
      <c r="Z698" s="89"/>
      <c r="AA698" s="89"/>
    </row>
    <row r="699" spans="1:27" ht="13.8">
      <c r="A699" s="89"/>
      <c r="B699" s="89"/>
      <c r="C699" s="89"/>
      <c r="D699" s="89"/>
      <c r="E699" s="89"/>
      <c r="F699" s="110"/>
      <c r="G699" s="89"/>
      <c r="H699" s="89"/>
      <c r="I699" s="89"/>
      <c r="J699" s="89"/>
      <c r="K699" s="89"/>
      <c r="L699" s="89"/>
      <c r="M699" s="89"/>
      <c r="N699" s="89"/>
      <c r="O699" s="89"/>
      <c r="P699" s="89"/>
      <c r="Q699" s="89"/>
      <c r="R699" s="89"/>
      <c r="S699" s="89"/>
      <c r="T699" s="89"/>
      <c r="U699" s="89"/>
      <c r="V699" s="89"/>
      <c r="W699" s="89"/>
      <c r="X699" s="89"/>
      <c r="Y699" s="89"/>
      <c r="Z699" s="89"/>
      <c r="AA699" s="89"/>
    </row>
    <row r="700" spans="1:27" ht="13.8">
      <c r="A700" s="89"/>
      <c r="B700" s="89"/>
      <c r="C700" s="89"/>
      <c r="D700" s="89"/>
      <c r="E700" s="89"/>
      <c r="F700" s="110"/>
      <c r="G700" s="89"/>
      <c r="H700" s="89"/>
      <c r="I700" s="89"/>
      <c r="J700" s="89"/>
      <c r="K700" s="89"/>
      <c r="L700" s="89"/>
      <c r="M700" s="89"/>
      <c r="N700" s="89"/>
      <c r="O700" s="89"/>
      <c r="P700" s="89"/>
      <c r="Q700" s="89"/>
      <c r="R700" s="89"/>
      <c r="S700" s="89"/>
      <c r="T700" s="89"/>
      <c r="U700" s="89"/>
      <c r="V700" s="89"/>
      <c r="W700" s="89"/>
      <c r="X700" s="89"/>
      <c r="Y700" s="89"/>
      <c r="Z700" s="89"/>
      <c r="AA700" s="89"/>
    </row>
    <row r="701" spans="1:27" ht="13.8">
      <c r="A701" s="89"/>
      <c r="B701" s="89"/>
      <c r="C701" s="89"/>
      <c r="D701" s="89"/>
      <c r="E701" s="89"/>
      <c r="F701" s="110"/>
      <c r="G701" s="89"/>
      <c r="H701" s="89"/>
      <c r="I701" s="89"/>
      <c r="J701" s="89"/>
      <c r="K701" s="89"/>
      <c r="L701" s="89"/>
      <c r="M701" s="89"/>
      <c r="N701" s="89"/>
      <c r="O701" s="89"/>
      <c r="P701" s="89"/>
      <c r="Q701" s="89"/>
      <c r="R701" s="89"/>
      <c r="S701" s="89"/>
      <c r="T701" s="89"/>
      <c r="U701" s="89"/>
      <c r="V701" s="89"/>
      <c r="W701" s="89"/>
      <c r="X701" s="89"/>
      <c r="Y701" s="89"/>
      <c r="Z701" s="89"/>
      <c r="AA701" s="89"/>
    </row>
    <row r="702" spans="1:27" ht="13.8">
      <c r="A702" s="89"/>
      <c r="B702" s="89"/>
      <c r="C702" s="89"/>
      <c r="D702" s="89"/>
      <c r="E702" s="89"/>
      <c r="F702" s="110"/>
      <c r="G702" s="89"/>
      <c r="H702" s="89"/>
      <c r="I702" s="89"/>
      <c r="J702" s="89"/>
      <c r="K702" s="89"/>
      <c r="L702" s="89"/>
      <c r="M702" s="89"/>
      <c r="N702" s="89"/>
      <c r="O702" s="89"/>
      <c r="P702" s="89"/>
      <c r="Q702" s="89"/>
      <c r="R702" s="89"/>
      <c r="S702" s="89"/>
      <c r="T702" s="89"/>
      <c r="U702" s="89"/>
      <c r="V702" s="89"/>
      <c r="W702" s="89"/>
      <c r="X702" s="89"/>
      <c r="Y702" s="89"/>
      <c r="Z702" s="89"/>
      <c r="AA702" s="89"/>
    </row>
    <row r="703" spans="1:27" ht="13.8">
      <c r="A703" s="89"/>
      <c r="B703" s="89"/>
      <c r="C703" s="89"/>
      <c r="D703" s="89"/>
      <c r="E703" s="89"/>
      <c r="F703" s="110"/>
      <c r="G703" s="89"/>
      <c r="H703" s="89"/>
      <c r="I703" s="89"/>
      <c r="J703" s="89"/>
      <c r="K703" s="89"/>
      <c r="L703" s="89"/>
      <c r="M703" s="89"/>
      <c r="N703" s="89"/>
      <c r="O703" s="89"/>
      <c r="P703" s="89"/>
      <c r="Q703" s="89"/>
      <c r="R703" s="89"/>
      <c r="S703" s="89"/>
      <c r="T703" s="89"/>
      <c r="U703" s="89"/>
      <c r="V703" s="89"/>
      <c r="W703" s="89"/>
      <c r="X703" s="89"/>
      <c r="Y703" s="89"/>
      <c r="Z703" s="89"/>
      <c r="AA703" s="89"/>
    </row>
    <row r="704" spans="1:27" ht="13.8">
      <c r="A704" s="89"/>
      <c r="B704" s="89"/>
      <c r="C704" s="89"/>
      <c r="D704" s="89"/>
      <c r="E704" s="89"/>
      <c r="F704" s="110"/>
      <c r="G704" s="89"/>
      <c r="H704" s="89"/>
      <c r="I704" s="89"/>
      <c r="J704" s="89"/>
      <c r="K704" s="89"/>
      <c r="L704" s="89"/>
      <c r="M704" s="89"/>
      <c r="N704" s="89"/>
      <c r="O704" s="89"/>
      <c r="P704" s="89"/>
      <c r="Q704" s="89"/>
      <c r="R704" s="89"/>
      <c r="S704" s="89"/>
      <c r="T704" s="89"/>
      <c r="U704" s="89"/>
      <c r="V704" s="89"/>
      <c r="W704" s="89"/>
      <c r="X704" s="89"/>
      <c r="Y704" s="89"/>
      <c r="Z704" s="89"/>
      <c r="AA704" s="89"/>
    </row>
    <row r="705" spans="1:27" ht="13.8">
      <c r="A705" s="89"/>
      <c r="B705" s="89"/>
      <c r="C705" s="89"/>
      <c r="D705" s="89"/>
      <c r="E705" s="89"/>
      <c r="F705" s="110"/>
      <c r="G705" s="89"/>
      <c r="H705" s="89"/>
      <c r="I705" s="89"/>
      <c r="J705" s="89"/>
      <c r="K705" s="89"/>
      <c r="L705" s="89"/>
      <c r="M705" s="89"/>
      <c r="N705" s="89"/>
      <c r="O705" s="89"/>
      <c r="P705" s="89"/>
      <c r="Q705" s="89"/>
      <c r="R705" s="89"/>
      <c r="S705" s="89"/>
      <c r="T705" s="89"/>
      <c r="U705" s="89"/>
      <c r="V705" s="89"/>
      <c r="W705" s="89"/>
      <c r="X705" s="89"/>
      <c r="Y705" s="89"/>
      <c r="Z705" s="89"/>
      <c r="AA705" s="89"/>
    </row>
    <row r="706" spans="1:27" ht="13.8">
      <c r="A706" s="89"/>
      <c r="B706" s="89"/>
      <c r="C706" s="89"/>
      <c r="D706" s="89"/>
      <c r="E706" s="89"/>
      <c r="F706" s="110"/>
      <c r="G706" s="89"/>
      <c r="H706" s="89"/>
      <c r="I706" s="89"/>
      <c r="J706" s="89"/>
      <c r="K706" s="89"/>
      <c r="L706" s="89"/>
      <c r="M706" s="89"/>
      <c r="N706" s="89"/>
      <c r="O706" s="89"/>
      <c r="P706" s="89"/>
      <c r="Q706" s="89"/>
      <c r="R706" s="89"/>
      <c r="S706" s="89"/>
      <c r="T706" s="89"/>
      <c r="U706" s="89"/>
      <c r="V706" s="89"/>
      <c r="W706" s="89"/>
      <c r="X706" s="89"/>
      <c r="Y706" s="89"/>
      <c r="Z706" s="89"/>
      <c r="AA706" s="89"/>
    </row>
    <row r="707" spans="1:27" ht="13.8">
      <c r="A707" s="89"/>
      <c r="B707" s="89"/>
      <c r="C707" s="89"/>
      <c r="D707" s="89"/>
      <c r="E707" s="89"/>
      <c r="F707" s="110"/>
      <c r="G707" s="89"/>
      <c r="H707" s="89"/>
      <c r="I707" s="89"/>
      <c r="J707" s="89"/>
      <c r="K707" s="89"/>
      <c r="L707" s="89"/>
      <c r="M707" s="89"/>
      <c r="N707" s="89"/>
      <c r="O707" s="89"/>
      <c r="P707" s="89"/>
      <c r="Q707" s="89"/>
      <c r="R707" s="89"/>
      <c r="S707" s="89"/>
      <c r="T707" s="89"/>
      <c r="U707" s="89"/>
      <c r="V707" s="89"/>
      <c r="W707" s="89"/>
      <c r="X707" s="89"/>
      <c r="Y707" s="89"/>
      <c r="Z707" s="89"/>
      <c r="AA707" s="89"/>
    </row>
    <row r="708" spans="1:27" ht="13.8">
      <c r="A708" s="89"/>
      <c r="B708" s="89"/>
      <c r="C708" s="89"/>
      <c r="D708" s="89"/>
      <c r="E708" s="89"/>
      <c r="F708" s="110"/>
      <c r="G708" s="89"/>
      <c r="H708" s="89"/>
      <c r="I708" s="89"/>
      <c r="J708" s="89"/>
      <c r="K708" s="89"/>
      <c r="L708" s="89"/>
      <c r="M708" s="89"/>
      <c r="N708" s="89"/>
      <c r="O708" s="89"/>
      <c r="P708" s="89"/>
      <c r="Q708" s="89"/>
      <c r="R708" s="89"/>
      <c r="S708" s="89"/>
      <c r="T708" s="89"/>
      <c r="U708" s="89"/>
      <c r="V708" s="89"/>
      <c r="W708" s="89"/>
      <c r="X708" s="89"/>
      <c r="Y708" s="89"/>
      <c r="Z708" s="89"/>
      <c r="AA708" s="89"/>
    </row>
    <row r="709" spans="1:27" ht="13.8">
      <c r="A709" s="89"/>
      <c r="B709" s="89"/>
      <c r="C709" s="89"/>
      <c r="D709" s="89"/>
      <c r="E709" s="89"/>
      <c r="F709" s="110"/>
      <c r="G709" s="89"/>
      <c r="H709" s="89"/>
      <c r="I709" s="89"/>
      <c r="J709" s="89"/>
      <c r="K709" s="89"/>
      <c r="L709" s="89"/>
      <c r="M709" s="89"/>
      <c r="N709" s="89"/>
      <c r="O709" s="89"/>
      <c r="P709" s="89"/>
      <c r="Q709" s="89"/>
      <c r="R709" s="89"/>
      <c r="S709" s="89"/>
      <c r="T709" s="89"/>
      <c r="U709" s="89"/>
      <c r="V709" s="89"/>
      <c r="W709" s="89"/>
      <c r="X709" s="89"/>
      <c r="Y709" s="89"/>
      <c r="Z709" s="89"/>
      <c r="AA709" s="89"/>
    </row>
    <row r="710" spans="1:27" ht="13.8">
      <c r="A710" s="89"/>
      <c r="B710" s="89"/>
      <c r="C710" s="89"/>
      <c r="D710" s="89"/>
      <c r="E710" s="89"/>
      <c r="F710" s="110"/>
      <c r="G710" s="89"/>
      <c r="H710" s="89"/>
      <c r="I710" s="89"/>
      <c r="J710" s="89"/>
      <c r="K710" s="89"/>
      <c r="L710" s="89"/>
      <c r="M710" s="89"/>
      <c r="N710" s="89"/>
      <c r="O710" s="89"/>
      <c r="P710" s="89"/>
      <c r="Q710" s="89"/>
      <c r="R710" s="89"/>
      <c r="S710" s="89"/>
      <c r="T710" s="89"/>
      <c r="U710" s="89"/>
      <c r="V710" s="89"/>
      <c r="W710" s="89"/>
      <c r="X710" s="89"/>
      <c r="Y710" s="89"/>
      <c r="Z710" s="89"/>
      <c r="AA710" s="89"/>
    </row>
    <row r="711" spans="1:27" ht="13.8">
      <c r="A711" s="89"/>
      <c r="B711" s="89"/>
      <c r="C711" s="89"/>
      <c r="D711" s="89"/>
      <c r="E711" s="89"/>
      <c r="F711" s="110"/>
      <c r="G711" s="89"/>
      <c r="H711" s="89"/>
      <c r="I711" s="89"/>
      <c r="J711" s="89"/>
      <c r="K711" s="89"/>
      <c r="L711" s="89"/>
      <c r="M711" s="89"/>
      <c r="N711" s="89"/>
      <c r="O711" s="89"/>
      <c r="P711" s="89"/>
      <c r="Q711" s="89"/>
      <c r="R711" s="89"/>
      <c r="S711" s="89"/>
      <c r="T711" s="89"/>
      <c r="U711" s="89"/>
      <c r="V711" s="89"/>
      <c r="W711" s="89"/>
      <c r="X711" s="89"/>
      <c r="Y711" s="89"/>
      <c r="Z711" s="89"/>
      <c r="AA711" s="89"/>
    </row>
    <row r="712" spans="1:27" ht="13.8">
      <c r="A712" s="89"/>
      <c r="B712" s="89"/>
      <c r="C712" s="89"/>
      <c r="D712" s="89"/>
      <c r="E712" s="89"/>
      <c r="F712" s="110"/>
      <c r="G712" s="89"/>
      <c r="H712" s="89"/>
      <c r="I712" s="89"/>
      <c r="J712" s="89"/>
      <c r="K712" s="89"/>
      <c r="L712" s="89"/>
      <c r="M712" s="89"/>
      <c r="N712" s="89"/>
      <c r="O712" s="89"/>
      <c r="P712" s="89"/>
      <c r="Q712" s="89"/>
      <c r="R712" s="89"/>
      <c r="S712" s="89"/>
      <c r="T712" s="89"/>
      <c r="U712" s="89"/>
      <c r="V712" s="89"/>
      <c r="W712" s="89"/>
      <c r="X712" s="89"/>
      <c r="Y712" s="89"/>
      <c r="Z712" s="89"/>
      <c r="AA712" s="89"/>
    </row>
    <row r="713" spans="1:27" ht="13.8">
      <c r="A713" s="89"/>
      <c r="B713" s="89"/>
      <c r="C713" s="89"/>
      <c r="D713" s="89"/>
      <c r="E713" s="89"/>
      <c r="F713" s="110"/>
      <c r="G713" s="89"/>
      <c r="H713" s="89"/>
      <c r="I713" s="89"/>
      <c r="J713" s="89"/>
      <c r="K713" s="89"/>
      <c r="L713" s="89"/>
      <c r="M713" s="89"/>
      <c r="N713" s="89"/>
      <c r="O713" s="89"/>
      <c r="P713" s="89"/>
      <c r="Q713" s="89"/>
      <c r="R713" s="89"/>
      <c r="S713" s="89"/>
      <c r="T713" s="89"/>
      <c r="U713" s="89"/>
      <c r="V713" s="89"/>
      <c r="W713" s="89"/>
      <c r="X713" s="89"/>
      <c r="Y713" s="89"/>
      <c r="Z713" s="89"/>
      <c r="AA713" s="89"/>
    </row>
    <row r="714" spans="1:27" ht="13.8">
      <c r="A714" s="89"/>
      <c r="B714" s="89"/>
      <c r="C714" s="89"/>
      <c r="D714" s="89"/>
      <c r="E714" s="89"/>
      <c r="F714" s="110"/>
      <c r="G714" s="89"/>
      <c r="H714" s="89"/>
      <c r="I714" s="89"/>
      <c r="J714" s="89"/>
      <c r="K714" s="89"/>
      <c r="L714" s="89"/>
      <c r="M714" s="89"/>
      <c r="N714" s="89"/>
      <c r="O714" s="89"/>
      <c r="P714" s="89"/>
      <c r="Q714" s="89"/>
      <c r="R714" s="89"/>
      <c r="S714" s="89"/>
      <c r="T714" s="89"/>
      <c r="U714" s="89"/>
      <c r="V714" s="89"/>
      <c r="W714" s="89"/>
      <c r="X714" s="89"/>
      <c r="Y714" s="89"/>
      <c r="Z714" s="89"/>
      <c r="AA714" s="89"/>
    </row>
    <row r="715" spans="1:27" ht="13.8">
      <c r="A715" s="89"/>
      <c r="B715" s="89"/>
      <c r="C715" s="89"/>
      <c r="D715" s="89"/>
      <c r="E715" s="89"/>
      <c r="F715" s="110"/>
      <c r="G715" s="89"/>
      <c r="H715" s="89"/>
      <c r="I715" s="89"/>
      <c r="J715" s="89"/>
      <c r="K715" s="89"/>
      <c r="L715" s="89"/>
      <c r="M715" s="89"/>
      <c r="N715" s="89"/>
      <c r="O715" s="89"/>
      <c r="P715" s="89"/>
      <c r="Q715" s="89"/>
      <c r="R715" s="89"/>
      <c r="S715" s="89"/>
      <c r="T715" s="89"/>
      <c r="U715" s="89"/>
      <c r="V715" s="89"/>
      <c r="W715" s="89"/>
      <c r="X715" s="89"/>
      <c r="Y715" s="89"/>
      <c r="Z715" s="89"/>
      <c r="AA715" s="89"/>
    </row>
    <row r="716" spans="1:27" ht="13.8">
      <c r="A716" s="89"/>
      <c r="B716" s="89"/>
      <c r="C716" s="89"/>
      <c r="D716" s="89"/>
      <c r="E716" s="89"/>
      <c r="F716" s="110"/>
      <c r="G716" s="89"/>
      <c r="H716" s="89"/>
      <c r="I716" s="89"/>
      <c r="J716" s="89"/>
      <c r="K716" s="89"/>
      <c r="L716" s="89"/>
      <c r="M716" s="89"/>
      <c r="N716" s="89"/>
      <c r="O716" s="89"/>
      <c r="P716" s="89"/>
      <c r="Q716" s="89"/>
      <c r="R716" s="89"/>
      <c r="S716" s="89"/>
      <c r="T716" s="89"/>
      <c r="U716" s="89"/>
      <c r="V716" s="89"/>
      <c r="W716" s="89"/>
      <c r="X716" s="89"/>
      <c r="Y716" s="89"/>
      <c r="Z716" s="89"/>
      <c r="AA716" s="89"/>
    </row>
    <row r="717" spans="1:27" ht="13.8">
      <c r="A717" s="89"/>
      <c r="B717" s="89"/>
      <c r="C717" s="89"/>
      <c r="D717" s="89"/>
      <c r="E717" s="89"/>
      <c r="F717" s="110"/>
      <c r="G717" s="89"/>
      <c r="H717" s="89"/>
      <c r="I717" s="89"/>
      <c r="J717" s="89"/>
      <c r="K717" s="89"/>
      <c r="L717" s="89"/>
      <c r="M717" s="89"/>
      <c r="N717" s="89"/>
      <c r="O717" s="89"/>
      <c r="P717" s="89"/>
      <c r="Q717" s="89"/>
      <c r="R717" s="89"/>
      <c r="S717" s="89"/>
      <c r="T717" s="89"/>
      <c r="U717" s="89"/>
      <c r="V717" s="89"/>
      <c r="W717" s="89"/>
      <c r="X717" s="89"/>
      <c r="Y717" s="89"/>
      <c r="Z717" s="89"/>
      <c r="AA717" s="89"/>
    </row>
    <row r="718" spans="1:27" ht="13.8">
      <c r="A718" s="89"/>
      <c r="B718" s="89"/>
      <c r="C718" s="89"/>
      <c r="D718" s="89"/>
      <c r="E718" s="89"/>
      <c r="F718" s="110"/>
      <c r="G718" s="89"/>
      <c r="H718" s="89"/>
      <c r="I718" s="89"/>
      <c r="J718" s="89"/>
      <c r="K718" s="89"/>
      <c r="L718" s="89"/>
      <c r="M718" s="89"/>
      <c r="N718" s="89"/>
      <c r="O718" s="89"/>
      <c r="P718" s="89"/>
      <c r="Q718" s="89"/>
      <c r="R718" s="89"/>
      <c r="S718" s="89"/>
      <c r="T718" s="89"/>
      <c r="U718" s="89"/>
      <c r="V718" s="89"/>
      <c r="W718" s="89"/>
      <c r="X718" s="89"/>
      <c r="Y718" s="89"/>
      <c r="Z718" s="89"/>
      <c r="AA718" s="89"/>
    </row>
    <row r="719" spans="1:27" ht="13.8">
      <c r="A719" s="89"/>
      <c r="B719" s="89"/>
      <c r="C719" s="89"/>
      <c r="D719" s="89"/>
      <c r="E719" s="89"/>
      <c r="F719" s="110"/>
      <c r="G719" s="89"/>
      <c r="H719" s="89"/>
      <c r="I719" s="89"/>
      <c r="J719" s="89"/>
      <c r="K719" s="89"/>
      <c r="L719" s="89"/>
      <c r="M719" s="89"/>
      <c r="N719" s="89"/>
      <c r="O719" s="89"/>
      <c r="P719" s="89"/>
      <c r="Q719" s="89"/>
      <c r="R719" s="89"/>
      <c r="S719" s="89"/>
      <c r="T719" s="89"/>
      <c r="U719" s="89"/>
      <c r="V719" s="89"/>
      <c r="W719" s="89"/>
      <c r="X719" s="89"/>
      <c r="Y719" s="89"/>
      <c r="Z719" s="89"/>
      <c r="AA719" s="89"/>
    </row>
    <row r="720" spans="1:27" ht="13.8">
      <c r="A720" s="89"/>
      <c r="B720" s="89"/>
      <c r="C720" s="89"/>
      <c r="D720" s="89"/>
      <c r="E720" s="89"/>
      <c r="F720" s="110"/>
      <c r="G720" s="89"/>
      <c r="H720" s="89"/>
      <c r="I720" s="89"/>
      <c r="J720" s="89"/>
      <c r="K720" s="89"/>
      <c r="L720" s="89"/>
      <c r="M720" s="89"/>
      <c r="N720" s="89"/>
      <c r="O720" s="89"/>
      <c r="P720" s="89"/>
      <c r="Q720" s="89"/>
      <c r="R720" s="89"/>
      <c r="S720" s="89"/>
      <c r="T720" s="89"/>
      <c r="U720" s="89"/>
      <c r="V720" s="89"/>
      <c r="W720" s="89"/>
      <c r="X720" s="89"/>
      <c r="Y720" s="89"/>
      <c r="Z720" s="89"/>
      <c r="AA720" s="89"/>
    </row>
    <row r="721" spans="1:27" ht="13.8">
      <c r="A721" s="89"/>
      <c r="B721" s="89"/>
      <c r="C721" s="89"/>
      <c r="D721" s="89"/>
      <c r="E721" s="89"/>
      <c r="F721" s="110"/>
      <c r="G721" s="89"/>
      <c r="H721" s="89"/>
      <c r="I721" s="89"/>
      <c r="J721" s="89"/>
      <c r="K721" s="89"/>
      <c r="L721" s="89"/>
      <c r="M721" s="89"/>
      <c r="N721" s="89"/>
      <c r="O721" s="89"/>
      <c r="P721" s="89"/>
      <c r="Q721" s="89"/>
      <c r="R721" s="89"/>
      <c r="S721" s="89"/>
      <c r="T721" s="89"/>
      <c r="U721" s="89"/>
      <c r="V721" s="89"/>
      <c r="W721" s="89"/>
      <c r="X721" s="89"/>
      <c r="Y721" s="89"/>
      <c r="Z721" s="89"/>
      <c r="AA721" s="89"/>
    </row>
    <row r="722" spans="1:27" ht="13.8">
      <c r="A722" s="89"/>
      <c r="B722" s="89"/>
      <c r="C722" s="89"/>
      <c r="D722" s="89"/>
      <c r="E722" s="89"/>
      <c r="F722" s="110"/>
      <c r="G722" s="89"/>
      <c r="H722" s="89"/>
      <c r="I722" s="89"/>
      <c r="J722" s="89"/>
      <c r="K722" s="89"/>
      <c r="L722" s="89"/>
      <c r="M722" s="89"/>
      <c r="N722" s="89"/>
      <c r="O722" s="89"/>
      <c r="P722" s="89"/>
      <c r="Q722" s="89"/>
      <c r="R722" s="89"/>
      <c r="S722" s="89"/>
      <c r="T722" s="89"/>
      <c r="U722" s="89"/>
      <c r="V722" s="89"/>
      <c r="W722" s="89"/>
      <c r="X722" s="89"/>
      <c r="Y722" s="89"/>
      <c r="Z722" s="89"/>
      <c r="AA722" s="89"/>
    </row>
    <row r="723" spans="1:27" ht="13.8">
      <c r="A723" s="89"/>
      <c r="B723" s="89"/>
      <c r="C723" s="89"/>
      <c r="D723" s="89"/>
      <c r="E723" s="89"/>
      <c r="F723" s="110"/>
      <c r="G723" s="89"/>
      <c r="H723" s="89"/>
      <c r="I723" s="89"/>
      <c r="J723" s="89"/>
      <c r="K723" s="89"/>
      <c r="L723" s="89"/>
      <c r="M723" s="89"/>
      <c r="N723" s="89"/>
      <c r="O723" s="89"/>
      <c r="P723" s="89"/>
      <c r="Q723" s="89"/>
      <c r="R723" s="89"/>
      <c r="S723" s="89"/>
      <c r="T723" s="89"/>
      <c r="U723" s="89"/>
      <c r="V723" s="89"/>
      <c r="W723" s="89"/>
      <c r="X723" s="89"/>
      <c r="Y723" s="89"/>
      <c r="Z723" s="89"/>
      <c r="AA723" s="89"/>
    </row>
    <row r="724" spans="1:27" ht="13.8">
      <c r="A724" s="89"/>
      <c r="B724" s="89"/>
      <c r="C724" s="89"/>
      <c r="D724" s="89"/>
      <c r="E724" s="89"/>
      <c r="F724" s="110"/>
      <c r="G724" s="89"/>
      <c r="H724" s="89"/>
      <c r="I724" s="89"/>
      <c r="J724" s="89"/>
      <c r="K724" s="89"/>
      <c r="L724" s="89"/>
      <c r="M724" s="89"/>
      <c r="N724" s="89"/>
      <c r="O724" s="89"/>
      <c r="P724" s="89"/>
      <c r="Q724" s="89"/>
      <c r="R724" s="89"/>
      <c r="S724" s="89"/>
      <c r="T724" s="89"/>
      <c r="U724" s="89"/>
      <c r="V724" s="89"/>
      <c r="W724" s="89"/>
      <c r="X724" s="89"/>
      <c r="Y724" s="89"/>
      <c r="Z724" s="89"/>
      <c r="AA724" s="89"/>
    </row>
    <row r="725" spans="1:27" ht="13.8">
      <c r="A725" s="89"/>
      <c r="B725" s="89"/>
      <c r="C725" s="89"/>
      <c r="D725" s="89"/>
      <c r="E725" s="89"/>
      <c r="F725" s="110"/>
      <c r="G725" s="89"/>
      <c r="H725" s="89"/>
      <c r="I725" s="89"/>
      <c r="J725" s="89"/>
      <c r="K725" s="89"/>
      <c r="L725" s="89"/>
      <c r="M725" s="89"/>
      <c r="N725" s="89"/>
      <c r="O725" s="89"/>
      <c r="P725" s="89"/>
      <c r="Q725" s="89"/>
      <c r="R725" s="89"/>
      <c r="S725" s="89"/>
      <c r="T725" s="89"/>
      <c r="U725" s="89"/>
      <c r="V725" s="89"/>
      <c r="W725" s="89"/>
      <c r="X725" s="89"/>
      <c r="Y725" s="89"/>
      <c r="Z725" s="89"/>
      <c r="AA725" s="89"/>
    </row>
    <row r="726" spans="1:27" ht="13.8">
      <c r="A726" s="89"/>
      <c r="B726" s="89"/>
      <c r="C726" s="89"/>
      <c r="D726" s="89"/>
      <c r="E726" s="89"/>
      <c r="F726" s="110"/>
      <c r="G726" s="89"/>
      <c r="H726" s="89"/>
      <c r="I726" s="89"/>
      <c r="J726" s="89"/>
      <c r="K726" s="89"/>
      <c r="L726" s="89"/>
      <c r="M726" s="89"/>
      <c r="N726" s="89"/>
      <c r="O726" s="89"/>
      <c r="P726" s="89"/>
      <c r="Q726" s="89"/>
      <c r="R726" s="89"/>
      <c r="S726" s="89"/>
      <c r="T726" s="89"/>
      <c r="U726" s="89"/>
      <c r="V726" s="89"/>
      <c r="W726" s="89"/>
      <c r="X726" s="89"/>
      <c r="Y726" s="89"/>
      <c r="Z726" s="89"/>
      <c r="AA726" s="89"/>
    </row>
    <row r="727" spans="1:27" ht="13.8">
      <c r="A727" s="89"/>
      <c r="B727" s="89"/>
      <c r="C727" s="89"/>
      <c r="D727" s="89"/>
      <c r="E727" s="89"/>
      <c r="F727" s="110"/>
      <c r="G727" s="89"/>
      <c r="H727" s="89"/>
      <c r="I727" s="89"/>
      <c r="J727" s="89"/>
      <c r="K727" s="89"/>
      <c r="L727" s="89"/>
      <c r="M727" s="89"/>
      <c r="N727" s="89"/>
      <c r="O727" s="89"/>
      <c r="P727" s="89"/>
      <c r="Q727" s="89"/>
      <c r="R727" s="89"/>
      <c r="S727" s="89"/>
      <c r="T727" s="89"/>
      <c r="U727" s="89"/>
      <c r="V727" s="89"/>
      <c r="W727" s="89"/>
      <c r="X727" s="89"/>
      <c r="Y727" s="89"/>
      <c r="Z727" s="89"/>
      <c r="AA727" s="89"/>
    </row>
    <row r="728" spans="1:27" ht="13.8">
      <c r="A728" s="89"/>
      <c r="B728" s="89"/>
      <c r="C728" s="89"/>
      <c r="D728" s="89"/>
      <c r="E728" s="89"/>
      <c r="F728" s="110"/>
      <c r="G728" s="89"/>
      <c r="H728" s="89"/>
      <c r="I728" s="89"/>
      <c r="J728" s="89"/>
      <c r="K728" s="89"/>
      <c r="L728" s="89"/>
      <c r="M728" s="89"/>
      <c r="N728" s="89"/>
      <c r="O728" s="89"/>
      <c r="P728" s="89"/>
      <c r="Q728" s="89"/>
      <c r="R728" s="89"/>
      <c r="S728" s="89"/>
      <c r="T728" s="89"/>
      <c r="U728" s="89"/>
      <c r="V728" s="89"/>
      <c r="W728" s="89"/>
      <c r="X728" s="89"/>
      <c r="Y728" s="89"/>
      <c r="Z728" s="89"/>
      <c r="AA728" s="89"/>
    </row>
    <row r="729" spans="1:27" ht="13.8">
      <c r="A729" s="89"/>
      <c r="B729" s="89"/>
      <c r="C729" s="89"/>
      <c r="D729" s="89"/>
      <c r="E729" s="89"/>
      <c r="F729" s="110"/>
      <c r="G729" s="89"/>
      <c r="H729" s="89"/>
      <c r="I729" s="89"/>
      <c r="J729" s="89"/>
      <c r="K729" s="89"/>
      <c r="L729" s="89"/>
      <c r="M729" s="89"/>
      <c r="N729" s="89"/>
      <c r="O729" s="89"/>
      <c r="P729" s="89"/>
      <c r="Q729" s="89"/>
      <c r="R729" s="89"/>
      <c r="S729" s="89"/>
      <c r="T729" s="89"/>
      <c r="U729" s="89"/>
      <c r="V729" s="89"/>
      <c r="W729" s="89"/>
      <c r="X729" s="89"/>
      <c r="Y729" s="89"/>
      <c r="Z729" s="89"/>
      <c r="AA729" s="89"/>
    </row>
    <row r="730" spans="1:27" ht="13.8">
      <c r="A730" s="89"/>
      <c r="B730" s="89"/>
      <c r="C730" s="89"/>
      <c r="D730" s="89"/>
      <c r="E730" s="89"/>
      <c r="F730" s="110"/>
      <c r="G730" s="89"/>
      <c r="H730" s="89"/>
      <c r="I730" s="89"/>
      <c r="J730" s="89"/>
      <c r="K730" s="89"/>
      <c r="L730" s="89"/>
      <c r="M730" s="89"/>
      <c r="N730" s="89"/>
      <c r="O730" s="89"/>
      <c r="P730" s="89"/>
      <c r="Q730" s="89"/>
      <c r="R730" s="89"/>
      <c r="S730" s="89"/>
      <c r="T730" s="89"/>
      <c r="U730" s="89"/>
      <c r="V730" s="89"/>
      <c r="W730" s="89"/>
      <c r="X730" s="89"/>
      <c r="Y730" s="89"/>
      <c r="Z730" s="89"/>
      <c r="AA730" s="89"/>
    </row>
    <row r="731" spans="1:27" ht="13.8">
      <c r="A731" s="89"/>
      <c r="B731" s="89"/>
      <c r="C731" s="89"/>
      <c r="D731" s="89"/>
      <c r="E731" s="89"/>
      <c r="F731" s="110"/>
      <c r="G731" s="89"/>
      <c r="H731" s="89"/>
      <c r="I731" s="89"/>
      <c r="J731" s="89"/>
      <c r="K731" s="89"/>
      <c r="L731" s="89"/>
      <c r="M731" s="89"/>
      <c r="N731" s="89"/>
      <c r="O731" s="89"/>
      <c r="P731" s="89"/>
      <c r="Q731" s="89"/>
      <c r="R731" s="89"/>
      <c r="S731" s="89"/>
      <c r="T731" s="89"/>
      <c r="U731" s="89"/>
      <c r="V731" s="89"/>
      <c r="W731" s="89"/>
      <c r="X731" s="89"/>
      <c r="Y731" s="89"/>
      <c r="Z731" s="89"/>
      <c r="AA731" s="89"/>
    </row>
    <row r="732" spans="1:27" ht="13.8">
      <c r="A732" s="89"/>
      <c r="B732" s="89"/>
      <c r="C732" s="89"/>
      <c r="D732" s="89"/>
      <c r="E732" s="89"/>
      <c r="F732" s="110"/>
      <c r="G732" s="89"/>
      <c r="H732" s="89"/>
      <c r="I732" s="89"/>
      <c r="J732" s="89"/>
      <c r="K732" s="89"/>
      <c r="L732" s="89"/>
      <c r="M732" s="89"/>
      <c r="N732" s="89"/>
      <c r="O732" s="89"/>
      <c r="P732" s="89"/>
      <c r="Q732" s="89"/>
      <c r="R732" s="89"/>
      <c r="S732" s="89"/>
      <c r="T732" s="89"/>
      <c r="U732" s="89"/>
      <c r="V732" s="89"/>
      <c r="W732" s="89"/>
      <c r="X732" s="89"/>
      <c r="Y732" s="89"/>
      <c r="Z732" s="89"/>
      <c r="AA732" s="89"/>
    </row>
    <row r="733" spans="1:27" ht="13.8">
      <c r="A733" s="89"/>
      <c r="B733" s="89"/>
      <c r="C733" s="89"/>
      <c r="D733" s="89"/>
      <c r="E733" s="89"/>
      <c r="F733" s="110"/>
      <c r="G733" s="89"/>
      <c r="H733" s="89"/>
      <c r="I733" s="89"/>
      <c r="J733" s="89"/>
      <c r="K733" s="89"/>
      <c r="L733" s="89"/>
      <c r="M733" s="89"/>
      <c r="N733" s="89"/>
      <c r="O733" s="89"/>
      <c r="P733" s="89"/>
      <c r="Q733" s="89"/>
      <c r="R733" s="89"/>
      <c r="S733" s="89"/>
      <c r="T733" s="89"/>
      <c r="U733" s="89"/>
      <c r="V733" s="89"/>
      <c r="W733" s="89"/>
      <c r="X733" s="89"/>
      <c r="Y733" s="89"/>
      <c r="Z733" s="89"/>
      <c r="AA733" s="89"/>
    </row>
    <row r="734" spans="1:27" ht="13.8">
      <c r="A734" s="89"/>
      <c r="B734" s="89"/>
      <c r="C734" s="89"/>
      <c r="D734" s="89"/>
      <c r="E734" s="89"/>
      <c r="F734" s="110"/>
      <c r="G734" s="89"/>
      <c r="H734" s="89"/>
      <c r="I734" s="89"/>
      <c r="J734" s="89"/>
      <c r="K734" s="89"/>
      <c r="L734" s="89"/>
      <c r="M734" s="89"/>
      <c r="N734" s="89"/>
      <c r="O734" s="89"/>
      <c r="P734" s="89"/>
      <c r="Q734" s="89"/>
      <c r="R734" s="89"/>
      <c r="S734" s="89"/>
      <c r="T734" s="89"/>
      <c r="U734" s="89"/>
      <c r="V734" s="89"/>
      <c r="W734" s="89"/>
      <c r="X734" s="89"/>
      <c r="Y734" s="89"/>
      <c r="Z734" s="89"/>
      <c r="AA734" s="89"/>
    </row>
    <row r="735" spans="1:27" ht="13.8">
      <c r="A735" s="89"/>
      <c r="B735" s="89"/>
      <c r="C735" s="89"/>
      <c r="D735" s="89"/>
      <c r="E735" s="89"/>
      <c r="F735" s="110"/>
      <c r="G735" s="89"/>
      <c r="H735" s="89"/>
      <c r="I735" s="89"/>
      <c r="J735" s="89"/>
      <c r="K735" s="89"/>
      <c r="L735" s="89"/>
      <c r="M735" s="89"/>
      <c r="N735" s="89"/>
      <c r="O735" s="89"/>
      <c r="P735" s="89"/>
      <c r="Q735" s="89"/>
      <c r="R735" s="89"/>
      <c r="S735" s="89"/>
      <c r="T735" s="89"/>
      <c r="U735" s="89"/>
      <c r="V735" s="89"/>
      <c r="W735" s="89"/>
      <c r="X735" s="89"/>
      <c r="Y735" s="89"/>
      <c r="Z735" s="89"/>
      <c r="AA735" s="89"/>
    </row>
    <row r="736" spans="1:27" ht="13.8">
      <c r="A736" s="89"/>
      <c r="B736" s="89"/>
      <c r="C736" s="89"/>
      <c r="D736" s="89"/>
      <c r="E736" s="89"/>
      <c r="F736" s="110"/>
      <c r="G736" s="89"/>
      <c r="H736" s="89"/>
      <c r="I736" s="89"/>
      <c r="J736" s="89"/>
      <c r="K736" s="89"/>
      <c r="L736" s="89"/>
      <c r="M736" s="89"/>
      <c r="N736" s="89"/>
      <c r="O736" s="89"/>
      <c r="P736" s="89"/>
      <c r="Q736" s="89"/>
      <c r="R736" s="89"/>
      <c r="S736" s="89"/>
      <c r="T736" s="89"/>
      <c r="U736" s="89"/>
      <c r="V736" s="89"/>
      <c r="W736" s="89"/>
      <c r="X736" s="89"/>
      <c r="Y736" s="89"/>
      <c r="Z736" s="89"/>
      <c r="AA736" s="89"/>
    </row>
    <row r="737" spans="1:27" ht="13.8">
      <c r="A737" s="89"/>
      <c r="B737" s="89"/>
      <c r="C737" s="89"/>
      <c r="D737" s="89"/>
      <c r="E737" s="89"/>
      <c r="F737" s="110"/>
      <c r="G737" s="89"/>
      <c r="H737" s="89"/>
      <c r="I737" s="89"/>
      <c r="J737" s="89"/>
      <c r="K737" s="89"/>
      <c r="L737" s="89"/>
      <c r="M737" s="89"/>
      <c r="N737" s="89"/>
      <c r="O737" s="89"/>
      <c r="P737" s="89"/>
      <c r="Q737" s="89"/>
      <c r="R737" s="89"/>
      <c r="S737" s="89"/>
      <c r="T737" s="89"/>
      <c r="U737" s="89"/>
      <c r="V737" s="89"/>
      <c r="W737" s="89"/>
      <c r="X737" s="89"/>
      <c r="Y737" s="89"/>
      <c r="Z737" s="89"/>
      <c r="AA737" s="89"/>
    </row>
    <row r="738" spans="1:27" ht="13.8">
      <c r="A738" s="89"/>
      <c r="B738" s="89"/>
      <c r="C738" s="89"/>
      <c r="D738" s="89"/>
      <c r="E738" s="89"/>
      <c r="F738" s="110"/>
      <c r="G738" s="89"/>
      <c r="H738" s="89"/>
      <c r="I738" s="89"/>
      <c r="J738" s="89"/>
      <c r="K738" s="89"/>
      <c r="L738" s="89"/>
      <c r="M738" s="89"/>
      <c r="N738" s="89"/>
      <c r="O738" s="89"/>
      <c r="P738" s="89"/>
      <c r="Q738" s="89"/>
      <c r="R738" s="89"/>
      <c r="S738" s="89"/>
      <c r="T738" s="89"/>
      <c r="U738" s="89"/>
      <c r="V738" s="89"/>
      <c r="W738" s="89"/>
      <c r="X738" s="89"/>
      <c r="Y738" s="89"/>
      <c r="Z738" s="89"/>
      <c r="AA738" s="89"/>
    </row>
    <row r="739" spans="1:27" ht="13.8">
      <c r="A739" s="89"/>
      <c r="B739" s="89"/>
      <c r="C739" s="89"/>
      <c r="D739" s="89"/>
      <c r="E739" s="89"/>
      <c r="F739" s="110"/>
      <c r="G739" s="89"/>
      <c r="H739" s="89"/>
      <c r="I739" s="89"/>
      <c r="J739" s="89"/>
      <c r="K739" s="89"/>
      <c r="L739" s="89"/>
      <c r="M739" s="89"/>
      <c r="N739" s="89"/>
      <c r="O739" s="89"/>
      <c r="P739" s="89"/>
      <c r="Q739" s="89"/>
      <c r="R739" s="89"/>
      <c r="S739" s="89"/>
      <c r="T739" s="89"/>
      <c r="U739" s="89"/>
      <c r="V739" s="89"/>
      <c r="W739" s="89"/>
      <c r="X739" s="89"/>
      <c r="Y739" s="89"/>
      <c r="Z739" s="89"/>
      <c r="AA739" s="89"/>
    </row>
    <row r="740" spans="1:27" ht="13.8">
      <c r="A740" s="89"/>
      <c r="B740" s="89"/>
      <c r="C740" s="89"/>
      <c r="D740" s="89"/>
      <c r="E740" s="89"/>
      <c r="F740" s="110"/>
      <c r="G740" s="89"/>
      <c r="H740" s="89"/>
      <c r="I740" s="89"/>
      <c r="J740" s="89"/>
      <c r="K740" s="89"/>
      <c r="L740" s="89"/>
      <c r="M740" s="89"/>
      <c r="N740" s="89"/>
      <c r="O740" s="89"/>
      <c r="P740" s="89"/>
      <c r="Q740" s="89"/>
      <c r="R740" s="89"/>
      <c r="S740" s="89"/>
      <c r="T740" s="89"/>
      <c r="U740" s="89"/>
      <c r="V740" s="89"/>
      <c r="W740" s="89"/>
      <c r="X740" s="89"/>
      <c r="Y740" s="89"/>
      <c r="Z740" s="89"/>
      <c r="AA740" s="89"/>
    </row>
    <row r="741" spans="1:27" ht="13.8">
      <c r="A741" s="89"/>
      <c r="B741" s="89"/>
      <c r="C741" s="89"/>
      <c r="D741" s="89"/>
      <c r="E741" s="89"/>
      <c r="F741" s="110"/>
      <c r="G741" s="89"/>
      <c r="H741" s="89"/>
      <c r="I741" s="89"/>
      <c r="J741" s="89"/>
      <c r="K741" s="89"/>
      <c r="L741" s="89"/>
      <c r="M741" s="89"/>
      <c r="N741" s="89"/>
      <c r="O741" s="89"/>
      <c r="P741" s="89"/>
      <c r="Q741" s="89"/>
      <c r="R741" s="89"/>
      <c r="S741" s="89"/>
      <c r="T741" s="89"/>
      <c r="U741" s="89"/>
      <c r="V741" s="89"/>
      <c r="W741" s="89"/>
      <c r="X741" s="89"/>
      <c r="Y741" s="89"/>
      <c r="Z741" s="89"/>
      <c r="AA741" s="89"/>
    </row>
    <row r="742" spans="1:27" ht="13.8">
      <c r="A742" s="89"/>
      <c r="B742" s="89"/>
      <c r="C742" s="89"/>
      <c r="D742" s="89"/>
      <c r="E742" s="89"/>
      <c r="F742" s="110"/>
      <c r="G742" s="89"/>
      <c r="H742" s="89"/>
      <c r="I742" s="89"/>
      <c r="J742" s="89"/>
      <c r="K742" s="89"/>
      <c r="L742" s="89"/>
      <c r="M742" s="89"/>
      <c r="N742" s="89"/>
      <c r="O742" s="89"/>
      <c r="P742" s="89"/>
      <c r="Q742" s="89"/>
      <c r="R742" s="89"/>
      <c r="S742" s="89"/>
      <c r="T742" s="89"/>
      <c r="U742" s="89"/>
      <c r="V742" s="89"/>
      <c r="W742" s="89"/>
      <c r="X742" s="89"/>
      <c r="Y742" s="89"/>
      <c r="Z742" s="89"/>
      <c r="AA742" s="89"/>
    </row>
    <row r="743" spans="1:27" ht="13.8">
      <c r="A743" s="89"/>
      <c r="B743" s="89"/>
      <c r="C743" s="89"/>
      <c r="D743" s="89"/>
      <c r="E743" s="89"/>
      <c r="F743" s="110"/>
      <c r="G743" s="89"/>
      <c r="H743" s="89"/>
      <c r="I743" s="89"/>
      <c r="J743" s="89"/>
      <c r="K743" s="89"/>
      <c r="L743" s="89"/>
      <c r="M743" s="89"/>
      <c r="N743" s="89"/>
      <c r="O743" s="89"/>
      <c r="P743" s="89"/>
      <c r="Q743" s="89"/>
      <c r="R743" s="89"/>
      <c r="S743" s="89"/>
      <c r="T743" s="89"/>
      <c r="U743" s="89"/>
      <c r="V743" s="89"/>
      <c r="W743" s="89"/>
      <c r="X743" s="89"/>
      <c r="Y743" s="89"/>
      <c r="Z743" s="89"/>
      <c r="AA743" s="89"/>
    </row>
    <row r="744" spans="1:27" ht="13.8">
      <c r="A744" s="89"/>
      <c r="B744" s="89"/>
      <c r="C744" s="89"/>
      <c r="D744" s="89"/>
      <c r="E744" s="89"/>
      <c r="F744" s="110"/>
      <c r="G744" s="89"/>
      <c r="H744" s="89"/>
      <c r="I744" s="89"/>
      <c r="J744" s="89"/>
      <c r="K744" s="89"/>
      <c r="L744" s="89"/>
      <c r="M744" s="89"/>
      <c r="N744" s="89"/>
      <c r="O744" s="89"/>
      <c r="P744" s="89"/>
      <c r="Q744" s="89"/>
      <c r="R744" s="89"/>
      <c r="S744" s="89"/>
      <c r="T744" s="89"/>
      <c r="U744" s="89"/>
      <c r="V744" s="89"/>
      <c r="W744" s="89"/>
      <c r="X744" s="89"/>
      <c r="Y744" s="89"/>
      <c r="Z744" s="89"/>
      <c r="AA744" s="89"/>
    </row>
    <row r="745" spans="1:27" ht="13.8">
      <c r="A745" s="89"/>
      <c r="B745" s="89"/>
      <c r="C745" s="89"/>
      <c r="D745" s="89"/>
      <c r="E745" s="89"/>
      <c r="F745" s="110"/>
      <c r="G745" s="89"/>
      <c r="H745" s="89"/>
      <c r="I745" s="89"/>
      <c r="J745" s="89"/>
      <c r="K745" s="89"/>
      <c r="L745" s="89"/>
      <c r="M745" s="89"/>
      <c r="N745" s="89"/>
      <c r="O745" s="89"/>
      <c r="P745" s="89"/>
      <c r="Q745" s="89"/>
      <c r="R745" s="89"/>
      <c r="S745" s="89"/>
      <c r="T745" s="89"/>
      <c r="U745" s="89"/>
      <c r="V745" s="89"/>
      <c r="W745" s="89"/>
      <c r="X745" s="89"/>
      <c r="Y745" s="89"/>
      <c r="Z745" s="89"/>
      <c r="AA745" s="89"/>
    </row>
    <row r="746" spans="1:27" ht="13.8">
      <c r="A746" s="89"/>
      <c r="B746" s="89"/>
      <c r="C746" s="89"/>
      <c r="D746" s="89"/>
      <c r="E746" s="89"/>
      <c r="F746" s="110"/>
      <c r="G746" s="89"/>
      <c r="H746" s="89"/>
      <c r="I746" s="89"/>
      <c r="J746" s="89"/>
      <c r="K746" s="89"/>
      <c r="L746" s="89"/>
      <c r="M746" s="89"/>
      <c r="N746" s="89"/>
      <c r="O746" s="89"/>
      <c r="P746" s="89"/>
      <c r="Q746" s="89"/>
      <c r="R746" s="89"/>
      <c r="S746" s="89"/>
      <c r="T746" s="89"/>
      <c r="U746" s="89"/>
      <c r="V746" s="89"/>
      <c r="W746" s="89"/>
      <c r="X746" s="89"/>
      <c r="Y746" s="89"/>
      <c r="Z746" s="89"/>
      <c r="AA746" s="89"/>
    </row>
    <row r="747" spans="1:27" ht="13.8">
      <c r="A747" s="89"/>
      <c r="B747" s="89"/>
      <c r="C747" s="89"/>
      <c r="D747" s="89"/>
      <c r="E747" s="89"/>
      <c r="F747" s="110"/>
      <c r="G747" s="89"/>
      <c r="H747" s="89"/>
      <c r="I747" s="89"/>
      <c r="J747" s="89"/>
      <c r="K747" s="89"/>
      <c r="L747" s="89"/>
      <c r="M747" s="89"/>
      <c r="N747" s="89"/>
      <c r="O747" s="89"/>
      <c r="P747" s="89"/>
      <c r="Q747" s="89"/>
      <c r="R747" s="89"/>
      <c r="S747" s="89"/>
      <c r="T747" s="89"/>
      <c r="U747" s="89"/>
      <c r="V747" s="89"/>
      <c r="W747" s="89"/>
      <c r="X747" s="89"/>
      <c r="Y747" s="89"/>
      <c r="Z747" s="89"/>
      <c r="AA747" s="89"/>
    </row>
    <row r="748" spans="1:27" ht="13.8">
      <c r="A748" s="89"/>
      <c r="B748" s="89"/>
      <c r="C748" s="89"/>
      <c r="D748" s="89"/>
      <c r="E748" s="89"/>
      <c r="F748" s="110"/>
      <c r="G748" s="89"/>
      <c r="H748" s="89"/>
      <c r="I748" s="89"/>
      <c r="J748" s="89"/>
      <c r="K748" s="89"/>
      <c r="L748" s="89"/>
      <c r="M748" s="89"/>
      <c r="N748" s="89"/>
      <c r="O748" s="89"/>
      <c r="P748" s="89"/>
      <c r="Q748" s="89"/>
      <c r="R748" s="89"/>
      <c r="S748" s="89"/>
      <c r="T748" s="89"/>
      <c r="U748" s="89"/>
      <c r="V748" s="89"/>
      <c r="W748" s="89"/>
      <c r="X748" s="89"/>
      <c r="Y748" s="89"/>
      <c r="Z748" s="89"/>
      <c r="AA748" s="89"/>
    </row>
    <row r="749" spans="1:27" ht="13.8">
      <c r="A749" s="89"/>
      <c r="B749" s="89"/>
      <c r="C749" s="89"/>
      <c r="D749" s="89"/>
      <c r="E749" s="89"/>
      <c r="F749" s="110"/>
      <c r="G749" s="89"/>
      <c r="H749" s="89"/>
      <c r="I749" s="89"/>
      <c r="J749" s="89"/>
      <c r="K749" s="89"/>
      <c r="L749" s="89"/>
      <c r="M749" s="89"/>
      <c r="N749" s="89"/>
      <c r="O749" s="89"/>
      <c r="P749" s="89"/>
      <c r="Q749" s="89"/>
      <c r="R749" s="89"/>
      <c r="S749" s="89"/>
      <c r="T749" s="89"/>
      <c r="U749" s="89"/>
      <c r="V749" s="89"/>
      <c r="W749" s="89"/>
      <c r="X749" s="89"/>
      <c r="Y749" s="89"/>
      <c r="Z749" s="89"/>
      <c r="AA749" s="89"/>
    </row>
    <row r="750" spans="1:27" ht="13.8">
      <c r="A750" s="89"/>
      <c r="B750" s="89"/>
      <c r="C750" s="89"/>
      <c r="D750" s="89"/>
      <c r="E750" s="89"/>
      <c r="F750" s="110"/>
      <c r="G750" s="89"/>
      <c r="H750" s="89"/>
      <c r="I750" s="89"/>
      <c r="J750" s="89"/>
      <c r="K750" s="89"/>
      <c r="L750" s="89"/>
      <c r="M750" s="89"/>
      <c r="N750" s="89"/>
      <c r="O750" s="89"/>
      <c r="P750" s="89"/>
      <c r="Q750" s="89"/>
      <c r="R750" s="89"/>
      <c r="S750" s="89"/>
      <c r="T750" s="89"/>
      <c r="U750" s="89"/>
      <c r="V750" s="89"/>
      <c r="W750" s="89"/>
      <c r="X750" s="89"/>
      <c r="Y750" s="89"/>
      <c r="Z750" s="89"/>
      <c r="AA750" s="89"/>
    </row>
    <row r="751" spans="1:27" ht="13.8">
      <c r="A751" s="89"/>
      <c r="B751" s="89"/>
      <c r="C751" s="89"/>
      <c r="D751" s="89"/>
      <c r="E751" s="89"/>
      <c r="F751" s="110"/>
      <c r="G751" s="89"/>
      <c r="H751" s="89"/>
      <c r="I751" s="89"/>
      <c r="J751" s="89"/>
      <c r="K751" s="89"/>
      <c r="L751" s="89"/>
      <c r="M751" s="89"/>
      <c r="N751" s="89"/>
      <c r="O751" s="89"/>
      <c r="P751" s="89"/>
      <c r="Q751" s="89"/>
      <c r="R751" s="89"/>
      <c r="S751" s="89"/>
      <c r="T751" s="89"/>
      <c r="U751" s="89"/>
      <c r="V751" s="89"/>
      <c r="W751" s="89"/>
      <c r="X751" s="89"/>
      <c r="Y751" s="89"/>
      <c r="Z751" s="89"/>
      <c r="AA751" s="89"/>
    </row>
    <row r="752" spans="1:27" ht="13.8">
      <c r="A752" s="89"/>
      <c r="B752" s="89"/>
      <c r="C752" s="89"/>
      <c r="D752" s="89"/>
      <c r="E752" s="89"/>
      <c r="F752" s="110"/>
      <c r="G752" s="89"/>
      <c r="H752" s="89"/>
      <c r="I752" s="89"/>
      <c r="J752" s="89"/>
      <c r="K752" s="89"/>
      <c r="L752" s="89"/>
      <c r="M752" s="89"/>
      <c r="N752" s="89"/>
      <c r="O752" s="89"/>
      <c r="P752" s="89"/>
      <c r="Q752" s="89"/>
      <c r="R752" s="89"/>
      <c r="S752" s="89"/>
      <c r="T752" s="89"/>
      <c r="U752" s="89"/>
      <c r="V752" s="89"/>
      <c r="W752" s="89"/>
      <c r="X752" s="89"/>
      <c r="Y752" s="89"/>
      <c r="Z752" s="89"/>
      <c r="AA752" s="89"/>
    </row>
    <row r="753" spans="1:27" ht="13.8">
      <c r="A753" s="89"/>
      <c r="B753" s="89"/>
      <c r="C753" s="89"/>
      <c r="D753" s="89"/>
      <c r="E753" s="89"/>
      <c r="F753" s="110"/>
      <c r="G753" s="89"/>
      <c r="H753" s="89"/>
      <c r="I753" s="89"/>
      <c r="J753" s="89"/>
      <c r="K753" s="89"/>
      <c r="L753" s="89"/>
      <c r="M753" s="89"/>
      <c r="N753" s="89"/>
      <c r="O753" s="89"/>
      <c r="P753" s="89"/>
      <c r="Q753" s="89"/>
      <c r="R753" s="89"/>
      <c r="S753" s="89"/>
      <c r="T753" s="89"/>
      <c r="U753" s="89"/>
      <c r="V753" s="89"/>
      <c r="W753" s="89"/>
      <c r="X753" s="89"/>
      <c r="Y753" s="89"/>
      <c r="Z753" s="89"/>
      <c r="AA753" s="89"/>
    </row>
    <row r="754" spans="1:27" ht="13.8">
      <c r="A754" s="89"/>
      <c r="B754" s="89"/>
      <c r="C754" s="89"/>
      <c r="D754" s="89"/>
      <c r="E754" s="89"/>
      <c r="F754" s="110"/>
      <c r="G754" s="89"/>
      <c r="H754" s="89"/>
      <c r="I754" s="89"/>
      <c r="J754" s="89"/>
      <c r="K754" s="89"/>
      <c r="L754" s="89"/>
      <c r="M754" s="89"/>
      <c r="N754" s="89"/>
      <c r="O754" s="89"/>
      <c r="P754" s="89"/>
      <c r="Q754" s="89"/>
      <c r="R754" s="89"/>
      <c r="S754" s="89"/>
      <c r="T754" s="89"/>
      <c r="U754" s="89"/>
      <c r="V754" s="89"/>
      <c r="W754" s="89"/>
      <c r="X754" s="89"/>
      <c r="Y754" s="89"/>
      <c r="Z754" s="89"/>
      <c r="AA754" s="89"/>
    </row>
    <row r="755" spans="1:27" ht="13.8">
      <c r="A755" s="89"/>
      <c r="B755" s="89"/>
      <c r="C755" s="89"/>
      <c r="D755" s="89"/>
      <c r="E755" s="89"/>
      <c r="F755" s="110"/>
      <c r="G755" s="89"/>
      <c r="H755" s="89"/>
      <c r="I755" s="89"/>
      <c r="J755" s="89"/>
      <c r="K755" s="89"/>
      <c r="L755" s="89"/>
      <c r="M755" s="89"/>
      <c r="N755" s="89"/>
      <c r="O755" s="89"/>
      <c r="P755" s="89"/>
      <c r="Q755" s="89"/>
      <c r="R755" s="89"/>
      <c r="S755" s="89"/>
      <c r="T755" s="89"/>
      <c r="U755" s="89"/>
      <c r="V755" s="89"/>
      <c r="W755" s="89"/>
      <c r="X755" s="89"/>
      <c r="Y755" s="89"/>
      <c r="Z755" s="89"/>
      <c r="AA755" s="89"/>
    </row>
    <row r="756" spans="1:27" ht="13.8">
      <c r="A756" s="89"/>
      <c r="B756" s="89"/>
      <c r="C756" s="89"/>
      <c r="D756" s="89"/>
      <c r="E756" s="89"/>
      <c r="F756" s="110"/>
      <c r="G756" s="89"/>
      <c r="H756" s="89"/>
      <c r="I756" s="89"/>
      <c r="J756" s="89"/>
      <c r="K756" s="89"/>
      <c r="L756" s="89"/>
      <c r="M756" s="89"/>
      <c r="N756" s="89"/>
      <c r="O756" s="89"/>
      <c r="P756" s="89"/>
      <c r="Q756" s="89"/>
      <c r="R756" s="89"/>
      <c r="S756" s="89"/>
      <c r="T756" s="89"/>
      <c r="U756" s="89"/>
      <c r="V756" s="89"/>
      <c r="W756" s="89"/>
      <c r="X756" s="89"/>
      <c r="Y756" s="89"/>
      <c r="Z756" s="89"/>
      <c r="AA756" s="89"/>
    </row>
    <row r="757" spans="1:27" ht="13.8">
      <c r="A757" s="89"/>
      <c r="B757" s="89"/>
      <c r="C757" s="89"/>
      <c r="D757" s="89"/>
      <c r="E757" s="89"/>
      <c r="F757" s="110"/>
      <c r="G757" s="89"/>
      <c r="H757" s="89"/>
      <c r="I757" s="89"/>
      <c r="J757" s="89"/>
      <c r="K757" s="89"/>
      <c r="L757" s="89"/>
      <c r="M757" s="89"/>
      <c r="N757" s="89"/>
      <c r="O757" s="89"/>
      <c r="P757" s="89"/>
      <c r="Q757" s="89"/>
      <c r="R757" s="89"/>
      <c r="S757" s="89"/>
      <c r="T757" s="89"/>
      <c r="U757" s="89"/>
      <c r="V757" s="89"/>
      <c r="W757" s="89"/>
      <c r="X757" s="89"/>
      <c r="Y757" s="89"/>
      <c r="Z757" s="89"/>
      <c r="AA757" s="89"/>
    </row>
    <row r="758" spans="1:27" ht="13.8">
      <c r="A758" s="89"/>
      <c r="B758" s="89"/>
      <c r="C758" s="89"/>
      <c r="D758" s="89"/>
      <c r="E758" s="89"/>
      <c r="F758" s="110"/>
      <c r="G758" s="89"/>
      <c r="H758" s="89"/>
      <c r="I758" s="89"/>
      <c r="J758" s="89"/>
      <c r="K758" s="89"/>
      <c r="L758" s="89"/>
      <c r="M758" s="89"/>
      <c r="N758" s="89"/>
      <c r="O758" s="89"/>
      <c r="P758" s="89"/>
      <c r="Q758" s="89"/>
      <c r="R758" s="89"/>
      <c r="S758" s="89"/>
      <c r="T758" s="89"/>
      <c r="U758" s="89"/>
      <c r="V758" s="89"/>
      <c r="W758" s="89"/>
      <c r="X758" s="89"/>
      <c r="Y758" s="89"/>
      <c r="Z758" s="89"/>
      <c r="AA758" s="89"/>
    </row>
    <row r="759" spans="1:27" ht="13.8">
      <c r="A759" s="89"/>
      <c r="B759" s="89"/>
      <c r="C759" s="89"/>
      <c r="D759" s="89"/>
      <c r="E759" s="89"/>
      <c r="F759" s="110"/>
      <c r="G759" s="89"/>
      <c r="H759" s="89"/>
      <c r="I759" s="89"/>
      <c r="J759" s="89"/>
      <c r="K759" s="89"/>
      <c r="L759" s="89"/>
      <c r="M759" s="89"/>
      <c r="N759" s="89"/>
      <c r="O759" s="89"/>
      <c r="P759" s="89"/>
      <c r="Q759" s="89"/>
      <c r="R759" s="89"/>
      <c r="S759" s="89"/>
      <c r="T759" s="89"/>
      <c r="U759" s="89"/>
      <c r="V759" s="89"/>
      <c r="W759" s="89"/>
      <c r="X759" s="89"/>
      <c r="Y759" s="89"/>
      <c r="Z759" s="89"/>
      <c r="AA759" s="89"/>
    </row>
    <row r="760" spans="1:27" ht="13.8">
      <c r="A760" s="89"/>
      <c r="B760" s="89"/>
      <c r="C760" s="89"/>
      <c r="D760" s="89"/>
      <c r="E760" s="89"/>
      <c r="F760" s="110"/>
      <c r="G760" s="89"/>
      <c r="H760" s="89"/>
      <c r="I760" s="89"/>
      <c r="J760" s="89"/>
      <c r="K760" s="89"/>
      <c r="L760" s="89"/>
      <c r="M760" s="89"/>
      <c r="N760" s="89"/>
      <c r="O760" s="89"/>
      <c r="P760" s="89"/>
      <c r="Q760" s="89"/>
      <c r="R760" s="89"/>
      <c r="S760" s="89"/>
      <c r="T760" s="89"/>
      <c r="U760" s="89"/>
      <c r="V760" s="89"/>
      <c r="W760" s="89"/>
      <c r="X760" s="89"/>
      <c r="Y760" s="89"/>
      <c r="Z760" s="89"/>
      <c r="AA760" s="89"/>
    </row>
    <row r="761" spans="1:27" ht="13.8">
      <c r="A761" s="89"/>
      <c r="B761" s="89"/>
      <c r="C761" s="89"/>
      <c r="D761" s="89"/>
      <c r="E761" s="89"/>
      <c r="F761" s="110"/>
      <c r="G761" s="89"/>
      <c r="H761" s="89"/>
      <c r="I761" s="89"/>
      <c r="J761" s="89"/>
      <c r="K761" s="89"/>
      <c r="L761" s="89"/>
      <c r="M761" s="89"/>
      <c r="N761" s="89"/>
      <c r="O761" s="89"/>
      <c r="P761" s="89"/>
      <c r="Q761" s="89"/>
      <c r="R761" s="89"/>
      <c r="S761" s="89"/>
      <c r="T761" s="89"/>
      <c r="U761" s="89"/>
      <c r="V761" s="89"/>
      <c r="W761" s="89"/>
      <c r="X761" s="89"/>
      <c r="Y761" s="89"/>
      <c r="Z761" s="89"/>
      <c r="AA761" s="89"/>
    </row>
    <row r="762" spans="1:27" ht="13.8">
      <c r="A762" s="89"/>
      <c r="B762" s="89"/>
      <c r="C762" s="89"/>
      <c r="D762" s="89"/>
      <c r="E762" s="89"/>
      <c r="F762" s="110"/>
      <c r="G762" s="89"/>
      <c r="H762" s="89"/>
      <c r="I762" s="89"/>
      <c r="J762" s="89"/>
      <c r="K762" s="89"/>
      <c r="L762" s="89"/>
      <c r="M762" s="89"/>
      <c r="N762" s="89"/>
      <c r="O762" s="89"/>
      <c r="P762" s="89"/>
      <c r="Q762" s="89"/>
      <c r="R762" s="89"/>
      <c r="S762" s="89"/>
      <c r="T762" s="89"/>
      <c r="U762" s="89"/>
      <c r="V762" s="89"/>
      <c r="W762" s="89"/>
      <c r="X762" s="89"/>
      <c r="Y762" s="89"/>
      <c r="Z762" s="89"/>
      <c r="AA762" s="89"/>
    </row>
    <row r="763" spans="1:27" ht="13.8">
      <c r="A763" s="89"/>
      <c r="B763" s="89"/>
      <c r="C763" s="89"/>
      <c r="D763" s="89"/>
      <c r="E763" s="89"/>
      <c r="F763" s="110"/>
      <c r="G763" s="89"/>
      <c r="H763" s="89"/>
      <c r="I763" s="89"/>
      <c r="J763" s="89"/>
      <c r="K763" s="89"/>
      <c r="L763" s="89"/>
      <c r="M763" s="89"/>
      <c r="N763" s="89"/>
      <c r="O763" s="89"/>
      <c r="P763" s="89"/>
      <c r="Q763" s="89"/>
      <c r="R763" s="89"/>
      <c r="S763" s="89"/>
      <c r="T763" s="89"/>
      <c r="U763" s="89"/>
      <c r="V763" s="89"/>
      <c r="W763" s="89"/>
      <c r="X763" s="89"/>
      <c r="Y763" s="89"/>
      <c r="Z763" s="89"/>
      <c r="AA763" s="89"/>
    </row>
    <row r="764" spans="1:27" ht="13.8">
      <c r="A764" s="89"/>
      <c r="B764" s="89"/>
      <c r="C764" s="89"/>
      <c r="D764" s="89"/>
      <c r="E764" s="89"/>
      <c r="F764" s="110"/>
      <c r="G764" s="89"/>
      <c r="H764" s="89"/>
      <c r="I764" s="89"/>
      <c r="J764" s="89"/>
      <c r="K764" s="89"/>
      <c r="L764" s="89"/>
      <c r="M764" s="89"/>
      <c r="N764" s="89"/>
      <c r="O764" s="89"/>
      <c r="P764" s="89"/>
      <c r="Q764" s="89"/>
      <c r="R764" s="89"/>
      <c r="S764" s="89"/>
      <c r="T764" s="89"/>
      <c r="U764" s="89"/>
      <c r="V764" s="89"/>
      <c r="W764" s="89"/>
      <c r="X764" s="89"/>
      <c r="Y764" s="89"/>
      <c r="Z764" s="89"/>
      <c r="AA764" s="89"/>
    </row>
    <row r="765" spans="1:27" ht="13.8">
      <c r="A765" s="89"/>
      <c r="B765" s="89"/>
      <c r="C765" s="89"/>
      <c r="D765" s="89"/>
      <c r="E765" s="89"/>
      <c r="F765" s="110"/>
      <c r="G765" s="89"/>
      <c r="H765" s="89"/>
      <c r="I765" s="89"/>
      <c r="J765" s="89"/>
      <c r="K765" s="89"/>
      <c r="L765" s="89"/>
      <c r="M765" s="89"/>
      <c r="N765" s="89"/>
      <c r="O765" s="89"/>
      <c r="P765" s="89"/>
      <c r="Q765" s="89"/>
      <c r="R765" s="89"/>
      <c r="S765" s="89"/>
      <c r="T765" s="89"/>
      <c r="U765" s="89"/>
      <c r="V765" s="89"/>
      <c r="W765" s="89"/>
      <c r="X765" s="89"/>
      <c r="Y765" s="89"/>
      <c r="Z765" s="89"/>
      <c r="AA765" s="89"/>
    </row>
    <row r="766" spans="1:27" ht="13.8">
      <c r="A766" s="89"/>
      <c r="B766" s="89"/>
      <c r="C766" s="89"/>
      <c r="D766" s="89"/>
      <c r="E766" s="89"/>
      <c r="F766" s="110"/>
      <c r="G766" s="89"/>
      <c r="H766" s="89"/>
      <c r="I766" s="89"/>
      <c r="J766" s="89"/>
      <c r="K766" s="89"/>
      <c r="L766" s="89"/>
      <c r="M766" s="89"/>
      <c r="N766" s="89"/>
      <c r="O766" s="89"/>
      <c r="P766" s="89"/>
      <c r="Q766" s="89"/>
      <c r="R766" s="89"/>
      <c r="S766" s="89"/>
      <c r="T766" s="89"/>
      <c r="U766" s="89"/>
      <c r="V766" s="89"/>
      <c r="W766" s="89"/>
      <c r="X766" s="89"/>
      <c r="Y766" s="89"/>
      <c r="Z766" s="89"/>
      <c r="AA766" s="89"/>
    </row>
    <row r="767" spans="1:27" ht="13.8">
      <c r="A767" s="89"/>
      <c r="B767" s="89"/>
      <c r="C767" s="89"/>
      <c r="D767" s="89"/>
      <c r="E767" s="89"/>
      <c r="F767" s="110"/>
      <c r="G767" s="89"/>
      <c r="H767" s="89"/>
      <c r="I767" s="89"/>
      <c r="J767" s="89"/>
      <c r="K767" s="89"/>
      <c r="L767" s="89"/>
      <c r="M767" s="89"/>
      <c r="N767" s="89"/>
      <c r="O767" s="89"/>
      <c r="P767" s="89"/>
      <c r="Q767" s="89"/>
      <c r="R767" s="89"/>
      <c r="S767" s="89"/>
      <c r="T767" s="89"/>
      <c r="U767" s="89"/>
      <c r="V767" s="89"/>
      <c r="W767" s="89"/>
      <c r="X767" s="89"/>
      <c r="Y767" s="89"/>
      <c r="Z767" s="89"/>
      <c r="AA767" s="89"/>
    </row>
    <row r="768" spans="1:27" ht="13.8">
      <c r="A768" s="89"/>
      <c r="B768" s="89"/>
      <c r="C768" s="89"/>
      <c r="D768" s="89"/>
      <c r="E768" s="89"/>
      <c r="F768" s="110"/>
      <c r="G768" s="89"/>
      <c r="H768" s="89"/>
      <c r="I768" s="89"/>
      <c r="J768" s="89"/>
      <c r="K768" s="89"/>
      <c r="L768" s="89"/>
      <c r="M768" s="89"/>
      <c r="N768" s="89"/>
      <c r="O768" s="89"/>
      <c r="P768" s="89"/>
      <c r="Q768" s="89"/>
      <c r="R768" s="89"/>
      <c r="S768" s="89"/>
      <c r="T768" s="89"/>
      <c r="U768" s="89"/>
      <c r="V768" s="89"/>
      <c r="W768" s="89"/>
      <c r="X768" s="89"/>
      <c r="Y768" s="89"/>
      <c r="Z768" s="89"/>
      <c r="AA768" s="89"/>
    </row>
    <row r="769" spans="1:27" ht="13.8">
      <c r="A769" s="89"/>
      <c r="B769" s="89"/>
      <c r="C769" s="89"/>
      <c r="D769" s="89"/>
      <c r="E769" s="89"/>
      <c r="F769" s="110"/>
      <c r="G769" s="89"/>
      <c r="H769" s="89"/>
      <c r="I769" s="89"/>
      <c r="J769" s="89"/>
      <c r="K769" s="89"/>
      <c r="L769" s="89"/>
      <c r="M769" s="89"/>
      <c r="N769" s="89"/>
      <c r="O769" s="89"/>
      <c r="P769" s="89"/>
      <c r="Q769" s="89"/>
      <c r="R769" s="89"/>
      <c r="S769" s="89"/>
      <c r="T769" s="89"/>
      <c r="U769" s="89"/>
      <c r="V769" s="89"/>
      <c r="W769" s="89"/>
      <c r="X769" s="89"/>
      <c r="Y769" s="89"/>
      <c r="Z769" s="89"/>
      <c r="AA769" s="89"/>
    </row>
    <row r="770" spans="1:27" ht="13.8">
      <c r="A770" s="89"/>
      <c r="B770" s="89"/>
      <c r="C770" s="89"/>
      <c r="D770" s="89"/>
      <c r="E770" s="89"/>
      <c r="F770" s="110"/>
      <c r="G770" s="89"/>
      <c r="H770" s="89"/>
      <c r="I770" s="89"/>
      <c r="J770" s="89"/>
      <c r="K770" s="89"/>
      <c r="L770" s="89"/>
      <c r="M770" s="89"/>
      <c r="N770" s="89"/>
      <c r="O770" s="89"/>
      <c r="P770" s="89"/>
      <c r="Q770" s="89"/>
      <c r="R770" s="89"/>
      <c r="S770" s="89"/>
      <c r="T770" s="89"/>
      <c r="U770" s="89"/>
      <c r="V770" s="89"/>
      <c r="W770" s="89"/>
      <c r="X770" s="89"/>
      <c r="Y770" s="89"/>
      <c r="Z770" s="89"/>
      <c r="AA770" s="89"/>
    </row>
    <row r="771" spans="1:27" ht="13.8">
      <c r="A771" s="89"/>
      <c r="B771" s="89"/>
      <c r="C771" s="89"/>
      <c r="D771" s="89"/>
      <c r="E771" s="89"/>
      <c r="F771" s="110"/>
      <c r="G771" s="89"/>
      <c r="H771" s="89"/>
      <c r="I771" s="89"/>
      <c r="J771" s="89"/>
      <c r="K771" s="89"/>
      <c r="L771" s="89"/>
      <c r="M771" s="89"/>
      <c r="N771" s="89"/>
      <c r="O771" s="89"/>
      <c r="P771" s="89"/>
      <c r="Q771" s="89"/>
      <c r="R771" s="89"/>
      <c r="S771" s="89"/>
      <c r="T771" s="89"/>
      <c r="U771" s="89"/>
      <c r="V771" s="89"/>
      <c r="W771" s="89"/>
      <c r="X771" s="89"/>
      <c r="Y771" s="89"/>
      <c r="Z771" s="89"/>
      <c r="AA771" s="89"/>
    </row>
    <row r="772" spans="1:27" ht="13.8">
      <c r="A772" s="89"/>
      <c r="B772" s="89"/>
      <c r="C772" s="89"/>
      <c r="D772" s="89"/>
      <c r="E772" s="89"/>
      <c r="F772" s="110"/>
      <c r="G772" s="89"/>
      <c r="H772" s="89"/>
      <c r="I772" s="89"/>
      <c r="J772" s="89"/>
      <c r="K772" s="89"/>
      <c r="L772" s="89"/>
      <c r="M772" s="89"/>
      <c r="N772" s="89"/>
      <c r="O772" s="89"/>
      <c r="P772" s="89"/>
      <c r="Q772" s="89"/>
      <c r="R772" s="89"/>
      <c r="S772" s="89"/>
      <c r="T772" s="89"/>
      <c r="U772" s="89"/>
      <c r="V772" s="89"/>
      <c r="W772" s="89"/>
      <c r="X772" s="89"/>
      <c r="Y772" s="89"/>
      <c r="Z772" s="89"/>
      <c r="AA772" s="89"/>
    </row>
    <row r="773" spans="1:27" ht="13.8">
      <c r="A773" s="89"/>
      <c r="B773" s="89"/>
      <c r="C773" s="89"/>
      <c r="D773" s="89"/>
      <c r="E773" s="89"/>
      <c r="F773" s="110"/>
      <c r="G773" s="89"/>
      <c r="H773" s="89"/>
      <c r="I773" s="89"/>
      <c r="J773" s="89"/>
      <c r="K773" s="89"/>
      <c r="L773" s="89"/>
      <c r="M773" s="89"/>
      <c r="N773" s="89"/>
      <c r="O773" s="89"/>
      <c r="P773" s="89"/>
      <c r="Q773" s="89"/>
      <c r="R773" s="89"/>
      <c r="S773" s="89"/>
      <c r="T773" s="89"/>
      <c r="U773" s="89"/>
      <c r="V773" s="89"/>
      <c r="W773" s="89"/>
      <c r="X773" s="89"/>
      <c r="Y773" s="89"/>
      <c r="Z773" s="89"/>
      <c r="AA773" s="89"/>
    </row>
    <row r="774" spans="1:27" ht="13.8">
      <c r="A774" s="89"/>
      <c r="B774" s="89"/>
      <c r="C774" s="89"/>
      <c r="D774" s="89"/>
      <c r="E774" s="89"/>
      <c r="F774" s="110"/>
      <c r="G774" s="89"/>
      <c r="H774" s="89"/>
      <c r="I774" s="89"/>
      <c r="J774" s="89"/>
      <c r="K774" s="89"/>
      <c r="L774" s="89"/>
      <c r="M774" s="89"/>
      <c r="N774" s="89"/>
      <c r="O774" s="89"/>
      <c r="P774" s="89"/>
      <c r="Q774" s="89"/>
      <c r="R774" s="89"/>
      <c r="S774" s="89"/>
      <c r="T774" s="89"/>
      <c r="U774" s="89"/>
      <c r="V774" s="89"/>
      <c r="W774" s="89"/>
      <c r="X774" s="89"/>
      <c r="Y774" s="89"/>
      <c r="Z774" s="89"/>
      <c r="AA774" s="89"/>
    </row>
    <row r="775" spans="1:27" ht="13.8">
      <c r="A775" s="89"/>
      <c r="B775" s="89"/>
      <c r="C775" s="89"/>
      <c r="D775" s="89"/>
      <c r="E775" s="89"/>
      <c r="F775" s="110"/>
      <c r="G775" s="89"/>
      <c r="H775" s="89"/>
      <c r="I775" s="89"/>
      <c r="J775" s="89"/>
      <c r="K775" s="89"/>
      <c r="L775" s="89"/>
      <c r="M775" s="89"/>
      <c r="N775" s="89"/>
      <c r="O775" s="89"/>
      <c r="P775" s="89"/>
      <c r="Q775" s="89"/>
      <c r="R775" s="89"/>
      <c r="S775" s="89"/>
      <c r="T775" s="89"/>
      <c r="U775" s="89"/>
      <c r="V775" s="89"/>
      <c r="W775" s="89"/>
      <c r="X775" s="89"/>
      <c r="Y775" s="89"/>
      <c r="Z775" s="89"/>
      <c r="AA775" s="89"/>
    </row>
    <row r="776" spans="1:27" ht="13.8">
      <c r="A776" s="89"/>
      <c r="B776" s="89"/>
      <c r="C776" s="89"/>
      <c r="D776" s="89"/>
      <c r="E776" s="89"/>
      <c r="F776" s="110"/>
      <c r="G776" s="89"/>
      <c r="H776" s="89"/>
      <c r="I776" s="89"/>
      <c r="J776" s="89"/>
      <c r="K776" s="89"/>
      <c r="L776" s="89"/>
      <c r="M776" s="89"/>
      <c r="N776" s="89"/>
      <c r="O776" s="89"/>
      <c r="P776" s="89"/>
      <c r="Q776" s="89"/>
      <c r="R776" s="89"/>
      <c r="S776" s="89"/>
      <c r="T776" s="89"/>
      <c r="U776" s="89"/>
      <c r="V776" s="89"/>
      <c r="W776" s="89"/>
      <c r="X776" s="89"/>
      <c r="Y776" s="89"/>
      <c r="Z776" s="89"/>
      <c r="AA776" s="89"/>
    </row>
    <row r="777" spans="1:27" ht="13.8">
      <c r="A777" s="89"/>
      <c r="B777" s="89"/>
      <c r="C777" s="89"/>
      <c r="D777" s="89"/>
      <c r="E777" s="89"/>
      <c r="F777" s="110"/>
      <c r="G777" s="89"/>
      <c r="H777" s="89"/>
      <c r="I777" s="89"/>
      <c r="J777" s="89"/>
      <c r="K777" s="89"/>
      <c r="L777" s="89"/>
      <c r="M777" s="89"/>
      <c r="N777" s="89"/>
      <c r="O777" s="89"/>
      <c r="P777" s="89"/>
      <c r="Q777" s="89"/>
      <c r="R777" s="89"/>
      <c r="S777" s="89"/>
      <c r="T777" s="89"/>
      <c r="U777" s="89"/>
      <c r="V777" s="89"/>
      <c r="W777" s="89"/>
      <c r="X777" s="89"/>
      <c r="Y777" s="89"/>
      <c r="Z777" s="89"/>
      <c r="AA777" s="89"/>
    </row>
    <row r="778" spans="1:27" ht="13.8">
      <c r="A778" s="89"/>
      <c r="B778" s="89"/>
      <c r="C778" s="89"/>
      <c r="D778" s="89"/>
      <c r="E778" s="89"/>
      <c r="F778" s="110"/>
      <c r="G778" s="89"/>
      <c r="H778" s="89"/>
      <c r="I778" s="89"/>
      <c r="J778" s="89"/>
      <c r="K778" s="89"/>
      <c r="L778" s="89"/>
      <c r="M778" s="89"/>
      <c r="N778" s="89"/>
      <c r="O778" s="89"/>
      <c r="P778" s="89"/>
      <c r="Q778" s="89"/>
      <c r="R778" s="89"/>
      <c r="S778" s="89"/>
      <c r="T778" s="89"/>
      <c r="U778" s="89"/>
      <c r="V778" s="89"/>
      <c r="W778" s="89"/>
      <c r="X778" s="89"/>
      <c r="Y778" s="89"/>
      <c r="Z778" s="89"/>
      <c r="AA778" s="89"/>
    </row>
    <row r="779" spans="1:27" ht="13.8">
      <c r="A779" s="89"/>
      <c r="B779" s="89"/>
      <c r="C779" s="89"/>
      <c r="D779" s="89"/>
      <c r="E779" s="89"/>
      <c r="F779" s="110"/>
      <c r="G779" s="89"/>
      <c r="H779" s="89"/>
      <c r="I779" s="89"/>
      <c r="J779" s="89"/>
      <c r="K779" s="89"/>
      <c r="L779" s="89"/>
      <c r="M779" s="89"/>
      <c r="N779" s="89"/>
      <c r="O779" s="89"/>
      <c r="P779" s="89"/>
      <c r="Q779" s="89"/>
      <c r="R779" s="89"/>
      <c r="S779" s="89"/>
      <c r="T779" s="89"/>
      <c r="U779" s="89"/>
      <c r="V779" s="89"/>
      <c r="W779" s="89"/>
      <c r="X779" s="89"/>
      <c r="Y779" s="89"/>
      <c r="Z779" s="89"/>
      <c r="AA779" s="89"/>
    </row>
    <row r="780" spans="1:27" ht="13.8">
      <c r="A780" s="89"/>
      <c r="B780" s="89"/>
      <c r="C780" s="89"/>
      <c r="D780" s="89"/>
      <c r="E780" s="89"/>
      <c r="F780" s="110"/>
      <c r="G780" s="89"/>
      <c r="H780" s="89"/>
      <c r="I780" s="89"/>
      <c r="J780" s="89"/>
      <c r="K780" s="89"/>
      <c r="L780" s="89"/>
      <c r="M780" s="89"/>
      <c r="N780" s="89"/>
      <c r="O780" s="89"/>
      <c r="P780" s="89"/>
      <c r="Q780" s="89"/>
      <c r="R780" s="89"/>
      <c r="S780" s="89"/>
      <c r="T780" s="89"/>
      <c r="U780" s="89"/>
      <c r="V780" s="89"/>
      <c r="W780" s="89"/>
      <c r="X780" s="89"/>
      <c r="Y780" s="89"/>
      <c r="Z780" s="89"/>
      <c r="AA780" s="89"/>
    </row>
    <row r="781" spans="1:27" ht="13.8">
      <c r="A781" s="89"/>
      <c r="B781" s="89"/>
      <c r="C781" s="89"/>
      <c r="D781" s="89"/>
      <c r="E781" s="89"/>
      <c r="F781" s="110"/>
      <c r="G781" s="89"/>
      <c r="H781" s="89"/>
      <c r="I781" s="89"/>
      <c r="J781" s="89"/>
      <c r="K781" s="89"/>
      <c r="L781" s="89"/>
      <c r="M781" s="89"/>
      <c r="N781" s="89"/>
      <c r="O781" s="89"/>
      <c r="P781" s="89"/>
      <c r="Q781" s="89"/>
      <c r="R781" s="89"/>
      <c r="S781" s="89"/>
      <c r="T781" s="89"/>
      <c r="U781" s="89"/>
      <c r="V781" s="89"/>
      <c r="W781" s="89"/>
      <c r="X781" s="89"/>
      <c r="Y781" s="89"/>
      <c r="Z781" s="89"/>
      <c r="AA781" s="89"/>
    </row>
    <row r="782" spans="1:27" ht="13.8">
      <c r="A782" s="89"/>
      <c r="B782" s="89"/>
      <c r="C782" s="89"/>
      <c r="D782" s="89"/>
      <c r="E782" s="89"/>
      <c r="F782" s="110"/>
      <c r="G782" s="89"/>
      <c r="H782" s="89"/>
      <c r="I782" s="89"/>
      <c r="J782" s="89"/>
      <c r="K782" s="89"/>
      <c r="L782" s="89"/>
      <c r="M782" s="89"/>
      <c r="N782" s="89"/>
      <c r="O782" s="89"/>
      <c r="P782" s="89"/>
      <c r="Q782" s="89"/>
      <c r="R782" s="89"/>
      <c r="S782" s="89"/>
      <c r="T782" s="89"/>
      <c r="U782" s="89"/>
      <c r="V782" s="89"/>
      <c r="W782" s="89"/>
      <c r="X782" s="89"/>
      <c r="Y782" s="89"/>
      <c r="Z782" s="89"/>
      <c r="AA782" s="89"/>
    </row>
    <row r="783" spans="1:27" ht="13.8">
      <c r="A783" s="89"/>
      <c r="B783" s="89"/>
      <c r="C783" s="89"/>
      <c r="D783" s="89"/>
      <c r="E783" s="89"/>
      <c r="F783" s="110"/>
      <c r="G783" s="89"/>
      <c r="H783" s="89"/>
      <c r="I783" s="89"/>
      <c r="J783" s="89"/>
      <c r="K783" s="89"/>
      <c r="L783" s="89"/>
      <c r="M783" s="89"/>
      <c r="N783" s="89"/>
      <c r="O783" s="89"/>
      <c r="P783" s="89"/>
      <c r="Q783" s="89"/>
      <c r="R783" s="89"/>
      <c r="S783" s="89"/>
      <c r="T783" s="89"/>
      <c r="U783" s="89"/>
      <c r="V783" s="89"/>
      <c r="W783" s="89"/>
      <c r="X783" s="89"/>
      <c r="Y783" s="89"/>
      <c r="Z783" s="89"/>
      <c r="AA783" s="89"/>
    </row>
    <row r="784" spans="1:27" ht="13.8">
      <c r="A784" s="89"/>
      <c r="B784" s="89"/>
      <c r="C784" s="89"/>
      <c r="D784" s="89"/>
      <c r="E784" s="89"/>
      <c r="F784" s="110"/>
      <c r="G784" s="89"/>
      <c r="H784" s="89"/>
      <c r="I784" s="89"/>
      <c r="J784" s="89"/>
      <c r="K784" s="89"/>
      <c r="L784" s="89"/>
      <c r="M784" s="89"/>
      <c r="N784" s="89"/>
      <c r="O784" s="89"/>
      <c r="P784" s="89"/>
      <c r="Q784" s="89"/>
      <c r="R784" s="89"/>
      <c r="S784" s="89"/>
      <c r="T784" s="89"/>
      <c r="U784" s="89"/>
      <c r="V784" s="89"/>
      <c r="W784" s="89"/>
      <c r="X784" s="89"/>
      <c r="Y784" s="89"/>
      <c r="Z784" s="89"/>
      <c r="AA784" s="89"/>
    </row>
    <row r="785" spans="1:27" ht="13.8">
      <c r="A785" s="89"/>
      <c r="B785" s="89"/>
      <c r="C785" s="89"/>
      <c r="D785" s="89"/>
      <c r="E785" s="89"/>
      <c r="F785" s="110"/>
      <c r="G785" s="89"/>
      <c r="H785" s="89"/>
      <c r="I785" s="89"/>
      <c r="J785" s="89"/>
      <c r="K785" s="89"/>
      <c r="L785" s="89"/>
      <c r="M785" s="89"/>
      <c r="N785" s="89"/>
      <c r="O785" s="89"/>
      <c r="P785" s="89"/>
      <c r="Q785" s="89"/>
      <c r="R785" s="89"/>
      <c r="S785" s="89"/>
      <c r="T785" s="89"/>
      <c r="U785" s="89"/>
      <c r="V785" s="89"/>
      <c r="W785" s="89"/>
      <c r="X785" s="89"/>
      <c r="Y785" s="89"/>
      <c r="Z785" s="89"/>
      <c r="AA785" s="89"/>
    </row>
    <row r="786" spans="1:27" ht="13.8">
      <c r="A786" s="89"/>
      <c r="B786" s="89"/>
      <c r="C786" s="89"/>
      <c r="D786" s="89"/>
      <c r="E786" s="89"/>
      <c r="F786" s="110"/>
      <c r="G786" s="89"/>
      <c r="H786" s="89"/>
      <c r="I786" s="89"/>
      <c r="J786" s="89"/>
      <c r="K786" s="89"/>
      <c r="L786" s="89"/>
      <c r="M786" s="89"/>
      <c r="N786" s="89"/>
      <c r="O786" s="89"/>
      <c r="P786" s="89"/>
      <c r="Q786" s="89"/>
      <c r="R786" s="89"/>
      <c r="S786" s="89"/>
      <c r="T786" s="89"/>
      <c r="U786" s="89"/>
      <c r="V786" s="89"/>
      <c r="W786" s="89"/>
      <c r="X786" s="89"/>
      <c r="Y786" s="89"/>
      <c r="Z786" s="89"/>
      <c r="AA786" s="89"/>
    </row>
    <row r="787" spans="1:27" ht="13.8">
      <c r="A787" s="89"/>
      <c r="B787" s="89"/>
      <c r="C787" s="89"/>
      <c r="D787" s="89"/>
      <c r="E787" s="89"/>
      <c r="F787" s="110"/>
      <c r="G787" s="89"/>
      <c r="H787" s="89"/>
      <c r="I787" s="89"/>
      <c r="J787" s="89"/>
      <c r="K787" s="89"/>
      <c r="L787" s="89"/>
      <c r="M787" s="89"/>
      <c r="N787" s="89"/>
      <c r="O787" s="89"/>
      <c r="P787" s="89"/>
      <c r="Q787" s="89"/>
      <c r="R787" s="89"/>
      <c r="S787" s="89"/>
      <c r="T787" s="89"/>
      <c r="U787" s="89"/>
      <c r="V787" s="89"/>
      <c r="W787" s="89"/>
      <c r="X787" s="89"/>
      <c r="Y787" s="89"/>
      <c r="Z787" s="89"/>
      <c r="AA787" s="89"/>
    </row>
    <row r="788" spans="1:27" ht="13.8">
      <c r="A788" s="89"/>
      <c r="B788" s="89"/>
      <c r="C788" s="89"/>
      <c r="D788" s="89"/>
      <c r="E788" s="89"/>
      <c r="F788" s="110"/>
      <c r="G788" s="89"/>
      <c r="H788" s="89"/>
      <c r="I788" s="89"/>
      <c r="J788" s="89"/>
      <c r="K788" s="89"/>
      <c r="L788" s="89"/>
      <c r="M788" s="89"/>
      <c r="N788" s="89"/>
      <c r="O788" s="89"/>
      <c r="P788" s="89"/>
      <c r="Q788" s="89"/>
      <c r="R788" s="89"/>
      <c r="S788" s="89"/>
      <c r="T788" s="89"/>
      <c r="U788" s="89"/>
      <c r="V788" s="89"/>
      <c r="W788" s="89"/>
      <c r="X788" s="89"/>
      <c r="Y788" s="89"/>
      <c r="Z788" s="89"/>
      <c r="AA788" s="89"/>
    </row>
    <row r="789" spans="1:27" ht="13.8">
      <c r="A789" s="89"/>
      <c r="B789" s="89"/>
      <c r="C789" s="89"/>
      <c r="D789" s="89"/>
      <c r="E789" s="89"/>
      <c r="F789" s="110"/>
      <c r="G789" s="89"/>
      <c r="H789" s="89"/>
      <c r="I789" s="89"/>
      <c r="J789" s="89"/>
      <c r="K789" s="89"/>
      <c r="L789" s="89"/>
      <c r="M789" s="89"/>
      <c r="N789" s="89"/>
      <c r="O789" s="89"/>
      <c r="P789" s="89"/>
      <c r="Q789" s="89"/>
      <c r="R789" s="89"/>
      <c r="S789" s="89"/>
      <c r="T789" s="89"/>
      <c r="U789" s="89"/>
      <c r="V789" s="89"/>
      <c r="W789" s="89"/>
      <c r="X789" s="89"/>
      <c r="Y789" s="89"/>
      <c r="Z789" s="89"/>
      <c r="AA789" s="89"/>
    </row>
    <row r="790" spans="1:27" ht="13.8">
      <c r="A790" s="89"/>
      <c r="B790" s="89"/>
      <c r="C790" s="89"/>
      <c r="D790" s="89"/>
      <c r="E790" s="89"/>
      <c r="F790" s="110"/>
      <c r="G790" s="89"/>
      <c r="H790" s="89"/>
      <c r="I790" s="89"/>
      <c r="J790" s="89"/>
      <c r="K790" s="89"/>
      <c r="L790" s="89"/>
      <c r="M790" s="89"/>
      <c r="N790" s="89"/>
      <c r="O790" s="89"/>
      <c r="P790" s="89"/>
      <c r="Q790" s="89"/>
      <c r="R790" s="89"/>
      <c r="S790" s="89"/>
      <c r="T790" s="89"/>
      <c r="U790" s="89"/>
      <c r="V790" s="89"/>
      <c r="W790" s="89"/>
      <c r="X790" s="89"/>
      <c r="Y790" s="89"/>
      <c r="Z790" s="89"/>
      <c r="AA790" s="89"/>
    </row>
    <row r="791" spans="1:27" ht="13.8">
      <c r="A791" s="89"/>
      <c r="B791" s="89"/>
      <c r="C791" s="89"/>
      <c r="D791" s="89"/>
      <c r="E791" s="89"/>
      <c r="F791" s="110"/>
      <c r="G791" s="89"/>
      <c r="H791" s="89"/>
      <c r="I791" s="89"/>
      <c r="J791" s="89"/>
      <c r="K791" s="89"/>
      <c r="L791" s="89"/>
      <c r="M791" s="89"/>
      <c r="N791" s="89"/>
      <c r="O791" s="89"/>
      <c r="P791" s="89"/>
      <c r="Q791" s="89"/>
      <c r="R791" s="89"/>
      <c r="S791" s="89"/>
      <c r="T791" s="89"/>
      <c r="U791" s="89"/>
      <c r="V791" s="89"/>
      <c r="W791" s="89"/>
      <c r="X791" s="89"/>
      <c r="Y791" s="89"/>
      <c r="Z791" s="89"/>
      <c r="AA791" s="89"/>
    </row>
    <row r="792" spans="1:27" ht="13.8">
      <c r="A792" s="89"/>
      <c r="B792" s="89"/>
      <c r="C792" s="89"/>
      <c r="D792" s="89"/>
      <c r="E792" s="89"/>
      <c r="F792" s="110"/>
      <c r="G792" s="89"/>
      <c r="H792" s="89"/>
      <c r="I792" s="89"/>
      <c r="J792" s="89"/>
      <c r="K792" s="89"/>
      <c r="L792" s="89"/>
      <c r="M792" s="89"/>
      <c r="N792" s="89"/>
      <c r="O792" s="89"/>
      <c r="P792" s="89"/>
      <c r="Q792" s="89"/>
      <c r="R792" s="89"/>
      <c r="S792" s="89"/>
      <c r="T792" s="89"/>
      <c r="U792" s="89"/>
      <c r="V792" s="89"/>
      <c r="W792" s="89"/>
      <c r="X792" s="89"/>
      <c r="Y792" s="89"/>
      <c r="Z792" s="89"/>
      <c r="AA792" s="89"/>
    </row>
    <row r="793" spans="1:27" ht="13.8">
      <c r="A793" s="89"/>
      <c r="B793" s="89"/>
      <c r="C793" s="89"/>
      <c r="D793" s="89"/>
      <c r="E793" s="89"/>
      <c r="F793" s="110"/>
      <c r="G793" s="89"/>
      <c r="H793" s="89"/>
      <c r="I793" s="89"/>
      <c r="J793" s="89"/>
      <c r="K793" s="89"/>
      <c r="L793" s="89"/>
      <c r="M793" s="89"/>
      <c r="N793" s="89"/>
      <c r="O793" s="89"/>
      <c r="P793" s="89"/>
      <c r="Q793" s="89"/>
      <c r="R793" s="89"/>
      <c r="S793" s="89"/>
      <c r="T793" s="89"/>
      <c r="U793" s="89"/>
      <c r="V793" s="89"/>
      <c r="W793" s="89"/>
      <c r="X793" s="89"/>
      <c r="Y793" s="89"/>
      <c r="Z793" s="89"/>
      <c r="AA793" s="89"/>
    </row>
    <row r="794" spans="1:27" ht="13.8">
      <c r="A794" s="89"/>
      <c r="B794" s="89"/>
      <c r="C794" s="89"/>
      <c r="D794" s="89"/>
      <c r="E794" s="89"/>
      <c r="F794" s="110"/>
      <c r="G794" s="89"/>
      <c r="H794" s="89"/>
      <c r="I794" s="89"/>
      <c r="J794" s="89"/>
      <c r="K794" s="89"/>
      <c r="L794" s="89"/>
      <c r="M794" s="89"/>
      <c r="N794" s="89"/>
      <c r="O794" s="89"/>
      <c r="P794" s="89"/>
      <c r="Q794" s="89"/>
      <c r="R794" s="89"/>
      <c r="S794" s="89"/>
      <c r="T794" s="89"/>
      <c r="U794" s="89"/>
      <c r="V794" s="89"/>
      <c r="W794" s="89"/>
      <c r="X794" s="89"/>
      <c r="Y794" s="89"/>
      <c r="Z794" s="89"/>
      <c r="AA794" s="89"/>
    </row>
    <row r="795" spans="1:27" ht="13.8">
      <c r="A795" s="89"/>
      <c r="B795" s="89"/>
      <c r="C795" s="89"/>
      <c r="D795" s="89"/>
      <c r="E795" s="89"/>
      <c r="F795" s="110"/>
      <c r="G795" s="89"/>
      <c r="H795" s="89"/>
      <c r="I795" s="89"/>
      <c r="J795" s="89"/>
      <c r="K795" s="89"/>
      <c r="L795" s="89"/>
      <c r="M795" s="89"/>
      <c r="N795" s="89"/>
      <c r="O795" s="89"/>
      <c r="P795" s="89"/>
      <c r="Q795" s="89"/>
      <c r="R795" s="89"/>
      <c r="S795" s="89"/>
      <c r="T795" s="89"/>
      <c r="U795" s="89"/>
      <c r="V795" s="89"/>
      <c r="W795" s="89"/>
      <c r="X795" s="89"/>
      <c r="Y795" s="89"/>
      <c r="Z795" s="89"/>
      <c r="AA795" s="89"/>
    </row>
    <row r="796" spans="1:27" ht="13.8">
      <c r="A796" s="89"/>
      <c r="B796" s="89"/>
      <c r="C796" s="89"/>
      <c r="D796" s="89"/>
      <c r="E796" s="89"/>
      <c r="F796" s="110"/>
      <c r="G796" s="89"/>
      <c r="H796" s="89"/>
      <c r="I796" s="89"/>
      <c r="J796" s="89"/>
      <c r="K796" s="89"/>
      <c r="L796" s="89"/>
      <c r="M796" s="89"/>
      <c r="N796" s="89"/>
      <c r="O796" s="89"/>
      <c r="P796" s="89"/>
      <c r="Q796" s="89"/>
      <c r="R796" s="89"/>
      <c r="S796" s="89"/>
      <c r="T796" s="89"/>
      <c r="U796" s="89"/>
      <c r="V796" s="89"/>
      <c r="W796" s="89"/>
      <c r="X796" s="89"/>
      <c r="Y796" s="89"/>
      <c r="Z796" s="89"/>
      <c r="AA796" s="89"/>
    </row>
    <row r="797" spans="1:27" ht="13.8">
      <c r="A797" s="89"/>
      <c r="B797" s="89"/>
      <c r="C797" s="89"/>
      <c r="D797" s="89"/>
      <c r="E797" s="89"/>
      <c r="F797" s="110"/>
      <c r="G797" s="89"/>
      <c r="H797" s="89"/>
      <c r="I797" s="89"/>
      <c r="J797" s="89"/>
      <c r="K797" s="89"/>
      <c r="L797" s="89"/>
      <c r="M797" s="89"/>
      <c r="N797" s="89"/>
      <c r="O797" s="89"/>
      <c r="P797" s="89"/>
      <c r="Q797" s="89"/>
      <c r="R797" s="89"/>
      <c r="S797" s="89"/>
      <c r="T797" s="89"/>
      <c r="U797" s="89"/>
      <c r="V797" s="89"/>
      <c r="W797" s="89"/>
      <c r="X797" s="89"/>
      <c r="Y797" s="89"/>
      <c r="Z797" s="89"/>
      <c r="AA797" s="89"/>
    </row>
    <row r="798" spans="1:27" ht="13.8">
      <c r="A798" s="89"/>
      <c r="B798" s="89"/>
      <c r="C798" s="89"/>
      <c r="D798" s="89"/>
      <c r="E798" s="89"/>
      <c r="F798" s="110"/>
      <c r="G798" s="89"/>
      <c r="H798" s="89"/>
      <c r="I798" s="89"/>
      <c r="J798" s="89"/>
      <c r="K798" s="89"/>
      <c r="L798" s="89"/>
      <c r="M798" s="89"/>
      <c r="N798" s="89"/>
      <c r="O798" s="89"/>
      <c r="P798" s="89"/>
      <c r="Q798" s="89"/>
      <c r="R798" s="89"/>
      <c r="S798" s="89"/>
      <c r="T798" s="89"/>
      <c r="U798" s="89"/>
      <c r="V798" s="89"/>
      <c r="W798" s="89"/>
      <c r="X798" s="89"/>
      <c r="Y798" s="89"/>
      <c r="Z798" s="89"/>
      <c r="AA798" s="89"/>
    </row>
    <row r="799" spans="1:27" ht="13.8">
      <c r="A799" s="89"/>
      <c r="B799" s="89"/>
      <c r="C799" s="89"/>
      <c r="D799" s="89"/>
      <c r="E799" s="89"/>
      <c r="F799" s="110"/>
      <c r="G799" s="89"/>
      <c r="H799" s="89"/>
      <c r="I799" s="89"/>
      <c r="J799" s="89"/>
      <c r="K799" s="89"/>
      <c r="L799" s="89"/>
      <c r="M799" s="89"/>
      <c r="N799" s="89"/>
      <c r="O799" s="89"/>
      <c r="P799" s="89"/>
      <c r="Q799" s="89"/>
      <c r="R799" s="89"/>
      <c r="S799" s="89"/>
      <c r="T799" s="89"/>
      <c r="U799" s="89"/>
      <c r="V799" s="89"/>
      <c r="W799" s="89"/>
      <c r="X799" s="89"/>
      <c r="Y799" s="89"/>
      <c r="Z799" s="89"/>
      <c r="AA799" s="89"/>
    </row>
    <row r="800" spans="1:27" ht="13.8">
      <c r="A800" s="89"/>
      <c r="B800" s="89"/>
      <c r="C800" s="89"/>
      <c r="D800" s="89"/>
      <c r="E800" s="89"/>
      <c r="F800" s="110"/>
      <c r="G800" s="89"/>
      <c r="H800" s="89"/>
      <c r="I800" s="89"/>
      <c r="J800" s="89"/>
      <c r="K800" s="89"/>
      <c r="L800" s="89"/>
      <c r="M800" s="89"/>
      <c r="N800" s="89"/>
      <c r="O800" s="89"/>
      <c r="P800" s="89"/>
      <c r="Q800" s="89"/>
      <c r="R800" s="89"/>
      <c r="S800" s="89"/>
      <c r="T800" s="89"/>
      <c r="U800" s="89"/>
      <c r="V800" s="89"/>
      <c r="W800" s="89"/>
      <c r="X800" s="89"/>
      <c r="Y800" s="89"/>
      <c r="Z800" s="89"/>
      <c r="AA800" s="89"/>
    </row>
    <row r="801" spans="1:27" ht="13.8">
      <c r="A801" s="89"/>
      <c r="B801" s="89"/>
      <c r="C801" s="89"/>
      <c r="D801" s="89"/>
      <c r="E801" s="89"/>
      <c r="F801" s="110"/>
      <c r="G801" s="89"/>
      <c r="H801" s="89"/>
      <c r="I801" s="89"/>
      <c r="J801" s="89"/>
      <c r="K801" s="89"/>
      <c r="L801" s="89"/>
      <c r="M801" s="89"/>
      <c r="N801" s="89"/>
      <c r="O801" s="89"/>
      <c r="P801" s="89"/>
      <c r="Q801" s="89"/>
      <c r="R801" s="89"/>
      <c r="S801" s="89"/>
      <c r="T801" s="89"/>
      <c r="U801" s="89"/>
      <c r="V801" s="89"/>
      <c r="W801" s="89"/>
      <c r="X801" s="89"/>
      <c r="Y801" s="89"/>
      <c r="Z801" s="89"/>
      <c r="AA801" s="89"/>
    </row>
    <row r="802" spans="1:27" ht="13.8">
      <c r="A802" s="89"/>
      <c r="B802" s="89"/>
      <c r="C802" s="89"/>
      <c r="D802" s="89"/>
      <c r="E802" s="89"/>
      <c r="F802" s="110"/>
      <c r="G802" s="89"/>
      <c r="H802" s="89"/>
      <c r="I802" s="89"/>
      <c r="J802" s="89"/>
      <c r="K802" s="89"/>
      <c r="L802" s="89"/>
      <c r="M802" s="89"/>
      <c r="N802" s="89"/>
      <c r="O802" s="89"/>
      <c r="P802" s="89"/>
      <c r="Q802" s="89"/>
      <c r="R802" s="89"/>
      <c r="S802" s="89"/>
      <c r="T802" s="89"/>
      <c r="U802" s="89"/>
      <c r="V802" s="89"/>
      <c r="W802" s="89"/>
      <c r="X802" s="89"/>
      <c r="Y802" s="89"/>
      <c r="Z802" s="89"/>
      <c r="AA802" s="89"/>
    </row>
    <row r="803" spans="1:27" ht="13.8">
      <c r="A803" s="89"/>
      <c r="B803" s="89"/>
      <c r="C803" s="89"/>
      <c r="D803" s="89"/>
      <c r="E803" s="89"/>
      <c r="F803" s="110"/>
      <c r="G803" s="89"/>
      <c r="H803" s="89"/>
      <c r="I803" s="89"/>
      <c r="J803" s="89"/>
      <c r="K803" s="89"/>
      <c r="L803" s="89"/>
      <c r="M803" s="89"/>
      <c r="N803" s="89"/>
      <c r="O803" s="89"/>
      <c r="P803" s="89"/>
      <c r="Q803" s="89"/>
      <c r="R803" s="89"/>
      <c r="S803" s="89"/>
      <c r="T803" s="89"/>
      <c r="U803" s="89"/>
      <c r="V803" s="89"/>
      <c r="W803" s="89"/>
      <c r="X803" s="89"/>
      <c r="Y803" s="89"/>
      <c r="Z803" s="89"/>
      <c r="AA803" s="89"/>
    </row>
    <row r="804" spans="1:27" ht="13.8">
      <c r="A804" s="89"/>
      <c r="B804" s="89"/>
      <c r="C804" s="89"/>
      <c r="D804" s="89"/>
      <c r="E804" s="89"/>
      <c r="F804" s="110"/>
      <c r="G804" s="89"/>
      <c r="H804" s="89"/>
      <c r="I804" s="89"/>
      <c r="J804" s="89"/>
      <c r="K804" s="89"/>
      <c r="L804" s="89"/>
      <c r="M804" s="89"/>
      <c r="N804" s="89"/>
      <c r="O804" s="89"/>
      <c r="P804" s="89"/>
      <c r="Q804" s="89"/>
      <c r="R804" s="89"/>
      <c r="S804" s="89"/>
      <c r="T804" s="89"/>
      <c r="U804" s="89"/>
      <c r="V804" s="89"/>
      <c r="W804" s="89"/>
      <c r="X804" s="89"/>
      <c r="Y804" s="89"/>
      <c r="Z804" s="89"/>
      <c r="AA804" s="89"/>
    </row>
    <row r="805" spans="1:27" ht="13.8">
      <c r="A805" s="89"/>
      <c r="B805" s="89"/>
      <c r="C805" s="89"/>
      <c r="D805" s="89"/>
      <c r="E805" s="89"/>
      <c r="F805" s="110"/>
      <c r="G805" s="89"/>
      <c r="H805" s="89"/>
      <c r="I805" s="89"/>
      <c r="J805" s="89"/>
      <c r="K805" s="89"/>
      <c r="L805" s="89"/>
      <c r="M805" s="89"/>
      <c r="N805" s="89"/>
      <c r="O805" s="89"/>
      <c r="P805" s="89"/>
      <c r="Q805" s="89"/>
      <c r="R805" s="89"/>
      <c r="S805" s="89"/>
      <c r="T805" s="89"/>
      <c r="U805" s="89"/>
      <c r="V805" s="89"/>
      <c r="W805" s="89"/>
      <c r="X805" s="89"/>
      <c r="Y805" s="89"/>
      <c r="Z805" s="89"/>
      <c r="AA805" s="89"/>
    </row>
    <row r="806" spans="1:27" ht="13.8">
      <c r="A806" s="89"/>
      <c r="B806" s="89"/>
      <c r="C806" s="89"/>
      <c r="D806" s="89"/>
      <c r="E806" s="89"/>
      <c r="F806" s="110"/>
      <c r="G806" s="89"/>
      <c r="H806" s="89"/>
      <c r="I806" s="89"/>
      <c r="J806" s="89"/>
      <c r="K806" s="89"/>
      <c r="L806" s="89"/>
      <c r="M806" s="89"/>
      <c r="N806" s="89"/>
      <c r="O806" s="89"/>
      <c r="P806" s="89"/>
      <c r="Q806" s="89"/>
      <c r="R806" s="89"/>
      <c r="S806" s="89"/>
      <c r="T806" s="89"/>
      <c r="U806" s="89"/>
      <c r="V806" s="89"/>
      <c r="W806" s="89"/>
      <c r="X806" s="89"/>
      <c r="Y806" s="89"/>
      <c r="Z806" s="89"/>
      <c r="AA806" s="89"/>
    </row>
    <row r="807" spans="1:27" ht="13.8">
      <c r="A807" s="89"/>
      <c r="B807" s="89"/>
      <c r="C807" s="89"/>
      <c r="D807" s="89"/>
      <c r="E807" s="89"/>
      <c r="F807" s="110"/>
      <c r="G807" s="89"/>
      <c r="H807" s="89"/>
      <c r="I807" s="89"/>
      <c r="J807" s="89"/>
      <c r="K807" s="89"/>
      <c r="L807" s="89"/>
      <c r="M807" s="89"/>
      <c r="N807" s="89"/>
      <c r="O807" s="89"/>
      <c r="P807" s="89"/>
      <c r="Q807" s="89"/>
      <c r="R807" s="89"/>
      <c r="S807" s="89"/>
      <c r="T807" s="89"/>
      <c r="U807" s="89"/>
      <c r="V807" s="89"/>
      <c r="W807" s="89"/>
      <c r="X807" s="89"/>
      <c r="Y807" s="89"/>
      <c r="Z807" s="89"/>
      <c r="AA807" s="89"/>
    </row>
    <row r="808" spans="1:27" ht="13.8">
      <c r="A808" s="89"/>
      <c r="B808" s="89"/>
      <c r="C808" s="89"/>
      <c r="D808" s="89"/>
      <c r="E808" s="89"/>
      <c r="F808" s="110"/>
      <c r="G808" s="89"/>
      <c r="H808" s="89"/>
      <c r="I808" s="89"/>
      <c r="J808" s="89"/>
      <c r="K808" s="89"/>
      <c r="L808" s="89"/>
      <c r="M808" s="89"/>
      <c r="N808" s="89"/>
      <c r="O808" s="89"/>
      <c r="P808" s="89"/>
      <c r="Q808" s="89"/>
      <c r="R808" s="89"/>
      <c r="S808" s="89"/>
      <c r="T808" s="89"/>
      <c r="U808" s="89"/>
      <c r="V808" s="89"/>
      <c r="W808" s="89"/>
      <c r="X808" s="89"/>
      <c r="Y808" s="89"/>
      <c r="Z808" s="89"/>
      <c r="AA808" s="89"/>
    </row>
    <row r="809" spans="1:27" ht="13.8">
      <c r="A809" s="89"/>
      <c r="B809" s="89"/>
      <c r="C809" s="89"/>
      <c r="D809" s="89"/>
      <c r="E809" s="89"/>
      <c r="F809" s="110"/>
      <c r="G809" s="89"/>
      <c r="H809" s="89"/>
      <c r="I809" s="89"/>
      <c r="J809" s="89"/>
      <c r="K809" s="89"/>
      <c r="L809" s="89"/>
      <c r="M809" s="89"/>
      <c r="N809" s="89"/>
      <c r="O809" s="89"/>
      <c r="P809" s="89"/>
      <c r="Q809" s="89"/>
      <c r="R809" s="89"/>
      <c r="S809" s="89"/>
      <c r="T809" s="89"/>
      <c r="U809" s="89"/>
      <c r="V809" s="89"/>
      <c r="W809" s="89"/>
      <c r="X809" s="89"/>
      <c r="Y809" s="89"/>
      <c r="Z809" s="89"/>
      <c r="AA809" s="89"/>
    </row>
    <row r="810" spans="1:27" ht="13.8">
      <c r="A810" s="89"/>
      <c r="B810" s="89"/>
      <c r="C810" s="89"/>
      <c r="D810" s="89"/>
      <c r="E810" s="89"/>
      <c r="F810" s="110"/>
      <c r="G810" s="89"/>
      <c r="H810" s="89"/>
      <c r="I810" s="89"/>
      <c r="J810" s="89"/>
      <c r="K810" s="89"/>
      <c r="L810" s="89"/>
      <c r="M810" s="89"/>
      <c r="N810" s="89"/>
      <c r="O810" s="89"/>
      <c r="P810" s="89"/>
      <c r="Q810" s="89"/>
      <c r="R810" s="89"/>
      <c r="S810" s="89"/>
      <c r="T810" s="89"/>
      <c r="U810" s="89"/>
      <c r="V810" s="89"/>
      <c r="W810" s="89"/>
      <c r="X810" s="89"/>
      <c r="Y810" s="89"/>
      <c r="Z810" s="89"/>
      <c r="AA810" s="89"/>
    </row>
    <row r="811" spans="1:27" ht="13.8">
      <c r="A811" s="89"/>
      <c r="B811" s="89"/>
      <c r="C811" s="89"/>
      <c r="D811" s="89"/>
      <c r="E811" s="89"/>
      <c r="F811" s="110"/>
      <c r="G811" s="89"/>
      <c r="H811" s="89"/>
      <c r="I811" s="89"/>
      <c r="J811" s="89"/>
      <c r="K811" s="89"/>
      <c r="L811" s="89"/>
      <c r="M811" s="89"/>
      <c r="N811" s="89"/>
      <c r="O811" s="89"/>
      <c r="P811" s="89"/>
      <c r="Q811" s="89"/>
      <c r="R811" s="89"/>
      <c r="S811" s="89"/>
      <c r="T811" s="89"/>
      <c r="U811" s="89"/>
      <c r="V811" s="89"/>
      <c r="W811" s="89"/>
      <c r="X811" s="89"/>
      <c r="Y811" s="89"/>
      <c r="Z811" s="89"/>
      <c r="AA811" s="89"/>
    </row>
    <row r="812" spans="1:27" ht="13.8">
      <c r="A812" s="89"/>
      <c r="B812" s="89"/>
      <c r="C812" s="89"/>
      <c r="D812" s="89"/>
      <c r="E812" s="89"/>
      <c r="F812" s="110"/>
      <c r="G812" s="89"/>
      <c r="H812" s="89"/>
      <c r="I812" s="89"/>
      <c r="J812" s="89"/>
      <c r="K812" s="89"/>
      <c r="L812" s="89"/>
      <c r="M812" s="89"/>
      <c r="N812" s="89"/>
      <c r="O812" s="89"/>
      <c r="P812" s="89"/>
      <c r="Q812" s="89"/>
      <c r="R812" s="89"/>
      <c r="S812" s="89"/>
      <c r="T812" s="89"/>
      <c r="U812" s="89"/>
      <c r="V812" s="89"/>
      <c r="W812" s="89"/>
      <c r="X812" s="89"/>
      <c r="Y812" s="89"/>
      <c r="Z812" s="89"/>
      <c r="AA812" s="89"/>
    </row>
    <row r="813" spans="1:27" ht="13.8">
      <c r="A813" s="89"/>
      <c r="B813" s="89"/>
      <c r="C813" s="89"/>
      <c r="D813" s="89"/>
      <c r="E813" s="89"/>
      <c r="F813" s="110"/>
      <c r="G813" s="89"/>
      <c r="H813" s="89"/>
      <c r="I813" s="89"/>
      <c r="J813" s="89"/>
      <c r="K813" s="89"/>
      <c r="L813" s="89"/>
      <c r="M813" s="89"/>
      <c r="N813" s="89"/>
      <c r="O813" s="89"/>
      <c r="P813" s="89"/>
      <c r="Q813" s="89"/>
      <c r="R813" s="89"/>
      <c r="S813" s="89"/>
      <c r="T813" s="89"/>
      <c r="U813" s="89"/>
      <c r="V813" s="89"/>
      <c r="W813" s="89"/>
      <c r="X813" s="89"/>
      <c r="Y813" s="89"/>
      <c r="Z813" s="89"/>
      <c r="AA813" s="89"/>
    </row>
    <row r="814" spans="1:27" ht="13.8">
      <c r="A814" s="89"/>
      <c r="B814" s="89"/>
      <c r="C814" s="89"/>
      <c r="D814" s="89"/>
      <c r="E814" s="89"/>
      <c r="F814" s="110"/>
      <c r="G814" s="89"/>
      <c r="H814" s="89"/>
      <c r="I814" s="89"/>
      <c r="J814" s="89"/>
      <c r="K814" s="89"/>
      <c r="L814" s="89"/>
      <c r="M814" s="89"/>
      <c r="N814" s="89"/>
      <c r="O814" s="89"/>
      <c r="P814" s="89"/>
      <c r="Q814" s="89"/>
      <c r="R814" s="89"/>
      <c r="S814" s="89"/>
      <c r="T814" s="89"/>
      <c r="U814" s="89"/>
      <c r="V814" s="89"/>
      <c r="W814" s="89"/>
      <c r="X814" s="89"/>
      <c r="Y814" s="89"/>
      <c r="Z814" s="89"/>
      <c r="AA814" s="89"/>
    </row>
    <row r="815" spans="1:27" ht="13.8">
      <c r="A815" s="89"/>
      <c r="B815" s="89"/>
      <c r="C815" s="89"/>
      <c r="D815" s="89"/>
      <c r="E815" s="89"/>
      <c r="F815" s="110"/>
      <c r="G815" s="89"/>
      <c r="H815" s="89"/>
      <c r="I815" s="89"/>
      <c r="J815" s="89"/>
      <c r="K815" s="89"/>
      <c r="L815" s="89"/>
      <c r="M815" s="89"/>
      <c r="N815" s="89"/>
      <c r="O815" s="89"/>
      <c r="P815" s="89"/>
      <c r="Q815" s="89"/>
      <c r="R815" s="89"/>
      <c r="S815" s="89"/>
      <c r="T815" s="89"/>
      <c r="U815" s="89"/>
      <c r="V815" s="89"/>
      <c r="W815" s="89"/>
      <c r="X815" s="89"/>
      <c r="Y815" s="89"/>
      <c r="Z815" s="89"/>
      <c r="AA815" s="89"/>
    </row>
    <row r="816" spans="1:27" ht="13.8">
      <c r="A816" s="89"/>
      <c r="B816" s="89"/>
      <c r="C816" s="89"/>
      <c r="D816" s="89"/>
      <c r="E816" s="89"/>
      <c r="F816" s="110"/>
      <c r="G816" s="89"/>
      <c r="H816" s="89"/>
      <c r="I816" s="89"/>
      <c r="J816" s="89"/>
      <c r="K816" s="89"/>
      <c r="L816" s="89"/>
      <c r="M816" s="89"/>
      <c r="N816" s="89"/>
      <c r="O816" s="89"/>
      <c r="P816" s="89"/>
      <c r="Q816" s="89"/>
      <c r="R816" s="89"/>
      <c r="S816" s="89"/>
      <c r="T816" s="89"/>
      <c r="U816" s="89"/>
      <c r="V816" s="89"/>
      <c r="W816" s="89"/>
      <c r="X816" s="89"/>
      <c r="Y816" s="89"/>
      <c r="Z816" s="89"/>
      <c r="AA816" s="89"/>
    </row>
    <row r="817" spans="1:27" ht="13.8">
      <c r="A817" s="89"/>
      <c r="B817" s="89"/>
      <c r="C817" s="89"/>
      <c r="D817" s="89"/>
      <c r="E817" s="89"/>
      <c r="F817" s="110"/>
      <c r="G817" s="89"/>
      <c r="H817" s="89"/>
      <c r="I817" s="89"/>
      <c r="J817" s="89"/>
      <c r="K817" s="89"/>
      <c r="L817" s="89"/>
      <c r="M817" s="89"/>
      <c r="N817" s="89"/>
      <c r="O817" s="89"/>
      <c r="P817" s="89"/>
      <c r="Q817" s="89"/>
      <c r="R817" s="89"/>
      <c r="S817" s="89"/>
      <c r="T817" s="89"/>
      <c r="U817" s="89"/>
      <c r="V817" s="89"/>
      <c r="W817" s="89"/>
      <c r="X817" s="89"/>
      <c r="Y817" s="89"/>
      <c r="Z817" s="89"/>
      <c r="AA817" s="89"/>
    </row>
    <row r="818" spans="1:27" ht="13.8">
      <c r="A818" s="89"/>
      <c r="B818" s="89"/>
      <c r="C818" s="89"/>
      <c r="D818" s="89"/>
      <c r="E818" s="89"/>
      <c r="F818" s="110"/>
      <c r="G818" s="89"/>
      <c r="H818" s="89"/>
      <c r="I818" s="89"/>
      <c r="J818" s="89"/>
      <c r="K818" s="89"/>
      <c r="L818" s="89"/>
      <c r="M818" s="89"/>
      <c r="N818" s="89"/>
      <c r="O818" s="89"/>
      <c r="P818" s="89"/>
      <c r="Q818" s="89"/>
      <c r="R818" s="89"/>
      <c r="S818" s="89"/>
      <c r="T818" s="89"/>
      <c r="U818" s="89"/>
      <c r="V818" s="89"/>
      <c r="W818" s="89"/>
      <c r="X818" s="89"/>
      <c r="Y818" s="89"/>
      <c r="Z818" s="89"/>
      <c r="AA818" s="89"/>
    </row>
    <row r="819" spans="1:27" ht="13.8">
      <c r="A819" s="89"/>
      <c r="B819" s="89"/>
      <c r="C819" s="89"/>
      <c r="D819" s="89"/>
      <c r="E819" s="89"/>
      <c r="F819" s="110"/>
      <c r="G819" s="89"/>
      <c r="H819" s="89"/>
      <c r="I819" s="89"/>
      <c r="J819" s="89"/>
      <c r="K819" s="89"/>
      <c r="L819" s="89"/>
      <c r="M819" s="89"/>
      <c r="N819" s="89"/>
      <c r="O819" s="89"/>
      <c r="P819" s="89"/>
      <c r="Q819" s="89"/>
      <c r="R819" s="89"/>
      <c r="S819" s="89"/>
      <c r="T819" s="89"/>
      <c r="U819" s="89"/>
      <c r="V819" s="89"/>
      <c r="W819" s="89"/>
      <c r="X819" s="89"/>
      <c r="Y819" s="89"/>
      <c r="Z819" s="89"/>
      <c r="AA819" s="89"/>
    </row>
    <row r="820" spans="1:27" ht="13.8">
      <c r="A820" s="89"/>
      <c r="B820" s="89"/>
      <c r="C820" s="89"/>
      <c r="D820" s="89"/>
      <c r="E820" s="89"/>
      <c r="F820" s="110"/>
      <c r="G820" s="89"/>
      <c r="H820" s="89"/>
      <c r="I820" s="89"/>
      <c r="J820" s="89"/>
      <c r="K820" s="89"/>
      <c r="L820" s="89"/>
      <c r="M820" s="89"/>
      <c r="N820" s="89"/>
      <c r="O820" s="89"/>
      <c r="P820" s="89"/>
      <c r="Q820" s="89"/>
      <c r="R820" s="89"/>
      <c r="S820" s="89"/>
      <c r="T820" s="89"/>
      <c r="U820" s="89"/>
      <c r="V820" s="89"/>
      <c r="W820" s="89"/>
      <c r="X820" s="89"/>
      <c r="Y820" s="89"/>
      <c r="Z820" s="89"/>
      <c r="AA820" s="89"/>
    </row>
    <row r="821" spans="1:27" ht="13.8">
      <c r="A821" s="89"/>
      <c r="B821" s="89"/>
      <c r="C821" s="89"/>
      <c r="D821" s="89"/>
      <c r="E821" s="89"/>
      <c r="F821" s="110"/>
      <c r="G821" s="89"/>
      <c r="H821" s="89"/>
      <c r="I821" s="89"/>
      <c r="J821" s="89"/>
      <c r="K821" s="89"/>
      <c r="L821" s="89"/>
      <c r="M821" s="89"/>
      <c r="N821" s="89"/>
      <c r="O821" s="89"/>
      <c r="P821" s="89"/>
      <c r="Q821" s="89"/>
      <c r="R821" s="89"/>
      <c r="S821" s="89"/>
      <c r="T821" s="89"/>
      <c r="U821" s="89"/>
      <c r="V821" s="89"/>
      <c r="W821" s="89"/>
      <c r="X821" s="89"/>
      <c r="Y821" s="89"/>
      <c r="Z821" s="89"/>
      <c r="AA821" s="89"/>
    </row>
    <row r="822" spans="1:27" ht="13.8">
      <c r="A822" s="89"/>
      <c r="B822" s="89"/>
      <c r="C822" s="89"/>
      <c r="D822" s="89"/>
      <c r="E822" s="89"/>
      <c r="F822" s="110"/>
      <c r="G822" s="89"/>
      <c r="H822" s="89"/>
      <c r="I822" s="89"/>
      <c r="J822" s="89"/>
      <c r="K822" s="89"/>
      <c r="L822" s="89"/>
      <c r="M822" s="89"/>
      <c r="N822" s="89"/>
      <c r="O822" s="89"/>
      <c r="P822" s="89"/>
      <c r="Q822" s="89"/>
      <c r="R822" s="89"/>
      <c r="S822" s="89"/>
      <c r="T822" s="89"/>
      <c r="U822" s="89"/>
      <c r="V822" s="89"/>
      <c r="W822" s="89"/>
      <c r="X822" s="89"/>
      <c r="Y822" s="89"/>
      <c r="Z822" s="89"/>
      <c r="AA822" s="89"/>
    </row>
    <row r="823" spans="1:27" ht="13.8">
      <c r="A823" s="89"/>
      <c r="B823" s="89"/>
      <c r="C823" s="89"/>
      <c r="D823" s="89"/>
      <c r="E823" s="89"/>
      <c r="F823" s="110"/>
      <c r="G823" s="89"/>
      <c r="H823" s="89"/>
      <c r="I823" s="89"/>
      <c r="J823" s="89"/>
      <c r="K823" s="89"/>
      <c r="L823" s="89"/>
      <c r="M823" s="89"/>
      <c r="N823" s="89"/>
      <c r="O823" s="89"/>
      <c r="P823" s="89"/>
      <c r="Q823" s="89"/>
      <c r="R823" s="89"/>
      <c r="S823" s="89"/>
      <c r="T823" s="89"/>
      <c r="U823" s="89"/>
      <c r="V823" s="89"/>
      <c r="W823" s="89"/>
      <c r="X823" s="89"/>
      <c r="Y823" s="89"/>
      <c r="Z823" s="89"/>
      <c r="AA823" s="89"/>
    </row>
    <row r="824" spans="1:27" ht="13.8">
      <c r="A824" s="89"/>
      <c r="B824" s="89"/>
      <c r="C824" s="89"/>
      <c r="D824" s="89"/>
      <c r="E824" s="89"/>
      <c r="F824" s="110"/>
      <c r="G824" s="89"/>
      <c r="H824" s="89"/>
      <c r="I824" s="89"/>
      <c r="J824" s="89"/>
      <c r="K824" s="89"/>
      <c r="L824" s="89"/>
      <c r="M824" s="89"/>
      <c r="N824" s="89"/>
      <c r="O824" s="89"/>
      <c r="P824" s="89"/>
      <c r="Q824" s="89"/>
      <c r="R824" s="89"/>
      <c r="S824" s="89"/>
      <c r="T824" s="89"/>
      <c r="U824" s="89"/>
      <c r="V824" s="89"/>
      <c r="W824" s="89"/>
      <c r="X824" s="89"/>
      <c r="Y824" s="89"/>
      <c r="Z824" s="89"/>
      <c r="AA824" s="89"/>
    </row>
    <row r="825" spans="1:27" ht="13.8">
      <c r="A825" s="89"/>
      <c r="B825" s="89"/>
      <c r="C825" s="89"/>
      <c r="D825" s="89"/>
      <c r="E825" s="89"/>
      <c r="F825" s="110"/>
      <c r="G825" s="89"/>
      <c r="H825" s="89"/>
      <c r="I825" s="89"/>
      <c r="J825" s="89"/>
      <c r="K825" s="89"/>
      <c r="L825" s="89"/>
      <c r="M825" s="89"/>
      <c r="N825" s="89"/>
      <c r="O825" s="89"/>
      <c r="P825" s="89"/>
      <c r="Q825" s="89"/>
      <c r="R825" s="89"/>
      <c r="S825" s="89"/>
      <c r="T825" s="89"/>
      <c r="U825" s="89"/>
      <c r="V825" s="89"/>
      <c r="W825" s="89"/>
      <c r="X825" s="89"/>
      <c r="Y825" s="89"/>
      <c r="Z825" s="89"/>
      <c r="AA825" s="89"/>
    </row>
    <row r="826" spans="1:27" ht="13.8">
      <c r="A826" s="89"/>
      <c r="B826" s="89"/>
      <c r="C826" s="89"/>
      <c r="D826" s="89"/>
      <c r="E826" s="89"/>
      <c r="F826" s="110"/>
      <c r="G826" s="89"/>
      <c r="H826" s="89"/>
      <c r="I826" s="89"/>
      <c r="J826" s="89"/>
      <c r="K826" s="89"/>
      <c r="L826" s="89"/>
      <c r="M826" s="89"/>
      <c r="N826" s="89"/>
      <c r="O826" s="89"/>
      <c r="P826" s="89"/>
      <c r="Q826" s="89"/>
      <c r="R826" s="89"/>
      <c r="S826" s="89"/>
      <c r="T826" s="89"/>
      <c r="U826" s="89"/>
      <c r="V826" s="89"/>
      <c r="W826" s="89"/>
      <c r="X826" s="89"/>
      <c r="Y826" s="89"/>
      <c r="Z826" s="89"/>
      <c r="AA826" s="89"/>
    </row>
    <row r="827" spans="1:27" ht="13.8">
      <c r="A827" s="89"/>
      <c r="B827" s="89"/>
      <c r="C827" s="89"/>
      <c r="D827" s="89"/>
      <c r="E827" s="89"/>
      <c r="F827" s="110"/>
      <c r="G827" s="89"/>
      <c r="H827" s="89"/>
      <c r="I827" s="89"/>
      <c r="J827" s="89"/>
      <c r="K827" s="89"/>
      <c r="L827" s="89"/>
      <c r="M827" s="89"/>
      <c r="N827" s="89"/>
      <c r="O827" s="89"/>
      <c r="P827" s="89"/>
      <c r="Q827" s="89"/>
      <c r="R827" s="89"/>
      <c r="S827" s="89"/>
      <c r="T827" s="89"/>
      <c r="U827" s="89"/>
      <c r="V827" s="89"/>
      <c r="W827" s="89"/>
      <c r="X827" s="89"/>
      <c r="Y827" s="89"/>
      <c r="Z827" s="89"/>
      <c r="AA827" s="89"/>
    </row>
    <row r="828" spans="1:27" ht="13.8">
      <c r="A828" s="89"/>
      <c r="B828" s="89"/>
      <c r="C828" s="89"/>
      <c r="D828" s="89"/>
      <c r="E828" s="89"/>
      <c r="F828" s="110"/>
      <c r="G828" s="89"/>
      <c r="H828" s="89"/>
      <c r="I828" s="89"/>
      <c r="J828" s="89"/>
      <c r="K828" s="89"/>
      <c r="L828" s="89"/>
      <c r="M828" s="89"/>
      <c r="N828" s="89"/>
      <c r="O828" s="89"/>
      <c r="P828" s="89"/>
      <c r="Q828" s="89"/>
      <c r="R828" s="89"/>
      <c r="S828" s="89"/>
      <c r="T828" s="89"/>
      <c r="U828" s="89"/>
      <c r="V828" s="89"/>
      <c r="W828" s="89"/>
      <c r="X828" s="89"/>
      <c r="Y828" s="89"/>
      <c r="Z828" s="89"/>
      <c r="AA828" s="89"/>
    </row>
    <row r="829" spans="1:27" ht="13.8">
      <c r="A829" s="89"/>
      <c r="B829" s="89"/>
      <c r="C829" s="89"/>
      <c r="D829" s="89"/>
      <c r="E829" s="89"/>
      <c r="F829" s="110"/>
      <c r="G829" s="89"/>
      <c r="H829" s="89"/>
      <c r="I829" s="89"/>
      <c r="J829" s="89"/>
      <c r="K829" s="89"/>
      <c r="L829" s="89"/>
      <c r="M829" s="89"/>
      <c r="N829" s="89"/>
      <c r="O829" s="89"/>
      <c r="P829" s="89"/>
      <c r="Q829" s="89"/>
      <c r="R829" s="89"/>
      <c r="S829" s="89"/>
      <c r="T829" s="89"/>
      <c r="U829" s="89"/>
      <c r="V829" s="89"/>
      <c r="W829" s="89"/>
      <c r="X829" s="89"/>
      <c r="Y829" s="89"/>
      <c r="Z829" s="89"/>
      <c r="AA829" s="89"/>
    </row>
    <row r="830" spans="1:27" ht="13.8">
      <c r="A830" s="89"/>
      <c r="B830" s="89"/>
      <c r="C830" s="89"/>
      <c r="D830" s="89"/>
      <c r="E830" s="89"/>
      <c r="F830" s="110"/>
      <c r="G830" s="89"/>
      <c r="H830" s="89"/>
      <c r="I830" s="89"/>
      <c r="J830" s="89"/>
      <c r="K830" s="89"/>
      <c r="L830" s="89"/>
      <c r="M830" s="89"/>
      <c r="N830" s="89"/>
      <c r="O830" s="89"/>
      <c r="P830" s="89"/>
      <c r="Q830" s="89"/>
      <c r="R830" s="89"/>
      <c r="S830" s="89"/>
      <c r="T830" s="89"/>
      <c r="U830" s="89"/>
      <c r="V830" s="89"/>
      <c r="W830" s="89"/>
      <c r="X830" s="89"/>
      <c r="Y830" s="89"/>
      <c r="Z830" s="89"/>
      <c r="AA830" s="89"/>
    </row>
    <row r="831" spans="1:27" ht="13.8">
      <c r="A831" s="89"/>
      <c r="B831" s="89"/>
      <c r="C831" s="89"/>
      <c r="D831" s="89"/>
      <c r="E831" s="89"/>
      <c r="F831" s="110"/>
      <c r="G831" s="89"/>
      <c r="H831" s="89"/>
      <c r="I831" s="89"/>
      <c r="J831" s="89"/>
      <c r="K831" s="89"/>
      <c r="L831" s="89"/>
      <c r="M831" s="89"/>
      <c r="N831" s="89"/>
      <c r="O831" s="89"/>
      <c r="P831" s="89"/>
      <c r="Q831" s="89"/>
      <c r="R831" s="89"/>
      <c r="S831" s="89"/>
      <c r="T831" s="89"/>
      <c r="U831" s="89"/>
      <c r="V831" s="89"/>
      <c r="W831" s="89"/>
      <c r="X831" s="89"/>
      <c r="Y831" s="89"/>
      <c r="Z831" s="89"/>
      <c r="AA831" s="89"/>
    </row>
    <row r="832" spans="1:27" ht="13.8">
      <c r="A832" s="89"/>
      <c r="B832" s="89"/>
      <c r="C832" s="89"/>
      <c r="D832" s="89"/>
      <c r="E832" s="89"/>
      <c r="F832" s="110"/>
      <c r="G832" s="89"/>
      <c r="H832" s="89"/>
      <c r="I832" s="89"/>
      <c r="J832" s="89"/>
      <c r="K832" s="89"/>
      <c r="L832" s="89"/>
      <c r="M832" s="89"/>
      <c r="N832" s="89"/>
      <c r="O832" s="89"/>
      <c r="P832" s="89"/>
      <c r="Q832" s="89"/>
      <c r="R832" s="89"/>
      <c r="S832" s="89"/>
      <c r="T832" s="89"/>
      <c r="U832" s="89"/>
      <c r="V832" s="89"/>
      <c r="W832" s="89"/>
      <c r="X832" s="89"/>
      <c r="Y832" s="89"/>
      <c r="Z832" s="89"/>
      <c r="AA832" s="89"/>
    </row>
    <row r="833" spans="1:27" ht="13.8">
      <c r="A833" s="89"/>
      <c r="B833" s="89"/>
      <c r="C833" s="89"/>
      <c r="D833" s="89"/>
      <c r="E833" s="89"/>
      <c r="F833" s="110"/>
      <c r="G833" s="89"/>
      <c r="H833" s="89"/>
      <c r="I833" s="89"/>
      <c r="J833" s="89"/>
      <c r="K833" s="89"/>
      <c r="L833" s="89"/>
      <c r="M833" s="89"/>
      <c r="N833" s="89"/>
      <c r="O833" s="89"/>
      <c r="P833" s="89"/>
      <c r="Q833" s="89"/>
      <c r="R833" s="89"/>
      <c r="S833" s="89"/>
      <c r="T833" s="89"/>
      <c r="U833" s="89"/>
      <c r="V833" s="89"/>
      <c r="W833" s="89"/>
      <c r="X833" s="89"/>
      <c r="Y833" s="89"/>
      <c r="Z833" s="89"/>
      <c r="AA833" s="89"/>
    </row>
    <row r="834" spans="1:27" ht="13.8">
      <c r="A834" s="89"/>
      <c r="B834" s="89"/>
      <c r="C834" s="89"/>
      <c r="D834" s="89"/>
      <c r="E834" s="89"/>
      <c r="F834" s="110"/>
      <c r="G834" s="89"/>
      <c r="H834" s="89"/>
      <c r="I834" s="89"/>
      <c r="J834" s="89"/>
      <c r="K834" s="89"/>
      <c r="L834" s="89"/>
      <c r="M834" s="89"/>
      <c r="N834" s="89"/>
      <c r="O834" s="89"/>
      <c r="P834" s="89"/>
      <c r="Q834" s="89"/>
      <c r="R834" s="89"/>
      <c r="S834" s="89"/>
      <c r="T834" s="89"/>
      <c r="U834" s="89"/>
      <c r="V834" s="89"/>
      <c r="W834" s="89"/>
      <c r="X834" s="89"/>
      <c r="Y834" s="89"/>
      <c r="Z834" s="89"/>
      <c r="AA834" s="89"/>
    </row>
    <row r="835" spans="1:27" ht="13.8">
      <c r="A835" s="89"/>
      <c r="B835" s="89"/>
      <c r="C835" s="89"/>
      <c r="D835" s="89"/>
      <c r="E835" s="89"/>
      <c r="F835" s="110"/>
      <c r="G835" s="89"/>
      <c r="H835" s="89"/>
      <c r="I835" s="89"/>
      <c r="J835" s="89"/>
      <c r="K835" s="89"/>
      <c r="L835" s="89"/>
      <c r="M835" s="89"/>
      <c r="N835" s="89"/>
      <c r="O835" s="89"/>
      <c r="P835" s="89"/>
      <c r="Q835" s="89"/>
      <c r="R835" s="89"/>
      <c r="S835" s="89"/>
      <c r="T835" s="89"/>
      <c r="U835" s="89"/>
      <c r="V835" s="89"/>
      <c r="W835" s="89"/>
      <c r="X835" s="89"/>
      <c r="Y835" s="89"/>
      <c r="Z835" s="89"/>
      <c r="AA835" s="89"/>
    </row>
    <row r="836" spans="1:27" ht="13.8">
      <c r="A836" s="89"/>
      <c r="B836" s="89"/>
      <c r="C836" s="89"/>
      <c r="D836" s="89"/>
      <c r="E836" s="89"/>
      <c r="F836" s="110"/>
      <c r="G836" s="89"/>
      <c r="H836" s="89"/>
      <c r="I836" s="89"/>
      <c r="J836" s="89"/>
      <c r="K836" s="89"/>
      <c r="L836" s="89"/>
      <c r="M836" s="89"/>
      <c r="N836" s="89"/>
      <c r="O836" s="89"/>
      <c r="P836" s="89"/>
      <c r="Q836" s="89"/>
      <c r="R836" s="89"/>
      <c r="S836" s="89"/>
      <c r="T836" s="89"/>
      <c r="U836" s="89"/>
      <c r="V836" s="89"/>
      <c r="W836" s="89"/>
      <c r="X836" s="89"/>
      <c r="Y836" s="89"/>
      <c r="Z836" s="89"/>
      <c r="AA836" s="89"/>
    </row>
    <row r="837" spans="1:27" ht="13.8">
      <c r="A837" s="89"/>
      <c r="B837" s="89"/>
      <c r="C837" s="89"/>
      <c r="D837" s="89"/>
      <c r="E837" s="89"/>
      <c r="F837" s="110"/>
      <c r="G837" s="89"/>
      <c r="H837" s="89"/>
      <c r="I837" s="89"/>
      <c r="J837" s="89"/>
      <c r="K837" s="89"/>
      <c r="L837" s="89"/>
      <c r="M837" s="89"/>
      <c r="N837" s="89"/>
      <c r="O837" s="89"/>
      <c r="P837" s="89"/>
      <c r="Q837" s="89"/>
      <c r="R837" s="89"/>
      <c r="S837" s="89"/>
      <c r="T837" s="89"/>
      <c r="U837" s="89"/>
      <c r="V837" s="89"/>
      <c r="W837" s="89"/>
      <c r="X837" s="89"/>
      <c r="Y837" s="89"/>
      <c r="Z837" s="89"/>
      <c r="AA837" s="89"/>
    </row>
    <row r="838" spans="1:27" ht="13.8">
      <c r="A838" s="89"/>
      <c r="B838" s="89"/>
      <c r="C838" s="89"/>
      <c r="D838" s="89"/>
      <c r="E838" s="89"/>
      <c r="F838" s="110"/>
      <c r="G838" s="89"/>
      <c r="H838" s="89"/>
      <c r="I838" s="89"/>
      <c r="J838" s="89"/>
      <c r="K838" s="89"/>
      <c r="L838" s="89"/>
      <c r="M838" s="89"/>
      <c r="N838" s="89"/>
      <c r="O838" s="89"/>
      <c r="P838" s="89"/>
      <c r="Q838" s="89"/>
      <c r="R838" s="89"/>
      <c r="S838" s="89"/>
      <c r="T838" s="89"/>
      <c r="U838" s="89"/>
      <c r="V838" s="89"/>
      <c r="W838" s="89"/>
      <c r="X838" s="89"/>
      <c r="Y838" s="89"/>
      <c r="Z838" s="89"/>
      <c r="AA838" s="89"/>
    </row>
    <row r="839" spans="1:27" ht="13.8">
      <c r="A839" s="89"/>
      <c r="B839" s="89"/>
      <c r="C839" s="89"/>
      <c r="D839" s="89"/>
      <c r="E839" s="89"/>
      <c r="F839" s="110"/>
      <c r="G839" s="89"/>
      <c r="H839" s="89"/>
      <c r="I839" s="89"/>
      <c r="J839" s="89"/>
      <c r="K839" s="89"/>
      <c r="L839" s="89"/>
      <c r="M839" s="89"/>
      <c r="N839" s="89"/>
      <c r="O839" s="89"/>
      <c r="P839" s="89"/>
      <c r="Q839" s="89"/>
      <c r="R839" s="89"/>
      <c r="S839" s="89"/>
      <c r="T839" s="89"/>
      <c r="U839" s="89"/>
      <c r="V839" s="89"/>
      <c r="W839" s="89"/>
      <c r="X839" s="89"/>
      <c r="Y839" s="89"/>
      <c r="Z839" s="89"/>
      <c r="AA839" s="89"/>
    </row>
    <row r="840" spans="1:27" ht="13.8">
      <c r="A840" s="89"/>
      <c r="B840" s="89"/>
      <c r="C840" s="89"/>
      <c r="D840" s="89"/>
      <c r="E840" s="89"/>
      <c r="F840" s="110"/>
      <c r="G840" s="89"/>
      <c r="H840" s="89"/>
      <c r="I840" s="89"/>
      <c r="J840" s="89"/>
      <c r="K840" s="89"/>
      <c r="L840" s="89"/>
      <c r="M840" s="89"/>
      <c r="N840" s="89"/>
      <c r="O840" s="89"/>
      <c r="P840" s="89"/>
      <c r="Q840" s="89"/>
      <c r="R840" s="89"/>
      <c r="S840" s="89"/>
      <c r="T840" s="89"/>
      <c r="U840" s="89"/>
      <c r="V840" s="89"/>
      <c r="W840" s="89"/>
      <c r="X840" s="89"/>
      <c r="Y840" s="89"/>
      <c r="Z840" s="89"/>
      <c r="AA840" s="89"/>
    </row>
    <row r="841" spans="1:27" ht="13.8">
      <c r="A841" s="89"/>
      <c r="B841" s="89"/>
      <c r="C841" s="89"/>
      <c r="D841" s="89"/>
      <c r="E841" s="89"/>
      <c r="F841" s="110"/>
      <c r="G841" s="89"/>
      <c r="H841" s="89"/>
      <c r="I841" s="89"/>
      <c r="J841" s="89"/>
      <c r="K841" s="89"/>
      <c r="L841" s="89"/>
      <c r="M841" s="89"/>
      <c r="N841" s="89"/>
      <c r="O841" s="89"/>
      <c r="P841" s="89"/>
      <c r="Q841" s="89"/>
      <c r="R841" s="89"/>
      <c r="S841" s="89"/>
      <c r="T841" s="89"/>
      <c r="U841" s="89"/>
      <c r="V841" s="89"/>
      <c r="W841" s="89"/>
      <c r="X841" s="89"/>
      <c r="Y841" s="89"/>
      <c r="Z841" s="89"/>
      <c r="AA841" s="89"/>
    </row>
    <row r="842" spans="1:27" ht="13.8">
      <c r="A842" s="89"/>
      <c r="B842" s="89"/>
      <c r="C842" s="89"/>
      <c r="D842" s="89"/>
      <c r="E842" s="89"/>
      <c r="F842" s="110"/>
      <c r="G842" s="89"/>
      <c r="H842" s="89"/>
      <c r="I842" s="89"/>
      <c r="J842" s="89"/>
      <c r="K842" s="89"/>
      <c r="L842" s="89"/>
      <c r="M842" s="89"/>
      <c r="N842" s="89"/>
      <c r="O842" s="89"/>
      <c r="P842" s="89"/>
      <c r="Q842" s="89"/>
      <c r="R842" s="89"/>
      <c r="S842" s="89"/>
      <c r="T842" s="89"/>
      <c r="U842" s="89"/>
      <c r="V842" s="89"/>
      <c r="W842" s="89"/>
      <c r="X842" s="89"/>
      <c r="Y842" s="89"/>
      <c r="Z842" s="89"/>
      <c r="AA842" s="89"/>
    </row>
    <row r="843" spans="1:27" ht="13.8">
      <c r="A843" s="89"/>
      <c r="B843" s="89"/>
      <c r="C843" s="89"/>
      <c r="D843" s="89"/>
      <c r="E843" s="89"/>
      <c r="F843" s="110"/>
      <c r="G843" s="89"/>
      <c r="H843" s="89"/>
      <c r="I843" s="89"/>
      <c r="J843" s="89"/>
      <c r="K843" s="89"/>
      <c r="L843" s="89"/>
      <c r="M843" s="89"/>
      <c r="N843" s="89"/>
      <c r="O843" s="89"/>
      <c r="P843" s="89"/>
      <c r="Q843" s="89"/>
      <c r="R843" s="89"/>
      <c r="S843" s="89"/>
      <c r="T843" s="89"/>
      <c r="U843" s="89"/>
      <c r="V843" s="89"/>
      <c r="W843" s="89"/>
      <c r="X843" s="89"/>
      <c r="Y843" s="89"/>
      <c r="Z843" s="89"/>
      <c r="AA843" s="89"/>
    </row>
    <row r="844" spans="1:27" ht="13.8">
      <c r="A844" s="89"/>
      <c r="B844" s="89"/>
      <c r="C844" s="89"/>
      <c r="D844" s="89"/>
      <c r="E844" s="89"/>
      <c r="F844" s="110"/>
      <c r="G844" s="89"/>
      <c r="H844" s="89"/>
      <c r="I844" s="89"/>
      <c r="J844" s="89"/>
      <c r="K844" s="89"/>
      <c r="L844" s="89"/>
      <c r="M844" s="89"/>
      <c r="N844" s="89"/>
      <c r="O844" s="89"/>
      <c r="P844" s="89"/>
      <c r="Q844" s="89"/>
      <c r="R844" s="89"/>
      <c r="S844" s="89"/>
      <c r="T844" s="89"/>
      <c r="U844" s="89"/>
      <c r="V844" s="89"/>
      <c r="W844" s="89"/>
      <c r="X844" s="89"/>
      <c r="Y844" s="89"/>
      <c r="Z844" s="89"/>
      <c r="AA844" s="89"/>
    </row>
    <row r="845" spans="1:27" ht="13.8">
      <c r="A845" s="89"/>
      <c r="B845" s="89"/>
      <c r="C845" s="89"/>
      <c r="D845" s="89"/>
      <c r="E845" s="89"/>
      <c r="F845" s="110"/>
      <c r="G845" s="89"/>
      <c r="H845" s="89"/>
      <c r="I845" s="89"/>
      <c r="J845" s="89"/>
      <c r="K845" s="89"/>
      <c r="L845" s="89"/>
      <c r="M845" s="89"/>
      <c r="N845" s="89"/>
      <c r="O845" s="89"/>
      <c r="P845" s="89"/>
      <c r="Q845" s="89"/>
      <c r="R845" s="89"/>
      <c r="S845" s="89"/>
      <c r="T845" s="89"/>
      <c r="U845" s="89"/>
      <c r="V845" s="89"/>
      <c r="W845" s="89"/>
      <c r="X845" s="89"/>
      <c r="Y845" s="89"/>
      <c r="Z845" s="89"/>
      <c r="AA845" s="89"/>
    </row>
    <row r="846" spans="1:27" ht="13.8">
      <c r="A846" s="89"/>
      <c r="B846" s="89"/>
      <c r="C846" s="89"/>
      <c r="D846" s="89"/>
      <c r="E846" s="89"/>
      <c r="F846" s="110"/>
      <c r="G846" s="89"/>
      <c r="H846" s="89"/>
      <c r="I846" s="89"/>
      <c r="J846" s="89"/>
      <c r="K846" s="89"/>
      <c r="L846" s="89"/>
      <c r="M846" s="89"/>
      <c r="N846" s="89"/>
      <c r="O846" s="89"/>
      <c r="P846" s="89"/>
      <c r="Q846" s="89"/>
      <c r="R846" s="89"/>
      <c r="S846" s="89"/>
      <c r="T846" s="89"/>
      <c r="U846" s="89"/>
      <c r="V846" s="89"/>
      <c r="W846" s="89"/>
      <c r="X846" s="89"/>
      <c r="Y846" s="89"/>
      <c r="Z846" s="89"/>
      <c r="AA846" s="89"/>
    </row>
    <row r="847" spans="1:27" ht="13.8">
      <c r="A847" s="89"/>
      <c r="B847" s="89"/>
      <c r="C847" s="89"/>
      <c r="D847" s="89"/>
      <c r="E847" s="89"/>
      <c r="F847" s="110"/>
      <c r="G847" s="89"/>
      <c r="H847" s="89"/>
      <c r="I847" s="89"/>
      <c r="J847" s="89"/>
      <c r="K847" s="89"/>
      <c r="L847" s="89"/>
      <c r="M847" s="89"/>
      <c r="N847" s="89"/>
      <c r="O847" s="89"/>
      <c r="P847" s="89"/>
      <c r="Q847" s="89"/>
      <c r="R847" s="89"/>
      <c r="S847" s="89"/>
      <c r="T847" s="89"/>
      <c r="U847" s="89"/>
      <c r="V847" s="89"/>
      <c r="W847" s="89"/>
      <c r="X847" s="89"/>
      <c r="Y847" s="89"/>
      <c r="Z847" s="89"/>
      <c r="AA847" s="89"/>
    </row>
    <row r="848" spans="1:27" ht="13.8">
      <c r="A848" s="89"/>
      <c r="B848" s="89"/>
      <c r="C848" s="89"/>
      <c r="D848" s="89"/>
      <c r="E848" s="89"/>
      <c r="F848" s="110"/>
      <c r="G848" s="89"/>
      <c r="H848" s="89"/>
      <c r="I848" s="89"/>
      <c r="J848" s="89"/>
      <c r="K848" s="89"/>
      <c r="L848" s="89"/>
      <c r="M848" s="89"/>
      <c r="N848" s="89"/>
      <c r="O848" s="89"/>
      <c r="P848" s="89"/>
      <c r="Q848" s="89"/>
      <c r="R848" s="89"/>
      <c r="S848" s="89"/>
      <c r="T848" s="89"/>
      <c r="U848" s="89"/>
      <c r="V848" s="89"/>
      <c r="W848" s="89"/>
      <c r="X848" s="89"/>
      <c r="Y848" s="89"/>
      <c r="Z848" s="89"/>
      <c r="AA848" s="89"/>
    </row>
    <row r="849" spans="1:27" ht="13.8">
      <c r="A849" s="89"/>
      <c r="B849" s="89"/>
      <c r="C849" s="89"/>
      <c r="D849" s="89"/>
      <c r="E849" s="89"/>
      <c r="F849" s="110"/>
      <c r="G849" s="89"/>
      <c r="H849" s="89"/>
      <c r="I849" s="89"/>
      <c r="J849" s="89"/>
      <c r="K849" s="89"/>
      <c r="L849" s="89"/>
      <c r="M849" s="89"/>
      <c r="N849" s="89"/>
      <c r="O849" s="89"/>
      <c r="P849" s="89"/>
      <c r="Q849" s="89"/>
      <c r="R849" s="89"/>
      <c r="S849" s="89"/>
      <c r="T849" s="89"/>
      <c r="U849" s="89"/>
      <c r="V849" s="89"/>
      <c r="W849" s="89"/>
      <c r="X849" s="89"/>
      <c r="Y849" s="89"/>
      <c r="Z849" s="89"/>
      <c r="AA849" s="89"/>
    </row>
    <row r="850" spans="1:27" ht="13.8">
      <c r="A850" s="89"/>
      <c r="B850" s="89"/>
      <c r="C850" s="89"/>
      <c r="D850" s="89"/>
      <c r="E850" s="89"/>
      <c r="F850" s="110"/>
      <c r="G850" s="89"/>
      <c r="H850" s="89"/>
      <c r="I850" s="89"/>
      <c r="J850" s="89"/>
      <c r="K850" s="89"/>
      <c r="L850" s="89"/>
      <c r="M850" s="89"/>
      <c r="N850" s="89"/>
      <c r="O850" s="89"/>
      <c r="P850" s="89"/>
      <c r="Q850" s="89"/>
      <c r="R850" s="89"/>
      <c r="S850" s="89"/>
      <c r="T850" s="89"/>
      <c r="U850" s="89"/>
      <c r="V850" s="89"/>
      <c r="W850" s="89"/>
      <c r="X850" s="89"/>
      <c r="Y850" s="89"/>
      <c r="Z850" s="89"/>
      <c r="AA850" s="89"/>
    </row>
    <row r="851" spans="1:27" ht="13.8">
      <c r="A851" s="89"/>
      <c r="B851" s="89"/>
      <c r="C851" s="89"/>
      <c r="D851" s="89"/>
      <c r="E851" s="89"/>
      <c r="F851" s="110"/>
      <c r="G851" s="89"/>
      <c r="H851" s="89"/>
      <c r="I851" s="89"/>
      <c r="J851" s="89"/>
      <c r="K851" s="89"/>
      <c r="L851" s="89"/>
      <c r="M851" s="89"/>
      <c r="N851" s="89"/>
      <c r="O851" s="89"/>
      <c r="P851" s="89"/>
      <c r="Q851" s="89"/>
      <c r="R851" s="89"/>
      <c r="S851" s="89"/>
      <c r="T851" s="89"/>
      <c r="U851" s="89"/>
      <c r="V851" s="89"/>
      <c r="W851" s="89"/>
      <c r="X851" s="89"/>
      <c r="Y851" s="89"/>
      <c r="Z851" s="89"/>
      <c r="AA851" s="89"/>
    </row>
    <row r="852" spans="1:27" ht="13.8">
      <c r="A852" s="89"/>
      <c r="B852" s="89"/>
      <c r="C852" s="89"/>
      <c r="D852" s="89"/>
      <c r="E852" s="89"/>
      <c r="F852" s="110"/>
      <c r="G852" s="89"/>
      <c r="H852" s="89"/>
      <c r="I852" s="89"/>
      <c r="J852" s="89"/>
      <c r="K852" s="89"/>
      <c r="L852" s="89"/>
      <c r="M852" s="89"/>
      <c r="N852" s="89"/>
      <c r="O852" s="89"/>
      <c r="P852" s="89"/>
      <c r="Q852" s="89"/>
      <c r="R852" s="89"/>
      <c r="S852" s="89"/>
      <c r="T852" s="89"/>
      <c r="U852" s="89"/>
      <c r="V852" s="89"/>
      <c r="W852" s="89"/>
      <c r="X852" s="89"/>
      <c r="Y852" s="89"/>
      <c r="Z852" s="89"/>
      <c r="AA852" s="89"/>
    </row>
    <row r="853" spans="1:27" ht="13.8">
      <c r="A853" s="89"/>
      <c r="B853" s="89"/>
      <c r="C853" s="89"/>
      <c r="D853" s="89"/>
      <c r="E853" s="89"/>
      <c r="F853" s="110"/>
      <c r="G853" s="89"/>
      <c r="H853" s="89"/>
      <c r="I853" s="89"/>
      <c r="J853" s="89"/>
      <c r="K853" s="89"/>
      <c r="L853" s="89"/>
      <c r="M853" s="89"/>
      <c r="N853" s="89"/>
      <c r="O853" s="89"/>
      <c r="P853" s="89"/>
      <c r="Q853" s="89"/>
      <c r="R853" s="89"/>
      <c r="S853" s="89"/>
      <c r="T853" s="89"/>
      <c r="U853" s="89"/>
      <c r="V853" s="89"/>
      <c r="W853" s="89"/>
      <c r="X853" s="89"/>
      <c r="Y853" s="89"/>
      <c r="Z853" s="89"/>
      <c r="AA853" s="89"/>
    </row>
    <row r="854" spans="1:27" ht="13.8">
      <c r="A854" s="89"/>
      <c r="B854" s="89"/>
      <c r="C854" s="89"/>
      <c r="D854" s="89"/>
      <c r="E854" s="89"/>
      <c r="F854" s="110"/>
      <c r="G854" s="89"/>
      <c r="H854" s="89"/>
      <c r="I854" s="89"/>
      <c r="J854" s="89"/>
      <c r="K854" s="89"/>
      <c r="L854" s="89"/>
      <c r="M854" s="89"/>
      <c r="N854" s="89"/>
      <c r="O854" s="89"/>
      <c r="P854" s="89"/>
      <c r="Q854" s="89"/>
      <c r="R854" s="89"/>
      <c r="S854" s="89"/>
      <c r="T854" s="89"/>
      <c r="U854" s="89"/>
      <c r="V854" s="89"/>
      <c r="W854" s="89"/>
      <c r="X854" s="89"/>
      <c r="Y854" s="89"/>
      <c r="Z854" s="89"/>
      <c r="AA854" s="89"/>
    </row>
    <row r="855" spans="1:27" ht="13.8">
      <c r="A855" s="89"/>
      <c r="B855" s="89"/>
      <c r="C855" s="89"/>
      <c r="D855" s="89"/>
      <c r="E855" s="89"/>
      <c r="F855" s="110"/>
      <c r="G855" s="89"/>
      <c r="H855" s="89"/>
      <c r="I855" s="89"/>
      <c r="J855" s="89"/>
      <c r="K855" s="89"/>
      <c r="L855" s="89"/>
      <c r="M855" s="89"/>
      <c r="N855" s="89"/>
      <c r="O855" s="89"/>
      <c r="P855" s="89"/>
      <c r="Q855" s="89"/>
      <c r="R855" s="89"/>
      <c r="S855" s="89"/>
      <c r="T855" s="89"/>
      <c r="U855" s="89"/>
      <c r="V855" s="89"/>
      <c r="W855" s="89"/>
      <c r="X855" s="89"/>
      <c r="Y855" s="89"/>
      <c r="Z855" s="89"/>
      <c r="AA855" s="89"/>
    </row>
    <row r="856" spans="1:27" ht="13.8">
      <c r="A856" s="89"/>
      <c r="B856" s="89"/>
      <c r="C856" s="89"/>
      <c r="D856" s="89"/>
      <c r="E856" s="89"/>
      <c r="F856" s="110"/>
      <c r="G856" s="89"/>
      <c r="H856" s="89"/>
      <c r="I856" s="89"/>
      <c r="J856" s="89"/>
      <c r="K856" s="89"/>
      <c r="L856" s="89"/>
      <c r="M856" s="89"/>
      <c r="N856" s="89"/>
      <c r="O856" s="89"/>
      <c r="P856" s="89"/>
      <c r="Q856" s="89"/>
      <c r="R856" s="89"/>
      <c r="S856" s="89"/>
      <c r="T856" s="89"/>
      <c r="U856" s="89"/>
      <c r="V856" s="89"/>
      <c r="W856" s="89"/>
      <c r="X856" s="89"/>
      <c r="Y856" s="89"/>
      <c r="Z856" s="89"/>
      <c r="AA856" s="89"/>
    </row>
    <row r="857" spans="1:27" ht="13.8">
      <c r="A857" s="89"/>
      <c r="B857" s="89"/>
      <c r="C857" s="89"/>
      <c r="D857" s="89"/>
      <c r="E857" s="89"/>
      <c r="F857" s="110"/>
      <c r="G857" s="89"/>
      <c r="H857" s="89"/>
      <c r="I857" s="89"/>
      <c r="J857" s="89"/>
      <c r="K857" s="89"/>
      <c r="L857" s="89"/>
      <c r="M857" s="89"/>
      <c r="N857" s="89"/>
      <c r="O857" s="89"/>
      <c r="P857" s="89"/>
      <c r="Q857" s="89"/>
      <c r="R857" s="89"/>
      <c r="S857" s="89"/>
      <c r="T857" s="89"/>
      <c r="U857" s="89"/>
      <c r="V857" s="89"/>
      <c r="W857" s="89"/>
      <c r="X857" s="89"/>
      <c r="Y857" s="89"/>
      <c r="Z857" s="89"/>
      <c r="AA857" s="89"/>
    </row>
    <row r="858" spans="1:27" ht="13.8">
      <c r="A858" s="89"/>
      <c r="B858" s="89"/>
      <c r="C858" s="89"/>
      <c r="D858" s="89"/>
      <c r="E858" s="89"/>
      <c r="F858" s="110"/>
      <c r="G858" s="89"/>
      <c r="H858" s="89"/>
      <c r="I858" s="89"/>
      <c r="J858" s="89"/>
      <c r="K858" s="89"/>
      <c r="L858" s="89"/>
      <c r="M858" s="89"/>
      <c r="N858" s="89"/>
      <c r="O858" s="89"/>
      <c r="P858" s="89"/>
      <c r="Q858" s="89"/>
      <c r="R858" s="89"/>
      <c r="S858" s="89"/>
      <c r="T858" s="89"/>
      <c r="U858" s="89"/>
      <c r="V858" s="89"/>
      <c r="W858" s="89"/>
      <c r="X858" s="89"/>
      <c r="Y858" s="89"/>
      <c r="Z858" s="89"/>
      <c r="AA858" s="89"/>
    </row>
    <row r="859" spans="1:27" ht="13.8">
      <c r="A859" s="89"/>
      <c r="B859" s="89"/>
      <c r="C859" s="89"/>
      <c r="D859" s="89"/>
      <c r="E859" s="89"/>
      <c r="F859" s="110"/>
      <c r="G859" s="89"/>
      <c r="H859" s="89"/>
      <c r="I859" s="89"/>
      <c r="J859" s="89"/>
      <c r="K859" s="89"/>
      <c r="L859" s="89"/>
      <c r="M859" s="89"/>
      <c r="N859" s="89"/>
      <c r="O859" s="89"/>
      <c r="P859" s="89"/>
      <c r="Q859" s="89"/>
      <c r="R859" s="89"/>
      <c r="S859" s="89"/>
      <c r="T859" s="89"/>
      <c r="U859" s="89"/>
      <c r="V859" s="89"/>
      <c r="W859" s="89"/>
      <c r="X859" s="89"/>
      <c r="Y859" s="89"/>
      <c r="Z859" s="89"/>
      <c r="AA859" s="89"/>
    </row>
    <row r="860" spans="1:27" ht="13.8">
      <c r="A860" s="89"/>
      <c r="B860" s="89"/>
      <c r="C860" s="89"/>
      <c r="D860" s="89"/>
      <c r="E860" s="89"/>
      <c r="F860" s="110"/>
      <c r="G860" s="89"/>
      <c r="H860" s="89"/>
      <c r="I860" s="89"/>
      <c r="J860" s="89"/>
      <c r="K860" s="89"/>
      <c r="L860" s="89"/>
      <c r="M860" s="89"/>
      <c r="N860" s="89"/>
      <c r="O860" s="89"/>
      <c r="P860" s="89"/>
      <c r="Q860" s="89"/>
      <c r="R860" s="89"/>
      <c r="S860" s="89"/>
      <c r="T860" s="89"/>
      <c r="U860" s="89"/>
      <c r="V860" s="89"/>
      <c r="W860" s="89"/>
      <c r="X860" s="89"/>
      <c r="Y860" s="89"/>
      <c r="Z860" s="89"/>
      <c r="AA860" s="89"/>
    </row>
    <row r="861" spans="1:27" ht="13.8">
      <c r="A861" s="89"/>
      <c r="B861" s="89"/>
      <c r="C861" s="89"/>
      <c r="D861" s="89"/>
      <c r="E861" s="89"/>
      <c r="F861" s="110"/>
      <c r="G861" s="89"/>
      <c r="H861" s="89"/>
      <c r="I861" s="89"/>
      <c r="J861" s="89"/>
      <c r="K861" s="89"/>
      <c r="L861" s="89"/>
      <c r="M861" s="89"/>
      <c r="N861" s="89"/>
      <c r="O861" s="89"/>
      <c r="P861" s="89"/>
      <c r="Q861" s="89"/>
      <c r="R861" s="89"/>
      <c r="S861" s="89"/>
      <c r="T861" s="89"/>
      <c r="U861" s="89"/>
      <c r="V861" s="89"/>
      <c r="W861" s="89"/>
      <c r="X861" s="89"/>
      <c r="Y861" s="89"/>
      <c r="Z861" s="89"/>
      <c r="AA861" s="89"/>
    </row>
    <row r="862" spans="1:27" ht="13.8">
      <c r="A862" s="89"/>
      <c r="B862" s="89"/>
      <c r="C862" s="89"/>
      <c r="D862" s="89"/>
      <c r="E862" s="89"/>
      <c r="F862" s="110"/>
      <c r="G862" s="89"/>
      <c r="H862" s="89"/>
      <c r="I862" s="89"/>
      <c r="J862" s="89"/>
      <c r="K862" s="89"/>
      <c r="L862" s="89"/>
      <c r="M862" s="89"/>
      <c r="N862" s="89"/>
      <c r="O862" s="89"/>
      <c r="P862" s="89"/>
      <c r="Q862" s="89"/>
      <c r="R862" s="89"/>
      <c r="S862" s="89"/>
      <c r="T862" s="89"/>
      <c r="U862" s="89"/>
      <c r="V862" s="89"/>
      <c r="W862" s="89"/>
      <c r="X862" s="89"/>
      <c r="Y862" s="89"/>
      <c r="Z862" s="89"/>
      <c r="AA862" s="89"/>
    </row>
    <row r="863" spans="1:27" ht="13.8">
      <c r="A863" s="89"/>
      <c r="B863" s="89"/>
      <c r="C863" s="89"/>
      <c r="D863" s="89"/>
      <c r="E863" s="89"/>
      <c r="F863" s="110"/>
      <c r="G863" s="89"/>
      <c r="H863" s="89"/>
      <c r="I863" s="89"/>
      <c r="J863" s="89"/>
      <c r="K863" s="89"/>
      <c r="L863" s="89"/>
      <c r="M863" s="89"/>
      <c r="N863" s="89"/>
      <c r="O863" s="89"/>
      <c r="P863" s="89"/>
      <c r="Q863" s="89"/>
      <c r="R863" s="89"/>
      <c r="S863" s="89"/>
      <c r="T863" s="89"/>
      <c r="U863" s="89"/>
      <c r="V863" s="89"/>
      <c r="W863" s="89"/>
      <c r="X863" s="89"/>
      <c r="Y863" s="89"/>
      <c r="Z863" s="89"/>
      <c r="AA863" s="89"/>
    </row>
    <row r="864" spans="1:27" ht="13.8">
      <c r="A864" s="89"/>
      <c r="B864" s="89"/>
      <c r="C864" s="89"/>
      <c r="D864" s="89"/>
      <c r="E864" s="89"/>
      <c r="F864" s="110"/>
      <c r="G864" s="89"/>
      <c r="H864" s="89"/>
      <c r="I864" s="89"/>
      <c r="J864" s="89"/>
      <c r="K864" s="89"/>
      <c r="L864" s="89"/>
      <c r="M864" s="89"/>
      <c r="N864" s="89"/>
      <c r="O864" s="89"/>
      <c r="P864" s="89"/>
      <c r="Q864" s="89"/>
      <c r="R864" s="89"/>
      <c r="S864" s="89"/>
      <c r="T864" s="89"/>
      <c r="U864" s="89"/>
      <c r="V864" s="89"/>
      <c r="W864" s="89"/>
      <c r="X864" s="89"/>
      <c r="Y864" s="89"/>
      <c r="Z864" s="89"/>
      <c r="AA864" s="89"/>
    </row>
    <row r="865" spans="1:27" ht="13.8">
      <c r="A865" s="89"/>
      <c r="B865" s="89"/>
      <c r="C865" s="89"/>
      <c r="D865" s="89"/>
      <c r="E865" s="89"/>
      <c r="F865" s="110"/>
      <c r="G865" s="89"/>
      <c r="H865" s="89"/>
      <c r="I865" s="89"/>
      <c r="J865" s="89"/>
      <c r="K865" s="89"/>
      <c r="L865" s="89"/>
      <c r="M865" s="89"/>
      <c r="N865" s="89"/>
      <c r="O865" s="89"/>
      <c r="P865" s="89"/>
      <c r="Q865" s="89"/>
      <c r="R865" s="89"/>
      <c r="S865" s="89"/>
      <c r="T865" s="89"/>
      <c r="U865" s="89"/>
      <c r="V865" s="89"/>
      <c r="W865" s="89"/>
      <c r="X865" s="89"/>
      <c r="Y865" s="89"/>
      <c r="Z865" s="89"/>
      <c r="AA865" s="89"/>
    </row>
    <row r="866" spans="1:27" ht="13.8">
      <c r="A866" s="89"/>
      <c r="B866" s="89"/>
      <c r="C866" s="89"/>
      <c r="D866" s="89"/>
      <c r="E866" s="89"/>
      <c r="F866" s="110"/>
      <c r="G866" s="89"/>
      <c r="H866" s="89"/>
      <c r="I866" s="89"/>
      <c r="J866" s="89"/>
      <c r="K866" s="89"/>
      <c r="L866" s="89"/>
      <c r="M866" s="89"/>
      <c r="N866" s="89"/>
      <c r="O866" s="89"/>
      <c r="P866" s="89"/>
      <c r="Q866" s="89"/>
      <c r="R866" s="89"/>
      <c r="S866" s="89"/>
      <c r="T866" s="89"/>
      <c r="U866" s="89"/>
      <c r="V866" s="89"/>
      <c r="W866" s="89"/>
      <c r="X866" s="89"/>
      <c r="Y866" s="89"/>
      <c r="Z866" s="89"/>
      <c r="AA866" s="89"/>
    </row>
    <row r="867" spans="1:27" ht="13.8">
      <c r="A867" s="89"/>
      <c r="B867" s="89"/>
      <c r="C867" s="89"/>
      <c r="D867" s="89"/>
      <c r="E867" s="89"/>
      <c r="F867" s="110"/>
      <c r="G867" s="89"/>
      <c r="H867" s="89"/>
      <c r="I867" s="89"/>
      <c r="J867" s="89"/>
      <c r="K867" s="89"/>
      <c r="L867" s="89"/>
      <c r="M867" s="89"/>
      <c r="N867" s="89"/>
      <c r="O867" s="89"/>
      <c r="P867" s="89"/>
      <c r="Q867" s="89"/>
      <c r="R867" s="89"/>
      <c r="S867" s="89"/>
      <c r="T867" s="89"/>
      <c r="U867" s="89"/>
      <c r="V867" s="89"/>
      <c r="W867" s="89"/>
      <c r="X867" s="89"/>
      <c r="Y867" s="89"/>
      <c r="Z867" s="89"/>
      <c r="AA867" s="89"/>
    </row>
    <row r="868" spans="1:27" ht="13.8">
      <c r="A868" s="89"/>
      <c r="B868" s="89"/>
      <c r="C868" s="89"/>
      <c r="D868" s="89"/>
      <c r="E868" s="89"/>
      <c r="F868" s="110"/>
      <c r="G868" s="89"/>
      <c r="H868" s="89"/>
      <c r="I868" s="89"/>
      <c r="J868" s="89"/>
      <c r="K868" s="89"/>
      <c r="L868" s="89"/>
      <c r="M868" s="89"/>
      <c r="N868" s="89"/>
      <c r="O868" s="89"/>
      <c r="P868" s="89"/>
      <c r="Q868" s="89"/>
      <c r="R868" s="89"/>
      <c r="S868" s="89"/>
      <c r="T868" s="89"/>
      <c r="U868" s="89"/>
      <c r="V868" s="89"/>
      <c r="W868" s="89"/>
      <c r="X868" s="89"/>
      <c r="Y868" s="89"/>
      <c r="Z868" s="89"/>
      <c r="AA868" s="89"/>
    </row>
    <row r="869" spans="1:27" ht="13.8">
      <c r="A869" s="89"/>
      <c r="B869" s="89"/>
      <c r="C869" s="89"/>
      <c r="D869" s="89"/>
      <c r="E869" s="89"/>
      <c r="F869" s="110"/>
      <c r="G869" s="89"/>
      <c r="H869" s="89"/>
      <c r="I869" s="89"/>
      <c r="J869" s="89"/>
      <c r="K869" s="89"/>
      <c r="L869" s="89"/>
      <c r="M869" s="89"/>
      <c r="N869" s="89"/>
      <c r="O869" s="89"/>
      <c r="P869" s="89"/>
      <c r="Q869" s="89"/>
      <c r="R869" s="89"/>
      <c r="S869" s="89"/>
      <c r="T869" s="89"/>
      <c r="U869" s="89"/>
      <c r="V869" s="89"/>
      <c r="W869" s="89"/>
      <c r="X869" s="89"/>
      <c r="Y869" s="89"/>
      <c r="Z869" s="89"/>
      <c r="AA869" s="89"/>
    </row>
    <row r="870" spans="1:27" ht="13.8">
      <c r="A870" s="89"/>
      <c r="B870" s="89"/>
      <c r="C870" s="89"/>
      <c r="D870" s="89"/>
      <c r="E870" s="89"/>
      <c r="F870" s="110"/>
      <c r="G870" s="89"/>
      <c r="H870" s="89"/>
      <c r="I870" s="89"/>
      <c r="J870" s="89"/>
      <c r="K870" s="89"/>
      <c r="L870" s="89"/>
      <c r="M870" s="89"/>
      <c r="N870" s="89"/>
      <c r="O870" s="89"/>
      <c r="P870" s="89"/>
      <c r="Q870" s="89"/>
      <c r="R870" s="89"/>
      <c r="S870" s="89"/>
      <c r="T870" s="89"/>
      <c r="U870" s="89"/>
      <c r="V870" s="89"/>
      <c r="W870" s="89"/>
      <c r="X870" s="89"/>
      <c r="Y870" s="89"/>
      <c r="Z870" s="89"/>
      <c r="AA870" s="89"/>
    </row>
    <row r="871" spans="1:27" ht="13.8">
      <c r="A871" s="89"/>
      <c r="B871" s="89"/>
      <c r="C871" s="89"/>
      <c r="D871" s="89"/>
      <c r="E871" s="89"/>
      <c r="F871" s="110"/>
      <c r="G871" s="89"/>
      <c r="H871" s="89"/>
      <c r="I871" s="89"/>
      <c r="J871" s="89"/>
      <c r="K871" s="89"/>
      <c r="L871" s="89"/>
      <c r="M871" s="89"/>
      <c r="N871" s="89"/>
      <c r="O871" s="89"/>
      <c r="P871" s="89"/>
      <c r="Q871" s="89"/>
      <c r="R871" s="89"/>
      <c r="S871" s="89"/>
      <c r="T871" s="89"/>
      <c r="U871" s="89"/>
      <c r="V871" s="89"/>
      <c r="W871" s="89"/>
      <c r="X871" s="89"/>
      <c r="Y871" s="89"/>
      <c r="Z871" s="89"/>
      <c r="AA871" s="89"/>
    </row>
    <row r="872" spans="1:27" ht="13.8">
      <c r="A872" s="89"/>
      <c r="B872" s="89"/>
      <c r="C872" s="89"/>
      <c r="D872" s="89"/>
      <c r="E872" s="89"/>
      <c r="F872" s="110"/>
      <c r="G872" s="89"/>
      <c r="H872" s="89"/>
      <c r="I872" s="89"/>
      <c r="J872" s="89"/>
      <c r="K872" s="89"/>
      <c r="L872" s="89"/>
      <c r="M872" s="89"/>
      <c r="N872" s="89"/>
      <c r="O872" s="89"/>
      <c r="P872" s="89"/>
      <c r="Q872" s="89"/>
      <c r="R872" s="89"/>
      <c r="S872" s="89"/>
      <c r="T872" s="89"/>
      <c r="U872" s="89"/>
      <c r="V872" s="89"/>
      <c r="W872" s="89"/>
      <c r="X872" s="89"/>
      <c r="Y872" s="89"/>
      <c r="Z872" s="89"/>
      <c r="AA872" s="89"/>
    </row>
    <row r="873" spans="1:27" ht="13.8">
      <c r="A873" s="89"/>
      <c r="B873" s="89"/>
      <c r="C873" s="89"/>
      <c r="D873" s="89"/>
      <c r="E873" s="89"/>
      <c r="F873" s="110"/>
      <c r="G873" s="89"/>
      <c r="H873" s="89"/>
      <c r="I873" s="89"/>
      <c r="J873" s="89"/>
      <c r="K873" s="89"/>
      <c r="L873" s="89"/>
      <c r="M873" s="89"/>
      <c r="N873" s="89"/>
      <c r="O873" s="89"/>
      <c r="P873" s="89"/>
      <c r="Q873" s="89"/>
      <c r="R873" s="89"/>
      <c r="S873" s="89"/>
      <c r="T873" s="89"/>
      <c r="U873" s="89"/>
      <c r="V873" s="89"/>
      <c r="W873" s="89"/>
      <c r="X873" s="89"/>
      <c r="Y873" s="89"/>
      <c r="Z873" s="89"/>
      <c r="AA873" s="89"/>
    </row>
    <row r="874" spans="1:27" ht="13.8">
      <c r="A874" s="89"/>
      <c r="B874" s="89"/>
      <c r="C874" s="89"/>
      <c r="D874" s="89"/>
      <c r="E874" s="89"/>
      <c r="F874" s="110"/>
      <c r="G874" s="89"/>
      <c r="H874" s="89"/>
      <c r="I874" s="89"/>
      <c r="J874" s="89"/>
      <c r="K874" s="89"/>
      <c r="L874" s="89"/>
      <c r="M874" s="89"/>
      <c r="N874" s="89"/>
      <c r="O874" s="89"/>
      <c r="P874" s="89"/>
      <c r="Q874" s="89"/>
      <c r="R874" s="89"/>
      <c r="S874" s="89"/>
      <c r="T874" s="89"/>
      <c r="U874" s="89"/>
      <c r="V874" s="89"/>
      <c r="W874" s="89"/>
      <c r="X874" s="89"/>
      <c r="Y874" s="89"/>
      <c r="Z874" s="89"/>
      <c r="AA874" s="89"/>
    </row>
    <row r="875" spans="1:27" ht="13.8">
      <c r="A875" s="89"/>
      <c r="B875" s="89"/>
      <c r="C875" s="89"/>
      <c r="D875" s="89"/>
      <c r="E875" s="89"/>
      <c r="F875" s="110"/>
      <c r="G875" s="89"/>
      <c r="H875" s="89"/>
      <c r="I875" s="89"/>
      <c r="J875" s="89"/>
      <c r="K875" s="89"/>
      <c r="L875" s="89"/>
      <c r="M875" s="89"/>
      <c r="N875" s="89"/>
      <c r="O875" s="89"/>
      <c r="P875" s="89"/>
      <c r="Q875" s="89"/>
      <c r="R875" s="89"/>
      <c r="S875" s="89"/>
      <c r="T875" s="89"/>
      <c r="U875" s="89"/>
      <c r="V875" s="89"/>
      <c r="W875" s="89"/>
      <c r="X875" s="89"/>
      <c r="Y875" s="89"/>
      <c r="Z875" s="89"/>
      <c r="AA875" s="89"/>
    </row>
    <row r="876" spans="1:27" ht="13.8">
      <c r="A876" s="89"/>
      <c r="B876" s="89"/>
      <c r="C876" s="89"/>
      <c r="D876" s="89"/>
      <c r="E876" s="89"/>
      <c r="F876" s="110"/>
      <c r="G876" s="89"/>
      <c r="H876" s="89"/>
      <c r="I876" s="89"/>
      <c r="J876" s="89"/>
      <c r="K876" s="89"/>
      <c r="L876" s="89"/>
      <c r="M876" s="89"/>
      <c r="N876" s="89"/>
      <c r="O876" s="89"/>
      <c r="P876" s="89"/>
      <c r="Q876" s="89"/>
      <c r="R876" s="89"/>
      <c r="S876" s="89"/>
      <c r="T876" s="89"/>
      <c r="U876" s="89"/>
      <c r="V876" s="89"/>
      <c r="W876" s="89"/>
      <c r="X876" s="89"/>
      <c r="Y876" s="89"/>
      <c r="Z876" s="89"/>
      <c r="AA876" s="89"/>
    </row>
    <row r="877" spans="1:27" ht="13.8">
      <c r="A877" s="89"/>
      <c r="B877" s="89"/>
      <c r="C877" s="89"/>
      <c r="D877" s="89"/>
      <c r="E877" s="89"/>
      <c r="F877" s="110"/>
      <c r="G877" s="89"/>
      <c r="H877" s="89"/>
      <c r="I877" s="89"/>
      <c r="J877" s="89"/>
      <c r="K877" s="89"/>
      <c r="L877" s="89"/>
      <c r="M877" s="89"/>
      <c r="N877" s="89"/>
      <c r="O877" s="89"/>
      <c r="P877" s="89"/>
      <c r="Q877" s="89"/>
      <c r="R877" s="89"/>
      <c r="S877" s="89"/>
      <c r="T877" s="89"/>
      <c r="U877" s="89"/>
      <c r="V877" s="89"/>
      <c r="W877" s="89"/>
      <c r="X877" s="89"/>
      <c r="Y877" s="89"/>
      <c r="Z877" s="89"/>
      <c r="AA877" s="89"/>
    </row>
    <row r="878" spans="1:27" ht="13.8">
      <c r="A878" s="89"/>
      <c r="B878" s="89"/>
      <c r="C878" s="89"/>
      <c r="D878" s="89"/>
      <c r="E878" s="89"/>
      <c r="F878" s="110"/>
      <c r="G878" s="89"/>
      <c r="H878" s="89"/>
      <c r="I878" s="89"/>
      <c r="J878" s="89"/>
      <c r="K878" s="89"/>
      <c r="L878" s="89"/>
      <c r="M878" s="89"/>
      <c r="N878" s="89"/>
      <c r="O878" s="89"/>
      <c r="P878" s="89"/>
      <c r="Q878" s="89"/>
      <c r="R878" s="89"/>
      <c r="S878" s="89"/>
      <c r="T878" s="89"/>
      <c r="U878" s="89"/>
      <c r="V878" s="89"/>
      <c r="W878" s="89"/>
      <c r="X878" s="89"/>
      <c r="Y878" s="89"/>
      <c r="Z878" s="89"/>
      <c r="AA878" s="89"/>
    </row>
    <row r="879" spans="1:27" ht="13.8">
      <c r="A879" s="89"/>
      <c r="B879" s="89"/>
      <c r="C879" s="89"/>
      <c r="D879" s="89"/>
      <c r="E879" s="89"/>
      <c r="F879" s="110"/>
      <c r="G879" s="89"/>
      <c r="H879" s="89"/>
      <c r="I879" s="89"/>
      <c r="J879" s="89"/>
      <c r="K879" s="89"/>
      <c r="L879" s="89"/>
      <c r="M879" s="89"/>
      <c r="N879" s="89"/>
      <c r="O879" s="89"/>
      <c r="P879" s="89"/>
      <c r="Q879" s="89"/>
      <c r="R879" s="89"/>
      <c r="S879" s="89"/>
      <c r="T879" s="89"/>
      <c r="U879" s="89"/>
      <c r="V879" s="89"/>
      <c r="W879" s="89"/>
      <c r="X879" s="89"/>
      <c r="Y879" s="89"/>
      <c r="Z879" s="89"/>
      <c r="AA879" s="89"/>
    </row>
    <row r="880" spans="1:27" ht="13.8">
      <c r="A880" s="89"/>
      <c r="B880" s="89"/>
      <c r="C880" s="89"/>
      <c r="D880" s="89"/>
      <c r="E880" s="89"/>
      <c r="F880" s="110"/>
      <c r="G880" s="89"/>
      <c r="H880" s="89"/>
      <c r="I880" s="89"/>
      <c r="J880" s="89"/>
      <c r="K880" s="89"/>
      <c r="L880" s="89"/>
      <c r="M880" s="89"/>
      <c r="N880" s="89"/>
      <c r="O880" s="89"/>
      <c r="P880" s="89"/>
      <c r="Q880" s="89"/>
      <c r="R880" s="89"/>
      <c r="S880" s="89"/>
      <c r="T880" s="89"/>
      <c r="U880" s="89"/>
      <c r="V880" s="89"/>
      <c r="W880" s="89"/>
      <c r="X880" s="89"/>
      <c r="Y880" s="89"/>
      <c r="Z880" s="89"/>
      <c r="AA880" s="89"/>
    </row>
    <row r="881" spans="1:27" ht="13.8">
      <c r="A881" s="89"/>
      <c r="B881" s="89"/>
      <c r="C881" s="89"/>
      <c r="D881" s="89"/>
      <c r="E881" s="89"/>
      <c r="F881" s="110"/>
      <c r="G881" s="89"/>
      <c r="H881" s="89"/>
      <c r="I881" s="89"/>
      <c r="J881" s="89"/>
      <c r="K881" s="89"/>
      <c r="L881" s="89"/>
      <c r="M881" s="89"/>
      <c r="N881" s="89"/>
      <c r="O881" s="89"/>
      <c r="P881" s="89"/>
      <c r="Q881" s="89"/>
      <c r="R881" s="89"/>
      <c r="S881" s="89"/>
      <c r="T881" s="89"/>
      <c r="U881" s="89"/>
      <c r="V881" s="89"/>
      <c r="W881" s="89"/>
      <c r="X881" s="89"/>
      <c r="Y881" s="89"/>
      <c r="Z881" s="89"/>
      <c r="AA881" s="89"/>
    </row>
    <row r="882" spans="1:27" ht="13.8">
      <c r="A882" s="89"/>
      <c r="B882" s="89"/>
      <c r="C882" s="89"/>
      <c r="D882" s="89"/>
      <c r="E882" s="89"/>
      <c r="F882" s="110"/>
      <c r="G882" s="89"/>
      <c r="H882" s="89"/>
      <c r="I882" s="89"/>
      <c r="J882" s="89"/>
      <c r="K882" s="89"/>
      <c r="L882" s="89"/>
      <c r="M882" s="89"/>
      <c r="N882" s="89"/>
      <c r="O882" s="89"/>
      <c r="P882" s="89"/>
      <c r="Q882" s="89"/>
      <c r="R882" s="89"/>
      <c r="S882" s="89"/>
      <c r="T882" s="89"/>
      <c r="U882" s="89"/>
      <c r="V882" s="89"/>
      <c r="W882" s="89"/>
      <c r="X882" s="89"/>
      <c r="Y882" s="89"/>
      <c r="Z882" s="89"/>
      <c r="AA882" s="89"/>
    </row>
    <row r="883" spans="1:27" ht="13.8">
      <c r="A883" s="89"/>
      <c r="B883" s="89"/>
      <c r="C883" s="89"/>
      <c r="D883" s="89"/>
      <c r="E883" s="89"/>
      <c r="F883" s="110"/>
      <c r="G883" s="89"/>
      <c r="H883" s="89"/>
      <c r="I883" s="89"/>
      <c r="J883" s="89"/>
      <c r="K883" s="89"/>
      <c r="L883" s="89"/>
      <c r="M883" s="89"/>
      <c r="N883" s="89"/>
      <c r="O883" s="89"/>
      <c r="P883" s="89"/>
      <c r="Q883" s="89"/>
      <c r="R883" s="89"/>
      <c r="S883" s="89"/>
      <c r="T883" s="89"/>
      <c r="U883" s="89"/>
      <c r="V883" s="89"/>
      <c r="W883" s="89"/>
      <c r="X883" s="89"/>
      <c r="Y883" s="89"/>
      <c r="Z883" s="89"/>
      <c r="AA883" s="89"/>
    </row>
    <row r="884" spans="1:27" ht="13.8">
      <c r="A884" s="89"/>
      <c r="B884" s="89"/>
      <c r="C884" s="89"/>
      <c r="D884" s="89"/>
      <c r="E884" s="89"/>
      <c r="F884" s="110"/>
      <c r="G884" s="89"/>
      <c r="H884" s="89"/>
      <c r="I884" s="89"/>
      <c r="J884" s="89"/>
      <c r="K884" s="89"/>
      <c r="L884" s="89"/>
      <c r="M884" s="89"/>
      <c r="N884" s="89"/>
      <c r="O884" s="89"/>
      <c r="P884" s="89"/>
      <c r="Q884" s="89"/>
      <c r="R884" s="89"/>
      <c r="S884" s="89"/>
      <c r="T884" s="89"/>
      <c r="U884" s="89"/>
      <c r="V884" s="89"/>
      <c r="W884" s="89"/>
      <c r="X884" s="89"/>
      <c r="Y884" s="89"/>
      <c r="Z884" s="89"/>
      <c r="AA884" s="89"/>
    </row>
    <row r="885" spans="1:27" ht="13.8">
      <c r="A885" s="89"/>
      <c r="B885" s="89"/>
      <c r="C885" s="89"/>
      <c r="D885" s="89"/>
      <c r="E885" s="89"/>
      <c r="F885" s="110"/>
      <c r="G885" s="89"/>
      <c r="H885" s="89"/>
      <c r="I885" s="89"/>
      <c r="J885" s="89"/>
      <c r="K885" s="89"/>
      <c r="L885" s="89"/>
      <c r="M885" s="89"/>
      <c r="N885" s="89"/>
      <c r="O885" s="89"/>
      <c r="P885" s="89"/>
      <c r="Q885" s="89"/>
      <c r="R885" s="89"/>
      <c r="S885" s="89"/>
      <c r="T885" s="89"/>
      <c r="U885" s="89"/>
      <c r="V885" s="89"/>
      <c r="W885" s="89"/>
      <c r="X885" s="89"/>
      <c r="Y885" s="89"/>
      <c r="Z885" s="89"/>
      <c r="AA885" s="89"/>
    </row>
    <row r="886" spans="1:27" ht="13.8">
      <c r="A886" s="89"/>
      <c r="B886" s="89"/>
      <c r="C886" s="89"/>
      <c r="D886" s="89"/>
      <c r="E886" s="89"/>
      <c r="F886" s="110"/>
      <c r="G886" s="89"/>
      <c r="H886" s="89"/>
      <c r="I886" s="89"/>
      <c r="J886" s="89"/>
      <c r="K886" s="89"/>
      <c r="L886" s="89"/>
      <c r="M886" s="89"/>
      <c r="N886" s="89"/>
      <c r="O886" s="89"/>
      <c r="P886" s="89"/>
      <c r="Q886" s="89"/>
      <c r="R886" s="89"/>
      <c r="S886" s="89"/>
      <c r="T886" s="89"/>
      <c r="U886" s="89"/>
      <c r="V886" s="89"/>
      <c r="W886" s="89"/>
      <c r="X886" s="89"/>
      <c r="Y886" s="89"/>
      <c r="Z886" s="89"/>
      <c r="AA886" s="89"/>
    </row>
    <row r="887" spans="1:27" ht="13.8">
      <c r="A887" s="89"/>
      <c r="B887" s="89"/>
      <c r="C887" s="89"/>
      <c r="D887" s="89"/>
      <c r="E887" s="89"/>
      <c r="F887" s="110"/>
      <c r="G887" s="89"/>
      <c r="H887" s="89"/>
      <c r="I887" s="89"/>
      <c r="J887" s="89"/>
      <c r="K887" s="89"/>
      <c r="L887" s="89"/>
      <c r="M887" s="89"/>
      <c r="N887" s="89"/>
      <c r="O887" s="89"/>
      <c r="P887" s="89"/>
      <c r="Q887" s="89"/>
      <c r="R887" s="89"/>
      <c r="S887" s="89"/>
      <c r="T887" s="89"/>
      <c r="U887" s="89"/>
      <c r="V887" s="89"/>
      <c r="W887" s="89"/>
      <c r="X887" s="89"/>
      <c r="Y887" s="89"/>
      <c r="Z887" s="89"/>
      <c r="AA887" s="89"/>
    </row>
    <row r="888" spans="1:27" ht="13.8">
      <c r="A888" s="89"/>
      <c r="B888" s="89"/>
      <c r="C888" s="89"/>
      <c r="D888" s="89"/>
      <c r="E888" s="89"/>
      <c r="F888" s="110"/>
      <c r="G888" s="89"/>
      <c r="H888" s="89"/>
      <c r="I888" s="89"/>
      <c r="J888" s="89"/>
      <c r="K888" s="89"/>
      <c r="L888" s="89"/>
      <c r="M888" s="89"/>
      <c r="N888" s="89"/>
      <c r="O888" s="89"/>
      <c r="P888" s="89"/>
      <c r="Q888" s="89"/>
      <c r="R888" s="89"/>
      <c r="S888" s="89"/>
      <c r="T888" s="89"/>
      <c r="U888" s="89"/>
      <c r="V888" s="89"/>
      <c r="W888" s="89"/>
      <c r="X888" s="89"/>
      <c r="Y888" s="89"/>
      <c r="Z888" s="89"/>
      <c r="AA888" s="89"/>
    </row>
    <row r="889" spans="1:27" ht="13.8">
      <c r="A889" s="89"/>
      <c r="B889" s="89"/>
      <c r="C889" s="89"/>
      <c r="D889" s="89"/>
      <c r="E889" s="89"/>
      <c r="F889" s="110"/>
      <c r="G889" s="89"/>
      <c r="H889" s="89"/>
      <c r="I889" s="89"/>
      <c r="J889" s="89"/>
      <c r="K889" s="89"/>
      <c r="L889" s="89"/>
      <c r="M889" s="89"/>
      <c r="N889" s="89"/>
      <c r="O889" s="89"/>
      <c r="P889" s="89"/>
      <c r="Q889" s="89"/>
      <c r="R889" s="89"/>
      <c r="S889" s="89"/>
      <c r="T889" s="89"/>
      <c r="U889" s="89"/>
      <c r="V889" s="89"/>
      <c r="W889" s="89"/>
      <c r="X889" s="89"/>
      <c r="Y889" s="89"/>
      <c r="Z889" s="89"/>
      <c r="AA889" s="89"/>
    </row>
    <row r="890" spans="1:27" ht="13.8">
      <c r="A890" s="89"/>
      <c r="B890" s="89"/>
      <c r="C890" s="89"/>
      <c r="D890" s="89"/>
      <c r="E890" s="89"/>
      <c r="F890" s="110"/>
      <c r="G890" s="89"/>
      <c r="H890" s="89"/>
      <c r="I890" s="89"/>
      <c r="J890" s="89"/>
      <c r="K890" s="89"/>
      <c r="L890" s="89"/>
      <c r="M890" s="89"/>
      <c r="N890" s="89"/>
      <c r="O890" s="89"/>
      <c r="P890" s="89"/>
      <c r="Q890" s="89"/>
      <c r="R890" s="89"/>
      <c r="S890" s="89"/>
      <c r="T890" s="89"/>
      <c r="U890" s="89"/>
      <c r="V890" s="89"/>
      <c r="W890" s="89"/>
      <c r="X890" s="89"/>
      <c r="Y890" s="89"/>
      <c r="Z890" s="89"/>
      <c r="AA890" s="89"/>
    </row>
    <row r="891" spans="1:27" ht="13.8">
      <c r="A891" s="89"/>
      <c r="B891" s="89"/>
      <c r="C891" s="89"/>
      <c r="D891" s="89"/>
      <c r="E891" s="89"/>
      <c r="F891" s="110"/>
      <c r="G891" s="89"/>
      <c r="H891" s="89"/>
      <c r="I891" s="89"/>
      <c r="J891" s="89"/>
      <c r="K891" s="89"/>
      <c r="L891" s="89"/>
      <c r="M891" s="89"/>
      <c r="N891" s="89"/>
      <c r="O891" s="89"/>
      <c r="P891" s="89"/>
      <c r="Q891" s="89"/>
      <c r="R891" s="89"/>
      <c r="S891" s="89"/>
      <c r="T891" s="89"/>
      <c r="U891" s="89"/>
      <c r="V891" s="89"/>
      <c r="W891" s="89"/>
      <c r="X891" s="89"/>
      <c r="Y891" s="89"/>
      <c r="Z891" s="89"/>
      <c r="AA891" s="89"/>
    </row>
    <row r="892" spans="1:27" ht="13.8">
      <c r="A892" s="89"/>
      <c r="B892" s="89"/>
      <c r="C892" s="89"/>
      <c r="D892" s="89"/>
      <c r="E892" s="89"/>
      <c r="F892" s="110"/>
      <c r="G892" s="89"/>
      <c r="H892" s="89"/>
      <c r="I892" s="89"/>
      <c r="J892" s="89"/>
      <c r="K892" s="89"/>
      <c r="L892" s="89"/>
      <c r="M892" s="89"/>
      <c r="N892" s="89"/>
      <c r="O892" s="89"/>
      <c r="P892" s="89"/>
      <c r="Q892" s="89"/>
      <c r="R892" s="89"/>
      <c r="S892" s="89"/>
      <c r="T892" s="89"/>
      <c r="U892" s="89"/>
      <c r="V892" s="89"/>
      <c r="W892" s="89"/>
      <c r="X892" s="89"/>
      <c r="Y892" s="89"/>
      <c r="Z892" s="89"/>
      <c r="AA892" s="89"/>
    </row>
    <row r="893" spans="1:27" ht="13.8">
      <c r="A893" s="89"/>
      <c r="B893" s="89"/>
      <c r="C893" s="89"/>
      <c r="D893" s="89"/>
      <c r="E893" s="89"/>
      <c r="F893" s="110"/>
      <c r="G893" s="89"/>
      <c r="H893" s="89"/>
      <c r="I893" s="89"/>
      <c r="J893" s="89"/>
      <c r="K893" s="89"/>
      <c r="L893" s="89"/>
      <c r="M893" s="89"/>
      <c r="N893" s="89"/>
      <c r="O893" s="89"/>
      <c r="P893" s="89"/>
      <c r="Q893" s="89"/>
      <c r="R893" s="89"/>
      <c r="S893" s="89"/>
      <c r="T893" s="89"/>
      <c r="U893" s="89"/>
      <c r="V893" s="89"/>
      <c r="W893" s="89"/>
      <c r="X893" s="89"/>
      <c r="Y893" s="89"/>
      <c r="Z893" s="89"/>
      <c r="AA893" s="89"/>
    </row>
    <row r="894" spans="1:27" ht="13.8">
      <c r="A894" s="89"/>
      <c r="B894" s="89"/>
      <c r="C894" s="89"/>
      <c r="D894" s="89"/>
      <c r="E894" s="89"/>
      <c r="F894" s="110"/>
      <c r="G894" s="89"/>
      <c r="H894" s="89"/>
      <c r="I894" s="89"/>
      <c r="J894" s="89"/>
      <c r="K894" s="89"/>
      <c r="L894" s="89"/>
      <c r="M894" s="89"/>
      <c r="N894" s="89"/>
      <c r="O894" s="89"/>
      <c r="P894" s="89"/>
      <c r="Q894" s="89"/>
      <c r="R894" s="89"/>
      <c r="S894" s="89"/>
      <c r="T894" s="89"/>
      <c r="U894" s="89"/>
      <c r="V894" s="89"/>
      <c r="W894" s="89"/>
      <c r="X894" s="89"/>
      <c r="Y894" s="89"/>
      <c r="Z894" s="89"/>
      <c r="AA894" s="89"/>
    </row>
    <row r="895" spans="1:27" ht="13.8">
      <c r="A895" s="89"/>
      <c r="B895" s="89"/>
      <c r="C895" s="89"/>
      <c r="D895" s="89"/>
      <c r="E895" s="89"/>
      <c r="F895" s="110"/>
      <c r="G895" s="89"/>
      <c r="H895" s="89"/>
      <c r="I895" s="89"/>
      <c r="J895" s="89"/>
      <c r="K895" s="89"/>
      <c r="L895" s="89"/>
      <c r="M895" s="89"/>
      <c r="N895" s="89"/>
      <c r="O895" s="89"/>
      <c r="P895" s="89"/>
      <c r="Q895" s="89"/>
      <c r="R895" s="89"/>
      <c r="S895" s="89"/>
      <c r="T895" s="89"/>
      <c r="U895" s="89"/>
      <c r="V895" s="89"/>
      <c r="W895" s="89"/>
      <c r="X895" s="89"/>
      <c r="Y895" s="89"/>
      <c r="Z895" s="89"/>
      <c r="AA895" s="89"/>
    </row>
    <row r="896" spans="1:27" ht="13.8">
      <c r="A896" s="89"/>
      <c r="B896" s="89"/>
      <c r="C896" s="89"/>
      <c r="D896" s="89"/>
      <c r="E896" s="89"/>
      <c r="F896" s="110"/>
      <c r="G896" s="89"/>
      <c r="H896" s="89"/>
      <c r="I896" s="89"/>
      <c r="J896" s="89"/>
      <c r="K896" s="89"/>
      <c r="L896" s="89"/>
      <c r="M896" s="89"/>
      <c r="N896" s="89"/>
      <c r="O896" s="89"/>
      <c r="P896" s="89"/>
      <c r="Q896" s="89"/>
      <c r="R896" s="89"/>
      <c r="S896" s="89"/>
      <c r="T896" s="89"/>
      <c r="U896" s="89"/>
      <c r="V896" s="89"/>
      <c r="W896" s="89"/>
      <c r="X896" s="89"/>
      <c r="Y896" s="89"/>
      <c r="Z896" s="89"/>
      <c r="AA896" s="89"/>
    </row>
    <row r="897" spans="1:27" ht="13.8">
      <c r="A897" s="89"/>
      <c r="B897" s="89"/>
      <c r="C897" s="89"/>
      <c r="D897" s="89"/>
      <c r="E897" s="89"/>
      <c r="F897" s="110"/>
      <c r="G897" s="89"/>
      <c r="H897" s="89"/>
      <c r="I897" s="89"/>
      <c r="J897" s="89"/>
      <c r="K897" s="89"/>
      <c r="L897" s="89"/>
      <c r="M897" s="89"/>
      <c r="N897" s="89"/>
      <c r="O897" s="89"/>
      <c r="P897" s="89"/>
      <c r="Q897" s="89"/>
      <c r="R897" s="89"/>
      <c r="S897" s="89"/>
      <c r="T897" s="89"/>
      <c r="U897" s="89"/>
      <c r="V897" s="89"/>
      <c r="W897" s="89"/>
      <c r="X897" s="89"/>
      <c r="Y897" s="89"/>
      <c r="Z897" s="89"/>
      <c r="AA897" s="89"/>
    </row>
    <row r="898" spans="1:27" ht="13.8">
      <c r="A898" s="89"/>
      <c r="B898" s="89"/>
      <c r="C898" s="89"/>
      <c r="D898" s="89"/>
      <c r="E898" s="89"/>
      <c r="F898" s="110"/>
      <c r="G898" s="89"/>
      <c r="H898" s="89"/>
      <c r="I898" s="89"/>
      <c r="J898" s="89"/>
      <c r="K898" s="89"/>
      <c r="L898" s="89"/>
      <c r="M898" s="89"/>
      <c r="N898" s="89"/>
      <c r="O898" s="89"/>
      <c r="P898" s="89"/>
      <c r="Q898" s="89"/>
      <c r="R898" s="89"/>
      <c r="S898" s="89"/>
      <c r="T898" s="89"/>
      <c r="U898" s="89"/>
      <c r="V898" s="89"/>
      <c r="W898" s="89"/>
      <c r="X898" s="89"/>
      <c r="Y898" s="89"/>
      <c r="Z898" s="89"/>
      <c r="AA898" s="89"/>
    </row>
    <row r="899" spans="1:27" ht="13.8">
      <c r="A899" s="89"/>
      <c r="B899" s="89"/>
      <c r="C899" s="89"/>
      <c r="D899" s="89"/>
      <c r="E899" s="89"/>
      <c r="F899" s="110"/>
      <c r="G899" s="89"/>
      <c r="H899" s="89"/>
      <c r="I899" s="89"/>
      <c r="J899" s="89"/>
      <c r="K899" s="89"/>
      <c r="L899" s="89"/>
      <c r="M899" s="89"/>
      <c r="N899" s="89"/>
      <c r="O899" s="89"/>
      <c r="P899" s="89"/>
      <c r="Q899" s="89"/>
      <c r="R899" s="89"/>
      <c r="S899" s="89"/>
      <c r="T899" s="89"/>
      <c r="U899" s="89"/>
      <c r="V899" s="89"/>
      <c r="W899" s="89"/>
      <c r="X899" s="89"/>
      <c r="Y899" s="89"/>
      <c r="Z899" s="89"/>
      <c r="AA899" s="89"/>
    </row>
    <row r="900" spans="1:27" ht="13.8">
      <c r="A900" s="89"/>
      <c r="B900" s="89"/>
      <c r="C900" s="89"/>
      <c r="D900" s="89"/>
      <c r="E900" s="89"/>
      <c r="F900" s="110"/>
      <c r="G900" s="89"/>
      <c r="H900" s="89"/>
      <c r="I900" s="89"/>
      <c r="J900" s="89"/>
      <c r="K900" s="89"/>
      <c r="L900" s="89"/>
      <c r="M900" s="89"/>
      <c r="N900" s="89"/>
      <c r="O900" s="89"/>
      <c r="P900" s="89"/>
      <c r="Q900" s="89"/>
      <c r="R900" s="89"/>
      <c r="S900" s="89"/>
      <c r="T900" s="89"/>
      <c r="U900" s="89"/>
      <c r="V900" s="89"/>
      <c r="W900" s="89"/>
      <c r="X900" s="89"/>
      <c r="Y900" s="89"/>
      <c r="Z900" s="89"/>
      <c r="AA900" s="89"/>
    </row>
    <row r="901" spans="1:27" ht="13.8">
      <c r="A901" s="89"/>
      <c r="B901" s="89"/>
      <c r="C901" s="89"/>
      <c r="D901" s="89"/>
      <c r="E901" s="89"/>
      <c r="F901" s="110"/>
      <c r="G901" s="89"/>
      <c r="H901" s="89"/>
      <c r="I901" s="89"/>
      <c r="J901" s="89"/>
      <c r="K901" s="89"/>
      <c r="L901" s="89"/>
      <c r="M901" s="89"/>
      <c r="N901" s="89"/>
      <c r="O901" s="89"/>
      <c r="P901" s="89"/>
      <c r="Q901" s="89"/>
      <c r="R901" s="89"/>
      <c r="S901" s="89"/>
      <c r="T901" s="89"/>
      <c r="U901" s="89"/>
      <c r="V901" s="89"/>
      <c r="W901" s="89"/>
      <c r="X901" s="89"/>
      <c r="Y901" s="89"/>
      <c r="Z901" s="89"/>
      <c r="AA901" s="89"/>
    </row>
    <row r="902" spans="1:27" ht="13.8">
      <c r="A902" s="89"/>
      <c r="B902" s="89"/>
      <c r="C902" s="89"/>
      <c r="D902" s="89"/>
      <c r="E902" s="89"/>
      <c r="F902" s="110"/>
      <c r="G902" s="89"/>
      <c r="H902" s="89"/>
      <c r="I902" s="89"/>
      <c r="J902" s="89"/>
      <c r="K902" s="89"/>
      <c r="L902" s="89"/>
      <c r="M902" s="89"/>
      <c r="N902" s="89"/>
      <c r="O902" s="89"/>
      <c r="P902" s="89"/>
      <c r="Q902" s="89"/>
      <c r="R902" s="89"/>
      <c r="S902" s="89"/>
      <c r="T902" s="89"/>
      <c r="U902" s="89"/>
      <c r="V902" s="89"/>
      <c r="W902" s="89"/>
      <c r="X902" s="89"/>
      <c r="Y902" s="89"/>
      <c r="Z902" s="89"/>
      <c r="AA902" s="89"/>
    </row>
    <row r="903" spans="1:27" ht="13.8">
      <c r="A903" s="89"/>
      <c r="B903" s="89"/>
      <c r="C903" s="89"/>
      <c r="D903" s="89"/>
      <c r="E903" s="89"/>
      <c r="F903" s="110"/>
      <c r="G903" s="89"/>
      <c r="H903" s="89"/>
      <c r="I903" s="89"/>
      <c r="J903" s="89"/>
      <c r="K903" s="89"/>
      <c r="L903" s="89"/>
      <c r="M903" s="89"/>
      <c r="N903" s="89"/>
      <c r="O903" s="89"/>
      <c r="P903" s="89"/>
      <c r="Q903" s="89"/>
      <c r="R903" s="89"/>
      <c r="S903" s="89"/>
      <c r="T903" s="89"/>
      <c r="U903" s="89"/>
      <c r="V903" s="89"/>
      <c r="W903" s="89"/>
      <c r="X903" s="89"/>
      <c r="Y903" s="89"/>
      <c r="Z903" s="89"/>
      <c r="AA903" s="89"/>
    </row>
    <row r="904" spans="1:27" ht="13.8">
      <c r="A904" s="89"/>
      <c r="B904" s="89"/>
      <c r="C904" s="89"/>
      <c r="D904" s="89"/>
      <c r="E904" s="89"/>
      <c r="F904" s="110"/>
      <c r="G904" s="89"/>
      <c r="H904" s="89"/>
      <c r="I904" s="89"/>
      <c r="J904" s="89"/>
      <c r="K904" s="89"/>
      <c r="L904" s="89"/>
      <c r="M904" s="89"/>
      <c r="N904" s="89"/>
      <c r="O904" s="89"/>
      <c r="P904" s="89"/>
      <c r="Q904" s="89"/>
      <c r="R904" s="89"/>
      <c r="S904" s="89"/>
      <c r="T904" s="89"/>
      <c r="U904" s="89"/>
      <c r="V904" s="89"/>
      <c r="W904" s="89"/>
      <c r="X904" s="89"/>
      <c r="Y904" s="89"/>
      <c r="Z904" s="89"/>
      <c r="AA904" s="89"/>
    </row>
    <row r="905" spans="1:27" ht="13.8">
      <c r="A905" s="89"/>
      <c r="B905" s="89"/>
      <c r="C905" s="89"/>
      <c r="D905" s="89"/>
      <c r="E905" s="89"/>
      <c r="F905" s="110"/>
      <c r="G905" s="89"/>
      <c r="H905" s="89"/>
      <c r="I905" s="89"/>
      <c r="J905" s="89"/>
      <c r="K905" s="89"/>
      <c r="L905" s="89"/>
      <c r="M905" s="89"/>
      <c r="N905" s="89"/>
      <c r="O905" s="89"/>
      <c r="P905" s="89"/>
      <c r="Q905" s="89"/>
      <c r="R905" s="89"/>
      <c r="S905" s="89"/>
      <c r="T905" s="89"/>
      <c r="U905" s="89"/>
      <c r="V905" s="89"/>
      <c r="W905" s="89"/>
      <c r="X905" s="89"/>
      <c r="Y905" s="89"/>
      <c r="Z905" s="89"/>
      <c r="AA905" s="89"/>
    </row>
    <row r="906" spans="1:27" ht="13.8">
      <c r="A906" s="89"/>
      <c r="B906" s="89"/>
      <c r="C906" s="89"/>
      <c r="D906" s="89"/>
      <c r="E906" s="89"/>
      <c r="F906" s="110"/>
      <c r="G906" s="89"/>
      <c r="H906" s="89"/>
      <c r="I906" s="89"/>
      <c r="J906" s="89"/>
      <c r="K906" s="89"/>
      <c r="L906" s="89"/>
      <c r="M906" s="89"/>
      <c r="N906" s="89"/>
      <c r="O906" s="89"/>
      <c r="P906" s="89"/>
      <c r="Q906" s="89"/>
      <c r="R906" s="89"/>
      <c r="S906" s="89"/>
      <c r="T906" s="89"/>
      <c r="U906" s="89"/>
      <c r="V906" s="89"/>
      <c r="W906" s="89"/>
      <c r="X906" s="89"/>
      <c r="Y906" s="89"/>
      <c r="Z906" s="89"/>
      <c r="AA906" s="89"/>
    </row>
    <row r="907" spans="1:27" ht="13.8">
      <c r="A907" s="89"/>
      <c r="B907" s="89"/>
      <c r="C907" s="89"/>
      <c r="D907" s="89"/>
      <c r="E907" s="89"/>
      <c r="F907" s="110"/>
      <c r="G907" s="89"/>
      <c r="H907" s="89"/>
      <c r="I907" s="89"/>
      <c r="J907" s="89"/>
      <c r="K907" s="89"/>
      <c r="L907" s="89"/>
      <c r="M907" s="89"/>
      <c r="N907" s="89"/>
      <c r="O907" s="89"/>
      <c r="P907" s="89"/>
      <c r="Q907" s="89"/>
      <c r="R907" s="89"/>
      <c r="S907" s="89"/>
      <c r="T907" s="89"/>
      <c r="U907" s="89"/>
      <c r="V907" s="89"/>
      <c r="W907" s="89"/>
      <c r="X907" s="89"/>
      <c r="Y907" s="89"/>
      <c r="Z907" s="89"/>
      <c r="AA907" s="89"/>
    </row>
    <row r="908" spans="1:27" ht="13.8">
      <c r="A908" s="89"/>
      <c r="B908" s="89"/>
      <c r="C908" s="89"/>
      <c r="D908" s="89"/>
      <c r="E908" s="89"/>
      <c r="F908" s="110"/>
      <c r="G908" s="89"/>
      <c r="H908" s="89"/>
      <c r="I908" s="89"/>
      <c r="J908" s="89"/>
      <c r="K908" s="89"/>
      <c r="L908" s="89"/>
      <c r="M908" s="89"/>
      <c r="N908" s="89"/>
      <c r="O908" s="89"/>
      <c r="P908" s="89"/>
      <c r="Q908" s="89"/>
      <c r="R908" s="89"/>
      <c r="S908" s="89"/>
      <c r="T908" s="89"/>
      <c r="U908" s="89"/>
      <c r="V908" s="89"/>
      <c r="W908" s="89"/>
      <c r="X908" s="89"/>
      <c r="Y908" s="89"/>
      <c r="Z908" s="89"/>
      <c r="AA908" s="89"/>
    </row>
    <row r="909" spans="1:27" ht="13.8">
      <c r="A909" s="89"/>
      <c r="B909" s="89"/>
      <c r="C909" s="89"/>
      <c r="D909" s="89"/>
      <c r="E909" s="89"/>
      <c r="F909" s="110"/>
      <c r="G909" s="89"/>
      <c r="H909" s="89"/>
      <c r="I909" s="89"/>
      <c r="J909" s="89"/>
      <c r="K909" s="89"/>
      <c r="L909" s="89"/>
      <c r="M909" s="89"/>
      <c r="N909" s="89"/>
      <c r="O909" s="89"/>
      <c r="P909" s="89"/>
      <c r="Q909" s="89"/>
      <c r="R909" s="89"/>
      <c r="S909" s="89"/>
      <c r="T909" s="89"/>
      <c r="U909" s="89"/>
      <c r="V909" s="89"/>
      <c r="W909" s="89"/>
      <c r="X909" s="89"/>
      <c r="Y909" s="89"/>
      <c r="Z909" s="89"/>
      <c r="AA909" s="89"/>
    </row>
    <row r="910" spans="1:27" ht="13.8">
      <c r="A910" s="89"/>
      <c r="B910" s="89"/>
      <c r="C910" s="89"/>
      <c r="D910" s="89"/>
      <c r="E910" s="89"/>
      <c r="F910" s="110"/>
      <c r="G910" s="89"/>
      <c r="H910" s="89"/>
      <c r="I910" s="89"/>
      <c r="J910" s="89"/>
      <c r="K910" s="89"/>
      <c r="L910" s="89"/>
      <c r="M910" s="89"/>
      <c r="N910" s="89"/>
      <c r="O910" s="89"/>
      <c r="P910" s="89"/>
      <c r="Q910" s="89"/>
      <c r="R910" s="89"/>
      <c r="S910" s="89"/>
      <c r="T910" s="89"/>
      <c r="U910" s="89"/>
      <c r="V910" s="89"/>
      <c r="W910" s="89"/>
      <c r="X910" s="89"/>
      <c r="Y910" s="89"/>
      <c r="Z910" s="89"/>
      <c r="AA910" s="89"/>
    </row>
    <row r="911" spans="1:27" ht="13.8">
      <c r="A911" s="89"/>
      <c r="B911" s="89"/>
      <c r="C911" s="89"/>
      <c r="D911" s="89"/>
      <c r="E911" s="89"/>
      <c r="F911" s="110"/>
      <c r="G911" s="89"/>
      <c r="H911" s="89"/>
      <c r="I911" s="89"/>
      <c r="J911" s="89"/>
      <c r="K911" s="89"/>
      <c r="L911" s="89"/>
      <c r="M911" s="89"/>
      <c r="N911" s="89"/>
      <c r="O911" s="89"/>
      <c r="P911" s="89"/>
      <c r="Q911" s="89"/>
      <c r="R911" s="89"/>
      <c r="S911" s="89"/>
      <c r="T911" s="89"/>
      <c r="U911" s="89"/>
      <c r="V911" s="89"/>
      <c r="W911" s="89"/>
      <c r="X911" s="89"/>
      <c r="Y911" s="89"/>
      <c r="Z911" s="89"/>
      <c r="AA911" s="89"/>
    </row>
    <row r="912" spans="1:27" ht="13.8">
      <c r="A912" s="89"/>
      <c r="B912" s="89"/>
      <c r="C912" s="89"/>
      <c r="D912" s="89"/>
      <c r="E912" s="89"/>
      <c r="F912" s="110"/>
      <c r="G912" s="89"/>
      <c r="H912" s="89"/>
      <c r="I912" s="89"/>
      <c r="J912" s="89"/>
      <c r="K912" s="89"/>
      <c r="L912" s="89"/>
      <c r="M912" s="89"/>
      <c r="N912" s="89"/>
      <c r="O912" s="89"/>
      <c r="P912" s="89"/>
      <c r="Q912" s="89"/>
      <c r="R912" s="89"/>
      <c r="S912" s="89"/>
      <c r="T912" s="89"/>
      <c r="U912" s="89"/>
      <c r="V912" s="89"/>
      <c r="W912" s="89"/>
      <c r="X912" s="89"/>
      <c r="Y912" s="89"/>
      <c r="Z912" s="89"/>
      <c r="AA912" s="89"/>
    </row>
    <row r="913" spans="1:27" ht="13.8">
      <c r="A913" s="89"/>
      <c r="B913" s="89"/>
      <c r="C913" s="89"/>
      <c r="D913" s="89"/>
      <c r="E913" s="89"/>
      <c r="F913" s="110"/>
      <c r="G913" s="89"/>
      <c r="H913" s="89"/>
      <c r="I913" s="89"/>
      <c r="J913" s="89"/>
      <c r="K913" s="89"/>
      <c r="L913" s="89"/>
      <c r="M913" s="89"/>
      <c r="N913" s="89"/>
      <c r="O913" s="89"/>
      <c r="P913" s="89"/>
      <c r="Q913" s="89"/>
      <c r="R913" s="89"/>
      <c r="S913" s="89"/>
      <c r="T913" s="89"/>
      <c r="U913" s="89"/>
      <c r="V913" s="89"/>
      <c r="W913" s="89"/>
      <c r="X913" s="89"/>
      <c r="Y913" s="89"/>
      <c r="Z913" s="89"/>
      <c r="AA913" s="89"/>
    </row>
    <row r="914" spans="1:27" ht="13.8">
      <c r="A914" s="89"/>
      <c r="B914" s="89"/>
      <c r="C914" s="89"/>
      <c r="D914" s="89"/>
      <c r="E914" s="89"/>
      <c r="F914" s="110"/>
      <c r="G914" s="89"/>
      <c r="H914" s="89"/>
      <c r="I914" s="89"/>
      <c r="J914" s="89"/>
      <c r="K914" s="89"/>
      <c r="L914" s="89"/>
      <c r="M914" s="89"/>
      <c r="N914" s="89"/>
      <c r="O914" s="89"/>
      <c r="P914" s="89"/>
      <c r="Q914" s="89"/>
      <c r="R914" s="89"/>
      <c r="S914" s="89"/>
      <c r="T914" s="89"/>
      <c r="U914" s="89"/>
      <c r="V914" s="89"/>
      <c r="W914" s="89"/>
      <c r="X914" s="89"/>
      <c r="Y914" s="89"/>
      <c r="Z914" s="89"/>
      <c r="AA914" s="89"/>
    </row>
    <row r="915" spans="1:27" ht="13.8">
      <c r="A915" s="89"/>
      <c r="B915" s="89"/>
      <c r="C915" s="89"/>
      <c r="D915" s="89"/>
      <c r="E915" s="89"/>
      <c r="F915" s="110"/>
      <c r="G915" s="89"/>
      <c r="H915" s="89"/>
      <c r="I915" s="89"/>
      <c r="J915" s="89"/>
      <c r="K915" s="89"/>
      <c r="L915" s="89"/>
      <c r="M915" s="89"/>
      <c r="N915" s="89"/>
      <c r="O915" s="89"/>
      <c r="P915" s="89"/>
      <c r="Q915" s="89"/>
      <c r="R915" s="89"/>
      <c r="S915" s="89"/>
      <c r="T915" s="89"/>
      <c r="U915" s="89"/>
      <c r="V915" s="89"/>
      <c r="W915" s="89"/>
      <c r="X915" s="89"/>
      <c r="Y915" s="89"/>
      <c r="Z915" s="89"/>
      <c r="AA915" s="89"/>
    </row>
    <row r="916" spans="1:27" ht="13.8">
      <c r="A916" s="89"/>
      <c r="B916" s="89"/>
      <c r="C916" s="89"/>
      <c r="D916" s="89"/>
      <c r="E916" s="89"/>
      <c r="F916" s="110"/>
      <c r="G916" s="89"/>
      <c r="H916" s="89"/>
      <c r="I916" s="89"/>
      <c r="J916" s="89"/>
      <c r="K916" s="89"/>
      <c r="L916" s="89"/>
      <c r="M916" s="89"/>
      <c r="N916" s="89"/>
      <c r="O916" s="89"/>
      <c r="P916" s="89"/>
      <c r="Q916" s="89"/>
      <c r="R916" s="89"/>
      <c r="S916" s="89"/>
      <c r="T916" s="89"/>
      <c r="U916" s="89"/>
      <c r="V916" s="89"/>
      <c r="W916" s="89"/>
      <c r="X916" s="89"/>
      <c r="Y916" s="89"/>
      <c r="Z916" s="89"/>
      <c r="AA916" s="89"/>
    </row>
    <row r="917" spans="1:27" ht="13.8">
      <c r="A917" s="89"/>
      <c r="B917" s="89"/>
      <c r="C917" s="89"/>
      <c r="D917" s="89"/>
      <c r="E917" s="89"/>
      <c r="F917" s="110"/>
      <c r="G917" s="89"/>
      <c r="H917" s="89"/>
      <c r="I917" s="89"/>
      <c r="J917" s="89"/>
      <c r="K917" s="89"/>
      <c r="L917" s="89"/>
      <c r="M917" s="89"/>
      <c r="N917" s="89"/>
      <c r="O917" s="89"/>
      <c r="P917" s="89"/>
      <c r="Q917" s="89"/>
      <c r="R917" s="89"/>
      <c r="S917" s="89"/>
      <c r="T917" s="89"/>
      <c r="U917" s="89"/>
      <c r="V917" s="89"/>
      <c r="W917" s="89"/>
      <c r="X917" s="89"/>
      <c r="Y917" s="89"/>
      <c r="Z917" s="89"/>
      <c r="AA917" s="89"/>
    </row>
    <row r="918" spans="1:27" ht="13.8">
      <c r="A918" s="89"/>
      <c r="B918" s="89"/>
      <c r="C918" s="89"/>
      <c r="D918" s="89"/>
      <c r="E918" s="89"/>
      <c r="F918" s="110"/>
      <c r="G918" s="89"/>
      <c r="H918" s="89"/>
      <c r="I918" s="89"/>
      <c r="J918" s="89"/>
      <c r="K918" s="89"/>
      <c r="L918" s="89"/>
      <c r="M918" s="89"/>
      <c r="N918" s="89"/>
      <c r="O918" s="89"/>
      <c r="P918" s="89"/>
      <c r="Q918" s="89"/>
      <c r="R918" s="89"/>
      <c r="S918" s="89"/>
      <c r="T918" s="89"/>
      <c r="U918" s="89"/>
      <c r="V918" s="89"/>
      <c r="W918" s="89"/>
      <c r="X918" s="89"/>
      <c r="Y918" s="89"/>
      <c r="Z918" s="89"/>
      <c r="AA918" s="89"/>
    </row>
    <row r="919" spans="1:27" ht="13.8">
      <c r="A919" s="89"/>
      <c r="B919" s="89"/>
      <c r="C919" s="89"/>
      <c r="D919" s="89"/>
      <c r="E919" s="89"/>
      <c r="F919" s="110"/>
      <c r="G919" s="89"/>
      <c r="H919" s="89"/>
      <c r="I919" s="89"/>
      <c r="J919" s="89"/>
      <c r="K919" s="89"/>
      <c r="L919" s="89"/>
      <c r="M919" s="89"/>
      <c r="N919" s="89"/>
      <c r="O919" s="89"/>
      <c r="P919" s="89"/>
      <c r="Q919" s="89"/>
      <c r="R919" s="89"/>
      <c r="S919" s="89"/>
      <c r="T919" s="89"/>
      <c r="U919" s="89"/>
      <c r="V919" s="89"/>
      <c r="W919" s="89"/>
      <c r="X919" s="89"/>
      <c r="Y919" s="89"/>
      <c r="Z919" s="89"/>
      <c r="AA919" s="89"/>
    </row>
    <row r="920" spans="1:27" ht="13.8">
      <c r="A920" s="89"/>
      <c r="B920" s="89"/>
      <c r="C920" s="89"/>
      <c r="D920" s="89"/>
      <c r="E920" s="89"/>
      <c r="F920" s="110"/>
      <c r="G920" s="89"/>
      <c r="H920" s="89"/>
      <c r="I920" s="89"/>
      <c r="J920" s="89"/>
      <c r="K920" s="89"/>
      <c r="L920" s="89"/>
      <c r="M920" s="89"/>
      <c r="N920" s="89"/>
      <c r="O920" s="89"/>
      <c r="P920" s="89"/>
      <c r="Q920" s="89"/>
      <c r="R920" s="89"/>
      <c r="S920" s="89"/>
      <c r="T920" s="89"/>
      <c r="U920" s="89"/>
      <c r="V920" s="89"/>
      <c r="W920" s="89"/>
      <c r="X920" s="89"/>
      <c r="Y920" s="89"/>
      <c r="Z920" s="89"/>
      <c r="AA920" s="89"/>
    </row>
    <row r="921" spans="1:27" ht="13.8">
      <c r="A921" s="89"/>
      <c r="B921" s="89"/>
      <c r="C921" s="89"/>
      <c r="D921" s="89"/>
      <c r="E921" s="89"/>
      <c r="F921" s="110"/>
      <c r="G921" s="89"/>
      <c r="H921" s="89"/>
      <c r="I921" s="89"/>
      <c r="J921" s="89"/>
      <c r="K921" s="89"/>
      <c r="L921" s="89"/>
      <c r="M921" s="89"/>
      <c r="N921" s="89"/>
      <c r="O921" s="89"/>
      <c r="P921" s="89"/>
      <c r="Q921" s="89"/>
      <c r="R921" s="89"/>
      <c r="S921" s="89"/>
      <c r="T921" s="89"/>
      <c r="U921" s="89"/>
      <c r="V921" s="89"/>
      <c r="W921" s="89"/>
      <c r="X921" s="89"/>
      <c r="Y921" s="89"/>
      <c r="Z921" s="89"/>
      <c r="AA921" s="89"/>
    </row>
    <row r="922" spans="1:27" ht="13.8">
      <c r="A922" s="89"/>
      <c r="B922" s="89"/>
      <c r="C922" s="89"/>
      <c r="D922" s="89"/>
      <c r="E922" s="89"/>
      <c r="F922" s="110"/>
      <c r="G922" s="89"/>
      <c r="H922" s="89"/>
      <c r="I922" s="89"/>
      <c r="J922" s="89"/>
      <c r="K922" s="89"/>
      <c r="L922" s="89"/>
      <c r="M922" s="89"/>
      <c r="N922" s="89"/>
      <c r="O922" s="89"/>
      <c r="P922" s="89"/>
      <c r="Q922" s="89"/>
      <c r="R922" s="89"/>
      <c r="S922" s="89"/>
      <c r="T922" s="89"/>
      <c r="U922" s="89"/>
      <c r="V922" s="89"/>
      <c r="W922" s="89"/>
      <c r="X922" s="89"/>
      <c r="Y922" s="89"/>
      <c r="Z922" s="89"/>
      <c r="AA922" s="89"/>
    </row>
    <row r="923" spans="1:27" ht="13.8">
      <c r="A923" s="89"/>
      <c r="B923" s="89"/>
      <c r="C923" s="89"/>
      <c r="D923" s="89"/>
      <c r="E923" s="89"/>
      <c r="F923" s="110"/>
      <c r="G923" s="89"/>
      <c r="H923" s="89"/>
      <c r="I923" s="89"/>
      <c r="J923" s="89"/>
      <c r="K923" s="89"/>
      <c r="L923" s="89"/>
      <c r="M923" s="89"/>
      <c r="N923" s="89"/>
      <c r="O923" s="89"/>
      <c r="P923" s="89"/>
      <c r="Q923" s="89"/>
      <c r="R923" s="89"/>
      <c r="S923" s="89"/>
      <c r="T923" s="89"/>
      <c r="U923" s="89"/>
      <c r="V923" s="89"/>
      <c r="W923" s="89"/>
      <c r="X923" s="89"/>
      <c r="Y923" s="89"/>
      <c r="Z923" s="89"/>
      <c r="AA923" s="89"/>
    </row>
    <row r="924" spans="1:27" ht="13.8">
      <c r="A924" s="89"/>
      <c r="B924" s="89"/>
      <c r="C924" s="89"/>
      <c r="D924" s="89"/>
      <c r="E924" s="89"/>
      <c r="F924" s="110"/>
      <c r="G924" s="89"/>
      <c r="H924" s="89"/>
      <c r="I924" s="89"/>
      <c r="J924" s="89"/>
      <c r="K924" s="89"/>
      <c r="L924" s="89"/>
      <c r="M924" s="89"/>
      <c r="N924" s="89"/>
      <c r="O924" s="89"/>
      <c r="P924" s="89"/>
      <c r="Q924" s="89"/>
      <c r="R924" s="89"/>
      <c r="S924" s="89"/>
      <c r="T924" s="89"/>
      <c r="U924" s="89"/>
      <c r="V924" s="89"/>
      <c r="W924" s="89"/>
      <c r="X924" s="89"/>
      <c r="Y924" s="89"/>
      <c r="Z924" s="89"/>
      <c r="AA924" s="89"/>
    </row>
    <row r="925" spans="1:27" ht="13.8">
      <c r="A925" s="89"/>
      <c r="B925" s="89"/>
      <c r="C925" s="89"/>
      <c r="D925" s="89"/>
      <c r="E925" s="89"/>
      <c r="F925" s="110"/>
      <c r="G925" s="89"/>
      <c r="H925" s="89"/>
      <c r="I925" s="89"/>
      <c r="J925" s="89"/>
      <c r="K925" s="89"/>
      <c r="L925" s="89"/>
      <c r="M925" s="89"/>
      <c r="N925" s="89"/>
      <c r="O925" s="89"/>
      <c r="P925" s="89"/>
      <c r="Q925" s="89"/>
      <c r="R925" s="89"/>
      <c r="S925" s="89"/>
      <c r="T925" s="89"/>
      <c r="U925" s="89"/>
      <c r="V925" s="89"/>
      <c r="W925" s="89"/>
      <c r="X925" s="89"/>
      <c r="Y925" s="89"/>
      <c r="Z925" s="89"/>
      <c r="AA925" s="89"/>
    </row>
    <row r="926" spans="1:27" ht="13.8">
      <c r="A926" s="89"/>
      <c r="B926" s="89"/>
      <c r="C926" s="89"/>
      <c r="D926" s="89"/>
      <c r="E926" s="89"/>
      <c r="F926" s="110"/>
      <c r="G926" s="89"/>
      <c r="H926" s="89"/>
      <c r="I926" s="89"/>
      <c r="J926" s="89"/>
      <c r="K926" s="89"/>
      <c r="L926" s="89"/>
      <c r="M926" s="89"/>
      <c r="N926" s="89"/>
      <c r="O926" s="89"/>
      <c r="P926" s="89"/>
      <c r="Q926" s="89"/>
      <c r="R926" s="89"/>
      <c r="S926" s="89"/>
      <c r="T926" s="89"/>
      <c r="U926" s="89"/>
      <c r="V926" s="89"/>
      <c r="W926" s="89"/>
      <c r="X926" s="89"/>
      <c r="Y926" s="89"/>
      <c r="Z926" s="89"/>
      <c r="AA926" s="89"/>
    </row>
    <row r="927" spans="1:27" ht="13.8">
      <c r="A927" s="89"/>
      <c r="B927" s="89"/>
      <c r="C927" s="89"/>
      <c r="D927" s="89"/>
      <c r="E927" s="89"/>
      <c r="F927" s="110"/>
      <c r="G927" s="89"/>
      <c r="H927" s="89"/>
      <c r="I927" s="89"/>
      <c r="J927" s="89"/>
      <c r="K927" s="89"/>
      <c r="L927" s="89"/>
      <c r="M927" s="89"/>
      <c r="N927" s="89"/>
      <c r="O927" s="89"/>
      <c r="P927" s="89"/>
      <c r="Q927" s="89"/>
      <c r="R927" s="89"/>
      <c r="S927" s="89"/>
      <c r="T927" s="89"/>
      <c r="U927" s="89"/>
      <c r="V927" s="89"/>
      <c r="W927" s="89"/>
      <c r="X927" s="89"/>
      <c r="Y927" s="89"/>
      <c r="Z927" s="89"/>
      <c r="AA927" s="89"/>
    </row>
    <row r="928" spans="1:27" ht="13.8">
      <c r="A928" s="89"/>
      <c r="B928" s="89"/>
      <c r="C928" s="89"/>
      <c r="D928" s="89"/>
      <c r="E928" s="89"/>
      <c r="F928" s="110"/>
      <c r="G928" s="89"/>
      <c r="H928" s="89"/>
      <c r="I928" s="89"/>
      <c r="J928" s="89"/>
      <c r="K928" s="89"/>
      <c r="L928" s="89"/>
      <c r="M928" s="89"/>
      <c r="N928" s="89"/>
      <c r="O928" s="89"/>
      <c r="P928" s="89"/>
      <c r="Q928" s="89"/>
      <c r="R928" s="89"/>
      <c r="S928" s="89"/>
      <c r="T928" s="89"/>
      <c r="U928" s="89"/>
      <c r="V928" s="89"/>
      <c r="W928" s="89"/>
      <c r="X928" s="89"/>
      <c r="Y928" s="89"/>
      <c r="Z928" s="89"/>
      <c r="AA928" s="89"/>
    </row>
    <row r="929" spans="1:27" ht="13.8">
      <c r="A929" s="89"/>
      <c r="B929" s="89"/>
      <c r="C929" s="89"/>
      <c r="D929" s="89"/>
      <c r="E929" s="89"/>
      <c r="F929" s="110"/>
      <c r="G929" s="89"/>
      <c r="H929" s="89"/>
      <c r="I929" s="89"/>
      <c r="J929" s="89"/>
      <c r="K929" s="89"/>
      <c r="L929" s="89"/>
      <c r="M929" s="89"/>
      <c r="N929" s="89"/>
      <c r="O929" s="89"/>
      <c r="P929" s="89"/>
      <c r="Q929" s="89"/>
      <c r="R929" s="89"/>
      <c r="S929" s="89"/>
      <c r="T929" s="89"/>
      <c r="U929" s="89"/>
      <c r="V929" s="89"/>
      <c r="W929" s="89"/>
      <c r="X929" s="89"/>
      <c r="Y929" s="89"/>
      <c r="Z929" s="89"/>
      <c r="AA929" s="89"/>
    </row>
    <row r="930" spans="1:27" ht="13.8">
      <c r="A930" s="89"/>
      <c r="B930" s="89"/>
      <c r="C930" s="89"/>
      <c r="D930" s="89"/>
      <c r="E930" s="89"/>
      <c r="F930" s="110"/>
      <c r="G930" s="89"/>
      <c r="H930" s="89"/>
      <c r="I930" s="89"/>
      <c r="J930" s="89"/>
      <c r="K930" s="89"/>
      <c r="L930" s="89"/>
      <c r="M930" s="89"/>
      <c r="N930" s="89"/>
      <c r="O930" s="89"/>
      <c r="P930" s="89"/>
      <c r="Q930" s="89"/>
      <c r="R930" s="89"/>
      <c r="S930" s="89"/>
      <c r="T930" s="89"/>
      <c r="U930" s="89"/>
      <c r="V930" s="89"/>
      <c r="W930" s="89"/>
      <c r="X930" s="89"/>
      <c r="Y930" s="89"/>
      <c r="Z930" s="89"/>
      <c r="AA930" s="89"/>
    </row>
    <row r="931" spans="1:27" ht="13.8">
      <c r="A931" s="89"/>
      <c r="B931" s="89"/>
      <c r="C931" s="89"/>
      <c r="D931" s="89"/>
      <c r="E931" s="89"/>
      <c r="F931" s="110"/>
      <c r="G931" s="89"/>
      <c r="H931" s="89"/>
      <c r="I931" s="89"/>
      <c r="J931" s="89"/>
      <c r="K931" s="89"/>
      <c r="L931" s="89"/>
      <c r="M931" s="89"/>
      <c r="N931" s="89"/>
      <c r="O931" s="89"/>
      <c r="P931" s="89"/>
      <c r="Q931" s="89"/>
      <c r="R931" s="89"/>
      <c r="S931" s="89"/>
      <c r="T931" s="89"/>
      <c r="U931" s="89"/>
      <c r="V931" s="89"/>
      <c r="W931" s="89"/>
      <c r="X931" s="89"/>
      <c r="Y931" s="89"/>
      <c r="Z931" s="89"/>
      <c r="AA931" s="89"/>
    </row>
    <row r="932" spans="1:27" ht="13.8">
      <c r="A932" s="89"/>
      <c r="B932" s="89"/>
      <c r="C932" s="89"/>
      <c r="D932" s="89"/>
      <c r="E932" s="89"/>
      <c r="F932" s="110"/>
      <c r="G932" s="89"/>
      <c r="H932" s="89"/>
      <c r="I932" s="89"/>
      <c r="J932" s="89"/>
      <c r="K932" s="89"/>
      <c r="L932" s="89"/>
      <c r="M932" s="89"/>
      <c r="N932" s="89"/>
      <c r="O932" s="89"/>
      <c r="P932" s="89"/>
      <c r="Q932" s="89"/>
      <c r="R932" s="89"/>
      <c r="S932" s="89"/>
      <c r="T932" s="89"/>
      <c r="U932" s="89"/>
      <c r="V932" s="89"/>
      <c r="W932" s="89"/>
      <c r="X932" s="89"/>
      <c r="Y932" s="89"/>
      <c r="Z932" s="89"/>
      <c r="AA932" s="89"/>
    </row>
    <row r="933" spans="1:27" ht="13.8">
      <c r="A933" s="89"/>
      <c r="B933" s="89"/>
      <c r="C933" s="89"/>
      <c r="D933" s="89"/>
      <c r="E933" s="89"/>
      <c r="F933" s="110"/>
      <c r="G933" s="89"/>
      <c r="H933" s="89"/>
      <c r="I933" s="89"/>
      <c r="J933" s="89"/>
      <c r="K933" s="89"/>
      <c r="L933" s="89"/>
      <c r="M933" s="89"/>
      <c r="N933" s="89"/>
      <c r="O933" s="89"/>
      <c r="P933" s="89"/>
      <c r="Q933" s="89"/>
      <c r="R933" s="89"/>
      <c r="S933" s="89"/>
      <c r="T933" s="89"/>
      <c r="U933" s="89"/>
      <c r="V933" s="89"/>
      <c r="W933" s="89"/>
      <c r="X933" s="89"/>
      <c r="Y933" s="89"/>
      <c r="Z933" s="89"/>
      <c r="AA933" s="89"/>
    </row>
    <row r="934" spans="1:27" ht="13.8">
      <c r="A934" s="89"/>
      <c r="B934" s="89"/>
      <c r="C934" s="89"/>
      <c r="D934" s="89"/>
      <c r="E934" s="89"/>
      <c r="F934" s="110"/>
      <c r="G934" s="89"/>
      <c r="H934" s="89"/>
      <c r="I934" s="89"/>
      <c r="J934" s="89"/>
      <c r="K934" s="89"/>
      <c r="L934" s="89"/>
      <c r="M934" s="89"/>
      <c r="N934" s="89"/>
      <c r="O934" s="89"/>
      <c r="P934" s="89"/>
      <c r="Q934" s="89"/>
      <c r="R934" s="89"/>
      <c r="S934" s="89"/>
      <c r="T934" s="89"/>
      <c r="U934" s="89"/>
      <c r="V934" s="89"/>
      <c r="W934" s="89"/>
      <c r="X934" s="89"/>
      <c r="Y934" s="89"/>
      <c r="Z934" s="89"/>
      <c r="AA934" s="89"/>
    </row>
    <row r="935" spans="1:27" ht="13.8">
      <c r="A935" s="89"/>
      <c r="B935" s="89"/>
      <c r="C935" s="89"/>
      <c r="D935" s="89"/>
      <c r="E935" s="89"/>
      <c r="F935" s="110"/>
      <c r="G935" s="89"/>
      <c r="H935" s="89"/>
      <c r="I935" s="89"/>
      <c r="J935" s="89"/>
      <c r="K935" s="89"/>
      <c r="L935" s="89"/>
      <c r="M935" s="89"/>
      <c r="N935" s="89"/>
      <c r="O935" s="89"/>
      <c r="P935" s="89"/>
      <c r="Q935" s="89"/>
      <c r="R935" s="89"/>
      <c r="S935" s="89"/>
      <c r="T935" s="89"/>
      <c r="U935" s="89"/>
      <c r="V935" s="89"/>
      <c r="W935" s="89"/>
      <c r="X935" s="89"/>
      <c r="Y935" s="89"/>
      <c r="Z935" s="89"/>
      <c r="AA935" s="89"/>
    </row>
    <row r="936" spans="1:27" ht="13.8">
      <c r="A936" s="89"/>
      <c r="B936" s="89"/>
      <c r="C936" s="89"/>
      <c r="D936" s="89"/>
      <c r="E936" s="89"/>
      <c r="F936" s="110"/>
      <c r="G936" s="89"/>
      <c r="H936" s="89"/>
      <c r="I936" s="89"/>
      <c r="J936" s="89"/>
      <c r="K936" s="89"/>
      <c r="L936" s="89"/>
      <c r="M936" s="89"/>
      <c r="N936" s="89"/>
      <c r="O936" s="89"/>
      <c r="P936" s="89"/>
      <c r="Q936" s="89"/>
      <c r="R936" s="89"/>
      <c r="S936" s="89"/>
      <c r="T936" s="89"/>
      <c r="U936" s="89"/>
      <c r="V936" s="89"/>
      <c r="W936" s="89"/>
      <c r="X936" s="89"/>
      <c r="Y936" s="89"/>
      <c r="Z936" s="89"/>
      <c r="AA936" s="89"/>
    </row>
    <row r="937" spans="1:27" ht="13.8">
      <c r="A937" s="89"/>
      <c r="B937" s="89"/>
      <c r="C937" s="89"/>
      <c r="D937" s="89"/>
      <c r="E937" s="89"/>
      <c r="F937" s="110"/>
      <c r="G937" s="89"/>
      <c r="H937" s="89"/>
      <c r="I937" s="89"/>
      <c r="J937" s="89"/>
      <c r="K937" s="89"/>
      <c r="L937" s="89"/>
      <c r="M937" s="89"/>
      <c r="N937" s="89"/>
      <c r="O937" s="89"/>
      <c r="P937" s="89"/>
      <c r="Q937" s="89"/>
      <c r="R937" s="89"/>
      <c r="S937" s="89"/>
      <c r="T937" s="89"/>
      <c r="U937" s="89"/>
      <c r="V937" s="89"/>
      <c r="W937" s="89"/>
      <c r="X937" s="89"/>
      <c r="Y937" s="89"/>
      <c r="Z937" s="89"/>
      <c r="AA937" s="89"/>
    </row>
    <row r="938" spans="1:27" ht="13.8">
      <c r="A938" s="89"/>
      <c r="B938" s="89"/>
      <c r="C938" s="89"/>
      <c r="D938" s="89"/>
      <c r="E938" s="89"/>
      <c r="F938" s="110"/>
      <c r="G938" s="89"/>
      <c r="H938" s="89"/>
      <c r="I938" s="89"/>
      <c r="J938" s="89"/>
      <c r="K938" s="89"/>
      <c r="L938" s="89"/>
      <c r="M938" s="89"/>
      <c r="N938" s="89"/>
      <c r="O938" s="89"/>
      <c r="P938" s="89"/>
      <c r="Q938" s="89"/>
      <c r="R938" s="89"/>
      <c r="S938" s="89"/>
      <c r="T938" s="89"/>
      <c r="U938" s="89"/>
      <c r="V938" s="89"/>
      <c r="W938" s="89"/>
      <c r="X938" s="89"/>
      <c r="Y938" s="89"/>
      <c r="Z938" s="89"/>
      <c r="AA938" s="89"/>
    </row>
    <row r="939" spans="1:27" ht="13.8">
      <c r="A939" s="89"/>
      <c r="B939" s="89"/>
      <c r="C939" s="89"/>
      <c r="D939" s="89"/>
      <c r="E939" s="89"/>
      <c r="F939" s="110"/>
      <c r="G939" s="89"/>
      <c r="H939" s="89"/>
      <c r="I939" s="89"/>
      <c r="J939" s="89"/>
      <c r="K939" s="89"/>
      <c r="L939" s="89"/>
      <c r="M939" s="89"/>
      <c r="N939" s="89"/>
      <c r="O939" s="89"/>
      <c r="P939" s="89"/>
      <c r="Q939" s="89"/>
      <c r="R939" s="89"/>
      <c r="S939" s="89"/>
      <c r="T939" s="89"/>
      <c r="U939" s="89"/>
      <c r="V939" s="89"/>
      <c r="W939" s="89"/>
      <c r="X939" s="89"/>
      <c r="Y939" s="89"/>
      <c r="Z939" s="89"/>
      <c r="AA939" s="89"/>
    </row>
    <row r="940" spans="1:27" ht="13.8">
      <c r="A940" s="89"/>
      <c r="B940" s="89"/>
      <c r="C940" s="89"/>
      <c r="D940" s="89"/>
      <c r="E940" s="89"/>
      <c r="F940" s="110"/>
      <c r="G940" s="89"/>
      <c r="H940" s="89"/>
      <c r="I940" s="89"/>
      <c r="J940" s="89"/>
      <c r="K940" s="89"/>
      <c r="L940" s="89"/>
      <c r="M940" s="89"/>
      <c r="N940" s="89"/>
      <c r="O940" s="89"/>
      <c r="P940" s="89"/>
      <c r="Q940" s="89"/>
      <c r="R940" s="89"/>
      <c r="S940" s="89"/>
      <c r="T940" s="89"/>
      <c r="U940" s="89"/>
      <c r="V940" s="89"/>
      <c r="W940" s="89"/>
      <c r="X940" s="89"/>
      <c r="Y940" s="89"/>
      <c r="Z940" s="89"/>
      <c r="AA940" s="89"/>
    </row>
    <row r="941" spans="1:27" ht="13.8">
      <c r="A941" s="89"/>
      <c r="B941" s="89"/>
      <c r="C941" s="89"/>
      <c r="D941" s="89"/>
      <c r="E941" s="89"/>
      <c r="F941" s="110"/>
      <c r="G941" s="89"/>
      <c r="H941" s="89"/>
      <c r="I941" s="89"/>
      <c r="J941" s="89"/>
      <c r="K941" s="89"/>
      <c r="L941" s="89"/>
      <c r="M941" s="89"/>
      <c r="N941" s="89"/>
      <c r="O941" s="89"/>
      <c r="P941" s="89"/>
      <c r="Q941" s="89"/>
      <c r="R941" s="89"/>
      <c r="S941" s="89"/>
      <c r="T941" s="89"/>
      <c r="U941" s="89"/>
      <c r="V941" s="89"/>
      <c r="W941" s="89"/>
      <c r="X941" s="89"/>
      <c r="Y941" s="89"/>
      <c r="Z941" s="89"/>
      <c r="AA941" s="89"/>
    </row>
    <row r="942" spans="1:27" ht="13.8">
      <c r="A942" s="89"/>
      <c r="B942" s="89"/>
      <c r="C942" s="89"/>
      <c r="D942" s="89"/>
      <c r="E942" s="89"/>
      <c r="F942" s="110"/>
      <c r="G942" s="89"/>
      <c r="H942" s="89"/>
      <c r="I942" s="89"/>
      <c r="J942" s="89"/>
      <c r="K942" s="89"/>
      <c r="L942" s="89"/>
      <c r="M942" s="89"/>
      <c r="N942" s="89"/>
      <c r="O942" s="89"/>
      <c r="P942" s="89"/>
      <c r="Q942" s="89"/>
      <c r="R942" s="89"/>
      <c r="S942" s="89"/>
      <c r="T942" s="89"/>
      <c r="U942" s="89"/>
      <c r="V942" s="89"/>
      <c r="W942" s="89"/>
      <c r="X942" s="89"/>
      <c r="Y942" s="89"/>
      <c r="Z942" s="89"/>
      <c r="AA942" s="89"/>
    </row>
    <row r="943" spans="1:27" ht="13.8">
      <c r="A943" s="89"/>
      <c r="B943" s="89"/>
      <c r="C943" s="89"/>
      <c r="D943" s="89"/>
      <c r="E943" s="89"/>
      <c r="F943" s="110"/>
      <c r="G943" s="89"/>
      <c r="H943" s="89"/>
      <c r="I943" s="89"/>
      <c r="J943" s="89"/>
      <c r="K943" s="89"/>
      <c r="L943" s="89"/>
      <c r="M943" s="89"/>
      <c r="N943" s="89"/>
      <c r="O943" s="89"/>
      <c r="P943" s="89"/>
      <c r="Q943" s="89"/>
      <c r="R943" s="89"/>
      <c r="S943" s="89"/>
      <c r="T943" s="89"/>
      <c r="U943" s="89"/>
      <c r="V943" s="89"/>
      <c r="W943" s="89"/>
      <c r="X943" s="89"/>
      <c r="Y943" s="89"/>
      <c r="Z943" s="89"/>
      <c r="AA943" s="89"/>
    </row>
    <row r="944" spans="1:27" ht="13.8">
      <c r="A944" s="89"/>
      <c r="B944" s="89"/>
      <c r="C944" s="89"/>
      <c r="D944" s="89"/>
      <c r="E944" s="89"/>
      <c r="F944" s="110"/>
      <c r="G944" s="89"/>
      <c r="H944" s="89"/>
      <c r="I944" s="89"/>
      <c r="J944" s="89"/>
      <c r="K944" s="89"/>
      <c r="L944" s="89"/>
      <c r="M944" s="89"/>
      <c r="N944" s="89"/>
      <c r="O944" s="89"/>
      <c r="P944" s="89"/>
      <c r="Q944" s="89"/>
      <c r="R944" s="89"/>
      <c r="S944" s="89"/>
      <c r="T944" s="89"/>
      <c r="U944" s="89"/>
      <c r="V944" s="89"/>
      <c r="W944" s="89"/>
      <c r="X944" s="89"/>
      <c r="Y944" s="89"/>
      <c r="Z944" s="89"/>
      <c r="AA944" s="89"/>
    </row>
    <row r="945" spans="1:27" ht="13.8">
      <c r="A945" s="89"/>
      <c r="B945" s="89"/>
      <c r="C945" s="89"/>
      <c r="D945" s="89"/>
      <c r="E945" s="89"/>
      <c r="F945" s="110"/>
      <c r="G945" s="89"/>
      <c r="H945" s="89"/>
      <c r="I945" s="89"/>
      <c r="J945" s="89"/>
      <c r="K945" s="89"/>
      <c r="L945" s="89"/>
      <c r="M945" s="89"/>
      <c r="N945" s="89"/>
      <c r="O945" s="89"/>
      <c r="P945" s="89"/>
      <c r="Q945" s="89"/>
      <c r="R945" s="89"/>
      <c r="S945" s="89"/>
      <c r="T945" s="89"/>
      <c r="U945" s="89"/>
      <c r="V945" s="89"/>
      <c r="W945" s="89"/>
      <c r="X945" s="89"/>
      <c r="Y945" s="89"/>
      <c r="Z945" s="89"/>
      <c r="AA945" s="89"/>
    </row>
    <row r="946" spans="1:27" ht="13.8">
      <c r="A946" s="89"/>
      <c r="B946" s="89"/>
      <c r="C946" s="89"/>
      <c r="D946" s="89"/>
      <c r="E946" s="89"/>
      <c r="F946" s="110"/>
      <c r="G946" s="89"/>
      <c r="H946" s="89"/>
      <c r="I946" s="89"/>
      <c r="J946" s="89"/>
      <c r="K946" s="89"/>
      <c r="L946" s="89"/>
      <c r="M946" s="89"/>
      <c r="N946" s="89"/>
      <c r="O946" s="89"/>
      <c r="P946" s="89"/>
      <c r="Q946" s="89"/>
      <c r="R946" s="89"/>
      <c r="S946" s="89"/>
      <c r="T946" s="89"/>
      <c r="U946" s="89"/>
      <c r="V946" s="89"/>
      <c r="W946" s="89"/>
      <c r="X946" s="89"/>
      <c r="Y946" s="89"/>
      <c r="Z946" s="89"/>
      <c r="AA946" s="89"/>
    </row>
    <row r="947" spans="1:27" ht="13.8">
      <c r="A947" s="89"/>
      <c r="B947" s="89"/>
      <c r="C947" s="89"/>
      <c r="D947" s="89"/>
      <c r="E947" s="89"/>
      <c r="F947" s="110"/>
      <c r="G947" s="89"/>
      <c r="H947" s="89"/>
      <c r="I947" s="89"/>
      <c r="J947" s="89"/>
      <c r="K947" s="89"/>
      <c r="L947" s="89"/>
      <c r="M947" s="89"/>
      <c r="N947" s="89"/>
      <c r="O947" s="89"/>
      <c r="P947" s="89"/>
      <c r="Q947" s="89"/>
      <c r="R947" s="89"/>
      <c r="S947" s="89"/>
      <c r="T947" s="89"/>
      <c r="U947" s="89"/>
      <c r="V947" s="89"/>
      <c r="W947" s="89"/>
      <c r="X947" s="89"/>
      <c r="Y947" s="89"/>
      <c r="Z947" s="89"/>
      <c r="AA947" s="89"/>
    </row>
    <row r="948" spans="1:27" ht="13.8">
      <c r="A948" s="89"/>
      <c r="B948" s="89"/>
      <c r="C948" s="89"/>
      <c r="D948" s="89"/>
      <c r="E948" s="89"/>
      <c r="F948" s="110"/>
      <c r="G948" s="89"/>
      <c r="H948" s="89"/>
      <c r="I948" s="89"/>
      <c r="J948" s="89"/>
      <c r="K948" s="89"/>
      <c r="L948" s="89"/>
      <c r="M948" s="89"/>
      <c r="N948" s="89"/>
      <c r="O948" s="89"/>
      <c r="P948" s="89"/>
      <c r="Q948" s="89"/>
      <c r="R948" s="89"/>
      <c r="S948" s="89"/>
      <c r="T948" s="89"/>
      <c r="U948" s="89"/>
      <c r="V948" s="89"/>
      <c r="W948" s="89"/>
      <c r="X948" s="89"/>
      <c r="Y948" s="89"/>
      <c r="Z948" s="89"/>
      <c r="AA948" s="89"/>
    </row>
    <row r="949" spans="1:27" ht="13.8">
      <c r="A949" s="89"/>
      <c r="B949" s="89"/>
      <c r="C949" s="89"/>
      <c r="D949" s="89"/>
      <c r="E949" s="89"/>
      <c r="F949" s="110"/>
      <c r="G949" s="89"/>
      <c r="H949" s="89"/>
      <c r="I949" s="89"/>
      <c r="J949" s="89"/>
      <c r="K949" s="89"/>
      <c r="L949" s="89"/>
      <c r="M949" s="89"/>
      <c r="N949" s="89"/>
      <c r="O949" s="89"/>
      <c r="P949" s="89"/>
      <c r="Q949" s="89"/>
      <c r="R949" s="89"/>
      <c r="S949" s="89"/>
      <c r="T949" s="89"/>
      <c r="U949" s="89"/>
      <c r="V949" s="89"/>
      <c r="W949" s="89"/>
      <c r="X949" s="89"/>
      <c r="Y949" s="89"/>
      <c r="Z949" s="89"/>
      <c r="AA949" s="89"/>
    </row>
    <row r="950" spans="1:27" ht="13.8">
      <c r="A950" s="89"/>
      <c r="B950" s="89"/>
      <c r="C950" s="89"/>
      <c r="D950" s="89"/>
      <c r="E950" s="89"/>
      <c r="F950" s="110"/>
      <c r="G950" s="89"/>
      <c r="H950" s="89"/>
      <c r="I950" s="89"/>
      <c r="J950" s="89"/>
      <c r="K950" s="89"/>
      <c r="L950" s="89"/>
      <c r="M950" s="89"/>
      <c r="N950" s="89"/>
      <c r="O950" s="89"/>
      <c r="P950" s="89"/>
      <c r="Q950" s="89"/>
      <c r="R950" s="89"/>
      <c r="S950" s="89"/>
      <c r="T950" s="89"/>
      <c r="U950" s="89"/>
      <c r="V950" s="89"/>
      <c r="W950" s="89"/>
      <c r="X950" s="89"/>
      <c r="Y950" s="89"/>
      <c r="Z950" s="89"/>
      <c r="AA950" s="89"/>
    </row>
    <row r="951" spans="1:27" ht="13.8">
      <c r="A951" s="89"/>
      <c r="B951" s="89"/>
      <c r="C951" s="89"/>
      <c r="D951" s="89"/>
      <c r="E951" s="89"/>
      <c r="F951" s="110"/>
      <c r="G951" s="89"/>
      <c r="H951" s="89"/>
      <c r="I951" s="89"/>
      <c r="J951" s="89"/>
      <c r="K951" s="89"/>
      <c r="L951" s="89"/>
      <c r="M951" s="89"/>
      <c r="N951" s="89"/>
      <c r="O951" s="89"/>
      <c r="P951" s="89"/>
      <c r="Q951" s="89"/>
      <c r="R951" s="89"/>
      <c r="S951" s="89"/>
      <c r="T951" s="89"/>
      <c r="U951" s="89"/>
      <c r="V951" s="89"/>
      <c r="W951" s="89"/>
      <c r="X951" s="89"/>
      <c r="Y951" s="89"/>
      <c r="Z951" s="89"/>
      <c r="AA951" s="89"/>
    </row>
    <row r="952" spans="1:27" ht="13.8">
      <c r="A952" s="89"/>
      <c r="B952" s="89"/>
      <c r="C952" s="89"/>
      <c r="D952" s="89"/>
      <c r="E952" s="89"/>
      <c r="F952" s="110"/>
      <c r="G952" s="89"/>
      <c r="H952" s="89"/>
      <c r="I952" s="89"/>
      <c r="J952" s="89"/>
      <c r="K952" s="89"/>
      <c r="L952" s="89"/>
      <c r="M952" s="89"/>
      <c r="N952" s="89"/>
      <c r="O952" s="89"/>
      <c r="P952" s="89"/>
      <c r="Q952" s="89"/>
      <c r="R952" s="89"/>
      <c r="S952" s="89"/>
      <c r="T952" s="89"/>
      <c r="U952" s="89"/>
      <c r="V952" s="89"/>
      <c r="W952" s="89"/>
      <c r="X952" s="89"/>
      <c r="Y952" s="89"/>
      <c r="Z952" s="89"/>
      <c r="AA952" s="89"/>
    </row>
    <row r="953" spans="1:27" ht="13.8">
      <c r="A953" s="89"/>
      <c r="B953" s="89"/>
      <c r="C953" s="89"/>
      <c r="D953" s="89"/>
      <c r="E953" s="89"/>
      <c r="F953" s="110"/>
      <c r="G953" s="89"/>
      <c r="H953" s="89"/>
      <c r="I953" s="89"/>
      <c r="J953" s="89"/>
      <c r="K953" s="89"/>
      <c r="L953" s="89"/>
      <c r="M953" s="89"/>
      <c r="N953" s="89"/>
      <c r="O953" s="89"/>
      <c r="P953" s="89"/>
      <c r="Q953" s="89"/>
      <c r="R953" s="89"/>
      <c r="S953" s="89"/>
      <c r="T953" s="89"/>
      <c r="U953" s="89"/>
      <c r="V953" s="89"/>
      <c r="W953" s="89"/>
      <c r="X953" s="89"/>
      <c r="Y953" s="89"/>
      <c r="Z953" s="89"/>
      <c r="AA953" s="89"/>
    </row>
    <row r="954" spans="1:27" ht="13.8">
      <c r="A954" s="89"/>
      <c r="B954" s="89"/>
      <c r="C954" s="89"/>
      <c r="D954" s="89"/>
      <c r="E954" s="89"/>
      <c r="F954" s="110"/>
      <c r="G954" s="89"/>
      <c r="H954" s="89"/>
      <c r="I954" s="89"/>
      <c r="J954" s="89"/>
      <c r="K954" s="89"/>
      <c r="L954" s="89"/>
      <c r="M954" s="89"/>
      <c r="N954" s="89"/>
      <c r="O954" s="89"/>
      <c r="P954" s="89"/>
      <c r="Q954" s="89"/>
      <c r="R954" s="89"/>
      <c r="S954" s="89"/>
      <c r="T954" s="89"/>
      <c r="U954" s="89"/>
      <c r="V954" s="89"/>
      <c r="W954" s="89"/>
      <c r="X954" s="89"/>
      <c r="Y954" s="89"/>
      <c r="Z954" s="89"/>
      <c r="AA954" s="89"/>
    </row>
    <row r="955" spans="1:27" ht="13.8">
      <c r="A955" s="89"/>
      <c r="B955" s="89"/>
      <c r="C955" s="89"/>
      <c r="D955" s="89"/>
      <c r="E955" s="89"/>
      <c r="F955" s="110"/>
      <c r="G955" s="89"/>
      <c r="H955" s="89"/>
      <c r="I955" s="89"/>
      <c r="J955" s="89"/>
      <c r="K955" s="89"/>
      <c r="L955" s="89"/>
      <c r="M955" s="89"/>
      <c r="N955" s="89"/>
      <c r="O955" s="89"/>
      <c r="P955" s="89"/>
      <c r="Q955" s="89"/>
      <c r="R955" s="89"/>
      <c r="S955" s="89"/>
      <c r="T955" s="89"/>
      <c r="U955" s="89"/>
      <c r="V955" s="89"/>
      <c r="W955" s="89"/>
      <c r="X955" s="89"/>
      <c r="Y955" s="89"/>
      <c r="Z955" s="89"/>
      <c r="AA955" s="89"/>
    </row>
    <row r="956" spans="1:27" ht="13.8">
      <c r="A956" s="89"/>
      <c r="B956" s="89"/>
      <c r="C956" s="89"/>
      <c r="D956" s="89"/>
      <c r="E956" s="89"/>
      <c r="F956" s="110"/>
      <c r="G956" s="89"/>
      <c r="H956" s="89"/>
      <c r="I956" s="89"/>
      <c r="J956" s="89"/>
      <c r="K956" s="89"/>
      <c r="L956" s="89"/>
      <c r="M956" s="89"/>
      <c r="N956" s="89"/>
      <c r="O956" s="89"/>
      <c r="P956" s="89"/>
      <c r="Q956" s="89"/>
      <c r="R956" s="89"/>
      <c r="S956" s="89"/>
      <c r="T956" s="89"/>
      <c r="U956" s="89"/>
      <c r="V956" s="89"/>
      <c r="W956" s="89"/>
      <c r="X956" s="89"/>
      <c r="Y956" s="89"/>
      <c r="Z956" s="89"/>
      <c r="AA956" s="89"/>
    </row>
    <row r="957" spans="1:27" ht="13.8">
      <c r="A957" s="89"/>
      <c r="B957" s="89"/>
      <c r="C957" s="89"/>
      <c r="D957" s="89"/>
      <c r="E957" s="89"/>
      <c r="F957" s="110"/>
      <c r="G957" s="89"/>
      <c r="H957" s="89"/>
      <c r="I957" s="89"/>
      <c r="J957" s="89"/>
      <c r="K957" s="89"/>
      <c r="L957" s="89"/>
      <c r="M957" s="89"/>
      <c r="N957" s="89"/>
      <c r="O957" s="89"/>
      <c r="P957" s="89"/>
      <c r="Q957" s="89"/>
      <c r="R957" s="89"/>
      <c r="S957" s="89"/>
      <c r="T957" s="89"/>
      <c r="U957" s="89"/>
      <c r="V957" s="89"/>
      <c r="W957" s="89"/>
      <c r="X957" s="89"/>
      <c r="Y957" s="89"/>
      <c r="Z957" s="89"/>
      <c r="AA957" s="89"/>
    </row>
    <row r="958" spans="1:27" ht="13.8">
      <c r="A958" s="89"/>
      <c r="B958" s="89"/>
      <c r="C958" s="89"/>
      <c r="D958" s="89"/>
      <c r="E958" s="89"/>
      <c r="F958" s="110"/>
      <c r="G958" s="89"/>
      <c r="H958" s="89"/>
      <c r="I958" s="89"/>
      <c r="J958" s="89"/>
      <c r="K958" s="89"/>
      <c r="L958" s="89"/>
      <c r="M958" s="89"/>
      <c r="N958" s="89"/>
      <c r="O958" s="89"/>
      <c r="P958" s="89"/>
      <c r="Q958" s="89"/>
      <c r="R958" s="89"/>
      <c r="S958" s="89"/>
      <c r="T958" s="89"/>
      <c r="U958" s="89"/>
      <c r="V958" s="89"/>
      <c r="W958" s="89"/>
      <c r="X958" s="89"/>
      <c r="Y958" s="89"/>
      <c r="Z958" s="89"/>
      <c r="AA958" s="89"/>
    </row>
    <row r="959" spans="1:27" ht="13.8">
      <c r="A959" s="89"/>
      <c r="B959" s="89"/>
      <c r="C959" s="89"/>
      <c r="D959" s="89"/>
      <c r="E959" s="89"/>
      <c r="F959" s="110"/>
      <c r="G959" s="89"/>
      <c r="H959" s="89"/>
      <c r="I959" s="89"/>
      <c r="J959" s="89"/>
      <c r="K959" s="89"/>
      <c r="L959" s="89"/>
      <c r="M959" s="89"/>
      <c r="N959" s="89"/>
      <c r="O959" s="89"/>
      <c r="P959" s="89"/>
      <c r="Q959" s="89"/>
      <c r="R959" s="89"/>
      <c r="S959" s="89"/>
      <c r="T959" s="89"/>
      <c r="U959" s="89"/>
      <c r="V959" s="89"/>
      <c r="W959" s="89"/>
      <c r="X959" s="89"/>
      <c r="Y959" s="89"/>
      <c r="Z959" s="89"/>
      <c r="AA959" s="89"/>
    </row>
    <row r="960" spans="1:27" ht="13.8">
      <c r="A960" s="89"/>
      <c r="B960" s="89"/>
      <c r="C960" s="89"/>
      <c r="D960" s="89"/>
      <c r="E960" s="89"/>
      <c r="F960" s="110"/>
      <c r="G960" s="89"/>
      <c r="H960" s="89"/>
      <c r="I960" s="89"/>
      <c r="J960" s="89"/>
      <c r="K960" s="89"/>
      <c r="L960" s="89"/>
      <c r="M960" s="89"/>
      <c r="N960" s="89"/>
      <c r="O960" s="89"/>
      <c r="P960" s="89"/>
      <c r="Q960" s="89"/>
      <c r="R960" s="89"/>
      <c r="S960" s="89"/>
      <c r="T960" s="89"/>
      <c r="U960" s="89"/>
      <c r="V960" s="89"/>
      <c r="W960" s="89"/>
      <c r="X960" s="89"/>
      <c r="Y960" s="89"/>
      <c r="Z960" s="89"/>
      <c r="AA960" s="89"/>
    </row>
    <row r="961" spans="1:27" ht="13.8">
      <c r="A961" s="89"/>
      <c r="B961" s="89"/>
      <c r="C961" s="89"/>
      <c r="D961" s="89"/>
      <c r="E961" s="89"/>
      <c r="F961" s="110"/>
      <c r="G961" s="89"/>
      <c r="H961" s="89"/>
      <c r="I961" s="89"/>
      <c r="J961" s="89"/>
      <c r="K961" s="89"/>
      <c r="L961" s="89"/>
      <c r="M961" s="89"/>
      <c r="N961" s="89"/>
      <c r="O961" s="89"/>
      <c r="P961" s="89"/>
      <c r="Q961" s="89"/>
      <c r="R961" s="89"/>
      <c r="S961" s="89"/>
      <c r="T961" s="89"/>
      <c r="U961" s="89"/>
      <c r="V961" s="89"/>
      <c r="W961" s="89"/>
      <c r="X961" s="89"/>
      <c r="Y961" s="89"/>
      <c r="Z961" s="89"/>
      <c r="AA961" s="89"/>
    </row>
    <row r="962" spans="1:27" ht="13.8">
      <c r="A962" s="89"/>
      <c r="B962" s="89"/>
      <c r="C962" s="89"/>
      <c r="D962" s="89"/>
      <c r="E962" s="89"/>
      <c r="F962" s="110"/>
      <c r="G962" s="89"/>
      <c r="H962" s="89"/>
      <c r="I962" s="89"/>
      <c r="J962" s="89"/>
      <c r="K962" s="89"/>
      <c r="L962" s="89"/>
      <c r="M962" s="89"/>
      <c r="N962" s="89"/>
      <c r="O962" s="89"/>
      <c r="P962" s="89"/>
      <c r="Q962" s="89"/>
      <c r="R962" s="89"/>
      <c r="S962" s="89"/>
      <c r="T962" s="89"/>
      <c r="U962" s="89"/>
      <c r="V962" s="89"/>
      <c r="W962" s="89"/>
      <c r="X962" s="89"/>
      <c r="Y962" s="89"/>
      <c r="Z962" s="89"/>
      <c r="AA962" s="89"/>
    </row>
    <row r="963" spans="1:27" ht="13.8">
      <c r="A963" s="89"/>
      <c r="B963" s="89"/>
      <c r="C963" s="89"/>
      <c r="D963" s="89"/>
      <c r="E963" s="89"/>
      <c r="F963" s="110"/>
      <c r="G963" s="89"/>
      <c r="H963" s="89"/>
      <c r="I963" s="89"/>
      <c r="J963" s="89"/>
      <c r="K963" s="89"/>
      <c r="L963" s="89"/>
      <c r="M963" s="89"/>
      <c r="N963" s="89"/>
      <c r="O963" s="89"/>
      <c r="P963" s="89"/>
      <c r="Q963" s="89"/>
      <c r="R963" s="89"/>
      <c r="S963" s="89"/>
      <c r="T963" s="89"/>
      <c r="U963" s="89"/>
      <c r="V963" s="89"/>
      <c r="W963" s="89"/>
      <c r="X963" s="89"/>
      <c r="Y963" s="89"/>
      <c r="Z963" s="89"/>
      <c r="AA963" s="89"/>
    </row>
    <row r="964" spans="1:27" ht="13.8">
      <c r="A964" s="89"/>
      <c r="B964" s="89"/>
      <c r="C964" s="89"/>
      <c r="D964" s="89"/>
      <c r="E964" s="89"/>
      <c r="F964" s="110"/>
      <c r="G964" s="89"/>
      <c r="H964" s="89"/>
      <c r="I964" s="89"/>
      <c r="J964" s="89"/>
      <c r="K964" s="89"/>
      <c r="L964" s="89"/>
      <c r="M964" s="89"/>
      <c r="N964" s="89"/>
      <c r="O964" s="89"/>
      <c r="P964" s="89"/>
      <c r="Q964" s="89"/>
      <c r="R964" s="89"/>
      <c r="S964" s="89"/>
      <c r="T964" s="89"/>
      <c r="U964" s="89"/>
      <c r="V964" s="89"/>
      <c r="W964" s="89"/>
      <c r="X964" s="89"/>
      <c r="Y964" s="89"/>
      <c r="Z964" s="89"/>
      <c r="AA964" s="89"/>
    </row>
    <row r="965" spans="1:27" ht="13.8">
      <c r="A965" s="89"/>
      <c r="B965" s="89"/>
      <c r="C965" s="89"/>
      <c r="D965" s="89"/>
      <c r="E965" s="89"/>
      <c r="F965" s="110"/>
      <c r="G965" s="89"/>
      <c r="H965" s="89"/>
      <c r="I965" s="89"/>
      <c r="J965" s="89"/>
      <c r="K965" s="89"/>
      <c r="L965" s="89"/>
      <c r="M965" s="89"/>
      <c r="N965" s="89"/>
      <c r="O965" s="89"/>
      <c r="P965" s="89"/>
      <c r="Q965" s="89"/>
      <c r="R965" s="89"/>
      <c r="S965" s="89"/>
      <c r="T965" s="89"/>
      <c r="U965" s="89"/>
      <c r="V965" s="89"/>
      <c r="W965" s="89"/>
      <c r="X965" s="89"/>
      <c r="Y965" s="89"/>
      <c r="Z965" s="89"/>
      <c r="AA965" s="89"/>
    </row>
    <row r="966" spans="1:27" ht="13.8">
      <c r="A966" s="89"/>
      <c r="B966" s="89"/>
      <c r="C966" s="89"/>
      <c r="D966" s="89"/>
      <c r="E966" s="89"/>
      <c r="F966" s="110"/>
      <c r="G966" s="89"/>
      <c r="H966" s="89"/>
      <c r="I966" s="89"/>
      <c r="J966" s="89"/>
      <c r="K966" s="89"/>
      <c r="L966" s="89"/>
      <c r="M966" s="89"/>
      <c r="N966" s="89"/>
      <c r="O966" s="89"/>
      <c r="P966" s="89"/>
      <c r="Q966" s="89"/>
      <c r="R966" s="89"/>
      <c r="S966" s="89"/>
      <c r="T966" s="89"/>
      <c r="U966" s="89"/>
      <c r="V966" s="89"/>
      <c r="W966" s="89"/>
      <c r="X966" s="89"/>
      <c r="Y966" s="89"/>
      <c r="Z966" s="89"/>
      <c r="AA966" s="89"/>
    </row>
    <row r="967" spans="1:27" ht="13.8">
      <c r="A967" s="89"/>
      <c r="B967" s="89"/>
      <c r="C967" s="89"/>
      <c r="D967" s="89"/>
      <c r="E967" s="89"/>
      <c r="F967" s="110"/>
      <c r="G967" s="89"/>
      <c r="H967" s="89"/>
      <c r="I967" s="89"/>
      <c r="J967" s="89"/>
      <c r="K967" s="89"/>
      <c r="L967" s="89"/>
      <c r="M967" s="89"/>
      <c r="N967" s="89"/>
      <c r="O967" s="89"/>
      <c r="P967" s="89"/>
      <c r="Q967" s="89"/>
      <c r="R967" s="89"/>
      <c r="S967" s="89"/>
      <c r="T967" s="89"/>
      <c r="U967" s="89"/>
      <c r="V967" s="89"/>
      <c r="W967" s="89"/>
      <c r="X967" s="89"/>
      <c r="Y967" s="89"/>
      <c r="Z967" s="89"/>
      <c r="AA967" s="89"/>
    </row>
    <row r="968" spans="1:27" ht="13.8">
      <c r="A968" s="89"/>
      <c r="B968" s="89"/>
      <c r="C968" s="89"/>
      <c r="D968" s="89"/>
      <c r="E968" s="89"/>
      <c r="F968" s="110"/>
      <c r="G968" s="89"/>
      <c r="H968" s="89"/>
      <c r="I968" s="89"/>
      <c r="J968" s="89"/>
      <c r="K968" s="89"/>
      <c r="L968" s="89"/>
      <c r="M968" s="89"/>
      <c r="N968" s="89"/>
      <c r="O968" s="89"/>
      <c r="P968" s="89"/>
      <c r="Q968" s="89"/>
      <c r="R968" s="89"/>
      <c r="S968" s="89"/>
      <c r="T968" s="89"/>
      <c r="U968" s="89"/>
      <c r="V968" s="89"/>
      <c r="W968" s="89"/>
      <c r="X968" s="89"/>
      <c r="Y968" s="89"/>
      <c r="Z968" s="89"/>
      <c r="AA968" s="89"/>
    </row>
    <row r="969" spans="1:27" ht="13.8">
      <c r="A969" s="89"/>
      <c r="B969" s="89"/>
      <c r="C969" s="89"/>
      <c r="D969" s="89"/>
      <c r="E969" s="89"/>
      <c r="F969" s="110"/>
      <c r="G969" s="89"/>
      <c r="H969" s="89"/>
      <c r="I969" s="89"/>
      <c r="J969" s="89"/>
      <c r="K969" s="89"/>
      <c r="L969" s="89"/>
      <c r="M969" s="89"/>
      <c r="N969" s="89"/>
      <c r="O969" s="89"/>
      <c r="P969" s="89"/>
      <c r="Q969" s="89"/>
      <c r="R969" s="89"/>
      <c r="S969" s="89"/>
      <c r="T969" s="89"/>
      <c r="U969" s="89"/>
      <c r="V969" s="89"/>
      <c r="W969" s="89"/>
      <c r="X969" s="89"/>
      <c r="Y969" s="89"/>
      <c r="Z969" s="89"/>
      <c r="AA969" s="89"/>
    </row>
    <row r="970" spans="1:27" ht="13.8">
      <c r="A970" s="89"/>
      <c r="B970" s="89"/>
      <c r="C970" s="89"/>
      <c r="D970" s="89"/>
      <c r="E970" s="89"/>
      <c r="F970" s="110"/>
      <c r="G970" s="89"/>
      <c r="H970" s="89"/>
      <c r="I970" s="89"/>
      <c r="J970" s="89"/>
      <c r="K970" s="89"/>
      <c r="L970" s="89"/>
      <c r="M970" s="89"/>
      <c r="N970" s="89"/>
      <c r="O970" s="89"/>
      <c r="P970" s="89"/>
      <c r="Q970" s="89"/>
      <c r="R970" s="89"/>
      <c r="S970" s="89"/>
      <c r="T970" s="89"/>
      <c r="U970" s="89"/>
      <c r="V970" s="89"/>
      <c r="W970" s="89"/>
      <c r="X970" s="89"/>
      <c r="Y970" s="89"/>
      <c r="Z970" s="89"/>
      <c r="AA970" s="89"/>
    </row>
    <row r="971" spans="1:27" ht="13.8">
      <c r="A971" s="89"/>
      <c r="B971" s="89"/>
      <c r="C971" s="89"/>
      <c r="D971" s="89"/>
      <c r="E971" s="89"/>
      <c r="F971" s="110"/>
      <c r="G971" s="89"/>
      <c r="H971" s="89"/>
      <c r="I971" s="89"/>
      <c r="J971" s="89"/>
      <c r="K971" s="89"/>
      <c r="L971" s="89"/>
      <c r="M971" s="89"/>
      <c r="N971" s="89"/>
      <c r="O971" s="89"/>
      <c r="P971" s="89"/>
      <c r="Q971" s="89"/>
      <c r="R971" s="89"/>
      <c r="S971" s="89"/>
      <c r="T971" s="89"/>
      <c r="U971" s="89"/>
      <c r="V971" s="89"/>
      <c r="W971" s="89"/>
      <c r="X971" s="89"/>
      <c r="Y971" s="89"/>
      <c r="Z971" s="89"/>
      <c r="AA971" s="89"/>
    </row>
    <row r="972" spans="1:27" ht="13.8">
      <c r="A972" s="89"/>
      <c r="B972" s="89"/>
      <c r="C972" s="89"/>
      <c r="D972" s="89"/>
      <c r="E972" s="89"/>
      <c r="F972" s="110"/>
      <c r="G972" s="89"/>
      <c r="H972" s="89"/>
      <c r="I972" s="89"/>
      <c r="J972" s="89"/>
      <c r="K972" s="89"/>
      <c r="L972" s="89"/>
      <c r="M972" s="89"/>
      <c r="N972" s="89"/>
      <c r="O972" s="89"/>
      <c r="P972" s="89"/>
      <c r="Q972" s="89"/>
      <c r="R972" s="89"/>
      <c r="S972" s="89"/>
      <c r="T972" s="89"/>
      <c r="U972" s="89"/>
      <c r="V972" s="89"/>
      <c r="W972" s="89"/>
      <c r="X972" s="89"/>
      <c r="Y972" s="89"/>
      <c r="Z972" s="89"/>
      <c r="AA972" s="89"/>
    </row>
    <row r="973" spans="1:27" ht="13.8">
      <c r="A973" s="89"/>
      <c r="B973" s="89"/>
      <c r="C973" s="89"/>
      <c r="D973" s="89"/>
      <c r="E973" s="89"/>
      <c r="F973" s="110"/>
      <c r="G973" s="89"/>
      <c r="H973" s="89"/>
      <c r="I973" s="89"/>
      <c r="J973" s="89"/>
      <c r="K973" s="89"/>
      <c r="L973" s="89"/>
      <c r="M973" s="89"/>
      <c r="N973" s="89"/>
      <c r="O973" s="89"/>
      <c r="P973" s="89"/>
      <c r="Q973" s="89"/>
      <c r="R973" s="89"/>
      <c r="S973" s="89"/>
      <c r="T973" s="89"/>
      <c r="U973" s="89"/>
      <c r="V973" s="89"/>
      <c r="W973" s="89"/>
      <c r="X973" s="89"/>
      <c r="Y973" s="89"/>
      <c r="Z973" s="89"/>
      <c r="AA973" s="89"/>
    </row>
    <row r="974" spans="1:27" ht="13.8">
      <c r="A974" s="89"/>
      <c r="B974" s="89"/>
      <c r="C974" s="89"/>
      <c r="D974" s="89"/>
      <c r="E974" s="89"/>
      <c r="F974" s="110"/>
      <c r="G974" s="89"/>
      <c r="H974" s="89"/>
      <c r="I974" s="89"/>
      <c r="J974" s="89"/>
      <c r="K974" s="89"/>
      <c r="L974" s="89"/>
      <c r="M974" s="89"/>
      <c r="N974" s="89"/>
      <c r="O974" s="89"/>
      <c r="P974" s="89"/>
      <c r="Q974" s="89"/>
      <c r="R974" s="89"/>
      <c r="S974" s="89"/>
      <c r="T974" s="89"/>
      <c r="U974" s="89"/>
      <c r="V974" s="89"/>
      <c r="W974" s="89"/>
      <c r="X974" s="89"/>
      <c r="Y974" s="89"/>
      <c r="Z974" s="89"/>
      <c r="AA974" s="89"/>
    </row>
    <row r="975" spans="1:27" ht="13.8">
      <c r="A975" s="89"/>
      <c r="B975" s="89"/>
      <c r="C975" s="89"/>
      <c r="D975" s="89"/>
      <c r="E975" s="89"/>
      <c r="F975" s="110"/>
      <c r="G975" s="89"/>
      <c r="H975" s="89"/>
      <c r="I975" s="89"/>
      <c r="J975" s="89"/>
      <c r="K975" s="89"/>
      <c r="L975" s="89"/>
      <c r="M975" s="89"/>
      <c r="N975" s="89"/>
      <c r="O975" s="89"/>
      <c r="P975" s="89"/>
      <c r="Q975" s="89"/>
      <c r="R975" s="89"/>
      <c r="S975" s="89"/>
      <c r="T975" s="89"/>
      <c r="U975" s="89"/>
      <c r="V975" s="89"/>
      <c r="W975" s="89"/>
      <c r="X975" s="89"/>
      <c r="Y975" s="89"/>
      <c r="Z975" s="89"/>
      <c r="AA975" s="89"/>
    </row>
    <row r="976" spans="1:27" ht="13.8">
      <c r="A976" s="89"/>
      <c r="B976" s="89"/>
      <c r="C976" s="89"/>
      <c r="D976" s="89"/>
      <c r="E976" s="89"/>
      <c r="F976" s="110"/>
      <c r="G976" s="89"/>
      <c r="H976" s="89"/>
      <c r="I976" s="89"/>
      <c r="J976" s="89"/>
      <c r="K976" s="89"/>
      <c r="L976" s="89"/>
      <c r="M976" s="89"/>
      <c r="N976" s="89"/>
      <c r="O976" s="89"/>
      <c r="P976" s="89"/>
      <c r="Q976" s="89"/>
      <c r="R976" s="89"/>
      <c r="S976" s="89"/>
      <c r="T976" s="89"/>
      <c r="U976" s="89"/>
      <c r="V976" s="89"/>
      <c r="W976" s="89"/>
      <c r="X976" s="89"/>
      <c r="Y976" s="89"/>
      <c r="Z976" s="89"/>
      <c r="AA976" s="89"/>
    </row>
    <row r="977" spans="1:27" ht="13.8">
      <c r="A977" s="89"/>
      <c r="B977" s="89"/>
      <c r="C977" s="89"/>
      <c r="D977" s="89"/>
      <c r="E977" s="89"/>
      <c r="F977" s="110"/>
      <c r="G977" s="89"/>
      <c r="H977" s="89"/>
      <c r="I977" s="89"/>
      <c r="J977" s="89"/>
      <c r="K977" s="89"/>
      <c r="L977" s="89"/>
      <c r="M977" s="89"/>
      <c r="N977" s="89"/>
      <c r="O977" s="89"/>
      <c r="P977" s="89"/>
      <c r="Q977" s="89"/>
      <c r="R977" s="89"/>
      <c r="S977" s="89"/>
      <c r="T977" s="89"/>
      <c r="U977" s="89"/>
      <c r="V977" s="89"/>
      <c r="W977" s="89"/>
      <c r="X977" s="89"/>
      <c r="Y977" s="89"/>
      <c r="Z977" s="89"/>
      <c r="AA977" s="89"/>
    </row>
    <row r="978" spans="1:27" ht="13.8">
      <c r="A978" s="89"/>
      <c r="B978" s="89"/>
      <c r="C978" s="89"/>
      <c r="D978" s="89"/>
      <c r="E978" s="89"/>
      <c r="F978" s="110"/>
      <c r="G978" s="89"/>
      <c r="H978" s="89"/>
      <c r="I978" s="89"/>
      <c r="J978" s="89"/>
      <c r="K978" s="89"/>
      <c r="L978" s="89"/>
      <c r="M978" s="89"/>
      <c r="N978" s="89"/>
      <c r="O978" s="89"/>
      <c r="P978" s="89"/>
      <c r="Q978" s="89"/>
      <c r="R978" s="89"/>
      <c r="S978" s="89"/>
      <c r="T978" s="89"/>
      <c r="U978" s="89"/>
      <c r="V978" s="89"/>
      <c r="W978" s="89"/>
      <c r="X978" s="89"/>
      <c r="Y978" s="89"/>
      <c r="Z978" s="89"/>
      <c r="AA978" s="89"/>
    </row>
    <row r="979" spans="1:27" ht="13.8">
      <c r="A979" s="89"/>
      <c r="B979" s="89"/>
      <c r="C979" s="89"/>
      <c r="D979" s="89"/>
      <c r="E979" s="89"/>
      <c r="F979" s="110"/>
      <c r="G979" s="89"/>
      <c r="H979" s="89"/>
      <c r="I979" s="89"/>
      <c r="J979" s="89"/>
      <c r="K979" s="89"/>
      <c r="L979" s="89"/>
      <c r="M979" s="89"/>
      <c r="N979" s="89"/>
      <c r="O979" s="89"/>
      <c r="P979" s="89"/>
      <c r="Q979" s="89"/>
      <c r="R979" s="89"/>
      <c r="S979" s="89"/>
      <c r="T979" s="89"/>
      <c r="U979" s="89"/>
      <c r="V979" s="89"/>
      <c r="W979" s="89"/>
      <c r="X979" s="89"/>
      <c r="Y979" s="89"/>
      <c r="Z979" s="89"/>
      <c r="AA979" s="89"/>
    </row>
    <row r="980" spans="1:27" ht="13.8">
      <c r="A980" s="89"/>
      <c r="B980" s="89"/>
      <c r="C980" s="89"/>
      <c r="D980" s="89"/>
      <c r="E980" s="89"/>
      <c r="F980" s="110"/>
      <c r="G980" s="89"/>
      <c r="H980" s="89"/>
      <c r="I980" s="89"/>
      <c r="J980" s="89"/>
      <c r="K980" s="89"/>
      <c r="L980" s="89"/>
      <c r="M980" s="89"/>
      <c r="N980" s="89"/>
      <c r="O980" s="89"/>
      <c r="P980" s="89"/>
      <c r="Q980" s="89"/>
      <c r="R980" s="89"/>
      <c r="S980" s="89"/>
      <c r="T980" s="89"/>
      <c r="U980" s="89"/>
      <c r="V980" s="89"/>
      <c r="W980" s="89"/>
      <c r="X980" s="89"/>
      <c r="Y980" s="89"/>
      <c r="Z980" s="89"/>
      <c r="AA980" s="89"/>
    </row>
    <row r="981" spans="1:27" ht="13.8">
      <c r="A981" s="89"/>
      <c r="B981" s="89"/>
      <c r="C981" s="89"/>
      <c r="D981" s="89"/>
      <c r="E981" s="89"/>
      <c r="F981" s="110"/>
      <c r="G981" s="89"/>
      <c r="H981" s="89"/>
      <c r="I981" s="89"/>
      <c r="J981" s="89"/>
      <c r="K981" s="89"/>
      <c r="L981" s="89"/>
      <c r="M981" s="89"/>
      <c r="N981" s="89"/>
      <c r="O981" s="89"/>
      <c r="P981" s="89"/>
      <c r="Q981" s="89"/>
      <c r="R981" s="89"/>
      <c r="S981" s="89"/>
      <c r="T981" s="89"/>
      <c r="U981" s="89"/>
      <c r="V981" s="89"/>
      <c r="W981" s="89"/>
      <c r="X981" s="89"/>
      <c r="Y981" s="89"/>
      <c r="Z981" s="89"/>
      <c r="AA981" s="89"/>
    </row>
    <row r="982" spans="1:27" ht="13.8">
      <c r="A982" s="89"/>
      <c r="B982" s="89"/>
      <c r="C982" s="89"/>
      <c r="D982" s="89"/>
      <c r="E982" s="89"/>
      <c r="F982" s="110"/>
      <c r="G982" s="89"/>
      <c r="H982" s="89"/>
      <c r="I982" s="89"/>
      <c r="J982" s="89"/>
      <c r="K982" s="89"/>
      <c r="L982" s="89"/>
      <c r="M982" s="89"/>
      <c r="N982" s="89"/>
      <c r="O982" s="89"/>
      <c r="P982" s="89"/>
      <c r="Q982" s="89"/>
      <c r="R982" s="89"/>
      <c r="S982" s="89"/>
      <c r="T982" s="89"/>
      <c r="U982" s="89"/>
      <c r="V982" s="89"/>
      <c r="W982" s="89"/>
      <c r="X982" s="89"/>
      <c r="Y982" s="89"/>
      <c r="Z982" s="89"/>
      <c r="AA982" s="89"/>
    </row>
    <row r="983" spans="1:27" ht="13.8">
      <c r="A983" s="89"/>
      <c r="B983" s="89"/>
      <c r="C983" s="89"/>
      <c r="D983" s="89"/>
      <c r="E983" s="89"/>
      <c r="F983" s="110"/>
      <c r="G983" s="89"/>
      <c r="H983" s="89"/>
      <c r="I983" s="89"/>
      <c r="J983" s="89"/>
      <c r="K983" s="89"/>
      <c r="L983" s="89"/>
      <c r="M983" s="89"/>
      <c r="N983" s="89"/>
      <c r="O983" s="89"/>
      <c r="P983" s="89"/>
      <c r="Q983" s="89"/>
      <c r="R983" s="89"/>
      <c r="S983" s="89"/>
      <c r="T983" s="89"/>
      <c r="U983" s="89"/>
      <c r="V983" s="89"/>
      <c r="W983" s="89"/>
      <c r="X983" s="89"/>
      <c r="Y983" s="89"/>
      <c r="Z983" s="89"/>
      <c r="AA983" s="89"/>
    </row>
    <row r="984" spans="1:27" ht="13.8">
      <c r="A984" s="89"/>
      <c r="B984" s="89"/>
      <c r="C984" s="89"/>
      <c r="D984" s="89"/>
      <c r="E984" s="89"/>
      <c r="F984" s="110"/>
      <c r="G984" s="89"/>
      <c r="H984" s="89"/>
      <c r="I984" s="89"/>
      <c r="J984" s="89"/>
      <c r="K984" s="89"/>
      <c r="L984" s="89"/>
      <c r="M984" s="89"/>
      <c r="N984" s="89"/>
      <c r="O984" s="89"/>
      <c r="P984" s="89"/>
      <c r="Q984" s="89"/>
      <c r="R984" s="89"/>
      <c r="S984" s="89"/>
      <c r="T984" s="89"/>
      <c r="U984" s="89"/>
      <c r="V984" s="89"/>
      <c r="W984" s="89"/>
      <c r="X984" s="89"/>
      <c r="Y984" s="89"/>
      <c r="Z984" s="89"/>
      <c r="AA984" s="89"/>
    </row>
    <row r="985" spans="1:27" ht="13.8">
      <c r="A985" s="89"/>
      <c r="B985" s="89"/>
      <c r="C985" s="89"/>
      <c r="D985" s="89"/>
      <c r="E985" s="89"/>
      <c r="F985" s="110"/>
      <c r="G985" s="89"/>
      <c r="H985" s="89"/>
      <c r="I985" s="89"/>
      <c r="J985" s="89"/>
      <c r="K985" s="89"/>
      <c r="L985" s="89"/>
      <c r="M985" s="89"/>
      <c r="N985" s="89"/>
      <c r="O985" s="89"/>
      <c r="P985" s="89"/>
      <c r="Q985" s="89"/>
      <c r="R985" s="89"/>
      <c r="S985" s="89"/>
      <c r="T985" s="89"/>
      <c r="U985" s="89"/>
      <c r="V985" s="89"/>
      <c r="W985" s="89"/>
      <c r="X985" s="89"/>
      <c r="Y985" s="89"/>
      <c r="Z985" s="89"/>
      <c r="AA985" s="89"/>
    </row>
    <row r="986" spans="1:27" ht="13.8">
      <c r="A986" s="89"/>
      <c r="B986" s="89"/>
      <c r="C986" s="89"/>
      <c r="D986" s="89"/>
      <c r="E986" s="89"/>
      <c r="F986" s="110"/>
      <c r="G986" s="89"/>
      <c r="H986" s="89"/>
      <c r="I986" s="89"/>
      <c r="J986" s="89"/>
      <c r="K986" s="89"/>
      <c r="L986" s="89"/>
      <c r="M986" s="89"/>
      <c r="N986" s="89"/>
      <c r="O986" s="89"/>
      <c r="P986" s="89"/>
      <c r="Q986" s="89"/>
      <c r="R986" s="89"/>
      <c r="S986" s="89"/>
      <c r="T986" s="89"/>
      <c r="U986" s="89"/>
      <c r="V986" s="89"/>
      <c r="W986" s="89"/>
      <c r="X986" s="89"/>
      <c r="Y986" s="89"/>
      <c r="Z986" s="89"/>
      <c r="AA986" s="89"/>
    </row>
    <row r="987" spans="1:27" ht="13.8">
      <c r="A987" s="89"/>
      <c r="B987" s="89"/>
      <c r="C987" s="89"/>
      <c r="D987" s="89"/>
      <c r="E987" s="89"/>
      <c r="F987" s="110"/>
      <c r="G987" s="89"/>
      <c r="H987" s="89"/>
      <c r="I987" s="89"/>
      <c r="J987" s="89"/>
      <c r="K987" s="89"/>
      <c r="L987" s="89"/>
      <c r="M987" s="89"/>
      <c r="N987" s="89"/>
      <c r="O987" s="89"/>
      <c r="P987" s="89"/>
      <c r="Q987" s="89"/>
      <c r="R987" s="89"/>
      <c r="S987" s="89"/>
      <c r="T987" s="89"/>
      <c r="U987" s="89"/>
      <c r="V987" s="89"/>
      <c r="W987" s="89"/>
      <c r="X987" s="89"/>
      <c r="Y987" s="89"/>
      <c r="Z987" s="89"/>
      <c r="AA987" s="89"/>
    </row>
    <row r="988" spans="1:27" ht="13.8">
      <c r="A988" s="89"/>
      <c r="B988" s="89"/>
      <c r="C988" s="89"/>
      <c r="D988" s="89"/>
      <c r="E988" s="89"/>
      <c r="F988" s="110"/>
      <c r="G988" s="89"/>
      <c r="H988" s="89"/>
      <c r="I988" s="89"/>
      <c r="J988" s="89"/>
      <c r="K988" s="89"/>
      <c r="L988" s="89"/>
      <c r="M988" s="89"/>
      <c r="N988" s="89"/>
      <c r="O988" s="89"/>
      <c r="P988" s="89"/>
      <c r="Q988" s="89"/>
      <c r="R988" s="89"/>
      <c r="S988" s="89"/>
      <c r="T988" s="89"/>
      <c r="U988" s="89"/>
      <c r="V988" s="89"/>
      <c r="W988" s="89"/>
      <c r="X988" s="89"/>
      <c r="Y988" s="89"/>
      <c r="Z988" s="89"/>
      <c r="AA988" s="89"/>
    </row>
    <row r="989" spans="1:27" ht="13.8">
      <c r="A989" s="89"/>
      <c r="B989" s="89"/>
      <c r="C989" s="89"/>
      <c r="D989" s="89"/>
      <c r="E989" s="89"/>
      <c r="F989" s="110"/>
      <c r="G989" s="89"/>
      <c r="H989" s="89"/>
      <c r="I989" s="89"/>
      <c r="J989" s="89"/>
      <c r="K989" s="89"/>
      <c r="L989" s="89"/>
      <c r="M989" s="89"/>
      <c r="N989" s="89"/>
      <c r="O989" s="89"/>
      <c r="P989" s="89"/>
      <c r="Q989" s="89"/>
      <c r="R989" s="89"/>
      <c r="S989" s="89"/>
      <c r="T989" s="89"/>
      <c r="U989" s="89"/>
      <c r="V989" s="89"/>
      <c r="W989" s="89"/>
      <c r="X989" s="89"/>
      <c r="Y989" s="89"/>
      <c r="Z989" s="89"/>
      <c r="AA989" s="89"/>
    </row>
    <row r="990" spans="1:27" ht="13.8">
      <c r="A990" s="89"/>
      <c r="B990" s="89"/>
      <c r="C990" s="89"/>
      <c r="D990" s="89"/>
      <c r="E990" s="89"/>
      <c r="F990" s="110"/>
      <c r="G990" s="89"/>
      <c r="H990" s="89"/>
      <c r="I990" s="89"/>
      <c r="J990" s="89"/>
      <c r="K990" s="89"/>
      <c r="L990" s="89"/>
      <c r="M990" s="89"/>
      <c r="N990" s="89"/>
      <c r="O990" s="89"/>
      <c r="P990" s="89"/>
      <c r="Q990" s="89"/>
      <c r="R990" s="89"/>
      <c r="S990" s="89"/>
      <c r="T990" s="89"/>
      <c r="U990" s="89"/>
      <c r="V990" s="89"/>
      <c r="W990" s="89"/>
      <c r="X990" s="89"/>
      <c r="Y990" s="89"/>
      <c r="Z990" s="89"/>
      <c r="AA990" s="89"/>
    </row>
    <row r="991" spans="1:27" ht="13.8">
      <c r="A991" s="89"/>
      <c r="B991" s="89"/>
      <c r="C991" s="89"/>
      <c r="D991" s="89"/>
      <c r="E991" s="89"/>
      <c r="F991" s="110"/>
      <c r="G991" s="89"/>
      <c r="H991" s="89"/>
      <c r="I991" s="89"/>
      <c r="J991" s="89"/>
      <c r="K991" s="89"/>
      <c r="L991" s="89"/>
      <c r="M991" s="89"/>
      <c r="N991" s="89"/>
      <c r="O991" s="89"/>
      <c r="P991" s="89"/>
      <c r="Q991" s="89"/>
      <c r="R991" s="89"/>
      <c r="S991" s="89"/>
      <c r="T991" s="89"/>
      <c r="U991" s="89"/>
      <c r="V991" s="89"/>
      <c r="W991" s="89"/>
      <c r="X991" s="89"/>
      <c r="Y991" s="89"/>
      <c r="Z991" s="89"/>
      <c r="AA991" s="89"/>
    </row>
    <row r="992" spans="1:27" ht="13.8">
      <c r="A992" s="89"/>
      <c r="B992" s="89"/>
      <c r="C992" s="89"/>
      <c r="D992" s="89"/>
      <c r="E992" s="89"/>
      <c r="F992" s="110"/>
      <c r="G992" s="89"/>
      <c r="H992" s="89"/>
      <c r="I992" s="89"/>
      <c r="J992" s="89"/>
      <c r="K992" s="89"/>
      <c r="L992" s="89"/>
      <c r="M992" s="89"/>
      <c r="N992" s="89"/>
      <c r="O992" s="89"/>
      <c r="P992" s="89"/>
      <c r="Q992" s="89"/>
      <c r="R992" s="89"/>
      <c r="S992" s="89"/>
      <c r="T992" s="89"/>
      <c r="U992" s="89"/>
      <c r="V992" s="89"/>
      <c r="W992" s="89"/>
      <c r="X992" s="89"/>
      <c r="Y992" s="89"/>
      <c r="Z992" s="89"/>
      <c r="AA992" s="89"/>
    </row>
    <row r="993" spans="1:27" ht="13.8">
      <c r="A993" s="89"/>
      <c r="B993" s="89"/>
      <c r="C993" s="89"/>
      <c r="D993" s="89"/>
      <c r="E993" s="89"/>
      <c r="F993" s="110"/>
      <c r="G993" s="89"/>
      <c r="H993" s="89"/>
      <c r="I993" s="89"/>
      <c r="J993" s="89"/>
      <c r="K993" s="89"/>
      <c r="L993" s="89"/>
      <c r="M993" s="89"/>
      <c r="N993" s="89"/>
      <c r="O993" s="89"/>
      <c r="P993" s="89"/>
      <c r="Q993" s="89"/>
      <c r="R993" s="89"/>
      <c r="S993" s="89"/>
      <c r="T993" s="89"/>
      <c r="U993" s="89"/>
      <c r="V993" s="89"/>
      <c r="W993" s="89"/>
      <c r="X993" s="89"/>
      <c r="Y993" s="89"/>
      <c r="Z993" s="89"/>
      <c r="AA993" s="89"/>
    </row>
    <row r="994" spans="1:27" ht="13.8">
      <c r="A994" s="89"/>
      <c r="B994" s="89"/>
      <c r="C994" s="89"/>
      <c r="D994" s="89"/>
      <c r="E994" s="89"/>
      <c r="F994" s="110"/>
      <c r="G994" s="89"/>
      <c r="H994" s="89"/>
      <c r="I994" s="89"/>
      <c r="J994" s="89"/>
      <c r="K994" s="89"/>
      <c r="L994" s="89"/>
      <c r="M994" s="89"/>
      <c r="N994" s="89"/>
      <c r="O994" s="89"/>
      <c r="P994" s="89"/>
      <c r="Q994" s="89"/>
      <c r="R994" s="89"/>
      <c r="S994" s="89"/>
      <c r="T994" s="89"/>
      <c r="U994" s="89"/>
      <c r="V994" s="89"/>
      <c r="W994" s="89"/>
      <c r="X994" s="89"/>
      <c r="Y994" s="89"/>
      <c r="Z994" s="89"/>
      <c r="AA994" s="89"/>
    </row>
    <row r="995" spans="1:27" ht="13.8">
      <c r="A995" s="89"/>
      <c r="B995" s="89"/>
      <c r="C995" s="89"/>
      <c r="D995" s="89"/>
      <c r="E995" s="89"/>
      <c r="F995" s="110"/>
      <c r="G995" s="89"/>
      <c r="H995" s="89"/>
      <c r="I995" s="89"/>
      <c r="J995" s="89"/>
      <c r="K995" s="89"/>
      <c r="L995" s="89"/>
      <c r="M995" s="89"/>
      <c r="N995" s="89"/>
      <c r="O995" s="89"/>
      <c r="P995" s="89"/>
      <c r="Q995" s="89"/>
      <c r="R995" s="89"/>
      <c r="S995" s="89"/>
      <c r="T995" s="89"/>
      <c r="U995" s="89"/>
      <c r="V995" s="89"/>
      <c r="W995" s="89"/>
      <c r="X995" s="89"/>
      <c r="Y995" s="89"/>
      <c r="Z995" s="89"/>
      <c r="AA995" s="89"/>
    </row>
    <row r="996" spans="1:27" ht="13.8">
      <c r="A996" s="89"/>
      <c r="B996" s="89"/>
      <c r="C996" s="89"/>
      <c r="D996" s="89"/>
      <c r="E996" s="89"/>
      <c r="F996" s="110"/>
      <c r="G996" s="89"/>
      <c r="H996" s="89"/>
      <c r="I996" s="89"/>
      <c r="J996" s="89"/>
      <c r="K996" s="89"/>
      <c r="L996" s="89"/>
      <c r="M996" s="89"/>
      <c r="N996" s="89"/>
      <c r="O996" s="89"/>
      <c r="P996" s="89"/>
      <c r="Q996" s="89"/>
      <c r="R996" s="89"/>
      <c r="S996" s="89"/>
      <c r="T996" s="89"/>
      <c r="U996" s="89"/>
      <c r="V996" s="89"/>
      <c r="W996" s="89"/>
      <c r="X996" s="89"/>
      <c r="Y996" s="89"/>
      <c r="Z996" s="89"/>
      <c r="AA996" s="89"/>
    </row>
    <row r="997" spans="1:27" ht="13.8">
      <c r="A997" s="89"/>
      <c r="B997" s="89"/>
      <c r="C997" s="89"/>
      <c r="D997" s="89"/>
      <c r="E997" s="89"/>
      <c r="F997" s="110"/>
      <c r="G997" s="89"/>
      <c r="H997" s="89"/>
      <c r="I997" s="89"/>
      <c r="J997" s="89"/>
      <c r="K997" s="89"/>
      <c r="L997" s="89"/>
      <c r="M997" s="89"/>
      <c r="N997" s="89"/>
      <c r="O997" s="89"/>
      <c r="P997" s="89"/>
      <c r="Q997" s="89"/>
      <c r="R997" s="89"/>
      <c r="S997" s="89"/>
      <c r="T997" s="89"/>
      <c r="U997" s="89"/>
      <c r="V997" s="89"/>
      <c r="W997" s="89"/>
      <c r="X997" s="89"/>
      <c r="Y997" s="89"/>
      <c r="Z997" s="89"/>
      <c r="AA997" s="89"/>
    </row>
    <row r="998" spans="1:27" ht="13.8">
      <c r="A998" s="89"/>
      <c r="B998" s="89"/>
      <c r="C998" s="89"/>
      <c r="D998" s="89"/>
      <c r="E998" s="89"/>
      <c r="F998" s="110"/>
      <c r="G998" s="89"/>
      <c r="H998" s="89"/>
      <c r="I998" s="89"/>
      <c r="J998" s="89"/>
      <c r="K998" s="89"/>
      <c r="L998" s="89"/>
      <c r="M998" s="89"/>
      <c r="N998" s="89"/>
      <c r="O998" s="89"/>
      <c r="P998" s="89"/>
      <c r="Q998" s="89"/>
      <c r="R998" s="89"/>
      <c r="S998" s="89"/>
      <c r="T998" s="89"/>
      <c r="U998" s="89"/>
      <c r="V998" s="89"/>
      <c r="W998" s="89"/>
      <c r="X998" s="89"/>
      <c r="Y998" s="89"/>
      <c r="Z998" s="89"/>
      <c r="AA998" s="89"/>
    </row>
    <row r="999" spans="1:27" ht="13.8">
      <c r="A999" s="89"/>
      <c r="B999" s="89"/>
      <c r="C999" s="89"/>
      <c r="D999" s="89"/>
      <c r="E999" s="89"/>
      <c r="F999" s="110"/>
      <c r="G999" s="89"/>
      <c r="H999" s="89"/>
      <c r="I999" s="89"/>
      <c r="J999" s="89"/>
      <c r="K999" s="89"/>
      <c r="L999" s="89"/>
      <c r="M999" s="89"/>
      <c r="N999" s="89"/>
      <c r="O999" s="89"/>
      <c r="P999" s="89"/>
      <c r="Q999" s="89"/>
      <c r="R999" s="89"/>
      <c r="S999" s="89"/>
      <c r="T999" s="89"/>
      <c r="U999" s="89"/>
      <c r="V999" s="89"/>
      <c r="W999" s="89"/>
      <c r="X999" s="89"/>
      <c r="Y999" s="89"/>
      <c r="Z999" s="89"/>
      <c r="AA999" s="89"/>
    </row>
    <row r="1000" spans="1:27" ht="13.8">
      <c r="A1000" s="89"/>
      <c r="B1000" s="89"/>
      <c r="C1000" s="89"/>
      <c r="D1000" s="89"/>
      <c r="E1000" s="89"/>
      <c r="F1000" s="110"/>
      <c r="G1000" s="89"/>
      <c r="H1000" s="89"/>
      <c r="I1000" s="89"/>
      <c r="J1000" s="89"/>
      <c r="K1000" s="89"/>
      <c r="L1000" s="89"/>
      <c r="M1000" s="89"/>
      <c r="N1000" s="89"/>
      <c r="O1000" s="89"/>
      <c r="P1000" s="89"/>
      <c r="Q1000" s="89"/>
      <c r="R1000" s="89"/>
      <c r="S1000" s="89"/>
      <c r="T1000" s="89"/>
      <c r="U1000" s="89"/>
      <c r="V1000" s="89"/>
      <c r="W1000" s="89"/>
      <c r="X1000" s="89"/>
      <c r="Y1000" s="89"/>
      <c r="Z1000" s="89"/>
      <c r="AA1000" s="89"/>
    </row>
    <row r="1001" spans="1:27" ht="13.8">
      <c r="A1001" s="89"/>
      <c r="B1001" s="89"/>
      <c r="C1001" s="89"/>
      <c r="D1001" s="89"/>
      <c r="E1001" s="89"/>
      <c r="F1001" s="110"/>
      <c r="G1001" s="89"/>
      <c r="H1001" s="89"/>
      <c r="I1001" s="89"/>
      <c r="J1001" s="89"/>
      <c r="K1001" s="89"/>
      <c r="L1001" s="89"/>
      <c r="M1001" s="89"/>
      <c r="N1001" s="89"/>
      <c r="O1001" s="89"/>
      <c r="P1001" s="89"/>
      <c r="Q1001" s="89"/>
      <c r="R1001" s="89"/>
      <c r="S1001" s="89"/>
      <c r="T1001" s="89"/>
      <c r="U1001" s="89"/>
      <c r="V1001" s="89"/>
      <c r="W1001" s="89"/>
      <c r="X1001" s="89"/>
      <c r="Y1001" s="89"/>
      <c r="Z1001" s="89"/>
      <c r="AA1001" s="89"/>
    </row>
    <row r="1002" spans="1:27" ht="13.8">
      <c r="A1002" s="89"/>
      <c r="B1002" s="89"/>
      <c r="C1002" s="89"/>
      <c r="D1002" s="89"/>
      <c r="E1002" s="89"/>
      <c r="F1002" s="110"/>
      <c r="G1002" s="89"/>
      <c r="H1002" s="89"/>
      <c r="I1002" s="89"/>
      <c r="J1002" s="89"/>
      <c r="K1002" s="89"/>
      <c r="L1002" s="89"/>
      <c r="M1002" s="89"/>
      <c r="N1002" s="89"/>
      <c r="O1002" s="89"/>
      <c r="P1002" s="89"/>
      <c r="Q1002" s="89"/>
      <c r="R1002" s="89"/>
      <c r="S1002" s="89"/>
      <c r="T1002" s="89"/>
      <c r="U1002" s="89"/>
      <c r="V1002" s="89"/>
      <c r="W1002" s="89"/>
      <c r="X1002" s="89"/>
      <c r="Y1002" s="89"/>
      <c r="Z1002" s="89"/>
      <c r="AA1002" s="89"/>
    </row>
    <row r="1003" spans="1:27" ht="13.8">
      <c r="A1003" s="89"/>
      <c r="B1003" s="89"/>
      <c r="C1003" s="89"/>
      <c r="D1003" s="89"/>
      <c r="E1003" s="89"/>
      <c r="F1003" s="110"/>
      <c r="G1003" s="89"/>
      <c r="H1003" s="89"/>
      <c r="I1003" s="89"/>
      <c r="J1003" s="89"/>
      <c r="K1003" s="89"/>
      <c r="L1003" s="89"/>
      <c r="M1003" s="89"/>
      <c r="N1003" s="89"/>
      <c r="O1003" s="89"/>
      <c r="P1003" s="89"/>
      <c r="Q1003" s="89"/>
      <c r="R1003" s="89"/>
      <c r="S1003" s="89"/>
      <c r="T1003" s="89"/>
      <c r="U1003" s="89"/>
      <c r="V1003" s="89"/>
      <c r="W1003" s="89"/>
      <c r="X1003" s="89"/>
      <c r="Y1003" s="89"/>
      <c r="Z1003" s="89"/>
      <c r="AA1003" s="89"/>
    </row>
    <row r="1004" spans="1:27" ht="13.8">
      <c r="A1004" s="89"/>
      <c r="B1004" s="89"/>
      <c r="C1004" s="89"/>
      <c r="D1004" s="89"/>
      <c r="E1004" s="89"/>
      <c r="F1004" s="110"/>
      <c r="G1004" s="89"/>
      <c r="H1004" s="89"/>
      <c r="I1004" s="89"/>
      <c r="J1004" s="89"/>
      <c r="K1004" s="89"/>
      <c r="L1004" s="89"/>
      <c r="M1004" s="89"/>
      <c r="N1004" s="89"/>
      <c r="O1004" s="89"/>
      <c r="P1004" s="89"/>
      <c r="Q1004" s="89"/>
      <c r="R1004" s="89"/>
      <c r="S1004" s="89"/>
      <c r="T1004" s="89"/>
      <c r="U1004" s="89"/>
      <c r="V1004" s="89"/>
      <c r="W1004" s="89"/>
      <c r="X1004" s="89"/>
      <c r="Y1004" s="89"/>
      <c r="Z1004" s="89"/>
      <c r="AA1004" s="89"/>
    </row>
    <row r="1005" spans="1:27" ht="13.8">
      <c r="A1005" s="89"/>
      <c r="B1005" s="89"/>
      <c r="C1005" s="89"/>
      <c r="D1005" s="89"/>
      <c r="E1005" s="89"/>
      <c r="F1005" s="110"/>
      <c r="G1005" s="89"/>
      <c r="H1005" s="89"/>
      <c r="I1005" s="89"/>
      <c r="J1005" s="89"/>
      <c r="K1005" s="89"/>
      <c r="L1005" s="89"/>
      <c r="M1005" s="89"/>
      <c r="N1005" s="89"/>
      <c r="O1005" s="89"/>
      <c r="P1005" s="89"/>
      <c r="Q1005" s="89"/>
      <c r="R1005" s="89"/>
      <c r="S1005" s="89"/>
      <c r="T1005" s="89"/>
      <c r="U1005" s="89"/>
      <c r="V1005" s="89"/>
      <c r="W1005" s="89"/>
      <c r="X1005" s="89"/>
      <c r="Y1005" s="89"/>
      <c r="Z1005" s="89"/>
      <c r="AA1005" s="89"/>
    </row>
  </sheetData>
  <mergeCells count="1">
    <mergeCell ref="A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89"/>
  <sheetViews>
    <sheetView topLeftCell="A174" zoomScale="235" zoomScaleNormal="235" workbookViewId="0">
      <pane xSplit="1" topLeftCell="B1" activePane="topRight" state="frozen"/>
      <selection pane="topRight" activeCell="C190" sqref="C190"/>
    </sheetView>
  </sheetViews>
  <sheetFormatPr defaultColWidth="11.19921875" defaultRowHeight="15" customHeight="1"/>
  <cols>
    <col min="1" max="1" width="13.09765625" style="33" customWidth="1"/>
    <col min="2" max="2" width="5.796875" style="33" customWidth="1"/>
    <col min="3" max="3" width="5.3984375" style="550" customWidth="1"/>
    <col min="4" max="5" width="5.3984375" style="33" customWidth="1"/>
    <col min="6" max="6" width="5.19921875" style="551" customWidth="1"/>
    <col min="7" max="7" width="5.5" style="550" customWidth="1"/>
    <col min="8" max="8" width="5.5" style="33" customWidth="1"/>
    <col min="9" max="9" width="5.796875" style="33" customWidth="1"/>
    <col min="10" max="10" width="5.5" style="551" customWidth="1"/>
    <col min="11" max="11" width="5.296875" style="33" customWidth="1"/>
    <col min="12" max="12" width="5.3984375" style="33" customWidth="1"/>
    <col min="13" max="13" width="5.5" style="33" customWidth="1"/>
    <col min="14" max="14" width="5.59765625" style="551" customWidth="1"/>
    <col min="15" max="15" width="5.3984375" style="550" customWidth="1"/>
    <col min="16" max="16" width="5.69921875" style="33" customWidth="1"/>
    <col min="17" max="17" width="5.5" style="33" customWidth="1"/>
    <col min="18" max="18" width="5.69921875" style="33" customWidth="1"/>
    <col min="19" max="19" width="6.3984375" style="550" customWidth="1"/>
    <col min="20" max="20" width="5.59765625" style="33" customWidth="1"/>
    <col min="21" max="21" width="6" style="33" customWidth="1"/>
    <col min="22" max="22" width="6.296875" style="551" customWidth="1"/>
    <col min="23" max="23" width="7.3984375" style="200" customWidth="1"/>
    <col min="24" max="24" width="6" style="154" customWidth="1"/>
    <col min="25" max="25" width="7" style="63" customWidth="1"/>
    <col min="26" max="26" width="6" style="68" customWidth="1"/>
    <col min="27" max="27" width="5.69921875" style="66" customWidth="1"/>
    <col min="28" max="28" width="5.59765625" style="9" customWidth="1"/>
    <col min="29" max="29" width="3.796875" style="9" customWidth="1"/>
    <col min="30" max="16384" width="11.19921875" style="9"/>
  </cols>
  <sheetData>
    <row r="1" spans="1:29" s="33" customFormat="1" ht="7.8" customHeight="1" thickBot="1">
      <c r="A1" s="143">
        <v>90</v>
      </c>
      <c r="B1" s="144" t="s">
        <v>445</v>
      </c>
      <c r="C1" s="552" t="s">
        <v>27</v>
      </c>
      <c r="D1" s="544"/>
      <c r="E1" s="544"/>
      <c r="F1" s="34"/>
      <c r="G1" s="34"/>
      <c r="H1" s="34"/>
      <c r="I1" s="544"/>
      <c r="J1" s="545"/>
      <c r="K1" s="544"/>
      <c r="L1" s="544"/>
      <c r="M1" s="544"/>
      <c r="N1" s="545"/>
      <c r="O1" s="543"/>
      <c r="P1" s="544"/>
      <c r="Q1" s="544"/>
      <c r="R1" s="544"/>
      <c r="S1" s="543"/>
      <c r="T1" s="544"/>
      <c r="U1" s="544"/>
      <c r="V1" s="545"/>
      <c r="W1" s="37"/>
      <c r="X1" s="31"/>
      <c r="Y1" s="37"/>
      <c r="Z1" s="31"/>
      <c r="AA1" s="152"/>
      <c r="AB1" s="34"/>
      <c r="AC1" s="34"/>
    </row>
    <row r="2" spans="1:29" s="33" customFormat="1" ht="10.199999999999999" customHeight="1">
      <c r="A2" s="204"/>
      <c r="B2" s="591" t="s">
        <v>2</v>
      </c>
      <c r="C2" s="592" t="s">
        <v>3</v>
      </c>
      <c r="D2" s="592" t="s">
        <v>4</v>
      </c>
      <c r="E2" s="593" t="s">
        <v>36</v>
      </c>
      <c r="F2" s="591" t="s">
        <v>5</v>
      </c>
      <c r="G2" s="592" t="s">
        <v>6</v>
      </c>
      <c r="H2" s="592" t="s">
        <v>7</v>
      </c>
      <c r="I2" s="593" t="s">
        <v>8</v>
      </c>
      <c r="J2" s="591" t="s">
        <v>9</v>
      </c>
      <c r="K2" s="592" t="s">
        <v>10</v>
      </c>
      <c r="L2" s="592" t="s">
        <v>11</v>
      </c>
      <c r="M2" s="593" t="s">
        <v>12</v>
      </c>
      <c r="N2" s="591" t="s">
        <v>13</v>
      </c>
      <c r="O2" s="592" t="s">
        <v>14</v>
      </c>
      <c r="P2" s="592" t="s">
        <v>15</v>
      </c>
      <c r="Q2" s="593" t="s">
        <v>16</v>
      </c>
      <c r="R2" s="591" t="s">
        <v>446</v>
      </c>
      <c r="S2" s="592" t="s">
        <v>447</v>
      </c>
      <c r="T2" s="592" t="s">
        <v>448</v>
      </c>
      <c r="U2" s="593" t="s">
        <v>449</v>
      </c>
      <c r="V2" s="667" t="s">
        <v>450</v>
      </c>
      <c r="W2" s="141" t="s">
        <v>128</v>
      </c>
      <c r="X2" s="30" t="s">
        <v>85</v>
      </c>
      <c r="Y2" s="141" t="s">
        <v>86</v>
      </c>
      <c r="Z2" s="30" t="s">
        <v>87</v>
      </c>
      <c r="AA2" s="146" t="s">
        <v>129</v>
      </c>
      <c r="AB2" s="155"/>
      <c r="AC2" s="155"/>
    </row>
    <row r="3" spans="1:29" s="33" customFormat="1" ht="15.75" customHeight="1">
      <c r="A3" s="206" t="s">
        <v>28</v>
      </c>
      <c r="B3" s="594">
        <f>B8+B12+B20++B24+B16+B28+B31+B34+B38+B41+B48+B51+B54+B58+B61+B64</f>
        <v>21894.844444444447</v>
      </c>
      <c r="C3" s="594">
        <f t="shared" ref="C3:E3" si="0">C8+C12+C20++C24+C16+C28+C31+C34+C38+C41+C48+C51+C54+C58+C61+C64</f>
        <v>8700.2666666666664</v>
      </c>
      <c r="D3" s="594">
        <f t="shared" si="0"/>
        <v>8700.2666666666664</v>
      </c>
      <c r="E3" s="594">
        <f t="shared" si="0"/>
        <v>9881.5786666666663</v>
      </c>
      <c r="F3" s="594">
        <f>F8+F12+F20++F24+F16+F28+F31+F34+F38+F41+F44+F48+F51+F54+F58+F61+F64</f>
        <v>419880.02311111114</v>
      </c>
      <c r="G3" s="594">
        <f t="shared" ref="G3:U3" si="1">G8+G12+G20++G24+G16+G28+G31+G34+G38+G41+G44+G48+G51+G54+G58+G61+G64</f>
        <v>228612.4231111111</v>
      </c>
      <c r="H3" s="594">
        <f t="shared" si="1"/>
        <v>561970</v>
      </c>
      <c r="I3" s="594">
        <f t="shared" si="1"/>
        <v>551931.5555555555</v>
      </c>
      <c r="J3" s="594">
        <f t="shared" si="1"/>
        <v>918097.06666666677</v>
      </c>
      <c r="K3" s="594">
        <f t="shared" si="1"/>
        <v>1780436.4888888891</v>
      </c>
      <c r="L3" s="594">
        <f>L8+L12+L20++L24+L16+L28+L31+L34+L38+L41+L44+L48+L51+L54+L58+L61+L64</f>
        <v>2544289.5999999996</v>
      </c>
      <c r="M3" s="594">
        <f t="shared" si="1"/>
        <v>4235588.9777777782</v>
      </c>
      <c r="N3" s="594">
        <f>N8+N12+N20++N24+N16+N28+N31+N34+N38+N41+N44+N48+N51+N54+N58+N61+N64</f>
        <v>7130894.5777777787</v>
      </c>
      <c r="O3" s="594">
        <f t="shared" si="1"/>
        <v>12386770.311111111</v>
      </c>
      <c r="P3" s="594">
        <f t="shared" si="1"/>
        <v>21646656.355555557</v>
      </c>
      <c r="Q3" s="594">
        <f t="shared" si="1"/>
        <v>38168083.377777778</v>
      </c>
      <c r="R3" s="594">
        <f>R8+R12+R20++R24+R16+R28+R31+R34+R38+R41+R44+R48+R51+R54+R58+R61+R64</f>
        <v>74177299.555555552</v>
      </c>
      <c r="S3" s="594">
        <f t="shared" si="1"/>
        <v>121779728.17777777</v>
      </c>
      <c r="T3" s="594">
        <f>T8+T12+T20++T24+T16+T28+T31+T34+T38+T41+T44+T48+T51+T54+T58+T61+T64</f>
        <v>220115656.71111107</v>
      </c>
      <c r="U3" s="594">
        <f t="shared" si="1"/>
        <v>400760118.75555551</v>
      </c>
      <c r="V3" s="594">
        <f>V8+V12+V20++V24+V16+V28+V31+V34+V38+V41+V44+V48+V51+V54+V58+V61+V64</f>
        <v>734976376.17777765</v>
      </c>
      <c r="W3" s="140">
        <f>SUM(B3:V3)</f>
        <v>1642431567.0915554</v>
      </c>
      <c r="X3" s="69" t="e">
        <f>X9+X17+#REF!+#REF!+#REF!+#REF!+X27+X37+X47+X57</f>
        <v>#REF!</v>
      </c>
      <c r="Y3" s="69" t="e">
        <f>Y9+Y17+#REF!+#REF!+#REF!+#REF!+Y27+Y37+Y47+Y57</f>
        <v>#REF!</v>
      </c>
      <c r="Z3" s="69" t="e">
        <f>Z9+Z17+#REF!+#REF!+#REF!+#REF!+Z27+Z37+Z47+Z57</f>
        <v>#REF!</v>
      </c>
      <c r="AA3" s="156" t="e">
        <f>Z3/X3</f>
        <v>#REF!</v>
      </c>
      <c r="AB3" s="38"/>
      <c r="AC3" s="38"/>
    </row>
    <row r="4" spans="1:29" s="33" customFormat="1" ht="15.75" hidden="1" customHeight="1">
      <c r="A4" s="207" t="s">
        <v>29</v>
      </c>
      <c r="B4" s="594">
        <f t="shared" ref="B4:V4" si="2">B3+B68</f>
        <v>-6076.2111111111044</v>
      </c>
      <c r="C4" s="11">
        <f t="shared" si="2"/>
        <v>-56269.411111111112</v>
      </c>
      <c r="D4" s="11">
        <f t="shared" si="2"/>
        <v>-126090.43333333332</v>
      </c>
      <c r="E4" s="595">
        <f t="shared" si="2"/>
        <v>-137614.14355555558</v>
      </c>
      <c r="F4" s="594">
        <f t="shared" si="2"/>
        <v>203977.53422222225</v>
      </c>
      <c r="G4" s="11">
        <f t="shared" si="2"/>
        <v>-101241.50466666667</v>
      </c>
      <c r="H4" s="11">
        <f t="shared" si="2"/>
        <v>140276.06277777778</v>
      </c>
      <c r="I4" s="595">
        <f t="shared" si="2"/>
        <v>19594.46861111105</v>
      </c>
      <c r="J4" s="594">
        <f t="shared" si="2"/>
        <v>192026.93291666673</v>
      </c>
      <c r="K4" s="11">
        <f t="shared" si="2"/>
        <v>697966.03159722243</v>
      </c>
      <c r="L4" s="11">
        <f t="shared" si="2"/>
        <v>907217.99739583302</v>
      </c>
      <c r="M4" s="595">
        <f t="shared" si="2"/>
        <v>1702834.3505381946</v>
      </c>
      <c r="N4" s="594">
        <f t="shared" si="2"/>
        <v>3074239.146918403</v>
      </c>
      <c r="O4" s="11">
        <f t="shared" si="2"/>
        <v>5518019.6370442715</v>
      </c>
      <c r="P4" s="11">
        <f t="shared" si="2"/>
        <v>9913834.3744552955</v>
      </c>
      <c r="Q4" s="595">
        <f t="shared" si="2"/>
        <v>17891959.695016276</v>
      </c>
      <c r="R4" s="594">
        <f t="shared" si="2"/>
        <v>38903411.318079971</v>
      </c>
      <c r="S4" s="11">
        <f t="shared" si="2"/>
        <v>60744380.763786606</v>
      </c>
      <c r="T4" s="11">
        <f t="shared" si="2"/>
        <v>114788775.41234657</v>
      </c>
      <c r="U4" s="595">
        <f t="shared" si="2"/>
        <v>211401379.4385199</v>
      </c>
      <c r="V4" s="668">
        <f t="shared" si="2"/>
        <v>391672275.37777972</v>
      </c>
      <c r="W4" s="140">
        <f>SUM(B4:V4)</f>
        <v>857344876.83822823</v>
      </c>
      <c r="X4" s="30"/>
      <c r="Y4" s="141"/>
      <c r="Z4" s="30"/>
      <c r="AA4" s="146"/>
      <c r="AB4" s="152">
        <f>W4/W3</f>
        <v>0.52199732032454083</v>
      </c>
      <c r="AC4" s="34"/>
    </row>
    <row r="5" spans="1:29" s="33" customFormat="1" ht="15.75" hidden="1" customHeight="1">
      <c r="A5" s="207" t="s">
        <v>89</v>
      </c>
      <c r="B5" s="594">
        <f t="shared" ref="B5:V5" si="3">B4+B183+B184</f>
        <v>-6076.2111111111044</v>
      </c>
      <c r="C5" s="11">
        <f t="shared" si="3"/>
        <v>-56269.411111111112</v>
      </c>
      <c r="D5" s="11">
        <f t="shared" si="3"/>
        <v>-126090.43333333332</v>
      </c>
      <c r="E5" s="595">
        <f t="shared" si="3"/>
        <v>-137614.14355555558</v>
      </c>
      <c r="F5" s="594">
        <f t="shared" si="3"/>
        <v>203977.53422222225</v>
      </c>
      <c r="G5" s="11">
        <f t="shared" si="3"/>
        <v>-101241.50466666667</v>
      </c>
      <c r="H5" s="11">
        <f t="shared" si="3"/>
        <v>140276.06277777778</v>
      </c>
      <c r="I5" s="595">
        <f t="shared" si="3"/>
        <v>19594.46861111105</v>
      </c>
      <c r="J5" s="594">
        <f t="shared" si="3"/>
        <v>192026.93291666673</v>
      </c>
      <c r="K5" s="11">
        <f t="shared" si="3"/>
        <v>697966.03159722243</v>
      </c>
      <c r="L5" s="11">
        <f t="shared" si="3"/>
        <v>907217.99739583302</v>
      </c>
      <c r="M5" s="595">
        <f t="shared" si="3"/>
        <v>1702834.3505381946</v>
      </c>
      <c r="N5" s="594">
        <f t="shared" si="3"/>
        <v>3074239.146918403</v>
      </c>
      <c r="O5" s="11">
        <f t="shared" si="3"/>
        <v>5518019.6370442715</v>
      </c>
      <c r="P5" s="11">
        <f t="shared" si="3"/>
        <v>9913834.3744552955</v>
      </c>
      <c r="Q5" s="595">
        <f t="shared" si="3"/>
        <v>17891959.695016276</v>
      </c>
      <c r="R5" s="594">
        <f t="shared" si="3"/>
        <v>38903411.318079971</v>
      </c>
      <c r="S5" s="11">
        <f t="shared" si="3"/>
        <v>60744380.763786606</v>
      </c>
      <c r="T5" s="11">
        <f t="shared" si="3"/>
        <v>114788775.41234657</v>
      </c>
      <c r="U5" s="595">
        <f t="shared" si="3"/>
        <v>211401379.4385199</v>
      </c>
      <c r="V5" s="668">
        <f t="shared" si="3"/>
        <v>391672275.37777972</v>
      </c>
      <c r="W5" s="140">
        <f>SUM(B5:V5)</f>
        <v>857344876.83822823</v>
      </c>
      <c r="X5" s="30"/>
      <c r="Y5" s="141"/>
      <c r="Z5" s="30"/>
      <c r="AA5" s="146"/>
      <c r="AB5" s="152">
        <f>W5/W3</f>
        <v>0.52199732032454083</v>
      </c>
      <c r="AC5" s="34"/>
    </row>
    <row r="6" spans="1:29" s="33" customFormat="1" ht="19.8" hidden="1" customHeight="1">
      <c r="A6" s="208" t="s">
        <v>30</v>
      </c>
      <c r="B6" s="596">
        <v>0</v>
      </c>
      <c r="C6" s="13">
        <v>0</v>
      </c>
      <c r="D6" s="13">
        <v>0</v>
      </c>
      <c r="E6" s="597">
        <v>0</v>
      </c>
      <c r="F6" s="663">
        <v>0</v>
      </c>
      <c r="G6" s="13">
        <v>0</v>
      </c>
      <c r="H6" s="13">
        <v>0</v>
      </c>
      <c r="I6" s="597">
        <v>0</v>
      </c>
      <c r="J6" s="663">
        <v>0</v>
      </c>
      <c r="K6" s="13">
        <v>0</v>
      </c>
      <c r="L6" s="13">
        <v>0</v>
      </c>
      <c r="M6" s="597">
        <v>0</v>
      </c>
      <c r="N6" s="663">
        <v>0</v>
      </c>
      <c r="O6" s="13">
        <v>0</v>
      </c>
      <c r="P6" s="13">
        <v>0</v>
      </c>
      <c r="Q6" s="597">
        <v>0</v>
      </c>
      <c r="R6" s="663">
        <v>0</v>
      </c>
      <c r="S6" s="13">
        <v>0</v>
      </c>
      <c r="T6" s="13">
        <v>0</v>
      </c>
      <c r="U6" s="597">
        <v>0</v>
      </c>
      <c r="V6" s="669">
        <v>0</v>
      </c>
      <c r="W6" s="62"/>
      <c r="X6" s="56"/>
      <c r="Y6" s="62"/>
      <c r="Z6" s="56"/>
      <c r="AA6" s="39"/>
      <c r="AB6" s="34"/>
      <c r="AC6" s="34"/>
    </row>
    <row r="7" spans="1:29" s="160" customFormat="1" ht="10.050000000000001" customHeight="1">
      <c r="A7" s="209" t="s">
        <v>418</v>
      </c>
      <c r="B7" s="599">
        <f>B9+B13</f>
        <v>0</v>
      </c>
      <c r="C7" s="599">
        <f t="shared" ref="C7:E7" si="4">C9+C13</f>
        <v>1</v>
      </c>
      <c r="D7" s="599">
        <f t="shared" si="4"/>
        <v>1</v>
      </c>
      <c r="E7" s="599">
        <f t="shared" si="4"/>
        <v>1</v>
      </c>
      <c r="F7" s="14">
        <f>F9</f>
        <v>0</v>
      </c>
      <c r="G7" s="14">
        <f>G9</f>
        <v>0</v>
      </c>
      <c r="H7" s="14">
        <f t="shared" ref="H7:I7" si="5">H9</f>
        <v>0</v>
      </c>
      <c r="I7" s="14">
        <f t="shared" si="5"/>
        <v>0</v>
      </c>
      <c r="J7" s="599">
        <f>J9</f>
        <v>0</v>
      </c>
      <c r="K7" s="599">
        <f t="shared" ref="K7:M7" si="6">K9</f>
        <v>0</v>
      </c>
      <c r="L7" s="599">
        <f t="shared" si="6"/>
        <v>0</v>
      </c>
      <c r="M7" s="599">
        <f t="shared" si="6"/>
        <v>0</v>
      </c>
      <c r="N7" s="599">
        <f>N9</f>
        <v>0</v>
      </c>
      <c r="O7" s="599">
        <f t="shared" ref="O7:V7" si="7">O9</f>
        <v>0</v>
      </c>
      <c r="P7" s="599">
        <f t="shared" si="7"/>
        <v>0</v>
      </c>
      <c r="Q7" s="599">
        <f t="shared" si="7"/>
        <v>0</v>
      </c>
      <c r="R7" s="599">
        <f t="shared" si="7"/>
        <v>0</v>
      </c>
      <c r="S7" s="599">
        <f t="shared" si="7"/>
        <v>0</v>
      </c>
      <c r="T7" s="599">
        <f t="shared" si="7"/>
        <v>0</v>
      </c>
      <c r="U7" s="599">
        <f t="shared" si="7"/>
        <v>0</v>
      </c>
      <c r="V7" s="599">
        <f t="shared" si="7"/>
        <v>0</v>
      </c>
      <c r="W7" s="157"/>
      <c r="X7" s="40"/>
      <c r="Y7" s="157"/>
      <c r="Z7" s="40"/>
      <c r="AA7" s="158"/>
      <c r="AB7" s="159"/>
      <c r="AC7" s="159"/>
    </row>
    <row r="8" spans="1:29" s="160" customFormat="1" ht="10.050000000000001" customHeight="1">
      <c r="A8" s="210" t="s">
        <v>31</v>
      </c>
      <c r="B8" s="599">
        <f t="shared" ref="B8:V8" si="8">B9*B10</f>
        <v>0</v>
      </c>
      <c r="C8" s="14">
        <f t="shared" si="8"/>
        <v>6635.2</v>
      </c>
      <c r="D8" s="14">
        <f t="shared" si="8"/>
        <v>6635.2</v>
      </c>
      <c r="E8" s="600">
        <f t="shared" si="8"/>
        <v>6635.2</v>
      </c>
      <c r="F8" s="599">
        <f t="shared" si="8"/>
        <v>0</v>
      </c>
      <c r="G8" s="14">
        <f t="shared" si="8"/>
        <v>0</v>
      </c>
      <c r="H8" s="14">
        <f t="shared" si="8"/>
        <v>0</v>
      </c>
      <c r="I8" s="600">
        <f t="shared" si="8"/>
        <v>0</v>
      </c>
      <c r="J8" s="599">
        <f t="shared" si="8"/>
        <v>0</v>
      </c>
      <c r="K8" s="14">
        <f t="shared" si="8"/>
        <v>0</v>
      </c>
      <c r="L8" s="14">
        <f t="shared" si="8"/>
        <v>0</v>
      </c>
      <c r="M8" s="600">
        <f t="shared" si="8"/>
        <v>0</v>
      </c>
      <c r="N8" s="599">
        <f t="shared" si="8"/>
        <v>0</v>
      </c>
      <c r="O8" s="14">
        <f t="shared" si="8"/>
        <v>0</v>
      </c>
      <c r="P8" s="14">
        <f t="shared" si="8"/>
        <v>0</v>
      </c>
      <c r="Q8" s="600">
        <f t="shared" si="8"/>
        <v>0</v>
      </c>
      <c r="R8" s="599">
        <f t="shared" si="8"/>
        <v>0</v>
      </c>
      <c r="S8" s="14">
        <f t="shared" si="8"/>
        <v>0</v>
      </c>
      <c r="T8" s="14">
        <f t="shared" si="8"/>
        <v>0</v>
      </c>
      <c r="U8" s="600">
        <f t="shared" si="8"/>
        <v>0</v>
      </c>
      <c r="V8" s="671">
        <f t="shared" si="8"/>
        <v>0</v>
      </c>
      <c r="W8" s="157">
        <f>SUM(B8:V8)</f>
        <v>19905.599999999999</v>
      </c>
      <c r="X8" s="40"/>
      <c r="Y8" s="157"/>
      <c r="Z8" s="40"/>
      <c r="AA8" s="158"/>
      <c r="AB8" s="159"/>
      <c r="AC8" s="159"/>
    </row>
    <row r="9" spans="1:29" s="449" customFormat="1" ht="11.4" customHeight="1">
      <c r="A9" s="211" t="s">
        <v>32</v>
      </c>
      <c r="B9" s="601">
        <v>0</v>
      </c>
      <c r="C9" s="587">
        <v>1</v>
      </c>
      <c r="D9" s="587">
        <v>1</v>
      </c>
      <c r="E9" s="602">
        <v>1</v>
      </c>
      <c r="F9" s="601">
        <v>0</v>
      </c>
      <c r="G9" s="587">
        <v>0</v>
      </c>
      <c r="H9" s="587">
        <v>0</v>
      </c>
      <c r="I9" s="602">
        <v>0</v>
      </c>
      <c r="J9" s="601">
        <v>0</v>
      </c>
      <c r="K9" s="601">
        <v>0</v>
      </c>
      <c r="L9" s="601">
        <v>0</v>
      </c>
      <c r="M9" s="601">
        <v>0</v>
      </c>
      <c r="N9" s="601">
        <v>0</v>
      </c>
      <c r="O9" s="601">
        <v>0</v>
      </c>
      <c r="P9" s="601">
        <v>0</v>
      </c>
      <c r="Q9" s="601">
        <v>0</v>
      </c>
      <c r="R9" s="601">
        <v>0</v>
      </c>
      <c r="S9" s="601">
        <v>0</v>
      </c>
      <c r="T9" s="601">
        <v>0</v>
      </c>
      <c r="U9" s="601">
        <v>0</v>
      </c>
      <c r="V9" s="601">
        <v>0</v>
      </c>
      <c r="W9" s="161">
        <f>SUM(C9:V9)</f>
        <v>3</v>
      </c>
      <c r="X9" s="147"/>
      <c r="Y9" s="147" t="e">
        <f>W9*#REF!</f>
        <v>#REF!</v>
      </c>
      <c r="Z9" s="147" t="e">
        <f>X9-Y9</f>
        <v>#REF!</v>
      </c>
      <c r="AA9" s="147" t="e">
        <f>Z9/X9</f>
        <v>#REF!</v>
      </c>
      <c r="AB9" s="147"/>
      <c r="AC9" s="147"/>
    </row>
    <row r="10" spans="1:29" s="160" customFormat="1" ht="10.050000000000001" customHeight="1">
      <c r="A10" s="211" t="s">
        <v>33</v>
      </c>
      <c r="B10" s="603">
        <f>'VR курсы'!$G$8/$A$1</f>
        <v>6635.2</v>
      </c>
      <c r="C10" s="603">
        <f>'VR курсы'!$G$8/$A$1</f>
        <v>6635.2</v>
      </c>
      <c r="D10" s="603">
        <f>'VR курсы'!$G$8/$A$1</f>
        <v>6635.2</v>
      </c>
      <c r="E10" s="603">
        <f>'VR курсы'!$G$8/$A$1</f>
        <v>6635.2</v>
      </c>
      <c r="F10" s="603">
        <f>'VR курсы'!$G$8/$A$1</f>
        <v>6635.2</v>
      </c>
      <c r="G10" s="603">
        <f>'VR курсы'!$G$8/$A$1</f>
        <v>6635.2</v>
      </c>
      <c r="H10" s="603">
        <f>'VR курсы'!$G$8/$A$1</f>
        <v>6635.2</v>
      </c>
      <c r="I10" s="603">
        <f>'VR курсы'!$G$8/$A$1</f>
        <v>6635.2</v>
      </c>
      <c r="J10" s="603">
        <f>'VR курсы'!$G$8/$A$1</f>
        <v>6635.2</v>
      </c>
      <c r="K10" s="603">
        <f>'VR курсы'!$G$8/$A$1</f>
        <v>6635.2</v>
      </c>
      <c r="L10" s="603">
        <f>'VR курсы'!$G$8/$A$1</f>
        <v>6635.2</v>
      </c>
      <c r="M10" s="603">
        <f>'VR курсы'!$G$8/$A$1</f>
        <v>6635.2</v>
      </c>
      <c r="N10" s="603">
        <f>'VR курсы'!$G$8/$A$1</f>
        <v>6635.2</v>
      </c>
      <c r="O10" s="603">
        <f>'VR курсы'!$G$8/$A$1</f>
        <v>6635.2</v>
      </c>
      <c r="P10" s="603">
        <f>'VR курсы'!$G$8/$A$1</f>
        <v>6635.2</v>
      </c>
      <c r="Q10" s="603">
        <f>'VR курсы'!$G$8/$A$1</f>
        <v>6635.2</v>
      </c>
      <c r="R10" s="603">
        <f>'VR курсы'!$G$8/$A$1</f>
        <v>6635.2</v>
      </c>
      <c r="S10" s="603">
        <f>'VR курсы'!$G$8/$A$1</f>
        <v>6635.2</v>
      </c>
      <c r="T10" s="603">
        <f>'VR курсы'!$G$8/$A$1</f>
        <v>6635.2</v>
      </c>
      <c r="U10" s="603">
        <f>'VR курсы'!$G$8/$A$1</f>
        <v>6635.2</v>
      </c>
      <c r="V10" s="603">
        <f>'VR курсы'!$G$8/$A$1</f>
        <v>6635.2</v>
      </c>
      <c r="W10" s="163"/>
      <c r="X10" s="41"/>
      <c r="Y10" s="163"/>
      <c r="Z10" s="41"/>
      <c r="AA10" s="164"/>
      <c r="AB10" s="159"/>
      <c r="AC10" s="159"/>
    </row>
    <row r="11" spans="1:29" s="728" customFormat="1" ht="10.050000000000001" customHeight="1">
      <c r="A11" s="719" t="s">
        <v>452</v>
      </c>
      <c r="B11" s="720">
        <v>0</v>
      </c>
      <c r="C11" s="721">
        <v>0</v>
      </c>
      <c r="D11" s="721">
        <v>0</v>
      </c>
      <c r="E11" s="722">
        <v>0</v>
      </c>
      <c r="F11" s="721">
        <f>F13</f>
        <v>2</v>
      </c>
      <c r="G11" s="721">
        <f>G13</f>
        <v>4</v>
      </c>
      <c r="H11" s="721">
        <f t="shared" ref="H11:I11" si="9">H13</f>
        <v>6</v>
      </c>
      <c r="I11" s="721">
        <f t="shared" si="9"/>
        <v>8</v>
      </c>
      <c r="J11" s="720">
        <f>J13</f>
        <v>10</v>
      </c>
      <c r="K11" s="720">
        <f t="shared" ref="K11:M11" si="10">K13</f>
        <v>12</v>
      </c>
      <c r="L11" s="720">
        <f t="shared" si="10"/>
        <v>16</v>
      </c>
      <c r="M11" s="720">
        <f t="shared" si="10"/>
        <v>23</v>
      </c>
      <c r="N11" s="720">
        <f t="shared" ref="N11:V11" si="11">SUM(N7:N10)</f>
        <v>6635.2</v>
      </c>
      <c r="O11" s="721">
        <f t="shared" si="11"/>
        <v>6635.2</v>
      </c>
      <c r="P11" s="721">
        <f t="shared" si="11"/>
        <v>6635.2</v>
      </c>
      <c r="Q11" s="722">
        <f t="shared" si="11"/>
        <v>6635.2</v>
      </c>
      <c r="R11" s="720">
        <f t="shared" si="11"/>
        <v>6635.2</v>
      </c>
      <c r="S11" s="721">
        <f t="shared" si="11"/>
        <v>6635.2</v>
      </c>
      <c r="T11" s="721">
        <f t="shared" si="11"/>
        <v>6635.2</v>
      </c>
      <c r="U11" s="722">
        <f t="shared" si="11"/>
        <v>6635.2</v>
      </c>
      <c r="V11" s="723">
        <f t="shared" si="11"/>
        <v>6635.2</v>
      </c>
      <c r="W11" s="724"/>
      <c r="X11" s="725"/>
      <c r="Y11" s="724"/>
      <c r="Z11" s="725"/>
      <c r="AA11" s="726"/>
      <c r="AB11" s="727"/>
      <c r="AC11" s="727"/>
    </row>
    <row r="12" spans="1:29" s="728" customFormat="1" ht="10.050000000000001" customHeight="1">
      <c r="A12" s="729" t="s">
        <v>31</v>
      </c>
      <c r="B12" s="720">
        <f t="shared" ref="B12:V12" si="12">B13*B14</f>
        <v>0</v>
      </c>
      <c r="C12" s="721">
        <f t="shared" si="12"/>
        <v>0</v>
      </c>
      <c r="D12" s="721">
        <f t="shared" si="12"/>
        <v>0</v>
      </c>
      <c r="E12" s="722">
        <f t="shared" si="12"/>
        <v>0</v>
      </c>
      <c r="F12" s="720">
        <v>0</v>
      </c>
      <c r="G12" s="721">
        <f t="shared" si="12"/>
        <v>45517.511111111111</v>
      </c>
      <c r="H12" s="721">
        <f t="shared" si="12"/>
        <v>68276.266666666663</v>
      </c>
      <c r="I12" s="722">
        <f t="shared" si="12"/>
        <v>91035.022222222222</v>
      </c>
      <c r="J12" s="720">
        <f>J13*J14</f>
        <v>113793.77777777778</v>
      </c>
      <c r="K12" s="721">
        <f>K13*K14</f>
        <v>136552.53333333333</v>
      </c>
      <c r="L12" s="721">
        <f t="shared" si="12"/>
        <v>182070.04444444444</v>
      </c>
      <c r="M12" s="722">
        <f t="shared" si="12"/>
        <v>261725.68888888889</v>
      </c>
      <c r="N12" s="720">
        <f t="shared" si="12"/>
        <v>375519.46666666667</v>
      </c>
      <c r="O12" s="721">
        <f t="shared" si="12"/>
        <v>534830.75555555557</v>
      </c>
      <c r="P12" s="721">
        <f t="shared" si="12"/>
        <v>751038.93333333335</v>
      </c>
      <c r="Q12" s="722">
        <f t="shared" si="12"/>
        <v>1058282.1333333333</v>
      </c>
      <c r="R12" s="720">
        <f t="shared" si="12"/>
        <v>1536216</v>
      </c>
      <c r="S12" s="721">
        <f t="shared" si="12"/>
        <v>2230358.0444444446</v>
      </c>
      <c r="T12" s="721">
        <f t="shared" si="12"/>
        <v>3345537.0666666669</v>
      </c>
      <c r="U12" s="722">
        <f t="shared" si="12"/>
        <v>5018305.5999999996</v>
      </c>
      <c r="V12" s="723">
        <f t="shared" si="12"/>
        <v>7533148.0888888892</v>
      </c>
      <c r="W12" s="724">
        <f>SUM(B12:V12)</f>
        <v>23282206.933333334</v>
      </c>
      <c r="X12" s="725"/>
      <c r="Y12" s="724"/>
      <c r="Z12" s="725"/>
      <c r="AA12" s="726"/>
      <c r="AB12" s="727"/>
      <c r="AC12" s="727"/>
    </row>
    <row r="13" spans="1:29" s="736" customFormat="1" ht="11.4" customHeight="1">
      <c r="A13" s="730" t="s">
        <v>32</v>
      </c>
      <c r="B13" s="731">
        <v>0</v>
      </c>
      <c r="C13" s="732">
        <v>0</v>
      </c>
      <c r="D13" s="732">
        <v>0</v>
      </c>
      <c r="E13" s="733">
        <v>0</v>
      </c>
      <c r="F13" s="731">
        <v>2</v>
      </c>
      <c r="G13" s="732">
        <v>4</v>
      </c>
      <c r="H13" s="732">
        <v>6</v>
      </c>
      <c r="I13" s="732">
        <v>8</v>
      </c>
      <c r="J13" s="731">
        <v>10</v>
      </c>
      <c r="K13" s="731">
        <v>12</v>
      </c>
      <c r="L13" s="731">
        <v>16</v>
      </c>
      <c r="M13" s="731">
        <v>23</v>
      </c>
      <c r="N13" s="731">
        <v>33</v>
      </c>
      <c r="O13" s="731">
        <v>47</v>
      </c>
      <c r="P13" s="731">
        <v>66</v>
      </c>
      <c r="Q13" s="731">
        <v>93</v>
      </c>
      <c r="R13" s="731">
        <v>135</v>
      </c>
      <c r="S13" s="731">
        <v>196</v>
      </c>
      <c r="T13" s="731">
        <v>294</v>
      </c>
      <c r="U13" s="731">
        <v>441</v>
      </c>
      <c r="V13" s="731">
        <v>662</v>
      </c>
      <c r="W13" s="734">
        <f>SUM(C13:V13)</f>
        <v>2048</v>
      </c>
      <c r="X13" s="735"/>
      <c r="Y13" s="735" t="e">
        <f>W13*#REF!</f>
        <v>#REF!</v>
      </c>
      <c r="Z13" s="735" t="e">
        <f>X13-Y13</f>
        <v>#REF!</v>
      </c>
      <c r="AA13" s="735" t="e">
        <f>Z13/X13</f>
        <v>#REF!</v>
      </c>
      <c r="AB13" s="735"/>
      <c r="AC13" s="735"/>
    </row>
    <row r="14" spans="1:29" s="728" customFormat="1" ht="10.050000000000001" customHeight="1">
      <c r="A14" s="730" t="s">
        <v>33</v>
      </c>
      <c r="B14" s="737">
        <f>'VR курсы'!$I$8/$A$1</f>
        <v>11379.377777777778</v>
      </c>
      <c r="C14" s="737">
        <f>'VR курсы'!$I$8/$A$1</f>
        <v>11379.377777777778</v>
      </c>
      <c r="D14" s="737">
        <f>'VR курсы'!$I$8/$A$1</f>
        <v>11379.377777777778</v>
      </c>
      <c r="E14" s="737">
        <f>'VR курсы'!$I$8/$A$1</f>
        <v>11379.377777777778</v>
      </c>
      <c r="F14" s="737">
        <f>'VR курсы'!$I$8/$A$1</f>
        <v>11379.377777777778</v>
      </c>
      <c r="G14" s="737">
        <f>'VR курсы'!$I$8/$A$1</f>
        <v>11379.377777777778</v>
      </c>
      <c r="H14" s="737">
        <f>'VR курсы'!$I$8/$A$1</f>
        <v>11379.377777777778</v>
      </c>
      <c r="I14" s="737">
        <f>'VR курсы'!$I$8/$A$1</f>
        <v>11379.377777777778</v>
      </c>
      <c r="J14" s="737">
        <f>'VR курсы'!$I$8/$A$1</f>
        <v>11379.377777777778</v>
      </c>
      <c r="K14" s="737">
        <f>'VR курсы'!$I$8/$A$1</f>
        <v>11379.377777777778</v>
      </c>
      <c r="L14" s="737">
        <f>'VR курсы'!$I$8/$A$1</f>
        <v>11379.377777777778</v>
      </c>
      <c r="M14" s="737">
        <f>'VR курсы'!$I$8/$A$1</f>
        <v>11379.377777777778</v>
      </c>
      <c r="N14" s="737">
        <f>'VR курсы'!$I$8/$A$1</f>
        <v>11379.377777777778</v>
      </c>
      <c r="O14" s="737">
        <f>'VR курсы'!$I$8/$A$1</f>
        <v>11379.377777777778</v>
      </c>
      <c r="P14" s="737">
        <f>'VR курсы'!$I$8/$A$1</f>
        <v>11379.377777777778</v>
      </c>
      <c r="Q14" s="737">
        <f>'VR курсы'!$I$8/$A$1</f>
        <v>11379.377777777778</v>
      </c>
      <c r="R14" s="737">
        <f>'VR курсы'!$I$8/$A$1</f>
        <v>11379.377777777778</v>
      </c>
      <c r="S14" s="737">
        <f>'VR курсы'!$I$8/$A$1</f>
        <v>11379.377777777778</v>
      </c>
      <c r="T14" s="737">
        <f>'VR курсы'!$I$8/$A$1</f>
        <v>11379.377777777778</v>
      </c>
      <c r="U14" s="737">
        <f>'VR курсы'!$I$8/$A$1</f>
        <v>11379.377777777778</v>
      </c>
      <c r="V14" s="737">
        <f>'VR курсы'!$I$8/$A$1</f>
        <v>11379.377777777778</v>
      </c>
      <c r="W14" s="738"/>
      <c r="X14" s="739"/>
      <c r="Y14" s="738"/>
      <c r="Z14" s="739"/>
      <c r="AA14" s="740"/>
      <c r="AB14" s="727"/>
      <c r="AC14" s="727"/>
    </row>
    <row r="15" spans="1:29" s="168" customFormat="1" ht="10.050000000000001" customHeight="1">
      <c r="A15" s="212" t="s">
        <v>419</v>
      </c>
      <c r="B15" s="604"/>
      <c r="C15" s="99"/>
      <c r="D15" s="99"/>
      <c r="E15" s="605"/>
      <c r="F15" s="604"/>
      <c r="G15" s="99"/>
      <c r="H15" s="99"/>
      <c r="I15" s="605"/>
      <c r="J15" s="604"/>
      <c r="K15" s="99"/>
      <c r="L15" s="99"/>
      <c r="M15" s="605"/>
      <c r="N15" s="604"/>
      <c r="O15" s="99"/>
      <c r="P15" s="99"/>
      <c r="Q15" s="605"/>
      <c r="R15" s="604"/>
      <c r="S15" s="99"/>
      <c r="T15" s="99"/>
      <c r="U15" s="605"/>
      <c r="V15" s="672"/>
      <c r="W15" s="165"/>
      <c r="X15" s="100"/>
      <c r="Y15" s="165"/>
      <c r="Z15" s="100"/>
      <c r="AA15" s="166"/>
      <c r="AB15" s="167"/>
      <c r="AC15" s="167"/>
    </row>
    <row r="16" spans="1:29" s="168" customFormat="1" ht="10.050000000000001" customHeight="1">
      <c r="A16" s="213" t="s">
        <v>31</v>
      </c>
      <c r="B16" s="604">
        <f t="shared" ref="B16:V16" si="13">B17*B18</f>
        <v>20862.311111111114</v>
      </c>
      <c r="C16" s="99">
        <f t="shared" si="13"/>
        <v>0</v>
      </c>
      <c r="D16" s="99">
        <f>D17*D18</f>
        <v>0</v>
      </c>
      <c r="E16" s="605">
        <f>E17*E18</f>
        <v>0</v>
      </c>
      <c r="F16" s="604">
        <f t="shared" si="13"/>
        <v>208623.11111111112</v>
      </c>
      <c r="G16" s="99">
        <f t="shared" si="13"/>
        <v>0</v>
      </c>
      <c r="H16" s="99">
        <f t="shared" si="13"/>
        <v>0</v>
      </c>
      <c r="I16" s="605">
        <f t="shared" si="13"/>
        <v>0</v>
      </c>
      <c r="J16" s="604">
        <f t="shared" si="13"/>
        <v>0</v>
      </c>
      <c r="K16" s="99">
        <f t="shared" si="13"/>
        <v>0</v>
      </c>
      <c r="L16" s="99">
        <f t="shared" si="13"/>
        <v>0</v>
      </c>
      <c r="M16" s="605">
        <f t="shared" si="13"/>
        <v>0</v>
      </c>
      <c r="N16" s="604">
        <f t="shared" si="13"/>
        <v>0</v>
      </c>
      <c r="O16" s="99">
        <f t="shared" si="13"/>
        <v>0</v>
      </c>
      <c r="P16" s="99">
        <f t="shared" si="13"/>
        <v>0</v>
      </c>
      <c r="Q16" s="605">
        <f t="shared" si="13"/>
        <v>0</v>
      </c>
      <c r="R16" s="604">
        <f t="shared" si="13"/>
        <v>0</v>
      </c>
      <c r="S16" s="99">
        <f t="shared" si="13"/>
        <v>0</v>
      </c>
      <c r="T16" s="99">
        <f t="shared" si="13"/>
        <v>0</v>
      </c>
      <c r="U16" s="605">
        <f t="shared" si="13"/>
        <v>0</v>
      </c>
      <c r="V16" s="672">
        <f t="shared" si="13"/>
        <v>0</v>
      </c>
      <c r="W16" s="165">
        <f>SUM(B16:V16)</f>
        <v>229485.42222222223</v>
      </c>
      <c r="X16" s="100"/>
      <c r="Y16" s="165"/>
      <c r="Z16" s="100"/>
      <c r="AA16" s="166"/>
      <c r="AB16" s="167"/>
      <c r="AC16" s="167"/>
    </row>
    <row r="17" spans="1:29" s="450" customFormat="1" ht="13.2" customHeight="1">
      <c r="A17" s="214" t="s">
        <v>416</v>
      </c>
      <c r="B17" s="606">
        <v>0.1</v>
      </c>
      <c r="C17" s="588">
        <v>0</v>
      </c>
      <c r="D17" s="588">
        <v>0</v>
      </c>
      <c r="E17" s="607">
        <v>0</v>
      </c>
      <c r="F17" s="606">
        <v>1</v>
      </c>
      <c r="G17" s="588">
        <v>0</v>
      </c>
      <c r="H17" s="588">
        <v>0</v>
      </c>
      <c r="I17" s="607">
        <v>0</v>
      </c>
      <c r="J17" s="606">
        <v>0</v>
      </c>
      <c r="K17" s="588">
        <v>0</v>
      </c>
      <c r="L17" s="588">
        <v>0</v>
      </c>
      <c r="M17" s="607">
        <v>0</v>
      </c>
      <c r="N17" s="606">
        <v>0</v>
      </c>
      <c r="O17" s="588">
        <v>0</v>
      </c>
      <c r="P17" s="588">
        <v>0</v>
      </c>
      <c r="Q17" s="607">
        <v>0</v>
      </c>
      <c r="R17" s="606">
        <v>0</v>
      </c>
      <c r="S17" s="588">
        <v>0</v>
      </c>
      <c r="T17" s="588">
        <v>0</v>
      </c>
      <c r="U17" s="607">
        <v>0</v>
      </c>
      <c r="V17" s="673">
        <v>0</v>
      </c>
      <c r="W17" s="169">
        <f>SUM(B17:V17)</f>
        <v>1.1000000000000001</v>
      </c>
      <c r="X17" s="148" t="e">
        <f>W17*#REF!</f>
        <v>#REF!</v>
      </c>
      <c r="Y17" s="148" t="e">
        <f>W17*#REF!</f>
        <v>#REF!</v>
      </c>
      <c r="Z17" s="148" t="e">
        <f>X17-Y17</f>
        <v>#REF!</v>
      </c>
      <c r="AA17" s="148" t="e">
        <f>Z17/X17</f>
        <v>#REF!</v>
      </c>
      <c r="AB17" s="148"/>
      <c r="AC17" s="148"/>
    </row>
    <row r="18" spans="1:29" s="168" customFormat="1" ht="10.050000000000001" customHeight="1">
      <c r="A18" s="214" t="s">
        <v>33</v>
      </c>
      <c r="B18" s="608">
        <f>'VR курсы'!$R$8/$A$1</f>
        <v>208623.11111111112</v>
      </c>
      <c r="C18" s="608">
        <f>'VR курсы'!$R$8/$A$1</f>
        <v>208623.11111111112</v>
      </c>
      <c r="D18" s="608">
        <f>'VR курсы'!$R$8/$A$1</f>
        <v>208623.11111111112</v>
      </c>
      <c r="E18" s="608">
        <f>'VR курсы'!$R$8/$A$1</f>
        <v>208623.11111111112</v>
      </c>
      <c r="F18" s="608">
        <f>'VR курсы'!$R$8/$A$1</f>
        <v>208623.11111111112</v>
      </c>
      <c r="G18" s="608">
        <f>'VR курсы'!$R$8/$A$1</f>
        <v>208623.11111111112</v>
      </c>
      <c r="H18" s="608">
        <f>'VR курсы'!$R$8/$A$1</f>
        <v>208623.11111111112</v>
      </c>
      <c r="I18" s="608">
        <f>'VR курсы'!$R$8/$A$1</f>
        <v>208623.11111111112</v>
      </c>
      <c r="J18" s="608">
        <f>'VR курсы'!$R$8/$A$1</f>
        <v>208623.11111111112</v>
      </c>
      <c r="K18" s="608">
        <f>'VR курсы'!$R$8/$A$1</f>
        <v>208623.11111111112</v>
      </c>
      <c r="L18" s="608">
        <f>'VR курсы'!$R$8/$A$1</f>
        <v>208623.11111111112</v>
      </c>
      <c r="M18" s="608">
        <f>'VR курсы'!$R$8/$A$1</f>
        <v>208623.11111111112</v>
      </c>
      <c r="N18" s="608">
        <f>'VR курсы'!$R$8/$A$1</f>
        <v>208623.11111111112</v>
      </c>
      <c r="O18" s="608">
        <f>'VR курсы'!$R$8/$A$1</f>
        <v>208623.11111111112</v>
      </c>
      <c r="P18" s="608">
        <f>'VR курсы'!$R$8/$A$1</f>
        <v>208623.11111111112</v>
      </c>
      <c r="Q18" s="608">
        <f>'VR курсы'!$R$8/$A$1</f>
        <v>208623.11111111112</v>
      </c>
      <c r="R18" s="608">
        <f>'VR курсы'!$R$8/$A$1</f>
        <v>208623.11111111112</v>
      </c>
      <c r="S18" s="608">
        <f>'VR курсы'!$R$8/$A$1</f>
        <v>208623.11111111112</v>
      </c>
      <c r="T18" s="608">
        <f>'VR курсы'!$R$8/$A$1</f>
        <v>208623.11111111112</v>
      </c>
      <c r="U18" s="608">
        <f>'VR курсы'!$R$8/$A$1</f>
        <v>208623.11111111112</v>
      </c>
      <c r="V18" s="608">
        <f>'VR курсы'!$R$8/$A$1</f>
        <v>208623.11111111112</v>
      </c>
      <c r="W18" s="170"/>
      <c r="X18" s="101"/>
      <c r="Y18" s="170"/>
      <c r="Z18" s="101"/>
      <c r="AA18" s="171"/>
      <c r="AB18" s="167"/>
      <c r="AC18" s="167"/>
    </row>
    <row r="19" spans="1:29" s="705" customFormat="1" ht="10.050000000000001" customHeight="1">
      <c r="A19" s="696" t="s">
        <v>451</v>
      </c>
      <c r="B19" s="697"/>
      <c r="C19" s="698"/>
      <c r="D19" s="698"/>
      <c r="E19" s="699"/>
      <c r="F19" s="697"/>
      <c r="G19" s="698"/>
      <c r="H19" s="698"/>
      <c r="I19" s="699"/>
      <c r="J19" s="697"/>
      <c r="K19" s="698"/>
      <c r="L19" s="698"/>
      <c r="M19" s="699"/>
      <c r="N19" s="697"/>
      <c r="O19" s="698"/>
      <c r="P19" s="698"/>
      <c r="Q19" s="699"/>
      <c r="R19" s="697"/>
      <c r="S19" s="698"/>
      <c r="T19" s="698"/>
      <c r="U19" s="699"/>
      <c r="V19" s="700"/>
      <c r="W19" s="701"/>
      <c r="X19" s="702"/>
      <c r="Y19" s="701"/>
      <c r="Z19" s="702"/>
      <c r="AA19" s="703"/>
      <c r="AB19" s="704"/>
      <c r="AC19" s="704"/>
    </row>
    <row r="20" spans="1:29" s="705" customFormat="1" ht="10.050000000000001" customHeight="1">
      <c r="A20" s="706" t="s">
        <v>31</v>
      </c>
      <c r="B20" s="697">
        <f t="shared" ref="B20:C20" si="14">B21*B22</f>
        <v>0</v>
      </c>
      <c r="C20" s="698">
        <f t="shared" si="14"/>
        <v>0</v>
      </c>
      <c r="D20" s="698">
        <f>D21*D22</f>
        <v>0</v>
      </c>
      <c r="E20" s="699">
        <f>E21*E22</f>
        <v>0</v>
      </c>
      <c r="F20" s="697">
        <f t="shared" ref="F20:V20" si="15">F21*F22</f>
        <v>203880.4</v>
      </c>
      <c r="G20" s="698">
        <f t="shared" si="15"/>
        <v>0</v>
      </c>
      <c r="H20" s="698">
        <f t="shared" si="15"/>
        <v>203880.4</v>
      </c>
      <c r="I20" s="699">
        <f t="shared" si="15"/>
        <v>0</v>
      </c>
      <c r="J20" s="697">
        <f t="shared" si="15"/>
        <v>0</v>
      </c>
      <c r="K20" s="698">
        <f t="shared" si="15"/>
        <v>203880.4</v>
      </c>
      <c r="L20" s="698">
        <f t="shared" si="15"/>
        <v>0</v>
      </c>
      <c r="M20" s="699">
        <f t="shared" si="15"/>
        <v>0</v>
      </c>
      <c r="N20" s="697">
        <f t="shared" si="15"/>
        <v>0</v>
      </c>
      <c r="O20" s="698">
        <f t="shared" si="15"/>
        <v>0</v>
      </c>
      <c r="P20" s="698">
        <f t="shared" si="15"/>
        <v>0</v>
      </c>
      <c r="Q20" s="699">
        <f t="shared" si="15"/>
        <v>0</v>
      </c>
      <c r="R20" s="697">
        <f t="shared" si="15"/>
        <v>0</v>
      </c>
      <c r="S20" s="698">
        <f t="shared" si="15"/>
        <v>0</v>
      </c>
      <c r="T20" s="698">
        <f t="shared" si="15"/>
        <v>0</v>
      </c>
      <c r="U20" s="699">
        <f t="shared" si="15"/>
        <v>0</v>
      </c>
      <c r="V20" s="700">
        <f t="shared" si="15"/>
        <v>0</v>
      </c>
      <c r="W20" s="701">
        <f>SUM(B20:V20)</f>
        <v>611641.19999999995</v>
      </c>
      <c r="X20" s="702"/>
      <c r="Y20" s="701"/>
      <c r="Z20" s="702"/>
      <c r="AA20" s="703"/>
      <c r="AB20" s="704"/>
      <c r="AC20" s="704"/>
    </row>
    <row r="21" spans="1:29" s="714" customFormat="1" ht="13.2" customHeight="1">
      <c r="A21" s="707" t="s">
        <v>416</v>
      </c>
      <c r="B21" s="708">
        <v>0</v>
      </c>
      <c r="C21" s="709">
        <v>0</v>
      </c>
      <c r="D21" s="709">
        <v>0</v>
      </c>
      <c r="E21" s="710">
        <v>0</v>
      </c>
      <c r="F21" s="708">
        <v>0.5</v>
      </c>
      <c r="G21" s="709">
        <v>0</v>
      </c>
      <c r="H21" s="709">
        <v>0.5</v>
      </c>
      <c r="I21" s="710">
        <v>0</v>
      </c>
      <c r="J21" s="708">
        <v>0</v>
      </c>
      <c r="K21" s="709">
        <v>0.5</v>
      </c>
      <c r="L21" s="709">
        <v>0</v>
      </c>
      <c r="M21" s="710">
        <v>0</v>
      </c>
      <c r="N21" s="708">
        <v>0</v>
      </c>
      <c r="O21" s="709">
        <v>0</v>
      </c>
      <c r="P21" s="709">
        <v>0</v>
      </c>
      <c r="Q21" s="710">
        <v>0</v>
      </c>
      <c r="R21" s="708">
        <v>0</v>
      </c>
      <c r="S21" s="709">
        <v>0</v>
      </c>
      <c r="T21" s="709">
        <v>0</v>
      </c>
      <c r="U21" s="710">
        <v>0</v>
      </c>
      <c r="V21" s="711">
        <v>0</v>
      </c>
      <c r="W21" s="712">
        <f>SUM(B21:V21)</f>
        <v>1.5</v>
      </c>
      <c r="X21" s="713"/>
      <c r="Y21" s="713"/>
      <c r="Z21" s="713">
        <f>X21-Y21</f>
        <v>0</v>
      </c>
      <c r="AA21" s="713" t="e">
        <f>Z21/X21</f>
        <v>#DIV/0!</v>
      </c>
      <c r="AB21" s="713"/>
      <c r="AC21" s="713"/>
    </row>
    <row r="22" spans="1:29" s="705" customFormat="1" ht="10.050000000000001" customHeight="1">
      <c r="A22" s="707" t="s">
        <v>33</v>
      </c>
      <c r="B22" s="715">
        <f>'VR курсы'!$T$8/$A$1</f>
        <v>407760.8</v>
      </c>
      <c r="C22" s="715">
        <f>'VR курсы'!$T$8/$A$1</f>
        <v>407760.8</v>
      </c>
      <c r="D22" s="715">
        <f>'VR курсы'!$T$8/$A$1</f>
        <v>407760.8</v>
      </c>
      <c r="E22" s="715">
        <f>'VR курсы'!$T$8/$A$1</f>
        <v>407760.8</v>
      </c>
      <c r="F22" s="715">
        <f>'VR курсы'!$T$8/$A$1</f>
        <v>407760.8</v>
      </c>
      <c r="G22" s="715">
        <f>'VR курсы'!$T$8/$A$1</f>
        <v>407760.8</v>
      </c>
      <c r="H22" s="715">
        <f>'VR курсы'!$T$8/$A$1</f>
        <v>407760.8</v>
      </c>
      <c r="I22" s="715">
        <f>'VR курсы'!$T$8/$A$1</f>
        <v>407760.8</v>
      </c>
      <c r="J22" s="715">
        <f>'VR курсы'!$T$8/$A$1</f>
        <v>407760.8</v>
      </c>
      <c r="K22" s="715">
        <f>'VR курсы'!$T$8/$A$1</f>
        <v>407760.8</v>
      </c>
      <c r="L22" s="715">
        <f>'VR курсы'!$T$8/$A$1</f>
        <v>407760.8</v>
      </c>
      <c r="M22" s="715">
        <f>'VR курсы'!$T$8/$A$1</f>
        <v>407760.8</v>
      </c>
      <c r="N22" s="715">
        <f>'VR курсы'!$T$8/$A$1</f>
        <v>407760.8</v>
      </c>
      <c r="O22" s="715">
        <f>'VR курсы'!$T$8/$A$1</f>
        <v>407760.8</v>
      </c>
      <c r="P22" s="715">
        <f>'VR курсы'!$T$8/$A$1</f>
        <v>407760.8</v>
      </c>
      <c r="Q22" s="715">
        <f>'VR курсы'!$T$8/$A$1</f>
        <v>407760.8</v>
      </c>
      <c r="R22" s="715">
        <f>'VR курсы'!$T$8/$A$1</f>
        <v>407760.8</v>
      </c>
      <c r="S22" s="715">
        <f>'VR курсы'!$T$8/$A$1</f>
        <v>407760.8</v>
      </c>
      <c r="T22" s="715">
        <f>'VR курсы'!$T$8/$A$1</f>
        <v>407760.8</v>
      </c>
      <c r="U22" s="715">
        <f>'VR курсы'!$T$8/$A$1</f>
        <v>407760.8</v>
      </c>
      <c r="V22" s="715">
        <f>'VR курсы'!$T$8/$A$1</f>
        <v>407760.8</v>
      </c>
      <c r="W22" s="716"/>
      <c r="X22" s="717"/>
      <c r="Y22" s="716"/>
      <c r="Z22" s="717"/>
      <c r="AA22" s="718"/>
      <c r="AB22" s="704"/>
      <c r="AC22" s="704"/>
    </row>
    <row r="23" spans="1:29" s="534" customFormat="1" ht="10.050000000000001" customHeight="1">
      <c r="A23" s="528" t="s">
        <v>421</v>
      </c>
      <c r="B23" s="609"/>
      <c r="C23" s="529"/>
      <c r="D23" s="529"/>
      <c r="E23" s="610"/>
      <c r="F23" s="609"/>
      <c r="G23" s="529"/>
      <c r="H23" s="529"/>
      <c r="I23" s="610"/>
      <c r="J23" s="609"/>
      <c r="K23" s="529"/>
      <c r="L23" s="529"/>
      <c r="M23" s="610"/>
      <c r="N23" s="609"/>
      <c r="O23" s="529"/>
      <c r="P23" s="529"/>
      <c r="Q23" s="610"/>
      <c r="R23" s="609"/>
      <c r="S23" s="529"/>
      <c r="T23" s="529"/>
      <c r="U23" s="610"/>
      <c r="V23" s="674"/>
      <c r="W23" s="530"/>
      <c r="X23" s="531"/>
      <c r="Y23" s="530"/>
      <c r="Z23" s="531"/>
      <c r="AA23" s="532"/>
      <c r="AB23" s="533"/>
      <c r="AC23" s="533"/>
    </row>
    <row r="24" spans="1:29" s="534" customFormat="1" ht="10.050000000000001" customHeight="1">
      <c r="A24" s="535" t="s">
        <v>31</v>
      </c>
      <c r="B24" s="609">
        <f t="shared" ref="B24:C24" si="16">B25*B26</f>
        <v>0</v>
      </c>
      <c r="C24" s="529">
        <f t="shared" si="16"/>
        <v>0</v>
      </c>
      <c r="D24" s="529">
        <f>D25*D26</f>
        <v>0</v>
      </c>
      <c r="E24" s="610">
        <f>E25*E26</f>
        <v>0</v>
      </c>
      <c r="F24" s="609">
        <f t="shared" ref="F24:V24" si="17">F25*F26</f>
        <v>0</v>
      </c>
      <c r="G24" s="529">
        <f t="shared" si="17"/>
        <v>0</v>
      </c>
      <c r="H24" s="529">
        <f t="shared" si="17"/>
        <v>0</v>
      </c>
      <c r="I24" s="610">
        <f t="shared" si="17"/>
        <v>15835.555555555555</v>
      </c>
      <c r="J24" s="609">
        <f t="shared" si="17"/>
        <v>31671.111111111109</v>
      </c>
      <c r="K24" s="529">
        <f t="shared" si="17"/>
        <v>31671.111111111109</v>
      </c>
      <c r="L24" s="529">
        <f t="shared" si="17"/>
        <v>47506.666666666664</v>
      </c>
      <c r="M24" s="610">
        <f t="shared" si="17"/>
        <v>47506.666666666664</v>
      </c>
      <c r="N24" s="609">
        <f t="shared" si="17"/>
        <v>47506.666666666664</v>
      </c>
      <c r="O24" s="529">
        <f t="shared" si="17"/>
        <v>63342.222222222219</v>
      </c>
      <c r="P24" s="529">
        <f t="shared" si="17"/>
        <v>63342.222222222219</v>
      </c>
      <c r="Q24" s="610">
        <f t="shared" si="17"/>
        <v>63342.222222222219</v>
      </c>
      <c r="R24" s="609">
        <f t="shared" si="17"/>
        <v>79177.777777777781</v>
      </c>
      <c r="S24" s="529">
        <f t="shared" si="17"/>
        <v>79177.777777777781</v>
      </c>
      <c r="T24" s="529">
        <f t="shared" si="17"/>
        <v>79177.777777777781</v>
      </c>
      <c r="U24" s="610">
        <f t="shared" si="17"/>
        <v>79177.777777777781</v>
      </c>
      <c r="V24" s="674">
        <f t="shared" si="17"/>
        <v>95013.333333333328</v>
      </c>
      <c r="W24" s="530">
        <f>SUM(B24:V24)</f>
        <v>823448.88888888888</v>
      </c>
      <c r="X24" s="531"/>
      <c r="Y24" s="530"/>
      <c r="Z24" s="531"/>
      <c r="AA24" s="532"/>
      <c r="AB24" s="533"/>
      <c r="AC24" s="533"/>
    </row>
    <row r="25" spans="1:29" s="539" customFormat="1" ht="13.2" customHeight="1">
      <c r="A25" s="536" t="s">
        <v>422</v>
      </c>
      <c r="B25" s="611">
        <v>0</v>
      </c>
      <c r="C25" s="589">
        <v>0</v>
      </c>
      <c r="D25" s="589">
        <v>0</v>
      </c>
      <c r="E25" s="612">
        <v>0</v>
      </c>
      <c r="F25" s="611">
        <v>0</v>
      </c>
      <c r="G25" s="589">
        <f>CEILING(G9*0.2,1)</f>
        <v>0</v>
      </c>
      <c r="H25" s="589">
        <v>0</v>
      </c>
      <c r="I25" s="612">
        <v>1</v>
      </c>
      <c r="J25" s="611">
        <v>2</v>
      </c>
      <c r="K25" s="589">
        <v>2</v>
      </c>
      <c r="L25" s="589">
        <v>3</v>
      </c>
      <c r="M25" s="612">
        <v>3</v>
      </c>
      <c r="N25" s="611">
        <v>3</v>
      </c>
      <c r="O25" s="589">
        <v>4</v>
      </c>
      <c r="P25" s="589">
        <v>4</v>
      </c>
      <c r="Q25" s="612">
        <v>4</v>
      </c>
      <c r="R25" s="611">
        <v>5</v>
      </c>
      <c r="S25" s="589">
        <v>5</v>
      </c>
      <c r="T25" s="589">
        <v>5</v>
      </c>
      <c r="U25" s="612">
        <v>5</v>
      </c>
      <c r="V25" s="675">
        <v>6</v>
      </c>
      <c r="W25" s="537">
        <f>SUM(B25:V25)</f>
        <v>52</v>
      </c>
      <c r="X25" s="538" t="e">
        <f>W25*#REF!</f>
        <v>#REF!</v>
      </c>
      <c r="Y25" s="538" t="e">
        <f>W25*#REF!</f>
        <v>#REF!</v>
      </c>
      <c r="Z25" s="538" t="e">
        <f>X25-Y25</f>
        <v>#REF!</v>
      </c>
      <c r="AA25" s="538" t="e">
        <f>Z25/X25</f>
        <v>#REF!</v>
      </c>
      <c r="AB25" s="538"/>
      <c r="AC25" s="538"/>
    </row>
    <row r="26" spans="1:29" s="534" customFormat="1" ht="10.050000000000001" customHeight="1">
      <c r="A26" s="536" t="s">
        <v>33</v>
      </c>
      <c r="B26" s="613">
        <f>'VR курсы'!$K$8/$A$1</f>
        <v>15835.555555555555</v>
      </c>
      <c r="C26" s="613">
        <f>'VR курсы'!$K$8/$A$1</f>
        <v>15835.555555555555</v>
      </c>
      <c r="D26" s="613">
        <f>'VR курсы'!$K$8/$A$1</f>
        <v>15835.555555555555</v>
      </c>
      <c r="E26" s="613">
        <f>'VR курсы'!$K$8/$A$1</f>
        <v>15835.555555555555</v>
      </c>
      <c r="F26" s="613">
        <f>'VR курсы'!$K$8/$A$1</f>
        <v>15835.555555555555</v>
      </c>
      <c r="G26" s="613">
        <f>'VR курсы'!$K$8/$A$1</f>
        <v>15835.555555555555</v>
      </c>
      <c r="H26" s="613">
        <f>'VR курсы'!$K$8/$A$1</f>
        <v>15835.555555555555</v>
      </c>
      <c r="I26" s="613">
        <f>'VR курсы'!$K$8/$A$1</f>
        <v>15835.555555555555</v>
      </c>
      <c r="J26" s="613">
        <f>'VR курсы'!$K$8/$A$1</f>
        <v>15835.555555555555</v>
      </c>
      <c r="K26" s="613">
        <f>'VR курсы'!$K$8/$A$1</f>
        <v>15835.555555555555</v>
      </c>
      <c r="L26" s="613">
        <f>'VR курсы'!$K$8/$A$1</f>
        <v>15835.555555555555</v>
      </c>
      <c r="M26" s="613">
        <f>'VR курсы'!$K$8/$A$1</f>
        <v>15835.555555555555</v>
      </c>
      <c r="N26" s="613">
        <f>'VR курсы'!$K$8/$A$1</f>
        <v>15835.555555555555</v>
      </c>
      <c r="O26" s="613">
        <f>'VR курсы'!$K$8/$A$1</f>
        <v>15835.555555555555</v>
      </c>
      <c r="P26" s="613">
        <f>'VR курсы'!$K$8/$A$1</f>
        <v>15835.555555555555</v>
      </c>
      <c r="Q26" s="613">
        <f>'VR курсы'!$K$8/$A$1</f>
        <v>15835.555555555555</v>
      </c>
      <c r="R26" s="613">
        <f>'VR курсы'!$K$8/$A$1</f>
        <v>15835.555555555555</v>
      </c>
      <c r="S26" s="613">
        <f>'VR курсы'!$K$8/$A$1</f>
        <v>15835.555555555555</v>
      </c>
      <c r="T26" s="613">
        <f>'VR курсы'!$K$8/$A$1</f>
        <v>15835.555555555555</v>
      </c>
      <c r="U26" s="613">
        <f>'VR курсы'!$K$8/$A$1</f>
        <v>15835.555555555555</v>
      </c>
      <c r="V26" s="613">
        <f>'VR курсы'!$K$8/$A$1</f>
        <v>15835.555555555555</v>
      </c>
      <c r="W26" s="540"/>
      <c r="X26" s="541"/>
      <c r="Y26" s="540"/>
      <c r="Z26" s="541"/>
      <c r="AA26" s="542"/>
      <c r="AB26" s="533"/>
      <c r="AC26" s="533"/>
    </row>
    <row r="27" spans="1:29" s="33" customFormat="1" ht="10.050000000000001" customHeight="1">
      <c r="A27" s="215" t="s">
        <v>0</v>
      </c>
      <c r="B27" s="614">
        <f t="shared" ref="B27:V27" si="18">B29+B32+B35</f>
        <v>0</v>
      </c>
      <c r="C27" s="15">
        <f t="shared" si="18"/>
        <v>0</v>
      </c>
      <c r="D27" s="15">
        <f t="shared" si="18"/>
        <v>0</v>
      </c>
      <c r="E27" s="615">
        <f t="shared" si="18"/>
        <v>1</v>
      </c>
      <c r="F27" s="614">
        <f t="shared" si="18"/>
        <v>1</v>
      </c>
      <c r="G27" s="15">
        <f t="shared" si="18"/>
        <v>1</v>
      </c>
      <c r="H27" s="15">
        <f t="shared" si="18"/>
        <v>0</v>
      </c>
      <c r="I27" s="615">
        <f t="shared" si="18"/>
        <v>0</v>
      </c>
      <c r="J27" s="614">
        <f t="shared" si="18"/>
        <v>0</v>
      </c>
      <c r="K27" s="15">
        <f t="shared" si="18"/>
        <v>0</v>
      </c>
      <c r="L27" s="15">
        <f t="shared" si="18"/>
        <v>0</v>
      </c>
      <c r="M27" s="615">
        <f t="shared" si="18"/>
        <v>0</v>
      </c>
      <c r="N27" s="614">
        <f t="shared" si="18"/>
        <v>0</v>
      </c>
      <c r="O27" s="15">
        <f t="shared" si="18"/>
        <v>0</v>
      </c>
      <c r="P27" s="15">
        <f t="shared" si="18"/>
        <v>0</v>
      </c>
      <c r="Q27" s="615">
        <f t="shared" si="18"/>
        <v>0</v>
      </c>
      <c r="R27" s="614">
        <f t="shared" si="18"/>
        <v>0</v>
      </c>
      <c r="S27" s="15">
        <f t="shared" si="18"/>
        <v>0</v>
      </c>
      <c r="T27" s="15">
        <f t="shared" si="18"/>
        <v>0</v>
      </c>
      <c r="U27" s="615">
        <f t="shared" si="18"/>
        <v>0</v>
      </c>
      <c r="V27" s="676">
        <f t="shared" si="18"/>
        <v>0</v>
      </c>
      <c r="W27" s="172">
        <f>SUM(B27:V27)</f>
        <v>3</v>
      </c>
      <c r="X27" s="43" t="e">
        <f>W27*#REF!</f>
        <v>#REF!</v>
      </c>
      <c r="Y27" s="172" t="e">
        <f>W27*#REF!</f>
        <v>#REF!</v>
      </c>
      <c r="Z27" s="147" t="e">
        <f>X27-Y27</f>
        <v>#REF!</v>
      </c>
      <c r="AA27" s="162" t="e">
        <f>Z27/X27</f>
        <v>#REF!</v>
      </c>
      <c r="AB27" s="173"/>
      <c r="AC27" s="173"/>
    </row>
    <row r="28" spans="1:29" s="33" customFormat="1" ht="10.050000000000001" customHeight="1">
      <c r="A28" s="216" t="s">
        <v>31</v>
      </c>
      <c r="B28" s="614">
        <f t="shared" ref="B28:V28" si="19">B29*B30</f>
        <v>0</v>
      </c>
      <c r="C28" s="15">
        <f t="shared" si="19"/>
        <v>0</v>
      </c>
      <c r="D28" s="15">
        <f t="shared" si="19"/>
        <v>0</v>
      </c>
      <c r="E28" s="615">
        <f>E29*E30</f>
        <v>1181.3120000000001</v>
      </c>
      <c r="F28" s="614">
        <f t="shared" si="19"/>
        <v>1181.3120000000001</v>
      </c>
      <c r="G28" s="15">
        <f t="shared" si="19"/>
        <v>1181.3120000000001</v>
      </c>
      <c r="H28" s="15">
        <f t="shared" si="19"/>
        <v>0</v>
      </c>
      <c r="I28" s="615">
        <f t="shared" si="19"/>
        <v>0</v>
      </c>
      <c r="J28" s="614">
        <f t="shared" si="19"/>
        <v>0</v>
      </c>
      <c r="K28" s="15">
        <f t="shared" si="19"/>
        <v>0</v>
      </c>
      <c r="L28" s="15">
        <f t="shared" si="19"/>
        <v>0</v>
      </c>
      <c r="M28" s="615">
        <f t="shared" si="19"/>
        <v>0</v>
      </c>
      <c r="N28" s="614">
        <f t="shared" si="19"/>
        <v>0</v>
      </c>
      <c r="O28" s="15">
        <f t="shared" si="19"/>
        <v>0</v>
      </c>
      <c r="P28" s="15">
        <f t="shared" si="19"/>
        <v>0</v>
      </c>
      <c r="Q28" s="615">
        <f t="shared" si="19"/>
        <v>0</v>
      </c>
      <c r="R28" s="614">
        <f t="shared" si="19"/>
        <v>0</v>
      </c>
      <c r="S28" s="15">
        <f t="shared" si="19"/>
        <v>0</v>
      </c>
      <c r="T28" s="15">
        <f t="shared" si="19"/>
        <v>0</v>
      </c>
      <c r="U28" s="615">
        <f t="shared" si="19"/>
        <v>0</v>
      </c>
      <c r="V28" s="676">
        <f t="shared" si="19"/>
        <v>0</v>
      </c>
      <c r="W28" s="172"/>
      <c r="X28" s="43"/>
      <c r="Y28" s="172"/>
      <c r="Z28" s="43"/>
      <c r="AA28" s="174"/>
      <c r="AB28" s="173"/>
      <c r="AC28" s="173"/>
    </row>
    <row r="29" spans="1:29" s="33" customFormat="1" ht="10.050000000000001" customHeight="1">
      <c r="A29" s="217" t="s">
        <v>32</v>
      </c>
      <c r="B29" s="616">
        <v>0</v>
      </c>
      <c r="C29" s="16">
        <v>0</v>
      </c>
      <c r="D29" s="16">
        <v>0</v>
      </c>
      <c r="E29" s="617">
        <v>1</v>
      </c>
      <c r="F29" s="616">
        <v>1</v>
      </c>
      <c r="G29" s="16">
        <v>1</v>
      </c>
      <c r="H29" s="16">
        <v>0</v>
      </c>
      <c r="I29" s="617">
        <v>0</v>
      </c>
      <c r="J29" s="616">
        <v>0</v>
      </c>
      <c r="K29" s="16">
        <v>0</v>
      </c>
      <c r="L29" s="16">
        <v>0</v>
      </c>
      <c r="M29" s="617">
        <v>0</v>
      </c>
      <c r="N29" s="616">
        <v>0</v>
      </c>
      <c r="O29" s="16">
        <v>0</v>
      </c>
      <c r="P29" s="16">
        <v>0</v>
      </c>
      <c r="Q29" s="617">
        <v>0</v>
      </c>
      <c r="R29" s="616">
        <v>0</v>
      </c>
      <c r="S29" s="16">
        <v>0</v>
      </c>
      <c r="T29" s="16">
        <v>0</v>
      </c>
      <c r="U29" s="617">
        <v>0</v>
      </c>
      <c r="V29" s="677">
        <v>0</v>
      </c>
      <c r="W29" s="161"/>
      <c r="X29" s="149"/>
      <c r="Y29" s="175"/>
      <c r="Z29" s="149"/>
      <c r="AA29" s="176"/>
      <c r="AB29" s="173"/>
      <c r="AC29" s="173"/>
    </row>
    <row r="30" spans="1:29" s="33" customFormat="1" ht="10.050000000000001" customHeight="1">
      <c r="A30" s="217" t="s">
        <v>33</v>
      </c>
      <c r="B30" s="618">
        <f>'TAU Tracker'!$G$3/$A$1</f>
        <v>1181.3120000000001</v>
      </c>
      <c r="C30" s="618">
        <f>'TAU Tracker'!$G$3/$A$1</f>
        <v>1181.3120000000001</v>
      </c>
      <c r="D30" s="618">
        <f>'TAU Tracker'!$G$3/$A$1</f>
        <v>1181.3120000000001</v>
      </c>
      <c r="E30" s="618">
        <f>'TAU Tracker'!$G$3/$A$1</f>
        <v>1181.3120000000001</v>
      </c>
      <c r="F30" s="618">
        <f>'TAU Tracker'!$G$3/$A$1</f>
        <v>1181.3120000000001</v>
      </c>
      <c r="G30" s="618">
        <f>'TAU Tracker'!$G$3/$A$1</f>
        <v>1181.3120000000001</v>
      </c>
      <c r="H30" s="618">
        <f>'TAU Tracker'!$G$3/$A$1</f>
        <v>1181.3120000000001</v>
      </c>
      <c r="I30" s="618">
        <f>'TAU Tracker'!$G$3/$A$1</f>
        <v>1181.3120000000001</v>
      </c>
      <c r="J30" s="618">
        <f>'TAU Tracker'!$G$3/$A$1</f>
        <v>1181.3120000000001</v>
      </c>
      <c r="K30" s="618">
        <f>'TAU Tracker'!$G$3/$A$1</f>
        <v>1181.3120000000001</v>
      </c>
      <c r="L30" s="618">
        <f>'TAU Tracker'!$G$3/$A$1</f>
        <v>1181.3120000000001</v>
      </c>
      <c r="M30" s="618">
        <f>'TAU Tracker'!$G$3/$A$1</f>
        <v>1181.3120000000001</v>
      </c>
      <c r="N30" s="618">
        <f>'TAU Tracker'!$G$3/$A$1</f>
        <v>1181.3120000000001</v>
      </c>
      <c r="O30" s="618">
        <f>'TAU Tracker'!$G$3/$A$1</f>
        <v>1181.3120000000001</v>
      </c>
      <c r="P30" s="618">
        <f>'TAU Tracker'!$G$3/$A$1</f>
        <v>1181.3120000000001</v>
      </c>
      <c r="Q30" s="618">
        <f>'TAU Tracker'!$G$3/$A$1</f>
        <v>1181.3120000000001</v>
      </c>
      <c r="R30" s="618">
        <f>'TAU Tracker'!$G$3/$A$1</f>
        <v>1181.3120000000001</v>
      </c>
      <c r="S30" s="618">
        <f>'TAU Tracker'!$G$3/$A$1</f>
        <v>1181.3120000000001</v>
      </c>
      <c r="T30" s="618">
        <f>'TAU Tracker'!$G$3/$A$1</f>
        <v>1181.3120000000001</v>
      </c>
      <c r="U30" s="618">
        <f>'TAU Tracker'!$G$3/$A$1</f>
        <v>1181.3120000000001</v>
      </c>
      <c r="V30" s="618">
        <f>'TAU Tracker'!$G$3/$A$1</f>
        <v>1181.3120000000001</v>
      </c>
      <c r="W30" s="177"/>
      <c r="X30" s="44"/>
      <c r="Y30" s="177"/>
      <c r="Z30" s="44"/>
      <c r="AA30" s="178"/>
      <c r="AB30" s="173"/>
      <c r="AC30" s="173"/>
    </row>
    <row r="31" spans="1:29" s="33" customFormat="1" ht="10.050000000000001" customHeight="1">
      <c r="A31" s="216" t="s">
        <v>34</v>
      </c>
      <c r="B31" s="620">
        <f t="shared" ref="B31:V31" si="20">B32*B33</f>
        <v>0</v>
      </c>
      <c r="C31" s="18">
        <f t="shared" si="20"/>
        <v>0</v>
      </c>
      <c r="D31" s="18">
        <f t="shared" si="20"/>
        <v>0</v>
      </c>
      <c r="E31" s="621">
        <f t="shared" si="20"/>
        <v>0</v>
      </c>
      <c r="F31" s="620">
        <f t="shared" si="20"/>
        <v>0</v>
      </c>
      <c r="G31" s="18">
        <f t="shared" si="20"/>
        <v>0</v>
      </c>
      <c r="H31" s="18">
        <f t="shared" si="20"/>
        <v>0</v>
      </c>
      <c r="I31" s="621">
        <f t="shared" si="20"/>
        <v>0</v>
      </c>
      <c r="J31" s="620">
        <f t="shared" si="20"/>
        <v>0</v>
      </c>
      <c r="K31" s="18">
        <f t="shared" si="20"/>
        <v>0</v>
      </c>
      <c r="L31" s="18">
        <f t="shared" si="20"/>
        <v>0</v>
      </c>
      <c r="M31" s="621">
        <f t="shared" si="20"/>
        <v>0</v>
      </c>
      <c r="N31" s="620">
        <f t="shared" si="20"/>
        <v>0</v>
      </c>
      <c r="O31" s="18">
        <f t="shared" si="20"/>
        <v>0</v>
      </c>
      <c r="P31" s="18">
        <f t="shared" si="20"/>
        <v>0</v>
      </c>
      <c r="Q31" s="621">
        <f t="shared" si="20"/>
        <v>0</v>
      </c>
      <c r="R31" s="620">
        <f t="shared" si="20"/>
        <v>0</v>
      </c>
      <c r="S31" s="18">
        <f t="shared" si="20"/>
        <v>0</v>
      </c>
      <c r="T31" s="18">
        <f t="shared" si="20"/>
        <v>0</v>
      </c>
      <c r="U31" s="621">
        <f t="shared" si="20"/>
        <v>0</v>
      </c>
      <c r="V31" s="679">
        <f t="shared" si="20"/>
        <v>0</v>
      </c>
      <c r="W31" s="179"/>
      <c r="X31" s="45"/>
      <c r="Y31" s="179"/>
      <c r="Z31" s="45"/>
      <c r="AA31" s="180"/>
      <c r="AB31" s="42"/>
      <c r="AC31" s="42"/>
    </row>
    <row r="32" spans="1:29" s="33" customFormat="1" ht="10.050000000000001" customHeight="1">
      <c r="A32" s="217" t="s">
        <v>32</v>
      </c>
      <c r="B32" s="622">
        <v>0</v>
      </c>
      <c r="C32" s="19">
        <f t="shared" ref="C32:F32" si="21">B32*1.1</f>
        <v>0</v>
      </c>
      <c r="D32" s="19">
        <f t="shared" si="21"/>
        <v>0</v>
      </c>
      <c r="E32" s="623">
        <f t="shared" si="21"/>
        <v>0</v>
      </c>
      <c r="F32" s="622">
        <f t="shared" si="21"/>
        <v>0</v>
      </c>
      <c r="G32" s="16">
        <v>0</v>
      </c>
      <c r="H32" s="19">
        <f t="shared" ref="H32:I32" si="22">G32*1.1</f>
        <v>0</v>
      </c>
      <c r="I32" s="623">
        <f t="shared" si="22"/>
        <v>0</v>
      </c>
      <c r="J32" s="622">
        <f t="shared" ref="J32:N32" si="23">I32*1.2</f>
        <v>0</v>
      </c>
      <c r="K32" s="19">
        <f t="shared" si="23"/>
        <v>0</v>
      </c>
      <c r="L32" s="19">
        <f t="shared" si="23"/>
        <v>0</v>
      </c>
      <c r="M32" s="623">
        <f t="shared" si="23"/>
        <v>0</v>
      </c>
      <c r="N32" s="622">
        <f t="shared" si="23"/>
        <v>0</v>
      </c>
      <c r="O32" s="19">
        <f t="shared" ref="O32:V32" si="24">N32*1.25</f>
        <v>0</v>
      </c>
      <c r="P32" s="19">
        <f t="shared" si="24"/>
        <v>0</v>
      </c>
      <c r="Q32" s="623">
        <f t="shared" si="24"/>
        <v>0</v>
      </c>
      <c r="R32" s="622">
        <f t="shared" si="24"/>
        <v>0</v>
      </c>
      <c r="S32" s="19">
        <f t="shared" si="24"/>
        <v>0</v>
      </c>
      <c r="T32" s="19">
        <f t="shared" si="24"/>
        <v>0</v>
      </c>
      <c r="U32" s="623">
        <f t="shared" si="24"/>
        <v>0</v>
      </c>
      <c r="V32" s="680">
        <f t="shared" si="24"/>
        <v>0</v>
      </c>
      <c r="W32" s="172"/>
      <c r="X32" s="43"/>
      <c r="Y32" s="172"/>
      <c r="Z32" s="43"/>
      <c r="AA32" s="174"/>
      <c r="AB32" s="173"/>
      <c r="AC32" s="173"/>
    </row>
    <row r="33" spans="1:29" s="33" customFormat="1" ht="10.050000000000001" customHeight="1">
      <c r="A33" s="217" t="s">
        <v>33</v>
      </c>
      <c r="B33" s="618">
        <f t="shared" ref="B33:V33" si="25">B30*0.7</f>
        <v>826.91840000000002</v>
      </c>
      <c r="C33" s="17">
        <f t="shared" si="25"/>
        <v>826.91840000000002</v>
      </c>
      <c r="D33" s="17">
        <f t="shared" si="25"/>
        <v>826.91840000000002</v>
      </c>
      <c r="E33" s="619">
        <f t="shared" si="25"/>
        <v>826.91840000000002</v>
      </c>
      <c r="F33" s="618">
        <f t="shared" si="25"/>
        <v>826.91840000000002</v>
      </c>
      <c r="G33" s="17">
        <f t="shared" si="25"/>
        <v>826.91840000000002</v>
      </c>
      <c r="H33" s="17">
        <f t="shared" si="25"/>
        <v>826.91840000000002</v>
      </c>
      <c r="I33" s="619">
        <f t="shared" si="25"/>
        <v>826.91840000000002</v>
      </c>
      <c r="J33" s="618">
        <f t="shared" si="25"/>
        <v>826.91840000000002</v>
      </c>
      <c r="K33" s="17">
        <f t="shared" si="25"/>
        <v>826.91840000000002</v>
      </c>
      <c r="L33" s="17">
        <f t="shared" si="25"/>
        <v>826.91840000000002</v>
      </c>
      <c r="M33" s="619">
        <f t="shared" si="25"/>
        <v>826.91840000000002</v>
      </c>
      <c r="N33" s="618">
        <f t="shared" si="25"/>
        <v>826.91840000000002</v>
      </c>
      <c r="O33" s="17">
        <f t="shared" si="25"/>
        <v>826.91840000000002</v>
      </c>
      <c r="P33" s="17">
        <f t="shared" si="25"/>
        <v>826.91840000000002</v>
      </c>
      <c r="Q33" s="619">
        <f t="shared" si="25"/>
        <v>826.91840000000002</v>
      </c>
      <c r="R33" s="618">
        <f t="shared" si="25"/>
        <v>826.91840000000002</v>
      </c>
      <c r="S33" s="17">
        <f t="shared" si="25"/>
        <v>826.91840000000002</v>
      </c>
      <c r="T33" s="17">
        <f t="shared" si="25"/>
        <v>826.91840000000002</v>
      </c>
      <c r="U33" s="619">
        <f t="shared" si="25"/>
        <v>826.91840000000002</v>
      </c>
      <c r="V33" s="678">
        <f t="shared" si="25"/>
        <v>826.91840000000002</v>
      </c>
      <c r="W33" s="177"/>
      <c r="X33" s="44"/>
      <c r="Y33" s="177"/>
      <c r="Z33" s="44"/>
      <c r="AA33" s="178"/>
      <c r="AB33" s="173"/>
      <c r="AC33" s="173"/>
    </row>
    <row r="34" spans="1:29" s="33" customFormat="1" ht="18" customHeight="1">
      <c r="A34" s="216" t="s">
        <v>35</v>
      </c>
      <c r="B34" s="618">
        <f t="shared" ref="B34:V34" si="26">B35*B36</f>
        <v>0</v>
      </c>
      <c r="C34" s="17">
        <f t="shared" si="26"/>
        <v>0</v>
      </c>
      <c r="D34" s="17">
        <f t="shared" si="26"/>
        <v>0</v>
      </c>
      <c r="E34" s="619">
        <f t="shared" si="26"/>
        <v>0</v>
      </c>
      <c r="F34" s="618">
        <f t="shared" si="26"/>
        <v>0</v>
      </c>
      <c r="G34" s="17">
        <f t="shared" si="26"/>
        <v>0</v>
      </c>
      <c r="H34" s="17">
        <f t="shared" si="26"/>
        <v>0</v>
      </c>
      <c r="I34" s="619">
        <f t="shared" si="26"/>
        <v>0</v>
      </c>
      <c r="J34" s="618">
        <f t="shared" si="26"/>
        <v>0</v>
      </c>
      <c r="K34" s="17">
        <f t="shared" si="26"/>
        <v>0</v>
      </c>
      <c r="L34" s="17">
        <f t="shared" si="26"/>
        <v>0</v>
      </c>
      <c r="M34" s="619">
        <f t="shared" si="26"/>
        <v>0</v>
      </c>
      <c r="N34" s="618">
        <f t="shared" si="26"/>
        <v>0</v>
      </c>
      <c r="O34" s="17">
        <f t="shared" si="26"/>
        <v>0</v>
      </c>
      <c r="P34" s="17">
        <f t="shared" si="26"/>
        <v>0</v>
      </c>
      <c r="Q34" s="619">
        <f t="shared" si="26"/>
        <v>0</v>
      </c>
      <c r="R34" s="618">
        <f t="shared" si="26"/>
        <v>0</v>
      </c>
      <c r="S34" s="17">
        <f t="shared" si="26"/>
        <v>0</v>
      </c>
      <c r="T34" s="17">
        <f t="shared" si="26"/>
        <v>0</v>
      </c>
      <c r="U34" s="619">
        <f t="shared" si="26"/>
        <v>0</v>
      </c>
      <c r="V34" s="678">
        <f t="shared" si="26"/>
        <v>0</v>
      </c>
      <c r="W34" s="177"/>
      <c r="X34" s="44"/>
      <c r="Y34" s="177"/>
      <c r="Z34" s="44"/>
      <c r="AA34" s="178"/>
      <c r="AB34" s="173"/>
      <c r="AC34" s="173"/>
    </row>
    <row r="35" spans="1:29" s="33" customFormat="1" ht="10.050000000000001" customHeight="1">
      <c r="A35" s="217" t="s">
        <v>32</v>
      </c>
      <c r="B35" s="622">
        <v>0</v>
      </c>
      <c r="C35" s="19">
        <v>0</v>
      </c>
      <c r="D35" s="19">
        <v>0</v>
      </c>
      <c r="E35" s="623">
        <v>0</v>
      </c>
      <c r="F35" s="622">
        <v>0</v>
      </c>
      <c r="G35" s="16">
        <v>0</v>
      </c>
      <c r="H35" s="19">
        <f t="shared" ref="H35:I35" si="27">G35*1.1</f>
        <v>0</v>
      </c>
      <c r="I35" s="623">
        <f t="shared" si="27"/>
        <v>0</v>
      </c>
      <c r="J35" s="622">
        <f>I35*1.2</f>
        <v>0</v>
      </c>
      <c r="K35" s="19">
        <f t="shared" ref="K35:P35" si="28">J35*1.25</f>
        <v>0</v>
      </c>
      <c r="L35" s="19">
        <f t="shared" si="28"/>
        <v>0</v>
      </c>
      <c r="M35" s="623">
        <f t="shared" si="28"/>
        <v>0</v>
      </c>
      <c r="N35" s="622">
        <f t="shared" si="28"/>
        <v>0</v>
      </c>
      <c r="O35" s="19">
        <f t="shared" si="28"/>
        <v>0</v>
      </c>
      <c r="P35" s="19">
        <f t="shared" si="28"/>
        <v>0</v>
      </c>
      <c r="Q35" s="623">
        <f t="shared" ref="Q35:S35" si="29">P35*1.275</f>
        <v>0</v>
      </c>
      <c r="R35" s="622">
        <f t="shared" si="29"/>
        <v>0</v>
      </c>
      <c r="S35" s="19">
        <f t="shared" si="29"/>
        <v>0</v>
      </c>
      <c r="T35" s="19">
        <f>S35*1.285</f>
        <v>0</v>
      </c>
      <c r="U35" s="623">
        <f t="shared" ref="U35:V35" si="30">T35*1.3</f>
        <v>0</v>
      </c>
      <c r="V35" s="680">
        <f t="shared" si="30"/>
        <v>0</v>
      </c>
      <c r="W35" s="172"/>
      <c r="X35" s="43"/>
      <c r="Y35" s="172"/>
      <c r="Z35" s="43"/>
      <c r="AA35" s="174"/>
      <c r="AB35" s="173"/>
      <c r="AC35" s="173"/>
    </row>
    <row r="36" spans="1:29" s="33" customFormat="1" ht="10.050000000000001" customHeight="1">
      <c r="A36" s="217" t="s">
        <v>33</v>
      </c>
      <c r="B36" s="618">
        <f t="shared" ref="B36:V36" si="31">B30*0.7</f>
        <v>826.91840000000002</v>
      </c>
      <c r="C36" s="17">
        <f t="shared" si="31"/>
        <v>826.91840000000002</v>
      </c>
      <c r="D36" s="17">
        <f t="shared" si="31"/>
        <v>826.91840000000002</v>
      </c>
      <c r="E36" s="619">
        <f t="shared" si="31"/>
        <v>826.91840000000002</v>
      </c>
      <c r="F36" s="618">
        <f t="shared" si="31"/>
        <v>826.91840000000002</v>
      </c>
      <c r="G36" s="17">
        <f t="shared" si="31"/>
        <v>826.91840000000002</v>
      </c>
      <c r="H36" s="17">
        <f t="shared" si="31"/>
        <v>826.91840000000002</v>
      </c>
      <c r="I36" s="619">
        <f t="shared" si="31"/>
        <v>826.91840000000002</v>
      </c>
      <c r="J36" s="618">
        <f t="shared" si="31"/>
        <v>826.91840000000002</v>
      </c>
      <c r="K36" s="17">
        <f t="shared" si="31"/>
        <v>826.91840000000002</v>
      </c>
      <c r="L36" s="17">
        <f t="shared" si="31"/>
        <v>826.91840000000002</v>
      </c>
      <c r="M36" s="619">
        <f t="shared" si="31"/>
        <v>826.91840000000002</v>
      </c>
      <c r="N36" s="618">
        <f t="shared" si="31"/>
        <v>826.91840000000002</v>
      </c>
      <c r="O36" s="17">
        <f t="shared" si="31"/>
        <v>826.91840000000002</v>
      </c>
      <c r="P36" s="17">
        <f t="shared" si="31"/>
        <v>826.91840000000002</v>
      </c>
      <c r="Q36" s="619">
        <f t="shared" si="31"/>
        <v>826.91840000000002</v>
      </c>
      <c r="R36" s="618">
        <f t="shared" si="31"/>
        <v>826.91840000000002</v>
      </c>
      <c r="S36" s="17">
        <f t="shared" si="31"/>
        <v>826.91840000000002</v>
      </c>
      <c r="T36" s="17">
        <f t="shared" si="31"/>
        <v>826.91840000000002</v>
      </c>
      <c r="U36" s="619">
        <f t="shared" si="31"/>
        <v>826.91840000000002</v>
      </c>
      <c r="V36" s="678">
        <f t="shared" si="31"/>
        <v>826.91840000000002</v>
      </c>
      <c r="W36" s="177"/>
      <c r="X36" s="44"/>
      <c r="Y36" s="177"/>
      <c r="Z36" s="44"/>
      <c r="AA36" s="178"/>
      <c r="AB36" s="173"/>
      <c r="AC36" s="173"/>
    </row>
    <row r="37" spans="1:29" s="561" customFormat="1" ht="10.8" customHeight="1">
      <c r="A37" s="554" t="s">
        <v>417</v>
      </c>
      <c r="B37" s="624">
        <f>B39+B42+B45</f>
        <v>1</v>
      </c>
      <c r="C37" s="555">
        <f t="shared" ref="C37:V37" si="32">C39+C42+C45</f>
        <v>2</v>
      </c>
      <c r="D37" s="555">
        <f t="shared" si="32"/>
        <v>2</v>
      </c>
      <c r="E37" s="625">
        <f t="shared" si="32"/>
        <v>2</v>
      </c>
      <c r="F37" s="624">
        <f t="shared" si="32"/>
        <v>6</v>
      </c>
      <c r="G37" s="555">
        <f t="shared" si="32"/>
        <v>8</v>
      </c>
      <c r="H37" s="555">
        <f t="shared" si="32"/>
        <v>20</v>
      </c>
      <c r="I37" s="625">
        <f t="shared" si="32"/>
        <v>26</v>
      </c>
      <c r="J37" s="624">
        <f t="shared" si="32"/>
        <v>12</v>
      </c>
      <c r="K37" s="555">
        <f t="shared" si="32"/>
        <v>20</v>
      </c>
      <c r="L37" s="555">
        <f t="shared" si="32"/>
        <v>25</v>
      </c>
      <c r="M37" s="625">
        <f t="shared" si="32"/>
        <v>32</v>
      </c>
      <c r="N37" s="624">
        <f t="shared" si="32"/>
        <v>40</v>
      </c>
      <c r="O37" s="555">
        <f t="shared" si="32"/>
        <v>50</v>
      </c>
      <c r="P37" s="555">
        <f t="shared" si="32"/>
        <v>61</v>
      </c>
      <c r="Q37" s="625">
        <f t="shared" si="32"/>
        <v>74</v>
      </c>
      <c r="R37" s="624">
        <f t="shared" si="32"/>
        <v>90</v>
      </c>
      <c r="S37" s="555">
        <f t="shared" si="32"/>
        <v>109</v>
      </c>
      <c r="T37" s="555">
        <f t="shared" si="32"/>
        <v>131</v>
      </c>
      <c r="U37" s="625">
        <f t="shared" si="32"/>
        <v>158</v>
      </c>
      <c r="V37" s="681">
        <f t="shared" si="32"/>
        <v>191</v>
      </c>
      <c r="W37" s="556">
        <f>SUM(B37:V37)</f>
        <v>1060</v>
      </c>
      <c r="X37" s="557" t="e">
        <f>W37*#REF!</f>
        <v>#REF!</v>
      </c>
      <c r="Y37" s="556" t="e">
        <f>W37*#REF!</f>
        <v>#REF!</v>
      </c>
      <c r="Z37" s="558" t="e">
        <f>X37-Y37</f>
        <v>#REF!</v>
      </c>
      <c r="AA37" s="559" t="e">
        <f>Z37/X37</f>
        <v>#REF!</v>
      </c>
      <c r="AB37" s="560"/>
      <c r="AC37" s="560"/>
    </row>
    <row r="38" spans="1:29" s="561" customFormat="1" ht="16.8" customHeight="1">
      <c r="A38" s="562" t="s">
        <v>387</v>
      </c>
      <c r="B38" s="624">
        <f t="shared" ref="B38:V38" si="33">B39*B40</f>
        <v>1032.5333333333333</v>
      </c>
      <c r="C38" s="555">
        <f t="shared" si="33"/>
        <v>2065.0666666666666</v>
      </c>
      <c r="D38" s="555">
        <f t="shared" si="33"/>
        <v>2065.0666666666666</v>
      </c>
      <c r="E38" s="625">
        <f t="shared" si="33"/>
        <v>2065.0666666666666</v>
      </c>
      <c r="F38" s="624">
        <f t="shared" si="33"/>
        <v>6195.2</v>
      </c>
      <c r="G38" s="555">
        <f t="shared" si="33"/>
        <v>8260.2666666666664</v>
      </c>
      <c r="H38" s="555">
        <f t="shared" si="33"/>
        <v>13422.933333333332</v>
      </c>
      <c r="I38" s="625">
        <f t="shared" si="33"/>
        <v>17553.066666666666</v>
      </c>
      <c r="J38" s="624">
        <f t="shared" si="33"/>
        <v>0</v>
      </c>
      <c r="K38" s="555">
        <f t="shared" si="33"/>
        <v>0</v>
      </c>
      <c r="L38" s="555">
        <f t="shared" si="33"/>
        <v>0</v>
      </c>
      <c r="M38" s="625">
        <f t="shared" si="33"/>
        <v>0</v>
      </c>
      <c r="N38" s="624">
        <f t="shared" si="33"/>
        <v>0</v>
      </c>
      <c r="O38" s="555">
        <f t="shared" si="33"/>
        <v>0</v>
      </c>
      <c r="P38" s="555">
        <f t="shared" si="33"/>
        <v>0</v>
      </c>
      <c r="Q38" s="625">
        <f t="shared" si="33"/>
        <v>0</v>
      </c>
      <c r="R38" s="624">
        <f t="shared" si="33"/>
        <v>0</v>
      </c>
      <c r="S38" s="555">
        <f t="shared" si="33"/>
        <v>0</v>
      </c>
      <c r="T38" s="555">
        <f t="shared" si="33"/>
        <v>0</v>
      </c>
      <c r="U38" s="625">
        <f t="shared" si="33"/>
        <v>0</v>
      </c>
      <c r="V38" s="681">
        <f t="shared" si="33"/>
        <v>0</v>
      </c>
      <c r="W38" s="556"/>
      <c r="X38" s="557"/>
      <c r="Y38" s="556"/>
      <c r="Z38" s="557"/>
      <c r="AA38" s="563"/>
      <c r="AB38" s="560"/>
      <c r="AC38" s="560"/>
    </row>
    <row r="39" spans="1:29" s="561" customFormat="1" ht="16.2" customHeight="1">
      <c r="A39" s="564" t="s">
        <v>453</v>
      </c>
      <c r="B39" s="576">
        <f>_xlfn.CEILING.PRECISE(((B9+B13)*2+B17+B21+B25),1)</f>
        <v>1</v>
      </c>
      <c r="C39" s="576">
        <f>_xlfn.CEILING.PRECISE(((C9+C13)*2+C17+C21+C25),1)</f>
        <v>2</v>
      </c>
      <c r="D39" s="576">
        <f>_xlfn.CEILING.PRECISE(((D9+D13)*2+D17+D21+D25),1)</f>
        <v>2</v>
      </c>
      <c r="E39" s="576">
        <f>_xlfn.CEILING.PRECISE(((E9+E13)*2+E17+E21+E25),1)</f>
        <v>2</v>
      </c>
      <c r="F39" s="576">
        <f>_xlfn.CEILING.PRECISE(((F9+F13)*2+F17+F21+F25),1)</f>
        <v>6</v>
      </c>
      <c r="G39" s="576">
        <f t="shared" ref="G39:I39" si="34">_xlfn.CEILING.PRECISE(((G9+G13)*2+G17+G21+G25),1)</f>
        <v>8</v>
      </c>
      <c r="H39" s="576">
        <f t="shared" si="34"/>
        <v>13</v>
      </c>
      <c r="I39" s="576">
        <f t="shared" si="34"/>
        <v>17</v>
      </c>
      <c r="J39" s="626">
        <v>0</v>
      </c>
      <c r="K39" s="576">
        <v>0</v>
      </c>
      <c r="L39" s="576">
        <f>CEILING((L9*2+L17+K39*0.25),1)</f>
        <v>0</v>
      </c>
      <c r="M39" s="627">
        <f t="shared" ref="M39:V39" si="35">CEILING((M9*2+M17+L39*0.25),1)</f>
        <v>0</v>
      </c>
      <c r="N39" s="626">
        <f t="shared" si="35"/>
        <v>0</v>
      </c>
      <c r="O39" s="576">
        <f t="shared" si="35"/>
        <v>0</v>
      </c>
      <c r="P39" s="576">
        <f t="shared" si="35"/>
        <v>0</v>
      </c>
      <c r="Q39" s="627">
        <f t="shared" si="35"/>
        <v>0</v>
      </c>
      <c r="R39" s="626">
        <f t="shared" si="35"/>
        <v>0</v>
      </c>
      <c r="S39" s="576">
        <f t="shared" si="35"/>
        <v>0</v>
      </c>
      <c r="T39" s="576">
        <f t="shared" si="35"/>
        <v>0</v>
      </c>
      <c r="U39" s="627">
        <f t="shared" si="35"/>
        <v>0</v>
      </c>
      <c r="V39" s="682">
        <f t="shared" si="35"/>
        <v>0</v>
      </c>
      <c r="W39" s="565">
        <f>SUM(B39:V39)</f>
        <v>51</v>
      </c>
      <c r="X39" s="566"/>
      <c r="Y39" s="565"/>
      <c r="Z39" s="566"/>
      <c r="AA39" s="567"/>
      <c r="AB39" s="560"/>
      <c r="AC39" s="560"/>
    </row>
    <row r="40" spans="1:29" s="561" customFormat="1" ht="10.050000000000001" customHeight="1">
      <c r="A40" s="564" t="s">
        <v>33</v>
      </c>
      <c r="B40" s="628">
        <f>'TAU Easy'!$F$3/$A$1</f>
        <v>1032.5333333333333</v>
      </c>
      <c r="C40" s="628">
        <f>'TAU Easy'!$F$3/$A$1</f>
        <v>1032.5333333333333</v>
      </c>
      <c r="D40" s="628">
        <f>'TAU Easy'!$F$3/$A$1</f>
        <v>1032.5333333333333</v>
      </c>
      <c r="E40" s="628">
        <f>'TAU Easy'!$F$3/$A$1</f>
        <v>1032.5333333333333</v>
      </c>
      <c r="F40" s="628">
        <f>'TAU Easy'!$F$3/$A$1</f>
        <v>1032.5333333333333</v>
      </c>
      <c r="G40" s="628">
        <f>'TAU Easy'!$F$3/$A$1</f>
        <v>1032.5333333333333</v>
      </c>
      <c r="H40" s="628">
        <f>'TAU Easy'!$F$3/$A$1</f>
        <v>1032.5333333333333</v>
      </c>
      <c r="I40" s="628">
        <f>'TAU Easy'!$F$3/$A$1</f>
        <v>1032.5333333333333</v>
      </c>
      <c r="J40" s="628">
        <f>'TAU Easy'!$F$3/$A$1</f>
        <v>1032.5333333333333</v>
      </c>
      <c r="K40" s="628">
        <f>'TAU Easy'!$F$3/$A$1</f>
        <v>1032.5333333333333</v>
      </c>
      <c r="L40" s="628">
        <f>'TAU Easy'!$F$3/$A$1</f>
        <v>1032.5333333333333</v>
      </c>
      <c r="M40" s="628">
        <f>'TAU Easy'!$F$3/$A$1</f>
        <v>1032.5333333333333</v>
      </c>
      <c r="N40" s="628">
        <f>'TAU Easy'!$F$3/$A$1</f>
        <v>1032.5333333333333</v>
      </c>
      <c r="O40" s="628">
        <f>'TAU Easy'!$F$3/$A$1</f>
        <v>1032.5333333333333</v>
      </c>
      <c r="P40" s="628">
        <f>'TAU Easy'!$F$3/$A$1</f>
        <v>1032.5333333333333</v>
      </c>
      <c r="Q40" s="628">
        <f>'TAU Easy'!$F$3/$A$1</f>
        <v>1032.5333333333333</v>
      </c>
      <c r="R40" s="628">
        <f>'TAU Easy'!$F$3/$A$1</f>
        <v>1032.5333333333333</v>
      </c>
      <c r="S40" s="628">
        <f>'TAU Easy'!$F$3/$A$1</f>
        <v>1032.5333333333333</v>
      </c>
      <c r="T40" s="628">
        <f>'TAU Easy'!$F$3/$A$1</f>
        <v>1032.5333333333333</v>
      </c>
      <c r="U40" s="628">
        <f>'TAU Easy'!$F$3/$A$1</f>
        <v>1032.5333333333333</v>
      </c>
      <c r="V40" s="628">
        <f>'TAU Easy'!$F$3/$A$1</f>
        <v>1032.5333333333333</v>
      </c>
      <c r="W40" s="568"/>
      <c r="X40" s="569"/>
      <c r="Y40" s="568"/>
      <c r="Z40" s="569"/>
      <c r="AA40" s="570"/>
      <c r="AB40" s="560"/>
      <c r="AC40" s="560"/>
    </row>
    <row r="41" spans="1:29" s="561" customFormat="1" ht="10.050000000000001" customHeight="1">
      <c r="A41" s="562" t="s">
        <v>34</v>
      </c>
      <c r="B41" s="630">
        <f t="shared" ref="B41:V41" si="36">B42*B43</f>
        <v>0</v>
      </c>
      <c r="C41" s="571">
        <f t="shared" si="36"/>
        <v>0</v>
      </c>
      <c r="D41" s="571">
        <f t="shared" si="36"/>
        <v>0</v>
      </c>
      <c r="E41" s="631">
        <f t="shared" si="36"/>
        <v>0</v>
      </c>
      <c r="F41" s="630">
        <f t="shared" si="36"/>
        <v>0</v>
      </c>
      <c r="G41" s="571">
        <f t="shared" si="36"/>
        <v>0</v>
      </c>
      <c r="H41" s="571">
        <f t="shared" si="36"/>
        <v>7227.7333333333336</v>
      </c>
      <c r="I41" s="631">
        <f t="shared" si="36"/>
        <v>9292.7999999999993</v>
      </c>
      <c r="J41" s="630">
        <f t="shared" si="36"/>
        <v>12390.4</v>
      </c>
      <c r="K41" s="571">
        <f t="shared" si="36"/>
        <v>15488</v>
      </c>
      <c r="L41" s="571">
        <f t="shared" si="36"/>
        <v>18585.599999999999</v>
      </c>
      <c r="M41" s="631">
        <f t="shared" si="36"/>
        <v>22715.733333333334</v>
      </c>
      <c r="N41" s="630">
        <f t="shared" si="36"/>
        <v>27878.399999999998</v>
      </c>
      <c r="O41" s="571">
        <f t="shared" si="36"/>
        <v>34073.599999999999</v>
      </c>
      <c r="P41" s="571">
        <f t="shared" si="36"/>
        <v>41301.333333333328</v>
      </c>
      <c r="Q41" s="631">
        <f t="shared" si="36"/>
        <v>49561.599999999999</v>
      </c>
      <c r="R41" s="630">
        <f t="shared" si="36"/>
        <v>59886.933333333334</v>
      </c>
      <c r="S41" s="571">
        <f t="shared" si="36"/>
        <v>72277.333333333328</v>
      </c>
      <c r="T41" s="571">
        <f t="shared" si="36"/>
        <v>86732.800000000003</v>
      </c>
      <c r="U41" s="631">
        <f t="shared" si="36"/>
        <v>104285.86666666667</v>
      </c>
      <c r="V41" s="684">
        <f t="shared" si="36"/>
        <v>125969.06666666667</v>
      </c>
      <c r="W41" s="572"/>
      <c r="X41" s="573"/>
      <c r="Y41" s="572"/>
      <c r="Z41" s="573"/>
      <c r="AA41" s="574"/>
      <c r="AB41" s="575"/>
      <c r="AC41" s="575"/>
    </row>
    <row r="42" spans="1:29" s="561" customFormat="1" ht="10.050000000000001" customHeight="1">
      <c r="A42" s="564" t="s">
        <v>32</v>
      </c>
      <c r="B42" s="626">
        <v>0</v>
      </c>
      <c r="C42" s="576">
        <f t="shared" ref="C42:F42" si="37">B42*1.1</f>
        <v>0</v>
      </c>
      <c r="D42" s="576">
        <f t="shared" si="37"/>
        <v>0</v>
      </c>
      <c r="E42" s="627">
        <f t="shared" si="37"/>
        <v>0</v>
      </c>
      <c r="F42" s="626">
        <f t="shared" si="37"/>
        <v>0</v>
      </c>
      <c r="G42" s="576">
        <v>0</v>
      </c>
      <c r="H42" s="576">
        <v>7</v>
      </c>
      <c r="I42" s="627">
        <f t="shared" ref="I42" si="38">_xlfn.CEILING.PRECISE((H42*1.2),1)</f>
        <v>9</v>
      </c>
      <c r="J42" s="626">
        <f>_xlfn.CEILING.PRECISE((I42*1.3),1)</f>
        <v>12</v>
      </c>
      <c r="K42" s="626">
        <f t="shared" ref="K42" si="39">_xlfn.CEILING.PRECISE((J42*1.2),1)</f>
        <v>15</v>
      </c>
      <c r="L42" s="626">
        <f t="shared" ref="L42" si="40">_xlfn.CEILING.PRECISE((K42*1.2),1)</f>
        <v>18</v>
      </c>
      <c r="M42" s="626">
        <f t="shared" ref="M42" si="41">_xlfn.CEILING.PRECISE((L42*1.2),1)</f>
        <v>22</v>
      </c>
      <c r="N42" s="626">
        <f t="shared" ref="N42" si="42">_xlfn.CEILING.PRECISE((M42*1.2),1)</f>
        <v>27</v>
      </c>
      <c r="O42" s="626">
        <f t="shared" ref="O42" si="43">_xlfn.CEILING.PRECISE((N42*1.2),1)</f>
        <v>33</v>
      </c>
      <c r="P42" s="626">
        <f t="shared" ref="P42" si="44">_xlfn.CEILING.PRECISE((O42*1.2),1)</f>
        <v>40</v>
      </c>
      <c r="Q42" s="626">
        <f t="shared" ref="Q42" si="45">_xlfn.CEILING.PRECISE((P42*1.2),1)</f>
        <v>48</v>
      </c>
      <c r="R42" s="626">
        <f t="shared" ref="R42" si="46">_xlfn.CEILING.PRECISE((Q42*1.2),1)</f>
        <v>58</v>
      </c>
      <c r="S42" s="626">
        <f t="shared" ref="S42" si="47">_xlfn.CEILING.PRECISE((R42*1.2),1)</f>
        <v>70</v>
      </c>
      <c r="T42" s="626">
        <f t="shared" ref="T42" si="48">_xlfn.CEILING.PRECISE((S42*1.2),1)</f>
        <v>84</v>
      </c>
      <c r="U42" s="626">
        <f t="shared" ref="U42" si="49">_xlfn.CEILING.PRECISE((T42*1.2),1)</f>
        <v>101</v>
      </c>
      <c r="V42" s="626">
        <f t="shared" ref="V42" si="50">_xlfn.CEILING.PRECISE((U42*1.2),1)</f>
        <v>122</v>
      </c>
      <c r="W42" s="565">
        <f>SUM(B42:V42)</f>
        <v>666</v>
      </c>
      <c r="X42" s="557"/>
      <c r="Y42" s="556"/>
      <c r="Z42" s="557"/>
      <c r="AA42" s="563"/>
      <c r="AB42" s="560"/>
      <c r="AC42" s="560"/>
    </row>
    <row r="43" spans="1:29" s="561" customFormat="1" ht="10.050000000000001" customHeight="1">
      <c r="A43" s="564" t="s">
        <v>33</v>
      </c>
      <c r="B43" s="628">
        <f t="shared" ref="B43:V43" si="51">$B40*1</f>
        <v>1032.5333333333333</v>
      </c>
      <c r="C43" s="577">
        <f t="shared" si="51"/>
        <v>1032.5333333333333</v>
      </c>
      <c r="D43" s="577">
        <f t="shared" si="51"/>
        <v>1032.5333333333333</v>
      </c>
      <c r="E43" s="629">
        <f t="shared" si="51"/>
        <v>1032.5333333333333</v>
      </c>
      <c r="F43" s="628">
        <f t="shared" si="51"/>
        <v>1032.5333333333333</v>
      </c>
      <c r="G43" s="577">
        <f t="shared" si="51"/>
        <v>1032.5333333333333</v>
      </c>
      <c r="H43" s="577">
        <f t="shared" si="51"/>
        <v>1032.5333333333333</v>
      </c>
      <c r="I43" s="629">
        <f t="shared" si="51"/>
        <v>1032.5333333333333</v>
      </c>
      <c r="J43" s="628">
        <f t="shared" si="51"/>
        <v>1032.5333333333333</v>
      </c>
      <c r="K43" s="577">
        <f t="shared" si="51"/>
        <v>1032.5333333333333</v>
      </c>
      <c r="L43" s="577">
        <f t="shared" si="51"/>
        <v>1032.5333333333333</v>
      </c>
      <c r="M43" s="629">
        <f t="shared" si="51"/>
        <v>1032.5333333333333</v>
      </c>
      <c r="N43" s="628">
        <f t="shared" si="51"/>
        <v>1032.5333333333333</v>
      </c>
      <c r="O43" s="577">
        <f t="shared" si="51"/>
        <v>1032.5333333333333</v>
      </c>
      <c r="P43" s="577">
        <f t="shared" si="51"/>
        <v>1032.5333333333333</v>
      </c>
      <c r="Q43" s="629">
        <f t="shared" si="51"/>
        <v>1032.5333333333333</v>
      </c>
      <c r="R43" s="628">
        <f t="shared" si="51"/>
        <v>1032.5333333333333</v>
      </c>
      <c r="S43" s="577">
        <f t="shared" si="51"/>
        <v>1032.5333333333333</v>
      </c>
      <c r="T43" s="577">
        <f t="shared" si="51"/>
        <v>1032.5333333333333</v>
      </c>
      <c r="U43" s="629">
        <f t="shared" si="51"/>
        <v>1032.5333333333333</v>
      </c>
      <c r="V43" s="683">
        <f t="shared" si="51"/>
        <v>1032.5333333333333</v>
      </c>
      <c r="W43" s="568"/>
      <c r="X43" s="569"/>
      <c r="Y43" s="568"/>
      <c r="Z43" s="569"/>
      <c r="AA43" s="570"/>
      <c r="AB43" s="560"/>
      <c r="AC43" s="560"/>
    </row>
    <row r="44" spans="1:29" s="561" customFormat="1" ht="12.6" customHeight="1">
      <c r="A44" s="562" t="s">
        <v>35</v>
      </c>
      <c r="B44" s="628">
        <f t="shared" ref="B44:V44" si="52">B45*B46</f>
        <v>0</v>
      </c>
      <c r="C44" s="577">
        <f t="shared" si="52"/>
        <v>0</v>
      </c>
      <c r="D44" s="577">
        <f t="shared" si="52"/>
        <v>0</v>
      </c>
      <c r="E44" s="629">
        <f t="shared" si="52"/>
        <v>0</v>
      </c>
      <c r="F44" s="628">
        <f t="shared" si="52"/>
        <v>0</v>
      </c>
      <c r="G44" s="577">
        <f t="shared" si="52"/>
        <v>0</v>
      </c>
      <c r="H44" s="577">
        <f t="shared" si="52"/>
        <v>0</v>
      </c>
      <c r="I44" s="629">
        <f t="shared" si="52"/>
        <v>0</v>
      </c>
      <c r="J44" s="628">
        <f t="shared" si="52"/>
        <v>0</v>
      </c>
      <c r="K44" s="577">
        <f t="shared" si="52"/>
        <v>5162.6666666666661</v>
      </c>
      <c r="L44" s="577">
        <f t="shared" si="52"/>
        <v>7227.7333333333336</v>
      </c>
      <c r="M44" s="629">
        <f t="shared" si="52"/>
        <v>10325.333333333332</v>
      </c>
      <c r="N44" s="628">
        <f t="shared" si="52"/>
        <v>13422.933333333332</v>
      </c>
      <c r="O44" s="577">
        <f t="shared" si="52"/>
        <v>17553.066666666666</v>
      </c>
      <c r="P44" s="577">
        <f t="shared" si="52"/>
        <v>21683.200000000001</v>
      </c>
      <c r="Q44" s="629">
        <f t="shared" si="52"/>
        <v>26845.866666666665</v>
      </c>
      <c r="R44" s="628">
        <f t="shared" si="52"/>
        <v>33041.066666666666</v>
      </c>
      <c r="S44" s="577">
        <f t="shared" si="52"/>
        <v>40268.799999999996</v>
      </c>
      <c r="T44" s="577">
        <f t="shared" si="52"/>
        <v>48529.066666666666</v>
      </c>
      <c r="U44" s="629">
        <f t="shared" si="52"/>
        <v>58854.400000000001</v>
      </c>
      <c r="V44" s="683">
        <f t="shared" si="52"/>
        <v>71244.800000000003</v>
      </c>
      <c r="W44" s="568"/>
      <c r="X44" s="569"/>
      <c r="Y44" s="568"/>
      <c r="Z44" s="569"/>
      <c r="AA44" s="570"/>
      <c r="AB44" s="560"/>
      <c r="AC44" s="560"/>
    </row>
    <row r="45" spans="1:29" s="561" customFormat="1" ht="10.050000000000001" customHeight="1">
      <c r="A45" s="564" t="s">
        <v>32</v>
      </c>
      <c r="B45" s="626">
        <v>0</v>
      </c>
      <c r="C45" s="576">
        <v>0</v>
      </c>
      <c r="D45" s="576">
        <v>0</v>
      </c>
      <c r="E45" s="627">
        <v>0</v>
      </c>
      <c r="F45" s="626">
        <v>0</v>
      </c>
      <c r="G45" s="576">
        <v>0</v>
      </c>
      <c r="H45" s="576">
        <f>_xlfn.CEILING.PRECISE((G45*1.2),1)</f>
        <v>0</v>
      </c>
      <c r="I45" s="627">
        <f t="shared" ref="I45:V45" si="53">_xlfn.CEILING.PRECISE((H45*1.2),1)</f>
        <v>0</v>
      </c>
      <c r="J45" s="626">
        <f t="shared" si="53"/>
        <v>0</v>
      </c>
      <c r="K45" s="576">
        <v>5</v>
      </c>
      <c r="L45" s="576">
        <v>7</v>
      </c>
      <c r="M45" s="627">
        <v>10</v>
      </c>
      <c r="N45" s="626">
        <f>_xlfn.CEILING.PRECISE((M45*1.3),1)</f>
        <v>13</v>
      </c>
      <c r="O45" s="576">
        <f>_xlfn.CEILING.PRECISE((N45*1.3),1)</f>
        <v>17</v>
      </c>
      <c r="P45" s="576">
        <f t="shared" si="53"/>
        <v>21</v>
      </c>
      <c r="Q45" s="627">
        <f t="shared" si="53"/>
        <v>26</v>
      </c>
      <c r="R45" s="626">
        <f t="shared" si="53"/>
        <v>32</v>
      </c>
      <c r="S45" s="576">
        <f t="shared" si="53"/>
        <v>39</v>
      </c>
      <c r="T45" s="576">
        <f t="shared" si="53"/>
        <v>47</v>
      </c>
      <c r="U45" s="627">
        <f t="shared" si="53"/>
        <v>57</v>
      </c>
      <c r="V45" s="682">
        <f t="shared" si="53"/>
        <v>69</v>
      </c>
      <c r="W45" s="565">
        <f>SUM(B45:V45)</f>
        <v>343</v>
      </c>
      <c r="X45" s="557"/>
      <c r="Y45" s="556"/>
      <c r="Z45" s="557"/>
      <c r="AA45" s="563"/>
      <c r="AB45" s="560"/>
      <c r="AC45" s="560"/>
    </row>
    <row r="46" spans="1:29" s="561" customFormat="1" ht="10.050000000000001" customHeight="1">
      <c r="A46" s="564" t="s">
        <v>33</v>
      </c>
      <c r="B46" s="628">
        <f>$B40*1</f>
        <v>1032.5333333333333</v>
      </c>
      <c r="C46" s="577">
        <f t="shared" ref="C46:V46" si="54">$B40*1</f>
        <v>1032.5333333333333</v>
      </c>
      <c r="D46" s="577">
        <f t="shared" si="54"/>
        <v>1032.5333333333333</v>
      </c>
      <c r="E46" s="629">
        <f t="shared" si="54"/>
        <v>1032.5333333333333</v>
      </c>
      <c r="F46" s="628">
        <f t="shared" si="54"/>
        <v>1032.5333333333333</v>
      </c>
      <c r="G46" s="577">
        <f t="shared" si="54"/>
        <v>1032.5333333333333</v>
      </c>
      <c r="H46" s="577">
        <f t="shared" si="54"/>
        <v>1032.5333333333333</v>
      </c>
      <c r="I46" s="629">
        <f t="shared" si="54"/>
        <v>1032.5333333333333</v>
      </c>
      <c r="J46" s="628">
        <f t="shared" si="54"/>
        <v>1032.5333333333333</v>
      </c>
      <c r="K46" s="577">
        <f t="shared" si="54"/>
        <v>1032.5333333333333</v>
      </c>
      <c r="L46" s="577">
        <f t="shared" si="54"/>
        <v>1032.5333333333333</v>
      </c>
      <c r="M46" s="629">
        <f t="shared" si="54"/>
        <v>1032.5333333333333</v>
      </c>
      <c r="N46" s="628">
        <f t="shared" si="54"/>
        <v>1032.5333333333333</v>
      </c>
      <c r="O46" s="577">
        <f t="shared" si="54"/>
        <v>1032.5333333333333</v>
      </c>
      <c r="P46" s="577">
        <f t="shared" si="54"/>
        <v>1032.5333333333333</v>
      </c>
      <c r="Q46" s="629">
        <f t="shared" si="54"/>
        <v>1032.5333333333333</v>
      </c>
      <c r="R46" s="628">
        <f t="shared" si="54"/>
        <v>1032.5333333333333</v>
      </c>
      <c r="S46" s="577">
        <f t="shared" si="54"/>
        <v>1032.5333333333333</v>
      </c>
      <c r="T46" s="577">
        <f t="shared" si="54"/>
        <v>1032.5333333333333</v>
      </c>
      <c r="U46" s="629">
        <f t="shared" si="54"/>
        <v>1032.5333333333333</v>
      </c>
      <c r="V46" s="683">
        <f t="shared" si="54"/>
        <v>1032.5333333333333</v>
      </c>
      <c r="W46" s="568"/>
      <c r="X46" s="569"/>
      <c r="Y46" s="568"/>
      <c r="Z46" s="569"/>
      <c r="AA46" s="570"/>
      <c r="AB46" s="560"/>
      <c r="AC46" s="560"/>
    </row>
    <row r="47" spans="1:29" s="33" customFormat="1" ht="10.050000000000001" customHeight="1">
      <c r="A47" s="218" t="s">
        <v>17</v>
      </c>
      <c r="B47" s="632">
        <f>B49+B52+B55</f>
        <v>0</v>
      </c>
      <c r="C47" s="20">
        <f t="shared" ref="C47:V47" si="55">C49+C52+C55</f>
        <v>0</v>
      </c>
      <c r="D47" s="20">
        <f t="shared" si="55"/>
        <v>0</v>
      </c>
      <c r="E47" s="633">
        <f t="shared" si="55"/>
        <v>0</v>
      </c>
      <c r="F47" s="632">
        <f t="shared" si="55"/>
        <v>0</v>
      </c>
      <c r="G47" s="20">
        <f t="shared" si="55"/>
        <v>120</v>
      </c>
      <c r="H47" s="20">
        <f t="shared" si="55"/>
        <v>186</v>
      </c>
      <c r="I47" s="633">
        <f t="shared" si="55"/>
        <v>289</v>
      </c>
      <c r="J47" s="632">
        <f t="shared" si="55"/>
        <v>499</v>
      </c>
      <c r="K47" s="20">
        <f t="shared" si="55"/>
        <v>814</v>
      </c>
      <c r="L47" s="20">
        <f t="shared" si="55"/>
        <v>1334</v>
      </c>
      <c r="M47" s="633">
        <f t="shared" si="55"/>
        <v>2195</v>
      </c>
      <c r="N47" s="632">
        <f t="shared" si="55"/>
        <v>3616</v>
      </c>
      <c r="O47" s="20">
        <f t="shared" si="55"/>
        <v>6129</v>
      </c>
      <c r="P47" s="20">
        <f t="shared" si="55"/>
        <v>10389</v>
      </c>
      <c r="Q47" s="633">
        <f t="shared" si="55"/>
        <v>17621</v>
      </c>
      <c r="R47" s="632">
        <f t="shared" si="55"/>
        <v>29908</v>
      </c>
      <c r="S47" s="20">
        <f>S49+S52+S55</f>
        <v>50774</v>
      </c>
      <c r="T47" s="20">
        <f t="shared" si="55"/>
        <v>86235</v>
      </c>
      <c r="U47" s="633">
        <f t="shared" si="55"/>
        <v>146479</v>
      </c>
      <c r="V47" s="685">
        <f t="shared" si="55"/>
        <v>248837</v>
      </c>
      <c r="W47" s="181">
        <f>SUM(B47:V47)</f>
        <v>605425</v>
      </c>
      <c r="X47" s="47" t="e">
        <f>W47*#REF!</f>
        <v>#REF!</v>
      </c>
      <c r="Y47" s="181" t="e">
        <f>W47*#REF!</f>
        <v>#REF!</v>
      </c>
      <c r="Z47" s="147" t="e">
        <f>X47-Y47</f>
        <v>#REF!</v>
      </c>
      <c r="AA47" s="162" t="e">
        <f>Z47/X47</f>
        <v>#REF!</v>
      </c>
      <c r="AB47" s="182"/>
      <c r="AC47" s="182"/>
    </row>
    <row r="48" spans="1:29" s="33" customFormat="1" ht="10.050000000000001" customHeight="1">
      <c r="A48" s="219" t="s">
        <v>31</v>
      </c>
      <c r="B48" s="632">
        <f t="shared" ref="B48:V48" si="56">B49*B50</f>
        <v>0</v>
      </c>
      <c r="C48" s="20">
        <f t="shared" si="56"/>
        <v>0</v>
      </c>
      <c r="D48" s="20">
        <f t="shared" si="56"/>
        <v>0</v>
      </c>
      <c r="E48" s="633">
        <f t="shared" si="56"/>
        <v>0</v>
      </c>
      <c r="F48" s="632">
        <f t="shared" si="56"/>
        <v>0</v>
      </c>
      <c r="G48" s="20">
        <f t="shared" si="56"/>
        <v>0</v>
      </c>
      <c r="H48" s="20">
        <f t="shared" si="56"/>
        <v>0</v>
      </c>
      <c r="I48" s="633">
        <f t="shared" si="56"/>
        <v>0</v>
      </c>
      <c r="J48" s="632">
        <f t="shared" si="56"/>
        <v>31836.444444444445</v>
      </c>
      <c r="K48" s="20">
        <f t="shared" si="56"/>
        <v>39072</v>
      </c>
      <c r="L48" s="20">
        <f t="shared" si="56"/>
        <v>50648.888888888891</v>
      </c>
      <c r="M48" s="633">
        <f t="shared" si="56"/>
        <v>70908.444444444438</v>
      </c>
      <c r="N48" s="632">
        <f t="shared" si="56"/>
        <v>99850.666666666672</v>
      </c>
      <c r="O48" s="20">
        <f t="shared" si="56"/>
        <v>141816.88888888888</v>
      </c>
      <c r="P48" s="20">
        <f t="shared" si="56"/>
        <v>196807.11111111109</v>
      </c>
      <c r="Q48" s="633">
        <f t="shared" si="56"/>
        <v>274951.11111111112</v>
      </c>
      <c r="R48" s="632">
        <f t="shared" si="56"/>
        <v>397955.55555555556</v>
      </c>
      <c r="S48" s="20">
        <f t="shared" si="56"/>
        <v>574503.11111111112</v>
      </c>
      <c r="T48" s="20">
        <f t="shared" si="56"/>
        <v>858136.88888888888</v>
      </c>
      <c r="U48" s="633">
        <f t="shared" si="56"/>
        <v>1283587.5555555555</v>
      </c>
      <c r="V48" s="685">
        <f t="shared" si="56"/>
        <v>1924657.7777777778</v>
      </c>
      <c r="W48" s="181">
        <f t="shared" ref="W48:W56" si="57">SUM(B48:V48)</f>
        <v>5944732.444444444</v>
      </c>
      <c r="X48" s="47"/>
      <c r="Y48" s="181"/>
      <c r="Z48" s="47"/>
      <c r="AA48" s="183"/>
      <c r="AB48" s="182"/>
      <c r="AC48" s="182"/>
    </row>
    <row r="49" spans="1:29" s="33" customFormat="1" ht="13.8" customHeight="1">
      <c r="A49" s="220" t="s">
        <v>453</v>
      </c>
      <c r="B49" s="634">
        <v>0</v>
      </c>
      <c r="C49" s="21">
        <v>0</v>
      </c>
      <c r="D49" s="21">
        <v>0</v>
      </c>
      <c r="E49" s="635">
        <v>0</v>
      </c>
      <c r="F49" s="634">
        <v>0</v>
      </c>
      <c r="G49" s="21">
        <v>0</v>
      </c>
      <c r="H49" s="21">
        <v>0</v>
      </c>
      <c r="I49" s="635">
        <v>0</v>
      </c>
      <c r="J49" s="634">
        <f>_xlfn.CEILING.PRECISE(((J9+J13)*2+J17+J21+J25),1)</f>
        <v>22</v>
      </c>
      <c r="K49" s="634">
        <f t="shared" ref="K49:V49" si="58">_xlfn.CEILING.PRECISE(((K9+K13)*2+K17+K21+K25),1)</f>
        <v>27</v>
      </c>
      <c r="L49" s="634">
        <f t="shared" si="58"/>
        <v>35</v>
      </c>
      <c r="M49" s="634">
        <f t="shared" si="58"/>
        <v>49</v>
      </c>
      <c r="N49" s="634">
        <f t="shared" si="58"/>
        <v>69</v>
      </c>
      <c r="O49" s="634">
        <f t="shared" si="58"/>
        <v>98</v>
      </c>
      <c r="P49" s="634">
        <f t="shared" si="58"/>
        <v>136</v>
      </c>
      <c r="Q49" s="634">
        <f t="shared" si="58"/>
        <v>190</v>
      </c>
      <c r="R49" s="634">
        <f t="shared" si="58"/>
        <v>275</v>
      </c>
      <c r="S49" s="634">
        <f t="shared" si="58"/>
        <v>397</v>
      </c>
      <c r="T49" s="634">
        <f t="shared" si="58"/>
        <v>593</v>
      </c>
      <c r="U49" s="634">
        <f t="shared" si="58"/>
        <v>887</v>
      </c>
      <c r="V49" s="634">
        <f t="shared" si="58"/>
        <v>1330</v>
      </c>
      <c r="W49" s="181">
        <f t="shared" si="57"/>
        <v>4108</v>
      </c>
      <c r="X49" s="48"/>
      <c r="Y49" s="184"/>
      <c r="Z49" s="48"/>
      <c r="AA49" s="185"/>
      <c r="AB49" s="182"/>
      <c r="AC49" s="182"/>
    </row>
    <row r="50" spans="1:29" s="33" customFormat="1" ht="10.050000000000001" customHeight="1">
      <c r="A50" s="220" t="s">
        <v>33</v>
      </c>
      <c r="B50" s="636">
        <f>'TAU Haptic'!$F$3/$A$1</f>
        <v>1447.1111111111111</v>
      </c>
      <c r="C50" s="636">
        <f>'TAU Haptic'!$F$3/$A$1</f>
        <v>1447.1111111111111</v>
      </c>
      <c r="D50" s="636">
        <f>'TAU Haptic'!$F$3/$A$1</f>
        <v>1447.1111111111111</v>
      </c>
      <c r="E50" s="636">
        <f>'TAU Haptic'!$F$3/$A$1</f>
        <v>1447.1111111111111</v>
      </c>
      <c r="F50" s="636">
        <f>'TAU Haptic'!$F$3/$A$1</f>
        <v>1447.1111111111111</v>
      </c>
      <c r="G50" s="636">
        <f>'TAU Haptic'!$F$3/$A$1</f>
        <v>1447.1111111111111</v>
      </c>
      <c r="H50" s="636">
        <f>'TAU Haptic'!$F$3/$A$1</f>
        <v>1447.1111111111111</v>
      </c>
      <c r="I50" s="636">
        <f>'TAU Haptic'!$F$3/$A$1</f>
        <v>1447.1111111111111</v>
      </c>
      <c r="J50" s="636">
        <f>'TAU Haptic'!$F$3/$A$1</f>
        <v>1447.1111111111111</v>
      </c>
      <c r="K50" s="636">
        <f>'TAU Haptic'!$F$3/$A$1</f>
        <v>1447.1111111111111</v>
      </c>
      <c r="L50" s="636">
        <f>'TAU Haptic'!$F$3/$A$1</f>
        <v>1447.1111111111111</v>
      </c>
      <c r="M50" s="636">
        <f>'TAU Haptic'!$F$3/$A$1</f>
        <v>1447.1111111111111</v>
      </c>
      <c r="N50" s="636">
        <f>'TAU Haptic'!$F$3/$A$1</f>
        <v>1447.1111111111111</v>
      </c>
      <c r="O50" s="636">
        <f>'TAU Haptic'!$F$3/$A$1</f>
        <v>1447.1111111111111</v>
      </c>
      <c r="P50" s="636">
        <f>'TAU Haptic'!$F$3/$A$1</f>
        <v>1447.1111111111111</v>
      </c>
      <c r="Q50" s="636">
        <f>'TAU Haptic'!$F$3/$A$1</f>
        <v>1447.1111111111111</v>
      </c>
      <c r="R50" s="636">
        <f>'TAU Haptic'!$F$3/$A$1</f>
        <v>1447.1111111111111</v>
      </c>
      <c r="S50" s="636">
        <f>'TAU Haptic'!$F$3/$A$1</f>
        <v>1447.1111111111111</v>
      </c>
      <c r="T50" s="636">
        <f>'TAU Haptic'!$F$3/$A$1</f>
        <v>1447.1111111111111</v>
      </c>
      <c r="U50" s="636">
        <f>'TAU Haptic'!$F$3/$A$1</f>
        <v>1447.1111111111111</v>
      </c>
      <c r="V50" s="636">
        <f>'TAU Haptic'!$F$3/$A$1</f>
        <v>1447.1111111111111</v>
      </c>
      <c r="W50" s="181">
        <f t="shared" si="57"/>
        <v>30389.333333333318</v>
      </c>
      <c r="X50" s="49"/>
      <c r="Y50" s="186"/>
      <c r="Z50" s="49"/>
      <c r="AA50" s="187"/>
      <c r="AB50" s="182"/>
      <c r="AC50" s="182"/>
    </row>
    <row r="51" spans="1:29" s="33" customFormat="1" ht="10.050000000000001" customHeight="1">
      <c r="A51" s="219" t="s">
        <v>34</v>
      </c>
      <c r="B51" s="638">
        <f t="shared" ref="B51:V51" si="59">B52*B53</f>
        <v>0</v>
      </c>
      <c r="C51" s="23">
        <f t="shared" si="59"/>
        <v>0</v>
      </c>
      <c r="D51" s="23">
        <f t="shared" si="59"/>
        <v>0</v>
      </c>
      <c r="E51" s="639">
        <f t="shared" si="59"/>
        <v>0</v>
      </c>
      <c r="F51" s="638">
        <f t="shared" si="59"/>
        <v>0</v>
      </c>
      <c r="G51" s="23">
        <f t="shared" si="59"/>
        <v>86826.666666666672</v>
      </c>
      <c r="H51" s="23">
        <f t="shared" si="59"/>
        <v>130240</v>
      </c>
      <c r="I51" s="639">
        <f t="shared" si="59"/>
        <v>195360</v>
      </c>
      <c r="J51" s="638">
        <f t="shared" si="59"/>
        <v>332835.55555555556</v>
      </c>
      <c r="K51" s="23">
        <f t="shared" si="59"/>
        <v>565820.44444444438</v>
      </c>
      <c r="L51" s="23">
        <f t="shared" si="59"/>
        <v>962328.88888888888</v>
      </c>
      <c r="M51" s="639">
        <f t="shared" si="59"/>
        <v>1636682.6666666667</v>
      </c>
      <c r="N51" s="638">
        <f t="shared" si="59"/>
        <v>2782794.6666666665</v>
      </c>
      <c r="O51" s="23">
        <f t="shared" si="59"/>
        <v>4732053.333333333</v>
      </c>
      <c r="P51" s="23">
        <f t="shared" si="59"/>
        <v>8044490.666666667</v>
      </c>
      <c r="Q51" s="639">
        <f t="shared" si="59"/>
        <v>13676647.11111111</v>
      </c>
      <c r="R51" s="638">
        <f t="shared" si="59"/>
        <v>23250734.22222222</v>
      </c>
      <c r="S51" s="23">
        <f t="shared" si="59"/>
        <v>39526392.888888888</v>
      </c>
      <c r="T51" s="23">
        <f t="shared" si="59"/>
        <v>67195157.333333328</v>
      </c>
      <c r="U51" s="639">
        <f t="shared" si="59"/>
        <v>114232056.88888888</v>
      </c>
      <c r="V51" s="687">
        <f t="shared" si="59"/>
        <v>194195075.55555555</v>
      </c>
      <c r="W51" s="181">
        <f t="shared" si="57"/>
        <v>471545496.88888884</v>
      </c>
      <c r="X51" s="50"/>
      <c r="Y51" s="188"/>
      <c r="Z51" s="50"/>
      <c r="AA51" s="189"/>
      <c r="AB51" s="46"/>
      <c r="AC51" s="46"/>
    </row>
    <row r="52" spans="1:29" s="33" customFormat="1" ht="10.050000000000001" customHeight="1">
      <c r="A52" s="220" t="s">
        <v>32</v>
      </c>
      <c r="B52" s="634">
        <v>0</v>
      </c>
      <c r="C52" s="21">
        <v>0</v>
      </c>
      <c r="D52" s="21">
        <v>0</v>
      </c>
      <c r="E52" s="635">
        <v>0</v>
      </c>
      <c r="F52" s="634">
        <v>0</v>
      </c>
      <c r="G52" s="21">
        <v>60</v>
      </c>
      <c r="H52" s="21">
        <f>_xlfn.CEILING.PRECISE((G52*1.5),1)</f>
        <v>90</v>
      </c>
      <c r="I52" s="21">
        <f t="shared" ref="I52" si="60">_xlfn.CEILING.PRECISE((H52*1.5),1)</f>
        <v>135</v>
      </c>
      <c r="J52" s="21">
        <f>_xlfn.CEILING.PRECISE((I52*1.7),1)</f>
        <v>230</v>
      </c>
      <c r="K52" s="21">
        <f t="shared" ref="K52:V52" si="61">_xlfn.CEILING.PRECISE((J52*1.7),1)</f>
        <v>391</v>
      </c>
      <c r="L52" s="21">
        <f t="shared" si="61"/>
        <v>665</v>
      </c>
      <c r="M52" s="21">
        <f t="shared" si="61"/>
        <v>1131</v>
      </c>
      <c r="N52" s="21">
        <f t="shared" si="61"/>
        <v>1923</v>
      </c>
      <c r="O52" s="21">
        <f t="shared" si="61"/>
        <v>3270</v>
      </c>
      <c r="P52" s="21">
        <f t="shared" si="61"/>
        <v>5559</v>
      </c>
      <c r="Q52" s="21">
        <f t="shared" si="61"/>
        <v>9451</v>
      </c>
      <c r="R52" s="21">
        <f t="shared" si="61"/>
        <v>16067</v>
      </c>
      <c r="S52" s="21">
        <f t="shared" si="61"/>
        <v>27314</v>
      </c>
      <c r="T52" s="21">
        <f t="shared" si="61"/>
        <v>46434</v>
      </c>
      <c r="U52" s="21">
        <f t="shared" si="61"/>
        <v>78938</v>
      </c>
      <c r="V52" s="21">
        <f t="shared" si="61"/>
        <v>134195</v>
      </c>
      <c r="W52" s="181">
        <f t="shared" si="57"/>
        <v>325853</v>
      </c>
      <c r="X52" s="47"/>
      <c r="Y52" s="181"/>
      <c r="Z52" s="47"/>
      <c r="AA52" s="183"/>
      <c r="AB52" s="182"/>
      <c r="AC52" s="182"/>
    </row>
    <row r="53" spans="1:29" s="33" customFormat="1" ht="10.050000000000001" customHeight="1">
      <c r="A53" s="220" t="s">
        <v>33</v>
      </c>
      <c r="B53" s="636">
        <f>B50*1</f>
        <v>1447.1111111111111</v>
      </c>
      <c r="C53" s="22">
        <f t="shared" ref="C53:V53" si="62">C50*1</f>
        <v>1447.1111111111111</v>
      </c>
      <c r="D53" s="22">
        <f t="shared" si="62"/>
        <v>1447.1111111111111</v>
      </c>
      <c r="E53" s="637">
        <f t="shared" si="62"/>
        <v>1447.1111111111111</v>
      </c>
      <c r="F53" s="636">
        <f t="shared" si="62"/>
        <v>1447.1111111111111</v>
      </c>
      <c r="G53" s="22">
        <f t="shared" si="62"/>
        <v>1447.1111111111111</v>
      </c>
      <c r="H53" s="22">
        <f t="shared" si="62"/>
        <v>1447.1111111111111</v>
      </c>
      <c r="I53" s="637">
        <f t="shared" si="62"/>
        <v>1447.1111111111111</v>
      </c>
      <c r="J53" s="636">
        <f t="shared" si="62"/>
        <v>1447.1111111111111</v>
      </c>
      <c r="K53" s="22">
        <f t="shared" si="62"/>
        <v>1447.1111111111111</v>
      </c>
      <c r="L53" s="22">
        <f t="shared" si="62"/>
        <v>1447.1111111111111</v>
      </c>
      <c r="M53" s="637">
        <f t="shared" si="62"/>
        <v>1447.1111111111111</v>
      </c>
      <c r="N53" s="636">
        <f t="shared" si="62"/>
        <v>1447.1111111111111</v>
      </c>
      <c r="O53" s="22">
        <f t="shared" si="62"/>
        <v>1447.1111111111111</v>
      </c>
      <c r="P53" s="22">
        <f t="shared" si="62"/>
        <v>1447.1111111111111</v>
      </c>
      <c r="Q53" s="637">
        <f t="shared" si="62"/>
        <v>1447.1111111111111</v>
      </c>
      <c r="R53" s="636">
        <f t="shared" si="62"/>
        <v>1447.1111111111111</v>
      </c>
      <c r="S53" s="22">
        <f t="shared" si="62"/>
        <v>1447.1111111111111</v>
      </c>
      <c r="T53" s="22">
        <f t="shared" si="62"/>
        <v>1447.1111111111111</v>
      </c>
      <c r="U53" s="637">
        <f t="shared" si="62"/>
        <v>1447.1111111111111</v>
      </c>
      <c r="V53" s="686">
        <f t="shared" si="62"/>
        <v>1447.1111111111111</v>
      </c>
      <c r="W53" s="181">
        <f t="shared" si="57"/>
        <v>30389.333333333318</v>
      </c>
      <c r="X53" s="49"/>
      <c r="Y53" s="186"/>
      <c r="Z53" s="49"/>
      <c r="AA53" s="187"/>
      <c r="AB53" s="182"/>
      <c r="AC53" s="182"/>
    </row>
    <row r="54" spans="1:29" s="33" customFormat="1" ht="13.8" customHeight="1">
      <c r="A54" s="219" t="s">
        <v>35</v>
      </c>
      <c r="B54" s="638">
        <f t="shared" ref="B54:V54" si="63">B55*B56</f>
        <v>0</v>
      </c>
      <c r="C54" s="23">
        <f t="shared" si="63"/>
        <v>0</v>
      </c>
      <c r="D54" s="23">
        <f t="shared" si="63"/>
        <v>0</v>
      </c>
      <c r="E54" s="639">
        <f t="shared" si="63"/>
        <v>0</v>
      </c>
      <c r="F54" s="638">
        <f t="shared" si="63"/>
        <v>0</v>
      </c>
      <c r="G54" s="23">
        <f t="shared" si="63"/>
        <v>86826.666666666672</v>
      </c>
      <c r="H54" s="23">
        <f t="shared" si="63"/>
        <v>138922.66666666666</v>
      </c>
      <c r="I54" s="639">
        <f t="shared" si="63"/>
        <v>222855.11111111109</v>
      </c>
      <c r="J54" s="638">
        <f t="shared" si="63"/>
        <v>357436.44444444444</v>
      </c>
      <c r="K54" s="23">
        <f t="shared" si="63"/>
        <v>573056</v>
      </c>
      <c r="L54" s="23">
        <f t="shared" si="63"/>
        <v>917468.44444444438</v>
      </c>
      <c r="M54" s="639">
        <f t="shared" si="63"/>
        <v>1468817.7777777778</v>
      </c>
      <c r="N54" s="638">
        <f t="shared" si="63"/>
        <v>2350108.4444444445</v>
      </c>
      <c r="O54" s="23">
        <f t="shared" si="63"/>
        <v>3995473.7777777775</v>
      </c>
      <c r="P54" s="23">
        <f t="shared" si="63"/>
        <v>6792739.555555555</v>
      </c>
      <c r="Q54" s="639">
        <f t="shared" si="63"/>
        <v>11547946.666666666</v>
      </c>
      <c r="R54" s="638">
        <f t="shared" si="63"/>
        <v>19631509.333333332</v>
      </c>
      <c r="S54" s="23">
        <f t="shared" si="63"/>
        <v>33374723.555555556</v>
      </c>
      <c r="T54" s="23">
        <f t="shared" si="63"/>
        <v>56738332.44444444</v>
      </c>
      <c r="U54" s="639">
        <f t="shared" si="63"/>
        <v>96455744</v>
      </c>
      <c r="V54" s="687">
        <f t="shared" si="63"/>
        <v>163975054.22222221</v>
      </c>
      <c r="W54" s="181">
        <f t="shared" si="57"/>
        <v>398627015.11111104</v>
      </c>
      <c r="X54" s="50"/>
      <c r="Y54" s="188"/>
      <c r="Z54" s="50"/>
      <c r="AA54" s="189"/>
      <c r="AB54" s="46"/>
      <c r="AC54" s="46"/>
    </row>
    <row r="55" spans="1:29" s="33" customFormat="1" ht="10.050000000000001" customHeight="1">
      <c r="A55" s="220" t="s">
        <v>32</v>
      </c>
      <c r="B55" s="634">
        <v>0</v>
      </c>
      <c r="C55" s="21">
        <v>0</v>
      </c>
      <c r="D55" s="21">
        <v>0</v>
      </c>
      <c r="E55" s="635">
        <v>0</v>
      </c>
      <c r="F55" s="634">
        <v>0</v>
      </c>
      <c r="G55" s="21">
        <v>60</v>
      </c>
      <c r="H55" s="21">
        <f>_xlfn.CEILING.PRECISE((G55*1.6),1)</f>
        <v>96</v>
      </c>
      <c r="I55" s="21">
        <f t="shared" ref="I55:N55" si="64">_xlfn.CEILING.PRECISE((H55*1.6),1)</f>
        <v>154</v>
      </c>
      <c r="J55" s="21">
        <f t="shared" si="64"/>
        <v>247</v>
      </c>
      <c r="K55" s="21">
        <f t="shared" si="64"/>
        <v>396</v>
      </c>
      <c r="L55" s="21">
        <f t="shared" si="64"/>
        <v>634</v>
      </c>
      <c r="M55" s="21">
        <f t="shared" si="64"/>
        <v>1015</v>
      </c>
      <c r="N55" s="21">
        <f t="shared" si="64"/>
        <v>1624</v>
      </c>
      <c r="O55" s="21">
        <f>_xlfn.CEILING.PRECISE((N55*1.7),1)</f>
        <v>2761</v>
      </c>
      <c r="P55" s="21">
        <f t="shared" ref="P55:V55" si="65">_xlfn.CEILING.PRECISE((O55*1.7),1)</f>
        <v>4694</v>
      </c>
      <c r="Q55" s="21">
        <f t="shared" si="65"/>
        <v>7980</v>
      </c>
      <c r="R55" s="21">
        <f t="shared" si="65"/>
        <v>13566</v>
      </c>
      <c r="S55" s="21">
        <f t="shared" si="65"/>
        <v>23063</v>
      </c>
      <c r="T55" s="21">
        <f t="shared" si="65"/>
        <v>39208</v>
      </c>
      <c r="U55" s="21">
        <f t="shared" si="65"/>
        <v>66654</v>
      </c>
      <c r="V55" s="21">
        <f t="shared" si="65"/>
        <v>113312</v>
      </c>
      <c r="W55" s="181">
        <f t="shared" si="57"/>
        <v>275464</v>
      </c>
      <c r="X55" s="47"/>
      <c r="Y55" s="181"/>
      <c r="Z55" s="47"/>
      <c r="AA55" s="183"/>
      <c r="AB55" s="182"/>
      <c r="AC55" s="182"/>
    </row>
    <row r="56" spans="1:29" s="33" customFormat="1" ht="10.050000000000001" customHeight="1">
      <c r="A56" s="220" t="s">
        <v>33</v>
      </c>
      <c r="B56" s="636">
        <f>B50*1</f>
        <v>1447.1111111111111</v>
      </c>
      <c r="C56" s="22">
        <f t="shared" ref="C56:V56" si="66">C50*1</f>
        <v>1447.1111111111111</v>
      </c>
      <c r="D56" s="22">
        <f t="shared" si="66"/>
        <v>1447.1111111111111</v>
      </c>
      <c r="E56" s="637">
        <f t="shared" si="66"/>
        <v>1447.1111111111111</v>
      </c>
      <c r="F56" s="636">
        <f t="shared" si="66"/>
        <v>1447.1111111111111</v>
      </c>
      <c r="G56" s="22">
        <f t="shared" si="66"/>
        <v>1447.1111111111111</v>
      </c>
      <c r="H56" s="22">
        <f t="shared" si="66"/>
        <v>1447.1111111111111</v>
      </c>
      <c r="I56" s="637">
        <f t="shared" si="66"/>
        <v>1447.1111111111111</v>
      </c>
      <c r="J56" s="636">
        <f t="shared" si="66"/>
        <v>1447.1111111111111</v>
      </c>
      <c r="K56" s="22">
        <f t="shared" si="66"/>
        <v>1447.1111111111111</v>
      </c>
      <c r="L56" s="22">
        <f t="shared" si="66"/>
        <v>1447.1111111111111</v>
      </c>
      <c r="M56" s="637">
        <f t="shared" si="66"/>
        <v>1447.1111111111111</v>
      </c>
      <c r="N56" s="636">
        <f t="shared" si="66"/>
        <v>1447.1111111111111</v>
      </c>
      <c r="O56" s="22">
        <f t="shared" si="66"/>
        <v>1447.1111111111111</v>
      </c>
      <c r="P56" s="22">
        <f t="shared" si="66"/>
        <v>1447.1111111111111</v>
      </c>
      <c r="Q56" s="637">
        <f t="shared" si="66"/>
        <v>1447.1111111111111</v>
      </c>
      <c r="R56" s="636">
        <f t="shared" si="66"/>
        <v>1447.1111111111111</v>
      </c>
      <c r="S56" s="22">
        <f t="shared" si="66"/>
        <v>1447.1111111111111</v>
      </c>
      <c r="T56" s="22">
        <f t="shared" si="66"/>
        <v>1447.1111111111111</v>
      </c>
      <c r="U56" s="637">
        <f t="shared" si="66"/>
        <v>1447.1111111111111</v>
      </c>
      <c r="V56" s="686">
        <f t="shared" si="66"/>
        <v>1447.1111111111111</v>
      </c>
      <c r="W56" s="181">
        <f t="shared" si="57"/>
        <v>30389.333333333318</v>
      </c>
      <c r="X56" s="49"/>
      <c r="Y56" s="186"/>
      <c r="Z56" s="49"/>
      <c r="AA56" s="187"/>
      <c r="AB56" s="182"/>
      <c r="AC56" s="182"/>
    </row>
    <row r="57" spans="1:29" s="33" customFormat="1" ht="10.050000000000001" customHeight="1">
      <c r="A57" s="221" t="s">
        <v>1</v>
      </c>
      <c r="B57" s="640">
        <f>_xlfn.CEILING.PRECISE(B59+B62+B65,1)</f>
        <v>0</v>
      </c>
      <c r="C57" s="640">
        <f t="shared" ref="C57:V57" si="67">_xlfn.CEILING.PRECISE(C59+C62+C65,1)</f>
        <v>0</v>
      </c>
      <c r="D57" s="640">
        <f t="shared" si="67"/>
        <v>0</v>
      </c>
      <c r="E57" s="640">
        <f t="shared" si="67"/>
        <v>0</v>
      </c>
      <c r="F57" s="640">
        <f t="shared" si="67"/>
        <v>0</v>
      </c>
      <c r="G57" s="640">
        <f t="shared" si="67"/>
        <v>0</v>
      </c>
      <c r="H57" s="640">
        <f t="shared" si="67"/>
        <v>0</v>
      </c>
      <c r="I57" s="640">
        <f t="shared" si="67"/>
        <v>0</v>
      </c>
      <c r="J57" s="640">
        <f t="shared" si="67"/>
        <v>10</v>
      </c>
      <c r="K57" s="640">
        <f>_xlfn.CEILING.PRECISE(K59+K62+K65,1)</f>
        <v>55</v>
      </c>
      <c r="L57" s="640">
        <f>_xlfn.CEILING.PRECISE(L59+L62+L65,1)</f>
        <v>94</v>
      </c>
      <c r="M57" s="640">
        <f t="shared" si="67"/>
        <v>188</v>
      </c>
      <c r="N57" s="640">
        <f t="shared" si="67"/>
        <v>376</v>
      </c>
      <c r="O57" s="640">
        <f t="shared" si="67"/>
        <v>752</v>
      </c>
      <c r="P57" s="640">
        <f t="shared" si="67"/>
        <v>1504</v>
      </c>
      <c r="Q57" s="640">
        <f t="shared" si="67"/>
        <v>3008</v>
      </c>
      <c r="R57" s="640">
        <f t="shared" si="67"/>
        <v>6016</v>
      </c>
      <c r="S57" s="640">
        <f t="shared" si="67"/>
        <v>12032</v>
      </c>
      <c r="T57" s="640">
        <f t="shared" si="67"/>
        <v>24064</v>
      </c>
      <c r="U57" s="640">
        <f t="shared" si="67"/>
        <v>48128</v>
      </c>
      <c r="V57" s="640">
        <f t="shared" si="67"/>
        <v>96256</v>
      </c>
      <c r="W57" s="190">
        <f>SUM(B57:V57)</f>
        <v>192483</v>
      </c>
      <c r="X57" s="52" t="e">
        <f>W57*#REF!</f>
        <v>#REF!</v>
      </c>
      <c r="Y57" s="190" t="e">
        <f>W57*#REF!</f>
        <v>#REF!</v>
      </c>
      <c r="Z57" s="147" t="e">
        <f>X57-Y57</f>
        <v>#REF!</v>
      </c>
      <c r="AA57" s="162" t="e">
        <f>Z57/X57</f>
        <v>#REF!</v>
      </c>
      <c r="AB57" s="191"/>
      <c r="AC57" s="191"/>
    </row>
    <row r="58" spans="1:29" s="33" customFormat="1" ht="10.050000000000001" customHeight="1">
      <c r="A58" s="222" t="s">
        <v>31</v>
      </c>
      <c r="B58" s="640">
        <f t="shared" ref="B58:V58" si="68">B59*B60</f>
        <v>0</v>
      </c>
      <c r="C58" s="24">
        <f t="shared" si="68"/>
        <v>0</v>
      </c>
      <c r="D58" s="24">
        <f t="shared" si="68"/>
        <v>0</v>
      </c>
      <c r="E58" s="641">
        <f t="shared" si="68"/>
        <v>0</v>
      </c>
      <c r="F58" s="640">
        <f t="shared" si="68"/>
        <v>0</v>
      </c>
      <c r="G58" s="24">
        <f t="shared" si="68"/>
        <v>0</v>
      </c>
      <c r="H58" s="24">
        <f t="shared" si="68"/>
        <v>0</v>
      </c>
      <c r="I58" s="641">
        <f t="shared" si="68"/>
        <v>0</v>
      </c>
      <c r="J58" s="640">
        <f t="shared" si="68"/>
        <v>38133.333333333336</v>
      </c>
      <c r="K58" s="24">
        <f t="shared" si="68"/>
        <v>57200</v>
      </c>
      <c r="L58" s="24">
        <f t="shared" si="68"/>
        <v>114400</v>
      </c>
      <c r="M58" s="641">
        <f t="shared" si="68"/>
        <v>228800</v>
      </c>
      <c r="N58" s="640">
        <f t="shared" si="68"/>
        <v>457600</v>
      </c>
      <c r="O58" s="24">
        <f t="shared" si="68"/>
        <v>915200</v>
      </c>
      <c r="P58" s="24">
        <f t="shared" si="68"/>
        <v>1830400</v>
      </c>
      <c r="Q58" s="641">
        <f t="shared" si="68"/>
        <v>3660800</v>
      </c>
      <c r="R58" s="640">
        <f t="shared" si="68"/>
        <v>7321600</v>
      </c>
      <c r="S58" s="24">
        <f t="shared" si="68"/>
        <v>14643200</v>
      </c>
      <c r="T58" s="24">
        <f t="shared" si="68"/>
        <v>29286400</v>
      </c>
      <c r="U58" s="641">
        <f t="shared" si="68"/>
        <v>58572800</v>
      </c>
      <c r="V58" s="688">
        <f t="shared" si="68"/>
        <v>117145600</v>
      </c>
      <c r="W58" s="190">
        <f t="shared" ref="W58:W64" si="69">SUM(B58:V58)</f>
        <v>234272133.33333334</v>
      </c>
      <c r="X58" s="52"/>
      <c r="Y58" s="190"/>
      <c r="Z58" s="52"/>
      <c r="AA58" s="192"/>
      <c r="AB58" s="191"/>
      <c r="AC58" s="191"/>
    </row>
    <row r="59" spans="1:29" s="33" customFormat="1" ht="10.050000000000001" customHeight="1">
      <c r="A59" s="223" t="s">
        <v>32</v>
      </c>
      <c r="B59" s="642">
        <v>0</v>
      </c>
      <c r="C59" s="25">
        <v>0</v>
      </c>
      <c r="D59" s="25">
        <v>0</v>
      </c>
      <c r="E59" s="643">
        <v>0</v>
      </c>
      <c r="F59" s="642">
        <v>0</v>
      </c>
      <c r="G59" s="25">
        <v>0</v>
      </c>
      <c r="H59" s="25">
        <v>0</v>
      </c>
      <c r="I59" s="643">
        <v>0</v>
      </c>
      <c r="J59" s="642">
        <v>10</v>
      </c>
      <c r="K59" s="642">
        <f>_xlfn.CEILING.PRECISE((J59*1.5),1)</f>
        <v>15</v>
      </c>
      <c r="L59" s="642">
        <f>_xlfn.CEILING.PRECISE((K59*2),1)</f>
        <v>30</v>
      </c>
      <c r="M59" s="642">
        <f t="shared" ref="M59:V59" si="70">_xlfn.CEILING.PRECISE((L59*2),1)</f>
        <v>60</v>
      </c>
      <c r="N59" s="642">
        <f t="shared" si="70"/>
        <v>120</v>
      </c>
      <c r="O59" s="642">
        <f t="shared" si="70"/>
        <v>240</v>
      </c>
      <c r="P59" s="642">
        <f t="shared" si="70"/>
        <v>480</v>
      </c>
      <c r="Q59" s="642">
        <f t="shared" si="70"/>
        <v>960</v>
      </c>
      <c r="R59" s="642">
        <f t="shared" si="70"/>
        <v>1920</v>
      </c>
      <c r="S59" s="642">
        <f t="shared" si="70"/>
        <v>3840</v>
      </c>
      <c r="T59" s="642">
        <f t="shared" si="70"/>
        <v>7680</v>
      </c>
      <c r="U59" s="642">
        <f t="shared" si="70"/>
        <v>15360</v>
      </c>
      <c r="V59" s="642">
        <f t="shared" si="70"/>
        <v>30720</v>
      </c>
      <c r="W59" s="190">
        <f t="shared" si="69"/>
        <v>61435</v>
      </c>
      <c r="X59" s="53"/>
      <c r="Y59" s="193"/>
      <c r="Z59" s="53"/>
      <c r="AA59" s="194"/>
      <c r="AB59" s="191"/>
      <c r="AC59" s="191"/>
    </row>
    <row r="60" spans="1:29" s="33" customFormat="1" ht="10.050000000000001" customHeight="1">
      <c r="A60" s="223" t="s">
        <v>33</v>
      </c>
      <c r="B60" s="644">
        <f>'TAU Suit'!$G$3/$A$1</f>
        <v>3813.3333333333335</v>
      </c>
      <c r="C60" s="644">
        <f>'TAU Suit'!$G$3/$A$1</f>
        <v>3813.3333333333335</v>
      </c>
      <c r="D60" s="644">
        <f>'TAU Suit'!$G$3/$A$1</f>
        <v>3813.3333333333335</v>
      </c>
      <c r="E60" s="644">
        <f>'TAU Suit'!$G$3/$A$1</f>
        <v>3813.3333333333335</v>
      </c>
      <c r="F60" s="644">
        <f>'TAU Suit'!$G$3/$A$1</f>
        <v>3813.3333333333335</v>
      </c>
      <c r="G60" s="644">
        <f>'TAU Suit'!$G$3/$A$1</f>
        <v>3813.3333333333335</v>
      </c>
      <c r="H60" s="644">
        <f>'TAU Suit'!$G$3/$A$1</f>
        <v>3813.3333333333335</v>
      </c>
      <c r="I60" s="644">
        <f>'TAU Suit'!$G$3/$A$1</f>
        <v>3813.3333333333335</v>
      </c>
      <c r="J60" s="644">
        <f>'TAU Suit'!$G$3/$A$1</f>
        <v>3813.3333333333335</v>
      </c>
      <c r="K60" s="644">
        <f>'TAU Suit'!$G$3/$A$1</f>
        <v>3813.3333333333335</v>
      </c>
      <c r="L60" s="644">
        <f>'TAU Suit'!$G$3/$A$1</f>
        <v>3813.3333333333335</v>
      </c>
      <c r="M60" s="644">
        <f>'TAU Suit'!$G$3/$A$1</f>
        <v>3813.3333333333335</v>
      </c>
      <c r="N60" s="644">
        <f>'TAU Suit'!$G$3/$A$1</f>
        <v>3813.3333333333335</v>
      </c>
      <c r="O60" s="644">
        <f>'TAU Suit'!$G$3/$A$1</f>
        <v>3813.3333333333335</v>
      </c>
      <c r="P60" s="644">
        <f>'TAU Suit'!$G$3/$A$1</f>
        <v>3813.3333333333335</v>
      </c>
      <c r="Q60" s="644">
        <f>'TAU Suit'!$G$3/$A$1</f>
        <v>3813.3333333333335</v>
      </c>
      <c r="R60" s="644">
        <f>'TAU Suit'!$G$3/$A$1</f>
        <v>3813.3333333333335</v>
      </c>
      <c r="S60" s="644">
        <f>'TAU Suit'!$G$3/$A$1</f>
        <v>3813.3333333333335</v>
      </c>
      <c r="T60" s="644">
        <f>'TAU Suit'!$G$3/$A$1</f>
        <v>3813.3333333333335</v>
      </c>
      <c r="U60" s="644">
        <f>'TAU Suit'!$G$3/$A$1</f>
        <v>3813.3333333333335</v>
      </c>
      <c r="V60" s="644">
        <f>'TAU Suit'!$G$3/$A$1</f>
        <v>3813.3333333333335</v>
      </c>
      <c r="W60" s="190">
        <f t="shared" si="69"/>
        <v>80080</v>
      </c>
      <c r="X60" s="54"/>
      <c r="Y60" s="195"/>
      <c r="Z60" s="54"/>
      <c r="AA60" s="196"/>
      <c r="AB60" s="191"/>
      <c r="AC60" s="191"/>
    </row>
    <row r="61" spans="1:29" s="33" customFormat="1" ht="10.050000000000001" customHeight="1">
      <c r="A61" s="222" t="s">
        <v>34</v>
      </c>
      <c r="B61" s="646">
        <f t="shared" ref="B61:V61" si="71">B62*B63</f>
        <v>0</v>
      </c>
      <c r="C61" s="28">
        <f t="shared" si="71"/>
        <v>0</v>
      </c>
      <c r="D61" s="28">
        <f t="shared" si="71"/>
        <v>0</v>
      </c>
      <c r="E61" s="647">
        <f t="shared" si="71"/>
        <v>0</v>
      </c>
      <c r="F61" s="646">
        <f t="shared" si="71"/>
        <v>0</v>
      </c>
      <c r="G61" s="28">
        <f t="shared" si="71"/>
        <v>0</v>
      </c>
      <c r="H61" s="28">
        <f t="shared" si="71"/>
        <v>0</v>
      </c>
      <c r="I61" s="647">
        <f t="shared" si="71"/>
        <v>0</v>
      </c>
      <c r="J61" s="646">
        <f t="shared" si="71"/>
        <v>0</v>
      </c>
      <c r="K61" s="28">
        <f>K62*K63</f>
        <v>76266.666666666672</v>
      </c>
      <c r="L61" s="28">
        <f>L62*L63</f>
        <v>122026.66666666667</v>
      </c>
      <c r="M61" s="647">
        <f t="shared" si="71"/>
        <v>244053.33333333334</v>
      </c>
      <c r="N61" s="646">
        <f t="shared" si="71"/>
        <v>488106.66666666669</v>
      </c>
      <c r="O61" s="28">
        <f t="shared" si="71"/>
        <v>976213.33333333337</v>
      </c>
      <c r="P61" s="28">
        <f t="shared" si="71"/>
        <v>1952426.6666666667</v>
      </c>
      <c r="Q61" s="647">
        <f t="shared" si="71"/>
        <v>3904853.3333333335</v>
      </c>
      <c r="R61" s="646">
        <f t="shared" si="71"/>
        <v>14057472</v>
      </c>
      <c r="S61" s="28">
        <f t="shared" si="71"/>
        <v>15619413.333333334</v>
      </c>
      <c r="T61" s="28">
        <f t="shared" si="71"/>
        <v>31238826.666666668</v>
      </c>
      <c r="U61" s="647">
        <f t="shared" si="71"/>
        <v>62477653.333333336</v>
      </c>
      <c r="V61" s="690">
        <f t="shared" si="71"/>
        <v>124955306.66666667</v>
      </c>
      <c r="W61" s="190">
        <f t="shared" si="69"/>
        <v>256112618.66666669</v>
      </c>
      <c r="X61" s="55"/>
      <c r="Y61" s="197"/>
      <c r="Z61" s="55"/>
      <c r="AA61" s="198"/>
      <c r="AB61" s="51"/>
      <c r="AC61" s="51"/>
    </row>
    <row r="62" spans="1:29" s="33" customFormat="1" ht="10.050000000000001" customHeight="1">
      <c r="A62" s="223" t="s">
        <v>32</v>
      </c>
      <c r="B62" s="642">
        <v>0</v>
      </c>
      <c r="C62" s="25">
        <v>0</v>
      </c>
      <c r="D62" s="25">
        <v>0</v>
      </c>
      <c r="E62" s="643">
        <v>0</v>
      </c>
      <c r="F62" s="642">
        <v>0</v>
      </c>
      <c r="G62" s="25">
        <v>0</v>
      </c>
      <c r="H62" s="25">
        <v>0</v>
      </c>
      <c r="I62" s="643">
        <v>0</v>
      </c>
      <c r="J62" s="642">
        <v>0</v>
      </c>
      <c r="K62" s="26">
        <v>20</v>
      </c>
      <c r="L62" s="26">
        <f>_xlfn.CEILING.PRECISE((K62*1.6),1)</f>
        <v>32</v>
      </c>
      <c r="M62" s="26">
        <f>_xlfn.CEILING.PRECISE((L62*2),1)</f>
        <v>64</v>
      </c>
      <c r="N62" s="26">
        <f t="shared" ref="N62:V62" si="72">_xlfn.CEILING.PRECISE((M62*2),1)</f>
        <v>128</v>
      </c>
      <c r="O62" s="26">
        <f t="shared" si="72"/>
        <v>256</v>
      </c>
      <c r="P62" s="26">
        <f t="shared" si="72"/>
        <v>512</v>
      </c>
      <c r="Q62" s="26">
        <f t="shared" si="72"/>
        <v>1024</v>
      </c>
      <c r="R62" s="26">
        <f t="shared" si="72"/>
        <v>2048</v>
      </c>
      <c r="S62" s="26">
        <f t="shared" si="72"/>
        <v>4096</v>
      </c>
      <c r="T62" s="26">
        <f t="shared" si="72"/>
        <v>8192</v>
      </c>
      <c r="U62" s="26">
        <f t="shared" si="72"/>
        <v>16384</v>
      </c>
      <c r="V62" s="26">
        <f t="shared" si="72"/>
        <v>32768</v>
      </c>
      <c r="W62" s="190">
        <f t="shared" si="69"/>
        <v>65524</v>
      </c>
      <c r="X62" s="52"/>
      <c r="Y62" s="190"/>
      <c r="Z62" s="52"/>
      <c r="AA62" s="192"/>
      <c r="AB62" s="191"/>
      <c r="AC62" s="191"/>
    </row>
    <row r="63" spans="1:29" s="33" customFormat="1" ht="10.050000000000001" customHeight="1">
      <c r="A63" s="223" t="s">
        <v>33</v>
      </c>
      <c r="B63" s="644">
        <f>B60*1</f>
        <v>3813.3333333333335</v>
      </c>
      <c r="C63" s="27">
        <f t="shared" ref="C63:V63" si="73">C60*1</f>
        <v>3813.3333333333335</v>
      </c>
      <c r="D63" s="27">
        <f t="shared" si="73"/>
        <v>3813.3333333333335</v>
      </c>
      <c r="E63" s="645">
        <f t="shared" si="73"/>
        <v>3813.3333333333335</v>
      </c>
      <c r="F63" s="644">
        <f t="shared" si="73"/>
        <v>3813.3333333333335</v>
      </c>
      <c r="G63" s="27">
        <f t="shared" si="73"/>
        <v>3813.3333333333335</v>
      </c>
      <c r="H63" s="27">
        <f t="shared" si="73"/>
        <v>3813.3333333333335</v>
      </c>
      <c r="I63" s="645">
        <f t="shared" si="73"/>
        <v>3813.3333333333335</v>
      </c>
      <c r="J63" s="644">
        <f t="shared" si="73"/>
        <v>3813.3333333333335</v>
      </c>
      <c r="K63" s="27">
        <f t="shared" si="73"/>
        <v>3813.3333333333335</v>
      </c>
      <c r="L63" s="27">
        <f t="shared" si="73"/>
        <v>3813.3333333333335</v>
      </c>
      <c r="M63" s="645">
        <f t="shared" si="73"/>
        <v>3813.3333333333335</v>
      </c>
      <c r="N63" s="644">
        <f t="shared" si="73"/>
        <v>3813.3333333333335</v>
      </c>
      <c r="O63" s="27">
        <f t="shared" si="73"/>
        <v>3813.3333333333335</v>
      </c>
      <c r="P63" s="27">
        <f t="shared" si="73"/>
        <v>3813.3333333333335</v>
      </c>
      <c r="Q63" s="645">
        <f t="shared" si="73"/>
        <v>3813.3333333333335</v>
      </c>
      <c r="R63" s="644">
        <f>R60*1.8</f>
        <v>6864</v>
      </c>
      <c r="S63" s="27">
        <f t="shared" si="73"/>
        <v>3813.3333333333335</v>
      </c>
      <c r="T63" s="27">
        <f t="shared" si="73"/>
        <v>3813.3333333333335</v>
      </c>
      <c r="U63" s="645">
        <f t="shared" si="73"/>
        <v>3813.3333333333335</v>
      </c>
      <c r="V63" s="689">
        <f t="shared" si="73"/>
        <v>3813.3333333333335</v>
      </c>
      <c r="W63" s="190">
        <f t="shared" si="69"/>
        <v>83130.666666666657</v>
      </c>
      <c r="X63" s="54"/>
      <c r="Y63" s="195"/>
      <c r="Z63" s="54"/>
      <c r="AA63" s="196"/>
      <c r="AB63" s="191"/>
      <c r="AC63" s="191"/>
    </row>
    <row r="64" spans="1:29" s="33" customFormat="1" ht="10.050000000000001" customHeight="1">
      <c r="A64" s="222" t="s">
        <v>35</v>
      </c>
      <c r="B64" s="646">
        <f t="shared" ref="B64:V64" si="74">B65*B66</f>
        <v>0</v>
      </c>
      <c r="C64" s="28">
        <f t="shared" si="74"/>
        <v>0</v>
      </c>
      <c r="D64" s="28">
        <f t="shared" si="74"/>
        <v>0</v>
      </c>
      <c r="E64" s="647">
        <f t="shared" si="74"/>
        <v>0</v>
      </c>
      <c r="F64" s="646">
        <f t="shared" si="74"/>
        <v>0</v>
      </c>
      <c r="G64" s="28">
        <f t="shared" si="74"/>
        <v>0</v>
      </c>
      <c r="H64" s="28">
        <f t="shared" si="74"/>
        <v>0</v>
      </c>
      <c r="I64" s="647">
        <f t="shared" si="74"/>
        <v>0</v>
      </c>
      <c r="J64" s="646">
        <f t="shared" si="74"/>
        <v>0</v>
      </c>
      <c r="K64" s="28">
        <f t="shared" si="74"/>
        <v>76266.666666666672</v>
      </c>
      <c r="L64" s="28">
        <f t="shared" si="74"/>
        <v>122026.66666666667</v>
      </c>
      <c r="M64" s="647">
        <f t="shared" si="74"/>
        <v>244053.33333333334</v>
      </c>
      <c r="N64" s="646">
        <f t="shared" si="74"/>
        <v>488106.66666666669</v>
      </c>
      <c r="O64" s="28">
        <f t="shared" si="74"/>
        <v>976213.33333333337</v>
      </c>
      <c r="P64" s="28">
        <f t="shared" si="74"/>
        <v>1952426.6666666667</v>
      </c>
      <c r="Q64" s="647">
        <f t="shared" si="74"/>
        <v>3904853.3333333335</v>
      </c>
      <c r="R64" s="646">
        <f t="shared" si="74"/>
        <v>7809706.666666667</v>
      </c>
      <c r="S64" s="28">
        <f t="shared" si="74"/>
        <v>15619413.333333334</v>
      </c>
      <c r="T64" s="28">
        <f t="shared" si="74"/>
        <v>31238826.666666668</v>
      </c>
      <c r="U64" s="647">
        <f t="shared" si="74"/>
        <v>62477653.333333336</v>
      </c>
      <c r="V64" s="690">
        <f t="shared" si="74"/>
        <v>124955306.66666667</v>
      </c>
      <c r="W64" s="190">
        <f t="shared" si="69"/>
        <v>249864853.33333334</v>
      </c>
      <c r="X64" s="55"/>
      <c r="Y64" s="197"/>
      <c r="Z64" s="55"/>
      <c r="AA64" s="198"/>
      <c r="AB64" s="51"/>
      <c r="AC64" s="51"/>
    </row>
    <row r="65" spans="1:29" s="33" customFormat="1" ht="10.050000000000001" customHeight="1">
      <c r="A65" s="223" t="s">
        <v>32</v>
      </c>
      <c r="B65" s="642">
        <v>0</v>
      </c>
      <c r="C65" s="25">
        <v>0</v>
      </c>
      <c r="D65" s="25">
        <v>0</v>
      </c>
      <c r="E65" s="643">
        <v>0</v>
      </c>
      <c r="F65" s="642">
        <v>0</v>
      </c>
      <c r="G65" s="25">
        <v>0</v>
      </c>
      <c r="H65" s="25">
        <v>0</v>
      </c>
      <c r="I65" s="643">
        <v>0</v>
      </c>
      <c r="J65" s="642">
        <v>0</v>
      </c>
      <c r="K65" s="25">
        <v>20</v>
      </c>
      <c r="L65" s="25">
        <f>_xlfn.CEILING.PRECISE((K65*1.6),1)</f>
        <v>32</v>
      </c>
      <c r="M65" s="25">
        <f>_xlfn.CEILING.PRECISE((L65*2),1)</f>
        <v>64</v>
      </c>
      <c r="N65" s="25">
        <f t="shared" ref="N65:V65" si="75">_xlfn.CEILING.PRECISE((M65*2),1)</f>
        <v>128</v>
      </c>
      <c r="O65" s="25">
        <f t="shared" si="75"/>
        <v>256</v>
      </c>
      <c r="P65" s="25">
        <f t="shared" si="75"/>
        <v>512</v>
      </c>
      <c r="Q65" s="25">
        <f t="shared" si="75"/>
        <v>1024</v>
      </c>
      <c r="R65" s="25">
        <f t="shared" si="75"/>
        <v>2048</v>
      </c>
      <c r="S65" s="25">
        <f t="shared" si="75"/>
        <v>4096</v>
      </c>
      <c r="T65" s="25">
        <f t="shared" si="75"/>
        <v>8192</v>
      </c>
      <c r="U65" s="25">
        <f t="shared" si="75"/>
        <v>16384</v>
      </c>
      <c r="V65" s="25">
        <f t="shared" si="75"/>
        <v>32768</v>
      </c>
      <c r="W65" s="190"/>
      <c r="X65" s="52"/>
      <c r="Y65" s="190"/>
      <c r="Z65" s="52"/>
      <c r="AA65" s="192"/>
      <c r="AB65" s="191"/>
      <c r="AC65" s="191"/>
    </row>
    <row r="66" spans="1:29" s="33" customFormat="1" ht="10.050000000000001" customHeight="1">
      <c r="A66" s="223" t="s">
        <v>33</v>
      </c>
      <c r="B66" s="644">
        <f>B60*1</f>
        <v>3813.3333333333335</v>
      </c>
      <c r="C66" s="27">
        <f t="shared" ref="C66:V66" si="76">C60*1</f>
        <v>3813.3333333333335</v>
      </c>
      <c r="D66" s="27">
        <f t="shared" si="76"/>
        <v>3813.3333333333335</v>
      </c>
      <c r="E66" s="645">
        <f t="shared" si="76"/>
        <v>3813.3333333333335</v>
      </c>
      <c r="F66" s="644">
        <f t="shared" si="76"/>
        <v>3813.3333333333335</v>
      </c>
      <c r="G66" s="27">
        <f t="shared" si="76"/>
        <v>3813.3333333333335</v>
      </c>
      <c r="H66" s="27">
        <f t="shared" si="76"/>
        <v>3813.3333333333335</v>
      </c>
      <c r="I66" s="645">
        <f t="shared" si="76"/>
        <v>3813.3333333333335</v>
      </c>
      <c r="J66" s="644">
        <f t="shared" si="76"/>
        <v>3813.3333333333335</v>
      </c>
      <c r="K66" s="27">
        <f t="shared" si="76"/>
        <v>3813.3333333333335</v>
      </c>
      <c r="L66" s="27">
        <f t="shared" si="76"/>
        <v>3813.3333333333335</v>
      </c>
      <c r="M66" s="645">
        <f t="shared" si="76"/>
        <v>3813.3333333333335</v>
      </c>
      <c r="N66" s="644">
        <f t="shared" si="76"/>
        <v>3813.3333333333335</v>
      </c>
      <c r="O66" s="27">
        <f t="shared" si="76"/>
        <v>3813.3333333333335</v>
      </c>
      <c r="P66" s="27">
        <f t="shared" si="76"/>
        <v>3813.3333333333335</v>
      </c>
      <c r="Q66" s="645">
        <f t="shared" si="76"/>
        <v>3813.3333333333335</v>
      </c>
      <c r="R66" s="644">
        <f t="shared" si="76"/>
        <v>3813.3333333333335</v>
      </c>
      <c r="S66" s="27">
        <f t="shared" si="76"/>
        <v>3813.3333333333335</v>
      </c>
      <c r="T66" s="27">
        <f t="shared" si="76"/>
        <v>3813.3333333333335</v>
      </c>
      <c r="U66" s="645">
        <f t="shared" si="76"/>
        <v>3813.3333333333335</v>
      </c>
      <c r="V66" s="689">
        <f t="shared" si="76"/>
        <v>3813.3333333333335</v>
      </c>
      <c r="W66" s="195"/>
      <c r="X66" s="54"/>
      <c r="Y66" s="195"/>
      <c r="Z66" s="54"/>
      <c r="AA66" s="196"/>
      <c r="AB66" s="191"/>
      <c r="AC66" s="191"/>
    </row>
    <row r="67" spans="1:29" s="33" customFormat="1" ht="6" customHeight="1">
      <c r="A67" s="224"/>
      <c r="B67" s="596"/>
      <c r="C67" s="12"/>
      <c r="D67" s="12"/>
      <c r="E67" s="598"/>
      <c r="F67" s="596"/>
      <c r="G67" s="12"/>
      <c r="H67" s="12"/>
      <c r="I67" s="598"/>
      <c r="J67" s="596"/>
      <c r="K67" s="12"/>
      <c r="L67" s="12"/>
      <c r="M67" s="598"/>
      <c r="N67" s="596"/>
      <c r="O67" s="12"/>
      <c r="P67" s="12"/>
      <c r="Q67" s="598"/>
      <c r="R67" s="596"/>
      <c r="S67" s="12"/>
      <c r="T67" s="12"/>
      <c r="U67" s="598"/>
      <c r="V67" s="670"/>
      <c r="W67" s="62"/>
      <c r="X67" s="56"/>
      <c r="Y67" s="62"/>
      <c r="Z67" s="56"/>
      <c r="AA67" s="39"/>
      <c r="AB67" s="34"/>
      <c r="AC67" s="34"/>
    </row>
    <row r="68" spans="1:29" s="33" customFormat="1" ht="10.8" customHeight="1">
      <c r="A68" s="205" t="s">
        <v>62</v>
      </c>
      <c r="B68" s="11">
        <f>SUM(B69,B167:B171,B173:B182)</f>
        <v>-27971.055555555551</v>
      </c>
      <c r="C68" s="11">
        <f t="shared" ref="C68:D68" si="77">SUM(C69,C167:C171,C173:C182)</f>
        <v>-64969.677777777775</v>
      </c>
      <c r="D68" s="11">
        <f t="shared" si="77"/>
        <v>-134790.69999999998</v>
      </c>
      <c r="E68" s="11">
        <f>SUM(E69,E167:E171,E173:E182)</f>
        <v>-147495.72222222225</v>
      </c>
      <c r="F68" s="11">
        <f t="shared" ref="F68:H68" si="78">SUM(F69,F167:F171,F173:F182)</f>
        <v>-215902.48888888888</v>
      </c>
      <c r="G68" s="11">
        <f t="shared" si="78"/>
        <v>-329853.92777777778</v>
      </c>
      <c r="H68" s="11">
        <f t="shared" si="78"/>
        <v>-421693.93722222222</v>
      </c>
      <c r="I68" s="11">
        <f t="shared" ref="I68" si="79">SUM(I69,I167:I171,I173:I182)</f>
        <v>-532337.08694444445</v>
      </c>
      <c r="J68" s="11">
        <f t="shared" ref="J68:K68" si="80">SUM(J69,J167:J171,J173:J182)</f>
        <v>-726070.13375000004</v>
      </c>
      <c r="K68" s="11">
        <f t="shared" si="80"/>
        <v>-1082470.4572916667</v>
      </c>
      <c r="L68" s="11">
        <f t="shared" ref="L68" si="81">SUM(L69,L167:L171,L173:L182)</f>
        <v>-1637071.6026041666</v>
      </c>
      <c r="M68" s="11">
        <f t="shared" ref="M68:N68" si="82">SUM(M69,M167:M171,M173:M182)</f>
        <v>-2532754.6272395835</v>
      </c>
      <c r="N68" s="11">
        <f t="shared" si="82"/>
        <v>-4056655.4308593757</v>
      </c>
      <c r="O68" s="11">
        <f t="shared" ref="O68" si="83">SUM(O69,O167:O171,O173:O182)</f>
        <v>-6868750.6740668397</v>
      </c>
      <c r="P68" s="11">
        <f t="shared" ref="P68:Q68" si="84">SUM(P69,P167:P171,P173:P182)</f>
        <v>-11732821.981100261</v>
      </c>
      <c r="Q68" s="11">
        <f t="shared" si="84"/>
        <v>-20276123.682761502</v>
      </c>
      <c r="R68" s="11">
        <f t="shared" ref="R68" si="85">SUM(R69,R167:R171,R173:R182)</f>
        <v>-35273888.237475581</v>
      </c>
      <c r="S68" s="11">
        <f t="shared" ref="S68:T68" si="86">SUM(S69,S167:S171,S173:S182)</f>
        <v>-61035347.413991161</v>
      </c>
      <c r="T68" s="11">
        <f t="shared" si="86"/>
        <v>-105326881.2987645</v>
      </c>
      <c r="U68" s="11">
        <f t="shared" ref="U68" si="87">SUM(U69,U167:U171,U173:U182)</f>
        <v>-189358739.31703562</v>
      </c>
      <c r="V68" s="11">
        <f t="shared" ref="V68" si="88">SUM(V69,V167:V171,V173:V182)</f>
        <v>-343304100.79999793</v>
      </c>
      <c r="W68" s="141">
        <f>SUM(B68:V68)</f>
        <v>-785086690.25332713</v>
      </c>
      <c r="X68" s="30"/>
      <c r="Y68" s="141"/>
      <c r="Z68" s="30"/>
      <c r="AA68" s="146"/>
      <c r="AB68" s="34"/>
      <c r="AC68" s="34"/>
    </row>
    <row r="69" spans="1:29" s="33" customFormat="1" ht="10.8" customHeight="1">
      <c r="A69" s="225" t="s">
        <v>37</v>
      </c>
      <c r="B69" s="648">
        <f>B70+B80+B95+B117+B151</f>
        <v>-20136.666666666664</v>
      </c>
      <c r="C69" s="29">
        <f t="shared" ref="C69:V69" si="89">C70+C80+C95+C117+C151</f>
        <v>-47556.666666666664</v>
      </c>
      <c r="D69" s="29">
        <f t="shared" ref="D69" si="90">D70+D80+D95+D117+D151</f>
        <v>-108810</v>
      </c>
      <c r="E69" s="29">
        <f t="shared" ref="E69" si="91">E70+E80+E95+E117+E151</f>
        <v>-114480</v>
      </c>
      <c r="F69" s="29">
        <f t="shared" ref="F69" si="92">F70+F80+F95+F117+F151</f>
        <v>-138120</v>
      </c>
      <c r="G69" s="29">
        <f t="shared" si="89"/>
        <v>-155160</v>
      </c>
      <c r="H69" s="29">
        <f t="shared" si="89"/>
        <v>-188880</v>
      </c>
      <c r="I69" s="649">
        <f t="shared" si="89"/>
        <v>-194880</v>
      </c>
      <c r="J69" s="648">
        <f t="shared" si="89"/>
        <v>-187695</v>
      </c>
      <c r="K69" s="29">
        <f t="shared" si="89"/>
        <v>-202395</v>
      </c>
      <c r="L69" s="29">
        <f t="shared" si="89"/>
        <v>-257175</v>
      </c>
      <c r="M69" s="649">
        <f t="shared" si="89"/>
        <v>-303255</v>
      </c>
      <c r="N69" s="648">
        <f t="shared" si="89"/>
        <v>-384855</v>
      </c>
      <c r="O69" s="29">
        <f t="shared" si="89"/>
        <v>-572115</v>
      </c>
      <c r="P69" s="29">
        <f t="shared" si="89"/>
        <v>-876255</v>
      </c>
      <c r="Q69" s="649">
        <f t="shared" si="89"/>
        <v>-1365975</v>
      </c>
      <c r="R69" s="648">
        <f t="shared" si="89"/>
        <v>-1461375</v>
      </c>
      <c r="S69" s="29">
        <f t="shared" si="89"/>
        <v>-2201745</v>
      </c>
      <c r="T69" s="29">
        <f t="shared" si="89"/>
        <v>-535065</v>
      </c>
      <c r="U69" s="649">
        <f t="shared" si="89"/>
        <v>-548505</v>
      </c>
      <c r="V69" s="691">
        <f t="shared" si="89"/>
        <v>-573705</v>
      </c>
      <c r="W69" s="37">
        <f>SUM(C69:V69)</f>
        <v>-10418001.666666666</v>
      </c>
      <c r="X69" s="31"/>
      <c r="Y69" s="37"/>
      <c r="Z69" s="31"/>
      <c r="AA69" s="152"/>
      <c r="AB69" s="34"/>
      <c r="AC69" s="34"/>
    </row>
    <row r="70" spans="1:29" s="199" customFormat="1" ht="10.199999999999999" customHeight="1">
      <c r="A70" s="205" t="s">
        <v>266</v>
      </c>
      <c r="B70" s="594">
        <f>B71+B74+B77</f>
        <v>-7446.6666666666661</v>
      </c>
      <c r="C70" s="11">
        <f t="shared" ref="C70:V70" si="93">C71+C74+C77</f>
        <v>-7446.6666666666661</v>
      </c>
      <c r="D70" s="11">
        <f t="shared" si="93"/>
        <v>-57000</v>
      </c>
      <c r="E70" s="595">
        <f t="shared" si="93"/>
        <v>-57000</v>
      </c>
      <c r="F70" s="594">
        <f t="shared" si="93"/>
        <v>-59610</v>
      </c>
      <c r="G70" s="11">
        <f t="shared" si="93"/>
        <v>-59610</v>
      </c>
      <c r="H70" s="11">
        <f t="shared" si="93"/>
        <v>-59610</v>
      </c>
      <c r="I70" s="595">
        <f t="shared" si="93"/>
        <v>-59610</v>
      </c>
      <c r="J70" s="594">
        <f t="shared" si="93"/>
        <v>-62115</v>
      </c>
      <c r="K70" s="11">
        <f t="shared" si="93"/>
        <v>-62115</v>
      </c>
      <c r="L70" s="11">
        <f t="shared" si="93"/>
        <v>-62115</v>
      </c>
      <c r="M70" s="595">
        <f t="shared" si="93"/>
        <v>-62115</v>
      </c>
      <c r="N70" s="594">
        <f t="shared" si="93"/>
        <v>-62115</v>
      </c>
      <c r="O70" s="11">
        <f t="shared" si="93"/>
        <v>-62115</v>
      </c>
      <c r="P70" s="11">
        <f t="shared" si="93"/>
        <v>-62115</v>
      </c>
      <c r="Q70" s="595">
        <f t="shared" si="93"/>
        <v>-62115</v>
      </c>
      <c r="R70" s="594">
        <f t="shared" si="93"/>
        <v>-62115</v>
      </c>
      <c r="S70" s="11">
        <f t="shared" si="93"/>
        <v>-62115</v>
      </c>
      <c r="T70" s="11">
        <f t="shared" si="93"/>
        <v>-62115</v>
      </c>
      <c r="U70" s="595">
        <f t="shared" si="93"/>
        <v>-62115</v>
      </c>
      <c r="V70" s="668">
        <f t="shared" si="93"/>
        <v>-62115</v>
      </c>
      <c r="W70" s="141">
        <f>SUM(C70:V70)*1.14</f>
        <v>-1330815.0999999996</v>
      </c>
      <c r="X70" s="30"/>
      <c r="Y70" s="141"/>
      <c r="Z70" s="30"/>
      <c r="AA70" s="146"/>
      <c r="AB70" s="38"/>
      <c r="AC70" s="38"/>
    </row>
    <row r="71" spans="1:29" s="458" customFormat="1" ht="4.95" customHeight="1">
      <c r="A71" s="453" t="str">
        <f>Штат!A5</f>
        <v>Генеральный директор Россия</v>
      </c>
      <c r="B71" s="650">
        <f>B73*3</f>
        <v>-6666.6666666666661</v>
      </c>
      <c r="C71" s="452">
        <f t="shared" ref="C71:F71" si="94">C73*3</f>
        <v>-6666.6666666666661</v>
      </c>
      <c r="D71" s="452">
        <f t="shared" si="94"/>
        <v>-30000</v>
      </c>
      <c r="E71" s="651">
        <f t="shared" si="94"/>
        <v>-30000</v>
      </c>
      <c r="F71" s="650">
        <f t="shared" si="94"/>
        <v>-30105</v>
      </c>
      <c r="G71" s="452">
        <f>G73*3</f>
        <v>-30105</v>
      </c>
      <c r="H71" s="452">
        <f>H73*3</f>
        <v>-30105</v>
      </c>
      <c r="I71" s="651">
        <f t="shared" ref="I71:V71" si="95">I73*3</f>
        <v>-30105</v>
      </c>
      <c r="J71" s="650">
        <f t="shared" si="95"/>
        <v>-30105</v>
      </c>
      <c r="K71" s="452">
        <f t="shared" si="95"/>
        <v>-30105</v>
      </c>
      <c r="L71" s="452">
        <f t="shared" si="95"/>
        <v>-30105</v>
      </c>
      <c r="M71" s="651">
        <f t="shared" si="95"/>
        <v>-30105</v>
      </c>
      <c r="N71" s="650">
        <f t="shared" si="95"/>
        <v>-30105</v>
      </c>
      <c r="O71" s="452">
        <f t="shared" si="95"/>
        <v>-30105</v>
      </c>
      <c r="P71" s="452">
        <f t="shared" si="95"/>
        <v>-30105</v>
      </c>
      <c r="Q71" s="651">
        <f t="shared" si="95"/>
        <v>-30105</v>
      </c>
      <c r="R71" s="650">
        <f t="shared" si="95"/>
        <v>-30105</v>
      </c>
      <c r="S71" s="452">
        <f t="shared" si="95"/>
        <v>-30105</v>
      </c>
      <c r="T71" s="452">
        <f t="shared" si="95"/>
        <v>-30105</v>
      </c>
      <c r="U71" s="651">
        <f t="shared" si="95"/>
        <v>-30105</v>
      </c>
      <c r="V71" s="692">
        <f t="shared" si="95"/>
        <v>-30105</v>
      </c>
      <c r="W71" s="455"/>
      <c r="X71" s="454"/>
      <c r="Y71" s="455"/>
      <c r="Z71" s="454"/>
      <c r="AA71" s="456"/>
      <c r="AB71" s="457"/>
      <c r="AC71" s="457"/>
    </row>
    <row r="72" spans="1:29" s="462" customFormat="1" ht="4.95" customHeight="1">
      <c r="A72" s="459" t="s">
        <v>72</v>
      </c>
      <c r="B72" s="652">
        <v>1</v>
      </c>
      <c r="C72" s="460">
        <v>1</v>
      </c>
      <c r="D72" s="460">
        <v>4.5</v>
      </c>
      <c r="E72" s="460">
        <v>4.5</v>
      </c>
      <c r="F72" s="460">
        <v>4.5</v>
      </c>
      <c r="G72" s="460">
        <v>4.5</v>
      </c>
      <c r="H72" s="460">
        <v>4.5</v>
      </c>
      <c r="I72" s="460">
        <v>4.5</v>
      </c>
      <c r="J72" s="460">
        <v>4.5</v>
      </c>
      <c r="K72" s="460">
        <v>4.5</v>
      </c>
      <c r="L72" s="460">
        <v>4.5</v>
      </c>
      <c r="M72" s="460">
        <v>4.5</v>
      </c>
      <c r="N72" s="460">
        <v>4.5</v>
      </c>
      <c r="O72" s="460">
        <v>4.5</v>
      </c>
      <c r="P72" s="460">
        <v>4.5</v>
      </c>
      <c r="Q72" s="460">
        <v>4.5</v>
      </c>
      <c r="R72" s="460">
        <v>4.5</v>
      </c>
      <c r="S72" s="460">
        <v>4.5</v>
      </c>
      <c r="T72" s="460">
        <v>4.5</v>
      </c>
      <c r="U72" s="460">
        <v>4.5</v>
      </c>
      <c r="V72" s="460">
        <v>4.5</v>
      </c>
      <c r="W72" s="455"/>
      <c r="X72" s="454"/>
      <c r="Y72" s="455"/>
      <c r="Z72" s="454"/>
      <c r="AA72" s="456"/>
      <c r="AB72" s="461"/>
      <c r="AC72" s="461"/>
    </row>
    <row r="73" spans="1:29" s="462" customFormat="1" ht="4.95" customHeight="1">
      <c r="A73" s="459" t="s">
        <v>73</v>
      </c>
      <c r="B73" s="652">
        <f>-Штат!$B$5*B72/$A$1</f>
        <v>-2222.2222222222222</v>
      </c>
      <c r="C73" s="652">
        <f>-Штат!$B$5*C72/$A$1</f>
        <v>-2222.2222222222222</v>
      </c>
      <c r="D73" s="652">
        <f>-Штат!$B$5*D72/$A$1</f>
        <v>-10000</v>
      </c>
      <c r="E73" s="652">
        <f>-Штат!$B$5*E72/$A$1</f>
        <v>-10000</v>
      </c>
      <c r="F73" s="652">
        <f>-Штат!$C$5*F72</f>
        <v>-10035</v>
      </c>
      <c r="G73" s="460">
        <f>-Штат!$C$5*G72</f>
        <v>-10035</v>
      </c>
      <c r="H73" s="460">
        <f>-Штат!$C$5*H72</f>
        <v>-10035</v>
      </c>
      <c r="I73" s="653">
        <f>-Штат!$C$5*I72</f>
        <v>-10035</v>
      </c>
      <c r="J73" s="652">
        <f>-Штат!$C$5*J72</f>
        <v>-10035</v>
      </c>
      <c r="K73" s="460">
        <f>-Штат!$C$5*K72</f>
        <v>-10035</v>
      </c>
      <c r="L73" s="460">
        <f>-Штат!$C$5*L72</f>
        <v>-10035</v>
      </c>
      <c r="M73" s="653">
        <f>-Штат!$C$5*M72</f>
        <v>-10035</v>
      </c>
      <c r="N73" s="652">
        <f>-Штат!$C$5*N72</f>
        <v>-10035</v>
      </c>
      <c r="O73" s="460">
        <f>-Штат!$C$5*O72</f>
        <v>-10035</v>
      </c>
      <c r="P73" s="460">
        <f>-Штат!$C$5*P72</f>
        <v>-10035</v>
      </c>
      <c r="Q73" s="653">
        <f>-Штат!$C$5*Q72</f>
        <v>-10035</v>
      </c>
      <c r="R73" s="652">
        <f>-Штат!$C$5*R72</f>
        <v>-10035</v>
      </c>
      <c r="S73" s="460">
        <f>-Штат!$C$5*S72</f>
        <v>-10035</v>
      </c>
      <c r="T73" s="460">
        <f>-Штат!$C$5*T72</f>
        <v>-10035</v>
      </c>
      <c r="U73" s="653">
        <f>-Штат!$C$5*U72</f>
        <v>-10035</v>
      </c>
      <c r="V73" s="693">
        <f>-Штат!$C$5*V72</f>
        <v>-10035</v>
      </c>
      <c r="W73" s="465"/>
      <c r="X73" s="454"/>
      <c r="Y73" s="455"/>
      <c r="Z73" s="454"/>
      <c r="AA73" s="456"/>
      <c r="AB73" s="461"/>
      <c r="AC73" s="461"/>
    </row>
    <row r="74" spans="1:29" s="458" customFormat="1" ht="4.95" customHeight="1">
      <c r="A74" s="453" t="str">
        <f>Штат!A6</f>
        <v>Директор по развитию</v>
      </c>
      <c r="B74" s="650">
        <f>B76*3</f>
        <v>-780</v>
      </c>
      <c r="C74" s="452">
        <f t="shared" ref="C74:V74" si="96">C76*3</f>
        <v>-780</v>
      </c>
      <c r="D74" s="452">
        <f t="shared" si="96"/>
        <v>-27000</v>
      </c>
      <c r="E74" s="651">
        <f t="shared" si="96"/>
        <v>-27000</v>
      </c>
      <c r="F74" s="650">
        <f t="shared" si="96"/>
        <v>-27000</v>
      </c>
      <c r="G74" s="452">
        <f t="shared" si="96"/>
        <v>-27000</v>
      </c>
      <c r="H74" s="452">
        <f t="shared" si="96"/>
        <v>-27000</v>
      </c>
      <c r="I74" s="651">
        <f t="shared" si="96"/>
        <v>-27000</v>
      </c>
      <c r="J74" s="650">
        <f t="shared" si="96"/>
        <v>-27000</v>
      </c>
      <c r="K74" s="452">
        <f t="shared" si="96"/>
        <v>-27000</v>
      </c>
      <c r="L74" s="452">
        <f t="shared" si="96"/>
        <v>-27000</v>
      </c>
      <c r="M74" s="651">
        <f t="shared" si="96"/>
        <v>-27000</v>
      </c>
      <c r="N74" s="650">
        <f t="shared" si="96"/>
        <v>-27000</v>
      </c>
      <c r="O74" s="452">
        <f t="shared" si="96"/>
        <v>-27000</v>
      </c>
      <c r="P74" s="452">
        <f t="shared" si="96"/>
        <v>-27000</v>
      </c>
      <c r="Q74" s="651">
        <f t="shared" si="96"/>
        <v>-27000</v>
      </c>
      <c r="R74" s="650">
        <f t="shared" si="96"/>
        <v>-27000</v>
      </c>
      <c r="S74" s="452">
        <f t="shared" si="96"/>
        <v>-27000</v>
      </c>
      <c r="T74" s="452">
        <f t="shared" si="96"/>
        <v>-27000</v>
      </c>
      <c r="U74" s="651">
        <f t="shared" si="96"/>
        <v>-27000</v>
      </c>
      <c r="V74" s="692">
        <f t="shared" si="96"/>
        <v>-27000</v>
      </c>
      <c r="W74" s="455"/>
      <c r="X74" s="454"/>
      <c r="Y74" s="455"/>
      <c r="Z74" s="454"/>
      <c r="AA74" s="456"/>
      <c r="AB74" s="457"/>
      <c r="AC74" s="457"/>
    </row>
    <row r="75" spans="1:29" s="462" customFormat="1" ht="4.95" customHeight="1">
      <c r="A75" s="459" t="s">
        <v>72</v>
      </c>
      <c r="B75" s="652">
        <v>0.13</v>
      </c>
      <c r="C75" s="460">
        <v>0.13</v>
      </c>
      <c r="D75" s="460">
        <v>4.5</v>
      </c>
      <c r="E75" s="460">
        <v>4.5</v>
      </c>
      <c r="F75" s="460">
        <v>4.5</v>
      </c>
      <c r="G75" s="460">
        <v>4.5</v>
      </c>
      <c r="H75" s="460">
        <v>4.5</v>
      </c>
      <c r="I75" s="460">
        <v>4.5</v>
      </c>
      <c r="J75" s="460">
        <v>4.5</v>
      </c>
      <c r="K75" s="460">
        <v>4.5</v>
      </c>
      <c r="L75" s="460">
        <v>4.5</v>
      </c>
      <c r="M75" s="460">
        <v>4.5</v>
      </c>
      <c r="N75" s="460">
        <v>4.5</v>
      </c>
      <c r="O75" s="460">
        <v>4.5</v>
      </c>
      <c r="P75" s="460">
        <v>4.5</v>
      </c>
      <c r="Q75" s="460">
        <v>4.5</v>
      </c>
      <c r="R75" s="460">
        <v>4.5</v>
      </c>
      <c r="S75" s="460">
        <v>4.5</v>
      </c>
      <c r="T75" s="460">
        <v>4.5</v>
      </c>
      <c r="U75" s="460">
        <v>4.5</v>
      </c>
      <c r="V75" s="460">
        <v>4.5</v>
      </c>
      <c r="W75" s="455"/>
      <c r="X75" s="454"/>
      <c r="Y75" s="455"/>
      <c r="Z75" s="454"/>
      <c r="AA75" s="456"/>
      <c r="AB75" s="461"/>
      <c r="AC75" s="461"/>
    </row>
    <row r="76" spans="1:29" s="462" customFormat="1" ht="4.95" customHeight="1">
      <c r="A76" s="459" t="s">
        <v>73</v>
      </c>
      <c r="B76" s="652">
        <f>-Штат!$C$6*B75</f>
        <v>-260</v>
      </c>
      <c r="C76" s="460">
        <f>-Штат!$C$6*C75</f>
        <v>-260</v>
      </c>
      <c r="D76" s="460">
        <f>-Штат!$C$6*D75</f>
        <v>-9000</v>
      </c>
      <c r="E76" s="653">
        <f>-Штат!$C$6*E75</f>
        <v>-9000</v>
      </c>
      <c r="F76" s="652">
        <f>-Штат!$C$6*F75</f>
        <v>-9000</v>
      </c>
      <c r="G76" s="460">
        <f>-Штат!$C$6*G75</f>
        <v>-9000</v>
      </c>
      <c r="H76" s="460">
        <f>-Штат!$C$6*H75</f>
        <v>-9000</v>
      </c>
      <c r="I76" s="653">
        <f>-Штат!$C$6*I75</f>
        <v>-9000</v>
      </c>
      <c r="J76" s="652">
        <f>-Штат!$C$6*J75</f>
        <v>-9000</v>
      </c>
      <c r="K76" s="460">
        <f>-Штат!$C$6*K75</f>
        <v>-9000</v>
      </c>
      <c r="L76" s="460">
        <f>-Штат!$C$6*L75</f>
        <v>-9000</v>
      </c>
      <c r="M76" s="653">
        <f>-Штат!$C$6*M75</f>
        <v>-9000</v>
      </c>
      <c r="N76" s="652">
        <f>-Штат!$C$6*N75</f>
        <v>-9000</v>
      </c>
      <c r="O76" s="460">
        <f>-Штат!$C$6*O75</f>
        <v>-9000</v>
      </c>
      <c r="P76" s="460">
        <f>-Штат!$C$6*P75</f>
        <v>-9000</v>
      </c>
      <c r="Q76" s="653">
        <f>-Штат!$C$6*Q75</f>
        <v>-9000</v>
      </c>
      <c r="R76" s="652">
        <f>-Штат!$C$6*R75</f>
        <v>-9000</v>
      </c>
      <c r="S76" s="460">
        <f>-Штат!$C$6*S75</f>
        <v>-9000</v>
      </c>
      <c r="T76" s="460">
        <f>-Штат!$C$6*T75</f>
        <v>-9000</v>
      </c>
      <c r="U76" s="653">
        <f>-Штат!$C$6*U75</f>
        <v>-9000</v>
      </c>
      <c r="V76" s="693">
        <f>-Штат!$C$6*V75</f>
        <v>-9000</v>
      </c>
      <c r="W76" s="455"/>
      <c r="X76" s="454"/>
      <c r="Y76" s="455"/>
      <c r="Z76" s="454"/>
      <c r="AA76" s="456"/>
      <c r="AB76" s="461"/>
      <c r="AC76" s="461"/>
    </row>
    <row r="77" spans="1:29" s="458" customFormat="1" ht="4.95" customHeight="1">
      <c r="A77" s="453" t="str">
        <f>Штат!A7</f>
        <v>Главный бухгалтер Москва</v>
      </c>
      <c r="B77" s="650">
        <f>B79*3</f>
        <v>0</v>
      </c>
      <c r="C77" s="452">
        <f t="shared" ref="C77:V77" si="97">C79*3</f>
        <v>0</v>
      </c>
      <c r="D77" s="452">
        <f t="shared" si="97"/>
        <v>0</v>
      </c>
      <c r="E77" s="651">
        <f t="shared" si="97"/>
        <v>0</v>
      </c>
      <c r="F77" s="650">
        <f t="shared" si="97"/>
        <v>-2505</v>
      </c>
      <c r="G77" s="452">
        <f t="shared" si="97"/>
        <v>-2505</v>
      </c>
      <c r="H77" s="452">
        <f t="shared" si="97"/>
        <v>-2505</v>
      </c>
      <c r="I77" s="651">
        <f t="shared" si="97"/>
        <v>-2505</v>
      </c>
      <c r="J77" s="650">
        <f t="shared" si="97"/>
        <v>-5010</v>
      </c>
      <c r="K77" s="452">
        <f t="shared" si="97"/>
        <v>-5010</v>
      </c>
      <c r="L77" s="452">
        <f t="shared" si="97"/>
        <v>-5010</v>
      </c>
      <c r="M77" s="651">
        <f t="shared" si="97"/>
        <v>-5010</v>
      </c>
      <c r="N77" s="650">
        <f t="shared" si="97"/>
        <v>-5010</v>
      </c>
      <c r="O77" s="452">
        <f t="shared" si="97"/>
        <v>-5010</v>
      </c>
      <c r="P77" s="452">
        <f t="shared" si="97"/>
        <v>-5010</v>
      </c>
      <c r="Q77" s="651">
        <f t="shared" si="97"/>
        <v>-5010</v>
      </c>
      <c r="R77" s="650">
        <f t="shared" si="97"/>
        <v>-5010</v>
      </c>
      <c r="S77" s="452">
        <f t="shared" si="97"/>
        <v>-5010</v>
      </c>
      <c r="T77" s="452">
        <f t="shared" si="97"/>
        <v>-5010</v>
      </c>
      <c r="U77" s="651">
        <f t="shared" si="97"/>
        <v>-5010</v>
      </c>
      <c r="V77" s="692">
        <f t="shared" si="97"/>
        <v>-5010</v>
      </c>
      <c r="W77" s="455"/>
      <c r="X77" s="454"/>
      <c r="Y77" s="455"/>
      <c r="Z77" s="454"/>
      <c r="AA77" s="456"/>
      <c r="AB77" s="457"/>
      <c r="AC77" s="457"/>
    </row>
    <row r="78" spans="1:29" s="462" customFormat="1" ht="4.95" customHeight="1">
      <c r="A78" s="459" t="s">
        <v>72</v>
      </c>
      <c r="B78" s="652">
        <v>0</v>
      </c>
      <c r="C78" s="460">
        <v>0</v>
      </c>
      <c r="D78" s="460">
        <v>0</v>
      </c>
      <c r="E78" s="460">
        <v>0</v>
      </c>
      <c r="F78" s="460">
        <v>0.5</v>
      </c>
      <c r="G78" s="460">
        <v>0.5</v>
      </c>
      <c r="H78" s="460">
        <v>0.5</v>
      </c>
      <c r="I78" s="653">
        <v>0.5</v>
      </c>
      <c r="J78" s="652">
        <v>1</v>
      </c>
      <c r="K78" s="460">
        <v>1</v>
      </c>
      <c r="L78" s="460">
        <v>1</v>
      </c>
      <c r="M78" s="653">
        <v>1</v>
      </c>
      <c r="N78" s="652">
        <v>1</v>
      </c>
      <c r="O78" s="460">
        <v>1</v>
      </c>
      <c r="P78" s="460">
        <v>1</v>
      </c>
      <c r="Q78" s="653">
        <v>1</v>
      </c>
      <c r="R78" s="652">
        <v>1</v>
      </c>
      <c r="S78" s="460">
        <v>1</v>
      </c>
      <c r="T78" s="460">
        <v>1</v>
      </c>
      <c r="U78" s="653">
        <v>1</v>
      </c>
      <c r="V78" s="693">
        <v>1</v>
      </c>
      <c r="W78" s="455"/>
      <c r="X78" s="454"/>
      <c r="Y78" s="455"/>
      <c r="Z78" s="454"/>
      <c r="AA78" s="456"/>
      <c r="AB78" s="461"/>
      <c r="AC78" s="461"/>
    </row>
    <row r="79" spans="1:29" s="462" customFormat="1" ht="4.95" customHeight="1">
      <c r="A79" s="459" t="s">
        <v>73</v>
      </c>
      <c r="B79" s="652">
        <f>-Штат!$C$7*B78</f>
        <v>0</v>
      </c>
      <c r="C79" s="460">
        <f>-Штат!$C$7*C78</f>
        <v>0</v>
      </c>
      <c r="D79" s="460">
        <f>-Штат!$C$7*D78</f>
        <v>0</v>
      </c>
      <c r="E79" s="653">
        <f>-Штат!$C$7*E78</f>
        <v>0</v>
      </c>
      <c r="F79" s="652">
        <f>-Штат!$C$7*F78</f>
        <v>-835</v>
      </c>
      <c r="G79" s="460">
        <f>-Штат!$C$7*G78</f>
        <v>-835</v>
      </c>
      <c r="H79" s="460">
        <f>-Штат!$C$7*H78</f>
        <v>-835</v>
      </c>
      <c r="I79" s="653">
        <f>-Штат!$C$7*I78</f>
        <v>-835</v>
      </c>
      <c r="J79" s="652">
        <f>-Штат!$C$7*J78</f>
        <v>-1670</v>
      </c>
      <c r="K79" s="460">
        <f>-Штат!$C$7*K78</f>
        <v>-1670</v>
      </c>
      <c r="L79" s="460">
        <f>-Штат!$C$7*L78</f>
        <v>-1670</v>
      </c>
      <c r="M79" s="653">
        <f>-Штат!$C$7*M78</f>
        <v>-1670</v>
      </c>
      <c r="N79" s="652">
        <f>-Штат!$C$7*N78</f>
        <v>-1670</v>
      </c>
      <c r="O79" s="460">
        <f>-Штат!$C$7*O78</f>
        <v>-1670</v>
      </c>
      <c r="P79" s="460">
        <f>-Штат!$C$7*P78</f>
        <v>-1670</v>
      </c>
      <c r="Q79" s="653">
        <f>-Штат!$C$7*Q78</f>
        <v>-1670</v>
      </c>
      <c r="R79" s="652">
        <f>-Штат!$C$7*R78</f>
        <v>-1670</v>
      </c>
      <c r="S79" s="460">
        <f>-Штат!$C$7*S78</f>
        <v>-1670</v>
      </c>
      <c r="T79" s="460">
        <f>-Штат!$C$7*T78</f>
        <v>-1670</v>
      </c>
      <c r="U79" s="653">
        <f>-Штат!$C$7*U78</f>
        <v>-1670</v>
      </c>
      <c r="V79" s="693">
        <f>-Штат!$C$7*V78</f>
        <v>-1670</v>
      </c>
      <c r="W79" s="455"/>
      <c r="X79" s="454"/>
      <c r="Y79" s="455"/>
      <c r="Z79" s="454"/>
      <c r="AA79" s="456"/>
      <c r="AB79" s="461"/>
      <c r="AC79" s="461"/>
    </row>
    <row r="80" spans="1:29" s="201" customFormat="1" ht="7.05" customHeight="1">
      <c r="A80" s="226" t="s">
        <v>215</v>
      </c>
      <c r="B80" s="654">
        <f>B81</f>
        <v>-12690</v>
      </c>
      <c r="C80" s="590">
        <f>C81+C88</f>
        <v>-27720</v>
      </c>
      <c r="D80" s="590">
        <f t="shared" ref="D80:V80" si="98">D81+D88</f>
        <v>-27720</v>
      </c>
      <c r="E80" s="590">
        <f t="shared" si="98"/>
        <v>-27720</v>
      </c>
      <c r="F80" s="590">
        <f t="shared" si="98"/>
        <v>-27720</v>
      </c>
      <c r="G80" s="590">
        <f t="shared" si="98"/>
        <v>-27720</v>
      </c>
      <c r="H80" s="590">
        <f t="shared" si="98"/>
        <v>-27720</v>
      </c>
      <c r="I80" s="590">
        <f t="shared" si="98"/>
        <v>-27720</v>
      </c>
      <c r="J80" s="590">
        <f t="shared" si="98"/>
        <v>-12690</v>
      </c>
      <c r="K80" s="590">
        <f t="shared" si="98"/>
        <v>-12690</v>
      </c>
      <c r="L80" s="590">
        <f t="shared" si="98"/>
        <v>-12690</v>
      </c>
      <c r="M80" s="590">
        <f t="shared" si="98"/>
        <v>-12690</v>
      </c>
      <c r="N80" s="590">
        <f t="shared" si="98"/>
        <v>-12690</v>
      </c>
      <c r="O80" s="590">
        <f t="shared" si="98"/>
        <v>-12690</v>
      </c>
      <c r="P80" s="590">
        <f t="shared" si="98"/>
        <v>-12690</v>
      </c>
      <c r="Q80" s="590">
        <f t="shared" si="98"/>
        <v>-12690</v>
      </c>
      <c r="R80" s="590">
        <f t="shared" si="98"/>
        <v>-12690</v>
      </c>
      <c r="S80" s="590">
        <f t="shared" si="98"/>
        <v>-12690</v>
      </c>
      <c r="T80" s="590">
        <f t="shared" si="98"/>
        <v>-12690</v>
      </c>
      <c r="U80" s="590">
        <f t="shared" si="98"/>
        <v>-12690</v>
      </c>
      <c r="V80" s="590">
        <f t="shared" si="98"/>
        <v>-12690</v>
      </c>
      <c r="W80" s="140">
        <f>SUM(C80:V80)</f>
        <v>-359010</v>
      </c>
      <c r="X80" s="69"/>
      <c r="Y80" s="140"/>
      <c r="Z80" s="69"/>
      <c r="AA80" s="156"/>
      <c r="AB80" s="141"/>
      <c r="AC80" s="141"/>
    </row>
    <row r="81" spans="1:29" s="203" customFormat="1" ht="7.05" customHeight="1">
      <c r="A81" s="227" t="s">
        <v>271</v>
      </c>
      <c r="B81" s="655">
        <f>B85+B82</f>
        <v>-12690</v>
      </c>
      <c r="C81" s="655">
        <f t="shared" ref="C81:V81" si="99">C85+C82</f>
        <v>-12690</v>
      </c>
      <c r="D81" s="655">
        <f t="shared" si="99"/>
        <v>-12690</v>
      </c>
      <c r="E81" s="655">
        <f t="shared" si="99"/>
        <v>-12690</v>
      </c>
      <c r="F81" s="655">
        <f t="shared" si="99"/>
        <v>-12690</v>
      </c>
      <c r="G81" s="655">
        <f t="shared" si="99"/>
        <v>-12690</v>
      </c>
      <c r="H81" s="655">
        <f t="shared" si="99"/>
        <v>-12690</v>
      </c>
      <c r="I81" s="655">
        <f t="shared" si="99"/>
        <v>-12690</v>
      </c>
      <c r="J81" s="655">
        <f t="shared" si="99"/>
        <v>-12690</v>
      </c>
      <c r="K81" s="655">
        <f t="shared" si="99"/>
        <v>-12690</v>
      </c>
      <c r="L81" s="655">
        <f t="shared" si="99"/>
        <v>-12690</v>
      </c>
      <c r="M81" s="655">
        <f t="shared" si="99"/>
        <v>-12690</v>
      </c>
      <c r="N81" s="655">
        <f t="shared" si="99"/>
        <v>-12690</v>
      </c>
      <c r="O81" s="655">
        <f t="shared" si="99"/>
        <v>-12690</v>
      </c>
      <c r="P81" s="655">
        <f t="shared" si="99"/>
        <v>-12690</v>
      </c>
      <c r="Q81" s="655">
        <f t="shared" si="99"/>
        <v>-12690</v>
      </c>
      <c r="R81" s="655">
        <f t="shared" si="99"/>
        <v>-12690</v>
      </c>
      <c r="S81" s="655">
        <f t="shared" si="99"/>
        <v>-12690</v>
      </c>
      <c r="T81" s="655">
        <f t="shared" si="99"/>
        <v>-12690</v>
      </c>
      <c r="U81" s="655">
        <f t="shared" si="99"/>
        <v>-12690</v>
      </c>
      <c r="V81" s="655">
        <f t="shared" si="99"/>
        <v>-12690</v>
      </c>
      <c r="W81" s="140">
        <f>SUM(C81:V81)</f>
        <v>-253800</v>
      </c>
      <c r="X81" s="150"/>
      <c r="Y81" s="142"/>
      <c r="Z81" s="150"/>
      <c r="AA81" s="202"/>
      <c r="AB81" s="142"/>
      <c r="AC81" s="142"/>
    </row>
    <row r="82" spans="1:29" s="458" customFormat="1" ht="4.95" customHeight="1">
      <c r="A82" s="453" t="str">
        <f>Штат!A9</f>
        <v>Технический директор по исследованиям и разработкам в России и Китае</v>
      </c>
      <c r="B82" s="452">
        <f t="shared" ref="B82:V82" si="100">B84*3</f>
        <v>-6690</v>
      </c>
      <c r="C82" s="452">
        <f t="shared" si="100"/>
        <v>-6690</v>
      </c>
      <c r="D82" s="452">
        <f t="shared" si="100"/>
        <v>-6690</v>
      </c>
      <c r="E82" s="651">
        <f t="shared" si="100"/>
        <v>-6690</v>
      </c>
      <c r="F82" s="650">
        <f t="shared" si="100"/>
        <v>-6690</v>
      </c>
      <c r="G82" s="452">
        <f t="shared" si="100"/>
        <v>-6690</v>
      </c>
      <c r="H82" s="452">
        <f t="shared" si="100"/>
        <v>-6690</v>
      </c>
      <c r="I82" s="651">
        <f t="shared" si="100"/>
        <v>-6690</v>
      </c>
      <c r="J82" s="650">
        <f t="shared" si="100"/>
        <v>-6690</v>
      </c>
      <c r="K82" s="452">
        <f t="shared" si="100"/>
        <v>-6690</v>
      </c>
      <c r="L82" s="452">
        <f t="shared" si="100"/>
        <v>-6690</v>
      </c>
      <c r="M82" s="651">
        <f t="shared" si="100"/>
        <v>-6690</v>
      </c>
      <c r="N82" s="650">
        <f t="shared" si="100"/>
        <v>-6690</v>
      </c>
      <c r="O82" s="452">
        <f t="shared" si="100"/>
        <v>-6690</v>
      </c>
      <c r="P82" s="452">
        <f t="shared" si="100"/>
        <v>-6690</v>
      </c>
      <c r="Q82" s="651">
        <f t="shared" si="100"/>
        <v>-6690</v>
      </c>
      <c r="R82" s="650">
        <f t="shared" si="100"/>
        <v>-6690</v>
      </c>
      <c r="S82" s="452">
        <f t="shared" si="100"/>
        <v>-6690</v>
      </c>
      <c r="T82" s="452">
        <f t="shared" si="100"/>
        <v>-6690</v>
      </c>
      <c r="U82" s="651">
        <f t="shared" si="100"/>
        <v>-6690</v>
      </c>
      <c r="V82" s="692">
        <f t="shared" si="100"/>
        <v>-6690</v>
      </c>
      <c r="W82" s="455"/>
      <c r="X82" s="454"/>
      <c r="Y82" s="455"/>
      <c r="Z82" s="454"/>
      <c r="AA82" s="456"/>
      <c r="AB82" s="457"/>
      <c r="AC82" s="457"/>
    </row>
    <row r="83" spans="1:29" s="462" customFormat="1" ht="4.95" customHeight="1">
      <c r="A83" s="459" t="s">
        <v>72</v>
      </c>
      <c r="B83" s="652">
        <v>1</v>
      </c>
      <c r="C83" s="460">
        <v>1</v>
      </c>
      <c r="D83" s="460">
        <v>1</v>
      </c>
      <c r="E83" s="653">
        <v>1</v>
      </c>
      <c r="F83" s="652">
        <v>1</v>
      </c>
      <c r="G83" s="460">
        <v>1</v>
      </c>
      <c r="H83" s="460">
        <v>1</v>
      </c>
      <c r="I83" s="653">
        <v>1</v>
      </c>
      <c r="J83" s="652">
        <v>1</v>
      </c>
      <c r="K83" s="460">
        <v>1</v>
      </c>
      <c r="L83" s="460">
        <v>1</v>
      </c>
      <c r="M83" s="653">
        <v>1</v>
      </c>
      <c r="N83" s="652">
        <v>1</v>
      </c>
      <c r="O83" s="460">
        <v>1</v>
      </c>
      <c r="P83" s="460">
        <v>1</v>
      </c>
      <c r="Q83" s="653">
        <v>1</v>
      </c>
      <c r="R83" s="652">
        <v>1</v>
      </c>
      <c r="S83" s="460">
        <v>1</v>
      </c>
      <c r="T83" s="460">
        <v>1</v>
      </c>
      <c r="U83" s="653">
        <v>1</v>
      </c>
      <c r="V83" s="693">
        <v>1</v>
      </c>
      <c r="W83" s="455"/>
      <c r="X83" s="454"/>
      <c r="Y83" s="455"/>
      <c r="Z83" s="454"/>
      <c r="AA83" s="456"/>
      <c r="AB83" s="461"/>
      <c r="AC83" s="461"/>
    </row>
    <row r="84" spans="1:29" s="462" customFormat="1" ht="4.95" customHeight="1">
      <c r="A84" s="459" t="s">
        <v>73</v>
      </c>
      <c r="B84" s="460">
        <f>-Штат!$C$9*B83</f>
        <v>-2230</v>
      </c>
      <c r="C84" s="460">
        <f>-Штат!$C$9*C83</f>
        <v>-2230</v>
      </c>
      <c r="D84" s="460">
        <f>-Штат!$C$9*D83</f>
        <v>-2230</v>
      </c>
      <c r="E84" s="653">
        <f>-Штат!$C$9*E83</f>
        <v>-2230</v>
      </c>
      <c r="F84" s="652">
        <f>-Штат!$C$9*F83</f>
        <v>-2230</v>
      </c>
      <c r="G84" s="460">
        <f>-Штат!$C$9*G83</f>
        <v>-2230</v>
      </c>
      <c r="H84" s="460">
        <f>-Штат!$C$9*H83</f>
        <v>-2230</v>
      </c>
      <c r="I84" s="653">
        <f>-Штат!$C$9*I83</f>
        <v>-2230</v>
      </c>
      <c r="J84" s="652">
        <f>-Штат!$C$9*J83</f>
        <v>-2230</v>
      </c>
      <c r="K84" s="460">
        <f>-Штат!$C$9*K83</f>
        <v>-2230</v>
      </c>
      <c r="L84" s="460">
        <f>-Штат!$C$9*L83</f>
        <v>-2230</v>
      </c>
      <c r="M84" s="653">
        <f>-Штат!$C$9*M83</f>
        <v>-2230</v>
      </c>
      <c r="N84" s="652">
        <f>-Штат!$C$9*N83</f>
        <v>-2230</v>
      </c>
      <c r="O84" s="460">
        <f>-Штат!$C$9*O83</f>
        <v>-2230</v>
      </c>
      <c r="P84" s="460">
        <f>-Штат!$C$9*P83</f>
        <v>-2230</v>
      </c>
      <c r="Q84" s="653">
        <f>-Штат!$C$9*Q83</f>
        <v>-2230</v>
      </c>
      <c r="R84" s="652">
        <f>-Штат!$C$9*R83</f>
        <v>-2230</v>
      </c>
      <c r="S84" s="460">
        <f>-Штат!$C$9*S83</f>
        <v>-2230</v>
      </c>
      <c r="T84" s="460">
        <f>-Штат!$C$9*T83</f>
        <v>-2230</v>
      </c>
      <c r="U84" s="653">
        <f>-Штат!$C$9*U83</f>
        <v>-2230</v>
      </c>
      <c r="V84" s="693">
        <f>-Штат!$C$9*V83</f>
        <v>-2230</v>
      </c>
      <c r="W84" s="455"/>
      <c r="X84" s="454"/>
      <c r="Y84" s="455"/>
      <c r="Z84" s="454"/>
      <c r="AA84" s="456"/>
      <c r="AB84" s="461"/>
      <c r="AC84" s="461"/>
    </row>
    <row r="85" spans="1:29" s="458" customFormat="1" ht="4.95" customHeight="1">
      <c r="A85" s="453" t="str">
        <f>Штат!A10</f>
        <v>Инженер-схемотехник Россия R&amp;D</v>
      </c>
      <c r="B85" s="650">
        <f>B87*3</f>
        <v>-6000</v>
      </c>
      <c r="C85" s="452">
        <f t="shared" ref="C85:V85" si="101">C87*3</f>
        <v>-6000</v>
      </c>
      <c r="D85" s="452">
        <f t="shared" si="101"/>
        <v>-6000</v>
      </c>
      <c r="E85" s="651">
        <f t="shared" si="101"/>
        <v>-6000</v>
      </c>
      <c r="F85" s="650">
        <f t="shared" si="101"/>
        <v>-6000</v>
      </c>
      <c r="G85" s="452">
        <f t="shared" si="101"/>
        <v>-6000</v>
      </c>
      <c r="H85" s="452">
        <f t="shared" si="101"/>
        <v>-6000</v>
      </c>
      <c r="I85" s="651">
        <f t="shared" si="101"/>
        <v>-6000</v>
      </c>
      <c r="J85" s="650">
        <f t="shared" si="101"/>
        <v>-6000</v>
      </c>
      <c r="K85" s="452">
        <f t="shared" si="101"/>
        <v>-6000</v>
      </c>
      <c r="L85" s="452">
        <f t="shared" si="101"/>
        <v>-6000</v>
      </c>
      <c r="M85" s="651">
        <f t="shared" si="101"/>
        <v>-6000</v>
      </c>
      <c r="N85" s="650">
        <f t="shared" si="101"/>
        <v>-6000</v>
      </c>
      <c r="O85" s="452">
        <f t="shared" si="101"/>
        <v>-6000</v>
      </c>
      <c r="P85" s="452">
        <f t="shared" si="101"/>
        <v>-6000</v>
      </c>
      <c r="Q85" s="651">
        <f t="shared" si="101"/>
        <v>-6000</v>
      </c>
      <c r="R85" s="650">
        <f t="shared" si="101"/>
        <v>-6000</v>
      </c>
      <c r="S85" s="452">
        <f t="shared" si="101"/>
        <v>-6000</v>
      </c>
      <c r="T85" s="452">
        <f t="shared" si="101"/>
        <v>-6000</v>
      </c>
      <c r="U85" s="651">
        <f t="shared" si="101"/>
        <v>-6000</v>
      </c>
      <c r="V85" s="692">
        <f t="shared" si="101"/>
        <v>-6000</v>
      </c>
      <c r="W85" s="455"/>
      <c r="X85" s="454"/>
      <c r="Y85" s="455"/>
      <c r="Z85" s="454"/>
      <c r="AA85" s="456"/>
      <c r="AB85" s="457"/>
      <c r="AC85" s="457"/>
    </row>
    <row r="86" spans="1:29" s="462" customFormat="1" ht="4.95" customHeight="1">
      <c r="A86" s="459" t="s">
        <v>72</v>
      </c>
      <c r="B86" s="652">
        <v>1</v>
      </c>
      <c r="C86" s="460">
        <v>1</v>
      </c>
      <c r="D86" s="460">
        <v>1</v>
      </c>
      <c r="E86" s="653">
        <v>1</v>
      </c>
      <c r="F86" s="652">
        <v>1</v>
      </c>
      <c r="G86" s="460">
        <v>1</v>
      </c>
      <c r="H86" s="460">
        <v>1</v>
      </c>
      <c r="I86" s="653">
        <v>1</v>
      </c>
      <c r="J86" s="652">
        <v>1</v>
      </c>
      <c r="K86" s="460">
        <v>1</v>
      </c>
      <c r="L86" s="460">
        <v>1</v>
      </c>
      <c r="M86" s="653">
        <v>1</v>
      </c>
      <c r="N86" s="652">
        <v>1</v>
      </c>
      <c r="O86" s="460">
        <v>1</v>
      </c>
      <c r="P86" s="460">
        <v>1</v>
      </c>
      <c r="Q86" s="460">
        <v>1</v>
      </c>
      <c r="R86" s="460">
        <v>1</v>
      </c>
      <c r="S86" s="460">
        <v>1</v>
      </c>
      <c r="T86" s="460">
        <v>1</v>
      </c>
      <c r="U86" s="460">
        <v>1</v>
      </c>
      <c r="V86" s="460">
        <v>1</v>
      </c>
      <c r="W86" s="455"/>
      <c r="X86" s="454"/>
      <c r="Y86" s="455"/>
      <c r="Z86" s="454"/>
      <c r="AA86" s="456"/>
      <c r="AB86" s="461"/>
      <c r="AC86" s="461"/>
    </row>
    <row r="87" spans="1:29" s="462" customFormat="1" ht="4.95" customHeight="1">
      <c r="A87" s="459" t="s">
        <v>73</v>
      </c>
      <c r="B87" s="652">
        <f>-Штат!$C$10*B86</f>
        <v>-2000</v>
      </c>
      <c r="C87" s="460">
        <f>-Штат!$C$10*C86</f>
        <v>-2000</v>
      </c>
      <c r="D87" s="460">
        <f>-Штат!$C$10*D86</f>
        <v>-2000</v>
      </c>
      <c r="E87" s="653">
        <f>-Штат!$C$10*E86</f>
        <v>-2000</v>
      </c>
      <c r="F87" s="652">
        <f>-Штат!$C$10*F86</f>
        <v>-2000</v>
      </c>
      <c r="G87" s="460">
        <f>-Штат!$C$10*G86</f>
        <v>-2000</v>
      </c>
      <c r="H87" s="460">
        <f>-Штат!$C$10*H86</f>
        <v>-2000</v>
      </c>
      <c r="I87" s="653">
        <f>-Штат!$C$10*I86</f>
        <v>-2000</v>
      </c>
      <c r="J87" s="652">
        <f>-Штат!$C$10*J86</f>
        <v>-2000</v>
      </c>
      <c r="K87" s="460">
        <f>-Штат!$C$10*K86</f>
        <v>-2000</v>
      </c>
      <c r="L87" s="460">
        <f>-Штат!$C$10*L86</f>
        <v>-2000</v>
      </c>
      <c r="M87" s="653">
        <f>-Штат!$C$10*M86</f>
        <v>-2000</v>
      </c>
      <c r="N87" s="652">
        <f>-Штат!$C$10*N86</f>
        <v>-2000</v>
      </c>
      <c r="O87" s="460">
        <f>-Штат!$C$10*O86</f>
        <v>-2000</v>
      </c>
      <c r="P87" s="460">
        <f>-Штат!$C$10*P86</f>
        <v>-2000</v>
      </c>
      <c r="Q87" s="653">
        <f>-Штат!$C$10*Q86</f>
        <v>-2000</v>
      </c>
      <c r="R87" s="652">
        <f>-Штат!$C$10*R86</f>
        <v>-2000</v>
      </c>
      <c r="S87" s="460">
        <f>-Штат!$C$10*S86</f>
        <v>-2000</v>
      </c>
      <c r="T87" s="460">
        <f>-Штат!$C$10*T86</f>
        <v>-2000</v>
      </c>
      <c r="U87" s="653">
        <f>-Штат!$C$10*U86</f>
        <v>-2000</v>
      </c>
      <c r="V87" s="693">
        <f>-Штат!$C$10*V86</f>
        <v>-2000</v>
      </c>
      <c r="W87" s="455"/>
      <c r="X87" s="454"/>
      <c r="Y87" s="455"/>
      <c r="Z87" s="454"/>
      <c r="AA87" s="456"/>
      <c r="AB87" s="461"/>
      <c r="AC87" s="461"/>
    </row>
    <row r="88" spans="1:29" s="203" customFormat="1" ht="7.05" customHeight="1">
      <c r="A88" s="227" t="s">
        <v>460</v>
      </c>
      <c r="B88" s="655">
        <f>B89+B92</f>
        <v>0</v>
      </c>
      <c r="C88" s="655">
        <f t="shared" ref="C88:V88" si="102">C89+C92</f>
        <v>-15030</v>
      </c>
      <c r="D88" s="655">
        <f t="shared" si="102"/>
        <v>-15030</v>
      </c>
      <c r="E88" s="655">
        <f t="shared" si="102"/>
        <v>-15030</v>
      </c>
      <c r="F88" s="655">
        <f t="shared" si="102"/>
        <v>-15030</v>
      </c>
      <c r="G88" s="655">
        <f t="shared" si="102"/>
        <v>-15030</v>
      </c>
      <c r="H88" s="655">
        <f t="shared" si="102"/>
        <v>-15030</v>
      </c>
      <c r="I88" s="655">
        <f t="shared" si="102"/>
        <v>-15030</v>
      </c>
      <c r="J88" s="655">
        <f t="shared" si="102"/>
        <v>0</v>
      </c>
      <c r="K88" s="655">
        <f t="shared" si="102"/>
        <v>0</v>
      </c>
      <c r="L88" s="655">
        <f t="shared" si="102"/>
        <v>0</v>
      </c>
      <c r="M88" s="655">
        <f t="shared" si="102"/>
        <v>0</v>
      </c>
      <c r="N88" s="655">
        <f t="shared" si="102"/>
        <v>0</v>
      </c>
      <c r="O88" s="655">
        <f t="shared" si="102"/>
        <v>0</v>
      </c>
      <c r="P88" s="655">
        <f t="shared" si="102"/>
        <v>0</v>
      </c>
      <c r="Q88" s="655">
        <f t="shared" si="102"/>
        <v>0</v>
      </c>
      <c r="R88" s="655">
        <f t="shared" si="102"/>
        <v>0</v>
      </c>
      <c r="S88" s="655">
        <f t="shared" si="102"/>
        <v>0</v>
      </c>
      <c r="T88" s="655">
        <f t="shared" si="102"/>
        <v>0</v>
      </c>
      <c r="U88" s="655">
        <f t="shared" si="102"/>
        <v>0</v>
      </c>
      <c r="V88" s="655">
        <f t="shared" si="102"/>
        <v>0</v>
      </c>
      <c r="W88" s="140">
        <f>SUM(C88:V88)</f>
        <v>-105210</v>
      </c>
      <c r="X88" s="150"/>
      <c r="Y88" s="142"/>
      <c r="Z88" s="150"/>
      <c r="AA88" s="202"/>
      <c r="AB88" s="142"/>
      <c r="AC88" s="142"/>
    </row>
    <row r="89" spans="1:29" s="458" customFormat="1" ht="4.95" customHeight="1">
      <c r="A89" s="453" t="str">
        <f>Штат!A13</f>
        <v>Python-разработчик</v>
      </c>
      <c r="B89" s="650">
        <f>B91*3</f>
        <v>0</v>
      </c>
      <c r="C89" s="650">
        <f t="shared" ref="C89:V89" si="103">C91*3</f>
        <v>-6690</v>
      </c>
      <c r="D89" s="650">
        <f t="shared" si="103"/>
        <v>-6690</v>
      </c>
      <c r="E89" s="650">
        <f t="shared" si="103"/>
        <v>-6690</v>
      </c>
      <c r="F89" s="650">
        <f t="shared" si="103"/>
        <v>-6690</v>
      </c>
      <c r="G89" s="650">
        <f t="shared" si="103"/>
        <v>-6690</v>
      </c>
      <c r="H89" s="650">
        <f t="shared" si="103"/>
        <v>-6690</v>
      </c>
      <c r="I89" s="650">
        <f t="shared" si="103"/>
        <v>-6690</v>
      </c>
      <c r="J89" s="650">
        <f t="shared" si="103"/>
        <v>0</v>
      </c>
      <c r="K89" s="650">
        <f t="shared" si="103"/>
        <v>0</v>
      </c>
      <c r="L89" s="650">
        <f t="shared" si="103"/>
        <v>0</v>
      </c>
      <c r="M89" s="650">
        <f t="shared" si="103"/>
        <v>0</v>
      </c>
      <c r="N89" s="650">
        <f t="shared" si="103"/>
        <v>0</v>
      </c>
      <c r="O89" s="650">
        <f t="shared" si="103"/>
        <v>0</v>
      </c>
      <c r="P89" s="650">
        <f t="shared" si="103"/>
        <v>0</v>
      </c>
      <c r="Q89" s="650">
        <f t="shared" si="103"/>
        <v>0</v>
      </c>
      <c r="R89" s="650">
        <f t="shared" si="103"/>
        <v>0</v>
      </c>
      <c r="S89" s="650">
        <f t="shared" si="103"/>
        <v>0</v>
      </c>
      <c r="T89" s="650">
        <f t="shared" si="103"/>
        <v>0</v>
      </c>
      <c r="U89" s="650">
        <f t="shared" si="103"/>
        <v>0</v>
      </c>
      <c r="V89" s="650">
        <f t="shared" si="103"/>
        <v>0</v>
      </c>
      <c r="W89" s="455"/>
      <c r="X89" s="454"/>
      <c r="Y89" s="455"/>
      <c r="Z89" s="454"/>
      <c r="AA89" s="456"/>
      <c r="AB89" s="457"/>
      <c r="AC89" s="457"/>
    </row>
    <row r="90" spans="1:29" s="462" customFormat="1" ht="4.95" customHeight="1">
      <c r="A90" s="459" t="s">
        <v>72</v>
      </c>
      <c r="B90" s="652">
        <v>0</v>
      </c>
      <c r="C90" s="460">
        <v>1</v>
      </c>
      <c r="D90" s="460">
        <v>1</v>
      </c>
      <c r="E90" s="460">
        <v>1</v>
      </c>
      <c r="F90" s="652">
        <v>1</v>
      </c>
      <c r="G90" s="460">
        <v>1</v>
      </c>
      <c r="H90" s="460">
        <v>1</v>
      </c>
      <c r="I90" s="653">
        <v>1</v>
      </c>
      <c r="J90" s="652">
        <v>0</v>
      </c>
      <c r="K90" s="460">
        <v>0</v>
      </c>
      <c r="L90" s="460">
        <v>0</v>
      </c>
      <c r="M90" s="653">
        <v>0</v>
      </c>
      <c r="N90" s="652">
        <v>0</v>
      </c>
      <c r="O90" s="652">
        <v>0</v>
      </c>
      <c r="P90" s="652">
        <v>0</v>
      </c>
      <c r="Q90" s="652">
        <v>0</v>
      </c>
      <c r="R90" s="652">
        <v>0</v>
      </c>
      <c r="S90" s="652">
        <v>0</v>
      </c>
      <c r="T90" s="652">
        <v>0</v>
      </c>
      <c r="U90" s="652">
        <v>0</v>
      </c>
      <c r="V90" s="652">
        <v>0</v>
      </c>
      <c r="W90" s="455"/>
      <c r="X90" s="454"/>
      <c r="Y90" s="455"/>
      <c r="Z90" s="454"/>
      <c r="AA90" s="456"/>
      <c r="AB90" s="461"/>
      <c r="AC90" s="461"/>
    </row>
    <row r="91" spans="1:29" s="462" customFormat="1" ht="4.95" customHeight="1">
      <c r="A91" s="459" t="s">
        <v>73</v>
      </c>
      <c r="B91" s="652">
        <f>-Штат!$C$13*B90</f>
        <v>0</v>
      </c>
      <c r="C91" s="652">
        <f>-Штат!$C$13*C90</f>
        <v>-2230</v>
      </c>
      <c r="D91" s="652">
        <f>-Штат!$C$13*D90</f>
        <v>-2230</v>
      </c>
      <c r="E91" s="652">
        <f>-Штат!$C$13*E90</f>
        <v>-2230</v>
      </c>
      <c r="F91" s="652">
        <f>-Штат!$C$13*F90</f>
        <v>-2230</v>
      </c>
      <c r="G91" s="652">
        <f>-Штат!$C$13*G90</f>
        <v>-2230</v>
      </c>
      <c r="H91" s="652">
        <f>-Штат!$C$13*H90</f>
        <v>-2230</v>
      </c>
      <c r="I91" s="652">
        <f>-Штат!$C$13*I90</f>
        <v>-2230</v>
      </c>
      <c r="J91" s="652">
        <f>-Штат!$C$13*J90</f>
        <v>0</v>
      </c>
      <c r="K91" s="652">
        <f>-Штат!$C$13*K90</f>
        <v>0</v>
      </c>
      <c r="L91" s="652">
        <f>-Штат!$C$13*L90</f>
        <v>0</v>
      </c>
      <c r="M91" s="652">
        <f>-Штат!$C$13*M90</f>
        <v>0</v>
      </c>
      <c r="N91" s="652">
        <f>-Штат!$C$13*N90</f>
        <v>0</v>
      </c>
      <c r="O91" s="652">
        <f>-Штат!$C$13*O90</f>
        <v>0</v>
      </c>
      <c r="P91" s="652">
        <f>-Штат!$C$13*P90</f>
        <v>0</v>
      </c>
      <c r="Q91" s="652">
        <f>-Штат!$C$13*Q90</f>
        <v>0</v>
      </c>
      <c r="R91" s="652">
        <f>-Штат!$C$13*R90</f>
        <v>0</v>
      </c>
      <c r="S91" s="652">
        <f>-Штат!$C$13*S90</f>
        <v>0</v>
      </c>
      <c r="T91" s="652">
        <f>-Штат!$C$13*T90</f>
        <v>0</v>
      </c>
      <c r="U91" s="652">
        <f>-Штат!$C$13*U90</f>
        <v>0</v>
      </c>
      <c r="V91" s="652">
        <f>-Штат!$C$13*V90</f>
        <v>0</v>
      </c>
      <c r="W91" s="455"/>
      <c r="X91" s="454"/>
      <c r="Y91" s="455"/>
      <c r="Z91" s="454"/>
      <c r="AA91" s="456"/>
      <c r="AB91" s="461"/>
      <c r="AC91" s="461"/>
    </row>
    <row r="92" spans="1:29" s="458" customFormat="1" ht="4.95" customHeight="1">
      <c r="A92" s="453" t="str">
        <f>Штат!A18</f>
        <v>Data Scientist</v>
      </c>
      <c r="B92" s="650">
        <f>B94*3</f>
        <v>0</v>
      </c>
      <c r="C92" s="452">
        <f t="shared" ref="C92:V92" si="104">C94*3</f>
        <v>-8340</v>
      </c>
      <c r="D92" s="452">
        <f t="shared" si="104"/>
        <v>-8340</v>
      </c>
      <c r="E92" s="651">
        <f t="shared" si="104"/>
        <v>-8340</v>
      </c>
      <c r="F92" s="650">
        <f t="shared" si="104"/>
        <v>-8340</v>
      </c>
      <c r="G92" s="452">
        <f t="shared" si="104"/>
        <v>-8340</v>
      </c>
      <c r="H92" s="452">
        <f t="shared" si="104"/>
        <v>-8340</v>
      </c>
      <c r="I92" s="651">
        <f t="shared" si="104"/>
        <v>-8340</v>
      </c>
      <c r="J92" s="650">
        <f t="shared" si="104"/>
        <v>0</v>
      </c>
      <c r="K92" s="452">
        <f t="shared" si="104"/>
        <v>0</v>
      </c>
      <c r="L92" s="452">
        <f t="shared" si="104"/>
        <v>0</v>
      </c>
      <c r="M92" s="651">
        <f t="shared" si="104"/>
        <v>0</v>
      </c>
      <c r="N92" s="650">
        <f t="shared" si="104"/>
        <v>0</v>
      </c>
      <c r="O92" s="452">
        <f t="shared" si="104"/>
        <v>0</v>
      </c>
      <c r="P92" s="452">
        <f t="shared" si="104"/>
        <v>0</v>
      </c>
      <c r="Q92" s="651">
        <f t="shared" si="104"/>
        <v>0</v>
      </c>
      <c r="R92" s="650">
        <f t="shared" si="104"/>
        <v>0</v>
      </c>
      <c r="S92" s="452">
        <f t="shared" si="104"/>
        <v>0</v>
      </c>
      <c r="T92" s="452">
        <f t="shared" si="104"/>
        <v>0</v>
      </c>
      <c r="U92" s="651">
        <f t="shared" si="104"/>
        <v>0</v>
      </c>
      <c r="V92" s="692">
        <f t="shared" si="104"/>
        <v>0</v>
      </c>
      <c r="W92" s="455"/>
      <c r="X92" s="454"/>
      <c r="Y92" s="455"/>
      <c r="Z92" s="454"/>
      <c r="AA92" s="456"/>
      <c r="AB92" s="457"/>
      <c r="AC92" s="457"/>
    </row>
    <row r="93" spans="1:29" s="462" customFormat="1" ht="4.95" customHeight="1">
      <c r="A93" s="459" t="s">
        <v>72</v>
      </c>
      <c r="B93" s="652">
        <v>0</v>
      </c>
      <c r="C93" s="460">
        <v>1</v>
      </c>
      <c r="D93" s="460">
        <v>1</v>
      </c>
      <c r="E93" s="653">
        <v>1</v>
      </c>
      <c r="F93" s="652">
        <v>1</v>
      </c>
      <c r="G93" s="652">
        <v>1</v>
      </c>
      <c r="H93" s="652">
        <v>1</v>
      </c>
      <c r="I93" s="652">
        <v>1</v>
      </c>
      <c r="J93" s="652">
        <v>0</v>
      </c>
      <c r="K93" s="652">
        <v>0</v>
      </c>
      <c r="L93" s="652">
        <v>0</v>
      </c>
      <c r="M93" s="652">
        <v>0</v>
      </c>
      <c r="N93" s="652">
        <v>0</v>
      </c>
      <c r="O93" s="652">
        <v>0</v>
      </c>
      <c r="P93" s="652">
        <v>0</v>
      </c>
      <c r="Q93" s="652">
        <v>0</v>
      </c>
      <c r="R93" s="652">
        <v>0</v>
      </c>
      <c r="S93" s="652">
        <v>0</v>
      </c>
      <c r="T93" s="652">
        <v>0</v>
      </c>
      <c r="U93" s="652">
        <v>0</v>
      </c>
      <c r="V93" s="652">
        <v>0</v>
      </c>
      <c r="W93" s="455"/>
      <c r="X93" s="454"/>
      <c r="Y93" s="455"/>
      <c r="Z93" s="454"/>
      <c r="AA93" s="456"/>
      <c r="AB93" s="461"/>
      <c r="AC93" s="461"/>
    </row>
    <row r="94" spans="1:29" s="462" customFormat="1" ht="4.95" customHeight="1">
      <c r="A94" s="459" t="s">
        <v>73</v>
      </c>
      <c r="B94" s="652">
        <f>-Штат!$C$18*B93</f>
        <v>0</v>
      </c>
      <c r="C94" s="652">
        <f>-Штат!$C$18*C93</f>
        <v>-2780</v>
      </c>
      <c r="D94" s="652">
        <f>-Штат!$C$18*D93</f>
        <v>-2780</v>
      </c>
      <c r="E94" s="652">
        <f>-Штат!$C$18*E93</f>
        <v>-2780</v>
      </c>
      <c r="F94" s="652">
        <f>-Штат!$C$18*F93</f>
        <v>-2780</v>
      </c>
      <c r="G94" s="652">
        <f>-Штат!$C$18*G93</f>
        <v>-2780</v>
      </c>
      <c r="H94" s="652">
        <f>-Штат!$C$18*H93</f>
        <v>-2780</v>
      </c>
      <c r="I94" s="652">
        <f>-Штат!$C$18*I93</f>
        <v>-2780</v>
      </c>
      <c r="J94" s="652">
        <f>-Штат!$C$18*J93</f>
        <v>0</v>
      </c>
      <c r="K94" s="652">
        <f>-Штат!$C$18*K93</f>
        <v>0</v>
      </c>
      <c r="L94" s="652">
        <f>-Штат!$C$18*L93</f>
        <v>0</v>
      </c>
      <c r="M94" s="652">
        <f>-Штат!$C$18*M93</f>
        <v>0</v>
      </c>
      <c r="N94" s="652">
        <f>-Штат!$C$18*N93</f>
        <v>0</v>
      </c>
      <c r="O94" s="652">
        <f>-Штат!$C$18*O93</f>
        <v>0</v>
      </c>
      <c r="P94" s="652">
        <f>-Штат!$C$18*P93</f>
        <v>0</v>
      </c>
      <c r="Q94" s="652">
        <f>-Штат!$C$18*Q93</f>
        <v>0</v>
      </c>
      <c r="R94" s="652">
        <f>-Штат!$C$18*R93</f>
        <v>0</v>
      </c>
      <c r="S94" s="652">
        <f>-Штат!$C$18*S93</f>
        <v>0</v>
      </c>
      <c r="T94" s="652">
        <f>-Штат!$C$18*T93</f>
        <v>0</v>
      </c>
      <c r="U94" s="652">
        <f>-Штат!$C$18*U93</f>
        <v>0</v>
      </c>
      <c r="V94" s="652">
        <f>-Штат!$C$18*V93</f>
        <v>0</v>
      </c>
      <c r="W94" s="455"/>
      <c r="X94" s="454"/>
      <c r="Y94" s="455"/>
      <c r="Z94" s="454"/>
      <c r="AA94" s="456"/>
      <c r="AB94" s="461"/>
      <c r="AC94" s="461"/>
    </row>
    <row r="95" spans="1:29" s="200" customFormat="1" ht="7.05" customHeight="1">
      <c r="A95" s="228" t="s">
        <v>261</v>
      </c>
      <c r="B95" s="656">
        <f>B96+B99+B102+B105+B108</f>
        <v>0</v>
      </c>
      <c r="C95" s="61">
        <f t="shared" ref="C95:V95" si="105">C96+C99+C102+C105+C108</f>
        <v>0</v>
      </c>
      <c r="D95" s="61">
        <f t="shared" si="105"/>
        <v>-6690</v>
      </c>
      <c r="E95" s="657">
        <f t="shared" si="105"/>
        <v>-6690</v>
      </c>
      <c r="F95" s="656">
        <f t="shared" si="105"/>
        <v>-23700</v>
      </c>
      <c r="G95" s="61">
        <f t="shared" si="105"/>
        <v>-23700</v>
      </c>
      <c r="H95" s="61">
        <f t="shared" si="105"/>
        <v>-29040</v>
      </c>
      <c r="I95" s="657">
        <f t="shared" si="105"/>
        <v>-29040</v>
      </c>
      <c r="J95" s="656">
        <f t="shared" si="105"/>
        <v>-34380</v>
      </c>
      <c r="K95" s="61">
        <f t="shared" si="105"/>
        <v>-45060</v>
      </c>
      <c r="L95" s="61">
        <f t="shared" si="105"/>
        <v>-65100</v>
      </c>
      <c r="M95" s="657">
        <f t="shared" si="105"/>
        <v>-91800</v>
      </c>
      <c r="N95" s="656">
        <f t="shared" si="105"/>
        <v>-134520</v>
      </c>
      <c r="O95" s="61">
        <f t="shared" si="105"/>
        <v>-218640</v>
      </c>
      <c r="P95" s="61">
        <f t="shared" si="105"/>
        <v>-357480</v>
      </c>
      <c r="Q95" s="657">
        <f t="shared" si="105"/>
        <v>-592440</v>
      </c>
      <c r="R95" s="656">
        <f t="shared" si="105"/>
        <v>-1008960</v>
      </c>
      <c r="S95" s="61">
        <f t="shared" si="105"/>
        <v>-1756560</v>
      </c>
      <c r="T95" s="61">
        <f t="shared" si="105"/>
        <v>-79800</v>
      </c>
      <c r="U95" s="657">
        <f t="shared" si="105"/>
        <v>-79800</v>
      </c>
      <c r="V95" s="694">
        <f t="shared" si="105"/>
        <v>-79800</v>
      </c>
      <c r="W95" s="62">
        <f>SUM(C95:V95)</f>
        <v>-4663200</v>
      </c>
      <c r="X95" s="56">
        <f>W95+W117+W151</f>
        <v>-8891610</v>
      </c>
      <c r="Y95" s="62">
        <f>X95*1.14</f>
        <v>-10136435.399999999</v>
      </c>
      <c r="Z95" s="56"/>
      <c r="AA95" s="39"/>
      <c r="AB95" s="37"/>
      <c r="AC95" s="37"/>
    </row>
    <row r="96" spans="1:29" s="458" customFormat="1" ht="4.95" customHeight="1">
      <c r="A96" s="453" t="str">
        <f>Штат!A19</f>
        <v>Директор по производству Россия</v>
      </c>
      <c r="B96" s="650">
        <f>B98*3</f>
        <v>0</v>
      </c>
      <c r="C96" s="452">
        <f>C98*3</f>
        <v>0</v>
      </c>
      <c r="D96" s="452">
        <f t="shared" ref="D96:V96" si="106">D98*3</f>
        <v>-6690</v>
      </c>
      <c r="E96" s="651">
        <f t="shared" si="106"/>
        <v>-6690</v>
      </c>
      <c r="F96" s="650">
        <f t="shared" si="106"/>
        <v>-6690</v>
      </c>
      <c r="G96" s="452">
        <f t="shared" si="106"/>
        <v>-6690</v>
      </c>
      <c r="H96" s="452">
        <f t="shared" si="106"/>
        <v>-6690</v>
      </c>
      <c r="I96" s="651">
        <f t="shared" si="106"/>
        <v>-6690</v>
      </c>
      <c r="J96" s="650">
        <f t="shared" si="106"/>
        <v>-6690</v>
      </c>
      <c r="K96" s="452">
        <f t="shared" si="106"/>
        <v>-6690</v>
      </c>
      <c r="L96" s="452">
        <f t="shared" si="106"/>
        <v>-6690</v>
      </c>
      <c r="M96" s="651">
        <f t="shared" si="106"/>
        <v>-6690</v>
      </c>
      <c r="N96" s="650">
        <f t="shared" si="106"/>
        <v>-6690</v>
      </c>
      <c r="O96" s="452">
        <f t="shared" si="106"/>
        <v>-6690</v>
      </c>
      <c r="P96" s="452">
        <f t="shared" si="106"/>
        <v>-6690</v>
      </c>
      <c r="Q96" s="651">
        <f t="shared" si="106"/>
        <v>-6690</v>
      </c>
      <c r="R96" s="650">
        <f t="shared" si="106"/>
        <v>-6690</v>
      </c>
      <c r="S96" s="452">
        <f t="shared" si="106"/>
        <v>-6690</v>
      </c>
      <c r="T96" s="452">
        <f t="shared" si="106"/>
        <v>-6690</v>
      </c>
      <c r="U96" s="651">
        <f t="shared" si="106"/>
        <v>-6690</v>
      </c>
      <c r="V96" s="692">
        <f t="shared" si="106"/>
        <v>-6690</v>
      </c>
      <c r="W96" s="455"/>
      <c r="X96" s="454"/>
      <c r="Y96" s="455"/>
      <c r="Z96" s="454"/>
      <c r="AA96" s="456"/>
      <c r="AB96" s="457"/>
      <c r="AC96" s="457"/>
    </row>
    <row r="97" spans="1:29" s="462" customFormat="1" ht="4.95" customHeight="1">
      <c r="A97" s="459" t="s">
        <v>72</v>
      </c>
      <c r="B97" s="652">
        <v>0</v>
      </c>
      <c r="C97" s="460">
        <v>0</v>
      </c>
      <c r="D97" s="460">
        <v>1</v>
      </c>
      <c r="E97" s="653">
        <v>1</v>
      </c>
      <c r="F97" s="652">
        <v>1</v>
      </c>
      <c r="G97" s="652">
        <v>1</v>
      </c>
      <c r="H97" s="652">
        <v>1</v>
      </c>
      <c r="I97" s="652">
        <v>1</v>
      </c>
      <c r="J97" s="652">
        <v>1</v>
      </c>
      <c r="K97" s="460">
        <v>1</v>
      </c>
      <c r="L97" s="460">
        <v>1</v>
      </c>
      <c r="M97" s="653">
        <v>1</v>
      </c>
      <c r="N97" s="652">
        <v>1</v>
      </c>
      <c r="O97" s="460">
        <v>1</v>
      </c>
      <c r="P97" s="460">
        <v>1</v>
      </c>
      <c r="Q97" s="653">
        <v>1</v>
      </c>
      <c r="R97" s="652">
        <v>1</v>
      </c>
      <c r="S97" s="460">
        <v>1</v>
      </c>
      <c r="T97" s="460">
        <v>1</v>
      </c>
      <c r="U97" s="653">
        <v>1</v>
      </c>
      <c r="V97" s="693">
        <v>1</v>
      </c>
      <c r="W97" s="455"/>
      <c r="X97" s="454"/>
      <c r="Y97" s="455"/>
      <c r="Z97" s="454"/>
      <c r="AA97" s="456"/>
      <c r="AB97" s="461"/>
      <c r="AC97" s="461"/>
    </row>
    <row r="98" spans="1:29" s="462" customFormat="1" ht="4.95" customHeight="1">
      <c r="A98" s="459" t="s">
        <v>73</v>
      </c>
      <c r="B98" s="652">
        <f>-Штат!$C$19*B97</f>
        <v>0</v>
      </c>
      <c r="C98" s="460">
        <f>-Штат!$C$19*C97</f>
        <v>0</v>
      </c>
      <c r="D98" s="460">
        <f>-Штат!$C$19*D97</f>
        <v>-2230</v>
      </c>
      <c r="E98" s="653">
        <f>-Штат!$C$19*E97</f>
        <v>-2230</v>
      </c>
      <c r="F98" s="652">
        <f>-Штат!$C$19*F97</f>
        <v>-2230</v>
      </c>
      <c r="G98" s="460">
        <f>-Штат!$C$19*G97</f>
        <v>-2230</v>
      </c>
      <c r="H98" s="460">
        <f>-Штат!$C$19*H97</f>
        <v>-2230</v>
      </c>
      <c r="I98" s="653">
        <f>-Штат!$C$19*I97</f>
        <v>-2230</v>
      </c>
      <c r="J98" s="652">
        <f>-Штат!$C$19*J97</f>
        <v>-2230</v>
      </c>
      <c r="K98" s="460">
        <f>-Штат!$C$19*K97</f>
        <v>-2230</v>
      </c>
      <c r="L98" s="460">
        <f>-Штат!$C$19*L97</f>
        <v>-2230</v>
      </c>
      <c r="M98" s="653">
        <f>-Штат!$C$19*M97</f>
        <v>-2230</v>
      </c>
      <c r="N98" s="652">
        <f>-Штат!$C$19*N97</f>
        <v>-2230</v>
      </c>
      <c r="O98" s="460">
        <f>-Штат!$C$19*O97</f>
        <v>-2230</v>
      </c>
      <c r="P98" s="460">
        <f>-Штат!$C$19*P97</f>
        <v>-2230</v>
      </c>
      <c r="Q98" s="653">
        <f>-Штат!$C$19*Q97</f>
        <v>-2230</v>
      </c>
      <c r="R98" s="652">
        <f>-Штат!$C$19*R97</f>
        <v>-2230</v>
      </c>
      <c r="S98" s="460">
        <f>-Штат!$C$19*S97</f>
        <v>-2230</v>
      </c>
      <c r="T98" s="460">
        <f>-Штат!$C$19*T97</f>
        <v>-2230</v>
      </c>
      <c r="U98" s="653">
        <f>-Штат!$C$19*U97</f>
        <v>-2230</v>
      </c>
      <c r="V98" s="693">
        <f>-Штат!$C$19*V97</f>
        <v>-2230</v>
      </c>
      <c r="W98" s="455"/>
      <c r="X98" s="454"/>
      <c r="Y98" s="455"/>
      <c r="Z98" s="454"/>
      <c r="AA98" s="456"/>
      <c r="AB98" s="461"/>
      <c r="AC98" s="461"/>
    </row>
    <row r="99" spans="1:29" s="458" customFormat="1" ht="4.95" customHeight="1">
      <c r="A99" s="453" t="str">
        <f>Штат!A20</f>
        <v>Директор по производству Китай</v>
      </c>
      <c r="B99" s="650">
        <f>B101*3</f>
        <v>0</v>
      </c>
      <c r="C99" s="452">
        <f>C101*3</f>
        <v>0</v>
      </c>
      <c r="D99" s="452">
        <f t="shared" ref="D99:I99" si="107">D101*3</f>
        <v>0</v>
      </c>
      <c r="E99" s="651">
        <f t="shared" si="107"/>
        <v>0</v>
      </c>
      <c r="F99" s="650">
        <f t="shared" si="107"/>
        <v>-11670</v>
      </c>
      <c r="G99" s="452">
        <f t="shared" si="107"/>
        <v>-11670</v>
      </c>
      <c r="H99" s="452">
        <f t="shared" si="107"/>
        <v>-11670</v>
      </c>
      <c r="I99" s="651">
        <f t="shared" si="107"/>
        <v>-11670</v>
      </c>
      <c r="J99" s="650">
        <f t="shared" ref="J99:V99" si="108">J101*3</f>
        <v>-11670</v>
      </c>
      <c r="K99" s="452">
        <f t="shared" si="108"/>
        <v>-11670</v>
      </c>
      <c r="L99" s="452">
        <f t="shared" si="108"/>
        <v>-11670</v>
      </c>
      <c r="M99" s="651">
        <f t="shared" si="108"/>
        <v>-11670</v>
      </c>
      <c r="N99" s="650">
        <f t="shared" si="108"/>
        <v>-11670</v>
      </c>
      <c r="O99" s="452">
        <f t="shared" si="108"/>
        <v>-11670</v>
      </c>
      <c r="P99" s="452">
        <f t="shared" si="108"/>
        <v>-11670</v>
      </c>
      <c r="Q99" s="651">
        <f t="shared" si="108"/>
        <v>-11670</v>
      </c>
      <c r="R99" s="650">
        <f t="shared" si="108"/>
        <v>-11670</v>
      </c>
      <c r="S99" s="452">
        <f t="shared" si="108"/>
        <v>-11670</v>
      </c>
      <c r="T99" s="452">
        <f t="shared" si="108"/>
        <v>-11670</v>
      </c>
      <c r="U99" s="651">
        <f t="shared" si="108"/>
        <v>-11670</v>
      </c>
      <c r="V99" s="692">
        <f t="shared" si="108"/>
        <v>-11670</v>
      </c>
      <c r="W99" s="455"/>
      <c r="X99" s="454"/>
      <c r="Y99" s="455"/>
      <c r="Z99" s="454"/>
      <c r="AA99" s="456"/>
      <c r="AB99" s="457"/>
      <c r="AC99" s="457"/>
    </row>
    <row r="100" spans="1:29" s="462" customFormat="1" ht="4.95" customHeight="1">
      <c r="A100" s="459" t="s">
        <v>72</v>
      </c>
      <c r="B100" s="652">
        <v>0</v>
      </c>
      <c r="C100" s="460">
        <v>0</v>
      </c>
      <c r="D100" s="460">
        <v>0</v>
      </c>
      <c r="E100" s="653">
        <v>0</v>
      </c>
      <c r="F100" s="652">
        <v>1</v>
      </c>
      <c r="G100" s="460">
        <v>1</v>
      </c>
      <c r="H100" s="460">
        <v>1</v>
      </c>
      <c r="I100" s="460">
        <v>1</v>
      </c>
      <c r="J100" s="460">
        <v>1</v>
      </c>
      <c r="K100" s="460">
        <v>1</v>
      </c>
      <c r="L100" s="460">
        <v>1</v>
      </c>
      <c r="M100" s="653">
        <v>1</v>
      </c>
      <c r="N100" s="652">
        <v>1</v>
      </c>
      <c r="O100" s="460">
        <v>1</v>
      </c>
      <c r="P100" s="460">
        <v>1</v>
      </c>
      <c r="Q100" s="653">
        <v>1</v>
      </c>
      <c r="R100" s="652">
        <v>1</v>
      </c>
      <c r="S100" s="460">
        <v>1</v>
      </c>
      <c r="T100" s="460">
        <v>1</v>
      </c>
      <c r="U100" s="653">
        <v>1</v>
      </c>
      <c r="V100" s="693">
        <v>1</v>
      </c>
      <c r="W100" s="455"/>
      <c r="X100" s="454"/>
      <c r="Y100" s="455"/>
      <c r="Z100" s="454"/>
      <c r="AA100" s="456"/>
      <c r="AB100" s="461"/>
      <c r="AC100" s="461"/>
    </row>
    <row r="101" spans="1:29" s="462" customFormat="1" ht="4.95" customHeight="1">
      <c r="A101" s="459" t="s">
        <v>73</v>
      </c>
      <c r="B101" s="652">
        <f>-Штат!$C$20*B100</f>
        <v>0</v>
      </c>
      <c r="C101" s="460">
        <f>-Штат!$C$20*C100</f>
        <v>0</v>
      </c>
      <c r="D101" s="460">
        <f>-Штат!$C$20*D100</f>
        <v>0</v>
      </c>
      <c r="E101" s="653">
        <f>-Штат!$C$20*E100</f>
        <v>0</v>
      </c>
      <c r="F101" s="652">
        <f>-Штат!$C$20*F100</f>
        <v>-3890</v>
      </c>
      <c r="G101" s="460">
        <f>-Штат!$C$20*G100</f>
        <v>-3890</v>
      </c>
      <c r="H101" s="460">
        <f>-Штат!$C$20*H100</f>
        <v>-3890</v>
      </c>
      <c r="I101" s="653">
        <f>-Штат!$C$20*I100</f>
        <v>-3890</v>
      </c>
      <c r="J101" s="652">
        <f>-Штат!$C$20*J100</f>
        <v>-3890</v>
      </c>
      <c r="K101" s="460">
        <f>-Штат!$C$20*K100</f>
        <v>-3890</v>
      </c>
      <c r="L101" s="460">
        <f>-Штат!$C$20*L100</f>
        <v>-3890</v>
      </c>
      <c r="M101" s="653">
        <f>-Штат!$C$20*M100</f>
        <v>-3890</v>
      </c>
      <c r="N101" s="652">
        <f>-Штат!$C$20*N100</f>
        <v>-3890</v>
      </c>
      <c r="O101" s="460">
        <f>-Штат!$C$20*O100</f>
        <v>-3890</v>
      </c>
      <c r="P101" s="460">
        <f>-Штат!$C$20*P100</f>
        <v>-3890</v>
      </c>
      <c r="Q101" s="653">
        <f>-Штат!$C$20*Q100</f>
        <v>-3890</v>
      </c>
      <c r="R101" s="652">
        <f>-Штат!$C$20*R100</f>
        <v>-3890</v>
      </c>
      <c r="S101" s="460">
        <f>-Штат!$C$20*S100</f>
        <v>-3890</v>
      </c>
      <c r="T101" s="460">
        <f>-Штат!$C$20*T100</f>
        <v>-3890</v>
      </c>
      <c r="U101" s="653">
        <f>-Штат!$C$20*U100</f>
        <v>-3890</v>
      </c>
      <c r="V101" s="693">
        <f>-Штат!$C$20*V100</f>
        <v>-3890</v>
      </c>
      <c r="W101" s="455"/>
      <c r="X101" s="454"/>
      <c r="Y101" s="455"/>
      <c r="Z101" s="454"/>
      <c r="AA101" s="456"/>
      <c r="AB101" s="461"/>
      <c r="AC101" s="461"/>
    </row>
    <row r="102" spans="1:29" s="458" customFormat="1" ht="4.95" customHeight="1">
      <c r="A102" s="453" t="str">
        <f>Штат!A21</f>
        <v>Сборщик продукции Россия</v>
      </c>
      <c r="B102" s="650">
        <f>B104*3</f>
        <v>0</v>
      </c>
      <c r="C102" s="452">
        <f>C104*3</f>
        <v>0</v>
      </c>
      <c r="D102" s="452">
        <f t="shared" ref="D102:V102" si="109">D104*3</f>
        <v>0</v>
      </c>
      <c r="E102" s="651">
        <f t="shared" si="109"/>
        <v>0</v>
      </c>
      <c r="F102" s="650">
        <f t="shared" si="109"/>
        <v>-2670</v>
      </c>
      <c r="G102" s="452">
        <f t="shared" si="109"/>
        <v>-2670</v>
      </c>
      <c r="H102" s="452">
        <f t="shared" si="109"/>
        <v>-5340</v>
      </c>
      <c r="I102" s="651">
        <f t="shared" si="109"/>
        <v>-5340</v>
      </c>
      <c r="J102" s="650">
        <f t="shared" si="109"/>
        <v>-8010</v>
      </c>
      <c r="K102" s="452">
        <f t="shared" si="109"/>
        <v>-13350</v>
      </c>
      <c r="L102" s="452">
        <f t="shared" si="109"/>
        <v>-21360</v>
      </c>
      <c r="M102" s="651">
        <f t="shared" si="109"/>
        <v>-34710</v>
      </c>
      <c r="N102" s="650">
        <f t="shared" si="109"/>
        <v>-56070</v>
      </c>
      <c r="O102" s="452">
        <f t="shared" si="109"/>
        <v>-96120</v>
      </c>
      <c r="P102" s="452">
        <f t="shared" si="109"/>
        <v>-165540</v>
      </c>
      <c r="Q102" s="651">
        <f t="shared" si="109"/>
        <v>-283020</v>
      </c>
      <c r="R102" s="650">
        <f t="shared" si="109"/>
        <v>-491280</v>
      </c>
      <c r="S102" s="452">
        <f t="shared" si="109"/>
        <v>-865080</v>
      </c>
      <c r="T102" s="452">
        <f t="shared" si="109"/>
        <v>-26700</v>
      </c>
      <c r="U102" s="651">
        <f t="shared" si="109"/>
        <v>-26700</v>
      </c>
      <c r="V102" s="692">
        <f t="shared" si="109"/>
        <v>-26700</v>
      </c>
      <c r="W102" s="455"/>
      <c r="X102" s="454"/>
      <c r="Y102" s="455"/>
      <c r="Z102" s="454"/>
      <c r="AA102" s="456"/>
      <c r="AB102" s="457"/>
      <c r="AC102" s="457"/>
    </row>
    <row r="103" spans="1:29" s="462" customFormat="1" ht="4.95" customHeight="1">
      <c r="A103" s="459" t="s">
        <v>72</v>
      </c>
      <c r="B103" s="652">
        <f>IF((B9+B13+B17+B21+B25+F37+B47+B57)&lt;(22*3*3),0,_xlfn.CEILING.PRECISE((B9+B13+B17+B21+B25+F37+B47+B57)/(22*3*3),1))</f>
        <v>0</v>
      </c>
      <c r="C103" s="652">
        <f t="shared" ref="C103:S103" si="110">IF((C9+C13+C17+C21+C25+G37+C47+C57)&lt;(22*3*3),0,_xlfn.CEILING.PRECISE((C9+C13+C17+C21+C25+G37+C47+C57)/(22*3*3),1))</f>
        <v>0</v>
      </c>
      <c r="D103" s="652">
        <f t="shared" si="110"/>
        <v>0</v>
      </c>
      <c r="E103" s="652">
        <f t="shared" si="110"/>
        <v>0</v>
      </c>
      <c r="F103" s="652">
        <v>1</v>
      </c>
      <c r="G103" s="652">
        <v>1</v>
      </c>
      <c r="H103" s="652">
        <f t="shared" si="110"/>
        <v>2</v>
      </c>
      <c r="I103" s="652">
        <f t="shared" si="110"/>
        <v>2</v>
      </c>
      <c r="J103" s="652">
        <f t="shared" si="110"/>
        <v>3</v>
      </c>
      <c r="K103" s="652">
        <f t="shared" si="110"/>
        <v>5</v>
      </c>
      <c r="L103" s="652">
        <f t="shared" si="110"/>
        <v>8</v>
      </c>
      <c r="M103" s="652">
        <f t="shared" si="110"/>
        <v>13</v>
      </c>
      <c r="N103" s="652">
        <f t="shared" si="110"/>
        <v>21</v>
      </c>
      <c r="O103" s="652">
        <f t="shared" si="110"/>
        <v>36</v>
      </c>
      <c r="P103" s="652">
        <f t="shared" si="110"/>
        <v>62</v>
      </c>
      <c r="Q103" s="652">
        <f t="shared" si="110"/>
        <v>106</v>
      </c>
      <c r="R103" s="652">
        <f t="shared" si="110"/>
        <v>184</v>
      </c>
      <c r="S103" s="652">
        <f t="shared" si="110"/>
        <v>324</v>
      </c>
      <c r="T103" s="652">
        <v>10</v>
      </c>
      <c r="U103" s="652">
        <v>10</v>
      </c>
      <c r="V103" s="652">
        <v>10</v>
      </c>
      <c r="W103" s="455"/>
      <c r="X103" s="454"/>
      <c r="Y103" s="455"/>
      <c r="Z103" s="454"/>
      <c r="AA103" s="456"/>
      <c r="AB103" s="461"/>
      <c r="AC103" s="461"/>
    </row>
    <row r="104" spans="1:29" s="462" customFormat="1" ht="4.95" customHeight="1">
      <c r="A104" s="459" t="s">
        <v>73</v>
      </c>
      <c r="B104" s="652">
        <f>-Штат!$C$21*B103</f>
        <v>0</v>
      </c>
      <c r="C104" s="460">
        <f>-Штат!$C$21*C103</f>
        <v>0</v>
      </c>
      <c r="D104" s="460">
        <f>-Штат!$C$21*D103</f>
        <v>0</v>
      </c>
      <c r="E104" s="653">
        <f>-Штат!$C$21*E103</f>
        <v>0</v>
      </c>
      <c r="F104" s="652">
        <f>-Штат!$C$21*F103</f>
        <v>-890</v>
      </c>
      <c r="G104" s="460">
        <f>-Штат!$C$21*G103</f>
        <v>-890</v>
      </c>
      <c r="H104" s="460">
        <f>-Штат!$C$21*H103</f>
        <v>-1780</v>
      </c>
      <c r="I104" s="653">
        <f>-Штат!$C$21*I103</f>
        <v>-1780</v>
      </c>
      <c r="J104" s="652">
        <f>-Штат!$C$21*J103</f>
        <v>-2670</v>
      </c>
      <c r="K104" s="460">
        <f>-Штат!$C$21*K103</f>
        <v>-4450</v>
      </c>
      <c r="L104" s="460">
        <f>-Штат!$C$21*L103</f>
        <v>-7120</v>
      </c>
      <c r="M104" s="653">
        <f>-Штат!$C$21*M103</f>
        <v>-11570</v>
      </c>
      <c r="N104" s="652">
        <f>-Штат!$C$21*N103</f>
        <v>-18690</v>
      </c>
      <c r="O104" s="460">
        <f>-Штат!$C$21*O103</f>
        <v>-32040</v>
      </c>
      <c r="P104" s="460">
        <f>-Штат!$C$21*P103</f>
        <v>-55180</v>
      </c>
      <c r="Q104" s="653">
        <f>-Штат!$C$21*Q103</f>
        <v>-94340</v>
      </c>
      <c r="R104" s="652">
        <f>-Штат!$C$21*R103</f>
        <v>-163760</v>
      </c>
      <c r="S104" s="460">
        <f>-Штат!$C$21*S103</f>
        <v>-288360</v>
      </c>
      <c r="T104" s="460">
        <f>-Штат!$C$21*T103</f>
        <v>-8900</v>
      </c>
      <c r="U104" s="653">
        <f>-Штат!$C$21*U103</f>
        <v>-8900</v>
      </c>
      <c r="V104" s="693">
        <f>-Штат!$C$21*V103</f>
        <v>-8900</v>
      </c>
      <c r="W104" s="455"/>
      <c r="X104" s="454"/>
      <c r="Y104" s="455"/>
      <c r="Z104" s="454"/>
      <c r="AA104" s="456"/>
      <c r="AB104" s="461"/>
      <c r="AC104" s="461"/>
    </row>
    <row r="105" spans="1:29" s="458" customFormat="1" ht="4.95" customHeight="1">
      <c r="A105" s="453" t="str">
        <f>Штат!A22</f>
        <v>Тестеровщик Россия</v>
      </c>
      <c r="B105" s="650">
        <f>B107*3</f>
        <v>0</v>
      </c>
      <c r="C105" s="452">
        <f>C107*3</f>
        <v>0</v>
      </c>
      <c r="D105" s="452">
        <f t="shared" ref="D105:V105" si="111">D107*3</f>
        <v>0</v>
      </c>
      <c r="E105" s="651">
        <f t="shared" si="111"/>
        <v>0</v>
      </c>
      <c r="F105" s="650">
        <f t="shared" si="111"/>
        <v>-2670</v>
      </c>
      <c r="G105" s="452">
        <f t="shared" si="111"/>
        <v>-2670</v>
      </c>
      <c r="H105" s="452">
        <f t="shared" si="111"/>
        <v>-5340</v>
      </c>
      <c r="I105" s="651">
        <f t="shared" si="111"/>
        <v>-5340</v>
      </c>
      <c r="J105" s="650">
        <f t="shared" si="111"/>
        <v>-8010</v>
      </c>
      <c r="K105" s="452">
        <f t="shared" si="111"/>
        <v>-13350</v>
      </c>
      <c r="L105" s="452">
        <f t="shared" si="111"/>
        <v>-21360</v>
      </c>
      <c r="M105" s="651">
        <f t="shared" si="111"/>
        <v>-34710</v>
      </c>
      <c r="N105" s="650">
        <f t="shared" si="111"/>
        <v>-56070</v>
      </c>
      <c r="O105" s="452">
        <f t="shared" si="111"/>
        <v>-96120</v>
      </c>
      <c r="P105" s="452">
        <f t="shared" si="111"/>
        <v>-165540</v>
      </c>
      <c r="Q105" s="651">
        <f t="shared" si="111"/>
        <v>-283020</v>
      </c>
      <c r="R105" s="650">
        <f t="shared" si="111"/>
        <v>-491280</v>
      </c>
      <c r="S105" s="452">
        <f t="shared" si="111"/>
        <v>-865080</v>
      </c>
      <c r="T105" s="452">
        <f t="shared" si="111"/>
        <v>-26700</v>
      </c>
      <c r="U105" s="651">
        <f t="shared" si="111"/>
        <v>-26700</v>
      </c>
      <c r="V105" s="692">
        <f t="shared" si="111"/>
        <v>-26700</v>
      </c>
      <c r="W105" s="455"/>
      <c r="X105" s="454"/>
      <c r="Y105" s="455"/>
      <c r="Z105" s="454"/>
      <c r="AA105" s="456"/>
      <c r="AB105" s="457"/>
      <c r="AC105" s="457"/>
    </row>
    <row r="106" spans="1:29" s="462" customFormat="1" ht="4.95" customHeight="1">
      <c r="A106" s="459" t="s">
        <v>72</v>
      </c>
      <c r="B106" s="652">
        <f>IF((B9+B13+B17+B21+B25+F37+B47+B57)&lt;(22*3*3),0,_xlfn.CEILING.PRECISE((B9+B13+B17+B21+B25+F37+B47+B57)/(22*3*3),1))</f>
        <v>0</v>
      </c>
      <c r="C106" s="652">
        <f t="shared" ref="C106:S106" si="112">IF((C9+C13+C17+C21+C25+G37+C47+C57)&lt;(22*3*3),0,_xlfn.CEILING.PRECISE((C9+C13+C17+C21+C25+G37+C47+C57)/(22*3*3),1))</f>
        <v>0</v>
      </c>
      <c r="D106" s="652">
        <f t="shared" si="112"/>
        <v>0</v>
      </c>
      <c r="E106" s="652">
        <f t="shared" si="112"/>
        <v>0</v>
      </c>
      <c r="F106" s="652">
        <v>1</v>
      </c>
      <c r="G106" s="652">
        <v>1</v>
      </c>
      <c r="H106" s="652">
        <f t="shared" si="112"/>
        <v>2</v>
      </c>
      <c r="I106" s="652">
        <f t="shared" si="112"/>
        <v>2</v>
      </c>
      <c r="J106" s="652">
        <f t="shared" si="112"/>
        <v>3</v>
      </c>
      <c r="K106" s="652">
        <f t="shared" si="112"/>
        <v>5</v>
      </c>
      <c r="L106" s="652">
        <f t="shared" si="112"/>
        <v>8</v>
      </c>
      <c r="M106" s="652">
        <f t="shared" si="112"/>
        <v>13</v>
      </c>
      <c r="N106" s="652">
        <f t="shared" si="112"/>
        <v>21</v>
      </c>
      <c r="O106" s="652">
        <f t="shared" si="112"/>
        <v>36</v>
      </c>
      <c r="P106" s="652">
        <f t="shared" si="112"/>
        <v>62</v>
      </c>
      <c r="Q106" s="652">
        <f t="shared" si="112"/>
        <v>106</v>
      </c>
      <c r="R106" s="652">
        <f t="shared" si="112"/>
        <v>184</v>
      </c>
      <c r="S106" s="652">
        <f t="shared" si="112"/>
        <v>324</v>
      </c>
      <c r="T106" s="652">
        <v>10</v>
      </c>
      <c r="U106" s="652">
        <v>10</v>
      </c>
      <c r="V106" s="652">
        <v>10</v>
      </c>
      <c r="W106" s="455"/>
      <c r="X106" s="454"/>
      <c r="Y106" s="455"/>
      <c r="Z106" s="454"/>
      <c r="AA106" s="456"/>
      <c r="AB106" s="461"/>
      <c r="AC106" s="461"/>
    </row>
    <row r="107" spans="1:29" s="462" customFormat="1" ht="4.95" customHeight="1">
      <c r="A107" s="459" t="s">
        <v>73</v>
      </c>
      <c r="B107" s="652">
        <f>-Штат!$C$22*B106</f>
        <v>0</v>
      </c>
      <c r="C107" s="460">
        <f>-Штат!$C$22*C106</f>
        <v>0</v>
      </c>
      <c r="D107" s="460">
        <f>-Штат!$C$22*D106</f>
        <v>0</v>
      </c>
      <c r="E107" s="653">
        <f>-Штат!$C$22*E106</f>
        <v>0</v>
      </c>
      <c r="F107" s="652">
        <f>-Штат!$C$22*F106</f>
        <v>-890</v>
      </c>
      <c r="G107" s="460">
        <f>-Штат!$C$22*G106</f>
        <v>-890</v>
      </c>
      <c r="H107" s="460">
        <f>-Штат!$C$22*H106</f>
        <v>-1780</v>
      </c>
      <c r="I107" s="653">
        <f>-Штат!$C$22*I106</f>
        <v>-1780</v>
      </c>
      <c r="J107" s="652">
        <f>-Штат!$C$22*J106</f>
        <v>-2670</v>
      </c>
      <c r="K107" s="460">
        <f>-Штат!$C$22*K106</f>
        <v>-4450</v>
      </c>
      <c r="L107" s="460">
        <f>-Штат!$C$22*L106</f>
        <v>-7120</v>
      </c>
      <c r="M107" s="653">
        <f>-Штат!$C$22*M106</f>
        <v>-11570</v>
      </c>
      <c r="N107" s="652">
        <f>-Штат!$C$22*N106</f>
        <v>-18690</v>
      </c>
      <c r="O107" s="460">
        <f>-Штат!$C$22*O106</f>
        <v>-32040</v>
      </c>
      <c r="P107" s="460">
        <f>-Штат!$C$22*P106</f>
        <v>-55180</v>
      </c>
      <c r="Q107" s="653">
        <f>-Штат!$C$22*Q106</f>
        <v>-94340</v>
      </c>
      <c r="R107" s="652">
        <f>-Штат!$C$22*R106</f>
        <v>-163760</v>
      </c>
      <c r="S107" s="460">
        <f>-Штат!$C$22*S106</f>
        <v>-288360</v>
      </c>
      <c r="T107" s="460">
        <f>-Штат!$C$22*T106</f>
        <v>-8900</v>
      </c>
      <c r="U107" s="653">
        <f>-Штат!$C$22*U106</f>
        <v>-8900</v>
      </c>
      <c r="V107" s="693">
        <f>-Штат!$C$22*V106</f>
        <v>-8900</v>
      </c>
      <c r="W107" s="455"/>
      <c r="X107" s="454"/>
      <c r="Y107" s="455"/>
      <c r="Z107" s="454"/>
      <c r="AA107" s="456"/>
      <c r="AB107" s="461"/>
      <c r="AC107" s="461"/>
    </row>
    <row r="108" spans="1:29" s="458" customFormat="1" ht="4.95" customHeight="1">
      <c r="A108" s="453" t="str">
        <f>Штат!A12</f>
        <v>Аналитик</v>
      </c>
      <c r="B108" s="650">
        <f>B110*3</f>
        <v>0</v>
      </c>
      <c r="C108" s="452">
        <f t="shared" ref="C108:H108" si="113">C110*3</f>
        <v>0</v>
      </c>
      <c r="D108" s="452">
        <f t="shared" si="113"/>
        <v>0</v>
      </c>
      <c r="E108" s="651">
        <f t="shared" si="113"/>
        <v>0</v>
      </c>
      <c r="F108" s="650">
        <f t="shared" si="113"/>
        <v>0</v>
      </c>
      <c r="G108" s="452">
        <f t="shared" si="113"/>
        <v>0</v>
      </c>
      <c r="H108" s="452">
        <f t="shared" si="113"/>
        <v>0</v>
      </c>
      <c r="I108" s="651">
        <f t="shared" ref="I108:J108" si="114">I110*3</f>
        <v>0</v>
      </c>
      <c r="J108" s="650">
        <f t="shared" si="114"/>
        <v>0</v>
      </c>
      <c r="K108" s="452">
        <f t="shared" ref="K108:V108" si="115">K110*3</f>
        <v>0</v>
      </c>
      <c r="L108" s="452">
        <f t="shared" si="115"/>
        <v>-4020</v>
      </c>
      <c r="M108" s="651">
        <f t="shared" si="115"/>
        <v>-4020</v>
      </c>
      <c r="N108" s="650">
        <f t="shared" si="115"/>
        <v>-4020</v>
      </c>
      <c r="O108" s="452">
        <f t="shared" si="115"/>
        <v>-8040</v>
      </c>
      <c r="P108" s="452">
        <f t="shared" si="115"/>
        <v>-8040</v>
      </c>
      <c r="Q108" s="651">
        <f t="shared" si="115"/>
        <v>-8040</v>
      </c>
      <c r="R108" s="650">
        <f t="shared" si="115"/>
        <v>-8040</v>
      </c>
      <c r="S108" s="452">
        <f t="shared" si="115"/>
        <v>-8040</v>
      </c>
      <c r="T108" s="452">
        <f t="shared" si="115"/>
        <v>-8040</v>
      </c>
      <c r="U108" s="651">
        <f t="shared" si="115"/>
        <v>-8040</v>
      </c>
      <c r="V108" s="692">
        <f t="shared" si="115"/>
        <v>-8040</v>
      </c>
      <c r="W108" s="455"/>
      <c r="X108" s="454"/>
      <c r="Y108" s="455"/>
      <c r="Z108" s="454"/>
      <c r="AA108" s="456"/>
      <c r="AB108" s="457"/>
      <c r="AC108" s="457"/>
    </row>
    <row r="109" spans="1:29" s="462" customFormat="1" ht="4.95" customHeight="1">
      <c r="A109" s="459" t="s">
        <v>72</v>
      </c>
      <c r="B109" s="652">
        <f>IF((B17+B21+B25)&lt;3,0,_xlfn.CEILING.PRECISE((B17+B21+B25)/3,1))</f>
        <v>0</v>
      </c>
      <c r="C109" s="652">
        <f t="shared" ref="C109:V109" si="116">IF((C17+C21+C25)&lt;3,0,_xlfn.CEILING.PRECISE((C17+C21+C25)/3,1))</f>
        <v>0</v>
      </c>
      <c r="D109" s="652">
        <f t="shared" si="116"/>
        <v>0</v>
      </c>
      <c r="E109" s="652">
        <f t="shared" si="116"/>
        <v>0</v>
      </c>
      <c r="F109" s="652">
        <f t="shared" si="116"/>
        <v>0</v>
      </c>
      <c r="G109" s="652">
        <f t="shared" si="116"/>
        <v>0</v>
      </c>
      <c r="H109" s="652">
        <f t="shared" si="116"/>
        <v>0</v>
      </c>
      <c r="I109" s="652">
        <f t="shared" si="116"/>
        <v>0</v>
      </c>
      <c r="J109" s="652">
        <f t="shared" si="116"/>
        <v>0</v>
      </c>
      <c r="K109" s="652">
        <f t="shared" si="116"/>
        <v>0</v>
      </c>
      <c r="L109" s="652">
        <f t="shared" si="116"/>
        <v>1</v>
      </c>
      <c r="M109" s="652">
        <f t="shared" si="116"/>
        <v>1</v>
      </c>
      <c r="N109" s="652">
        <f t="shared" si="116"/>
        <v>1</v>
      </c>
      <c r="O109" s="652">
        <f t="shared" si="116"/>
        <v>2</v>
      </c>
      <c r="P109" s="652">
        <f t="shared" si="116"/>
        <v>2</v>
      </c>
      <c r="Q109" s="652">
        <f t="shared" si="116"/>
        <v>2</v>
      </c>
      <c r="R109" s="652">
        <f t="shared" si="116"/>
        <v>2</v>
      </c>
      <c r="S109" s="652">
        <f t="shared" si="116"/>
        <v>2</v>
      </c>
      <c r="T109" s="652">
        <f t="shared" si="116"/>
        <v>2</v>
      </c>
      <c r="U109" s="652">
        <f t="shared" si="116"/>
        <v>2</v>
      </c>
      <c r="V109" s="652">
        <f t="shared" si="116"/>
        <v>2</v>
      </c>
      <c r="W109" s="455"/>
      <c r="X109" s="454"/>
      <c r="Y109" s="455"/>
      <c r="Z109" s="454"/>
      <c r="AA109" s="456"/>
      <c r="AB109" s="461"/>
      <c r="AC109" s="461"/>
    </row>
    <row r="110" spans="1:29" s="462" customFormat="1" ht="4.95" customHeight="1">
      <c r="A110" s="459" t="s">
        <v>73</v>
      </c>
      <c r="B110" s="652">
        <f>-Штат!$C23*B109</f>
        <v>0</v>
      </c>
      <c r="C110" s="460">
        <f>-Штат!$C23*C109</f>
        <v>0</v>
      </c>
      <c r="D110" s="460">
        <f>-Штат!$C23*D109</f>
        <v>0</v>
      </c>
      <c r="E110" s="653">
        <f>-Штат!$C23*E109</f>
        <v>0</v>
      </c>
      <c r="F110" s="652">
        <f>-Штат!$C23*F109</f>
        <v>0</v>
      </c>
      <c r="G110" s="460">
        <f>-Штат!$C23*G109</f>
        <v>0</v>
      </c>
      <c r="H110" s="460">
        <f>-Штат!$C23*H109</f>
        <v>0</v>
      </c>
      <c r="I110" s="653">
        <f>-Штат!$C23*I109</f>
        <v>0</v>
      </c>
      <c r="J110" s="652">
        <f>-Штат!$C23*J109</f>
        <v>0</v>
      </c>
      <c r="K110" s="460">
        <f>-Штат!$C23*K109</f>
        <v>0</v>
      </c>
      <c r="L110" s="460">
        <f>-Штат!$C23*L109</f>
        <v>-1340</v>
      </c>
      <c r="M110" s="653">
        <f>-Штат!$C23*M109</f>
        <v>-1340</v>
      </c>
      <c r="N110" s="652">
        <f>-Штат!$C23*N109</f>
        <v>-1340</v>
      </c>
      <c r="O110" s="460">
        <f>-Штат!$C23*O109</f>
        <v>-2680</v>
      </c>
      <c r="P110" s="460">
        <f>-Штат!$C23*P109</f>
        <v>-2680</v>
      </c>
      <c r="Q110" s="653">
        <f>-Штат!$C23*Q109</f>
        <v>-2680</v>
      </c>
      <c r="R110" s="652">
        <f>-Штат!$C23*R109</f>
        <v>-2680</v>
      </c>
      <c r="S110" s="460">
        <f>-Штат!$C23*S109</f>
        <v>-2680</v>
      </c>
      <c r="T110" s="460">
        <f>-Штат!$C23*T109</f>
        <v>-2680</v>
      </c>
      <c r="U110" s="653">
        <f>-Штат!$C23*U109</f>
        <v>-2680</v>
      </c>
      <c r="V110" s="693">
        <f>-Штат!$C23*V109</f>
        <v>-2680</v>
      </c>
      <c r="W110" s="455"/>
      <c r="X110" s="454"/>
      <c r="Y110" s="455"/>
      <c r="Z110" s="454"/>
      <c r="AA110" s="456"/>
      <c r="AB110" s="461"/>
      <c r="AC110" s="461"/>
    </row>
    <row r="111" spans="1:29" s="458" customFormat="1" ht="4.95" customHeight="1">
      <c r="A111" s="453" t="str">
        <f>Штат!A17</f>
        <v>Дизайнер</v>
      </c>
      <c r="B111" s="650">
        <f>B113*3</f>
        <v>0</v>
      </c>
      <c r="C111" s="452">
        <f t="shared" ref="C111:V111" si="117">C113*3</f>
        <v>0</v>
      </c>
      <c r="D111" s="452">
        <f t="shared" si="117"/>
        <v>0</v>
      </c>
      <c r="E111" s="651">
        <f t="shared" si="117"/>
        <v>0</v>
      </c>
      <c r="F111" s="650">
        <f t="shared" si="117"/>
        <v>0</v>
      </c>
      <c r="G111" s="452">
        <f t="shared" si="117"/>
        <v>540000</v>
      </c>
      <c r="H111" s="452">
        <f t="shared" si="117"/>
        <v>540000</v>
      </c>
      <c r="I111" s="651">
        <f t="shared" si="117"/>
        <v>540000</v>
      </c>
      <c r="J111" s="650">
        <f t="shared" si="117"/>
        <v>540000</v>
      </c>
      <c r="K111" s="452">
        <f t="shared" si="117"/>
        <v>540000</v>
      </c>
      <c r="L111" s="452">
        <f t="shared" si="117"/>
        <v>540000</v>
      </c>
      <c r="M111" s="651">
        <f t="shared" si="117"/>
        <v>540000</v>
      </c>
      <c r="N111" s="650">
        <f t="shared" si="117"/>
        <v>540000</v>
      </c>
      <c r="O111" s="452">
        <f t="shared" si="117"/>
        <v>1080000</v>
      </c>
      <c r="P111" s="452">
        <f t="shared" si="117"/>
        <v>1080000</v>
      </c>
      <c r="Q111" s="651">
        <f t="shared" si="117"/>
        <v>1080000</v>
      </c>
      <c r="R111" s="650">
        <f t="shared" si="117"/>
        <v>1080000</v>
      </c>
      <c r="S111" s="452">
        <f t="shared" si="117"/>
        <v>1080000</v>
      </c>
      <c r="T111" s="452">
        <f t="shared" si="117"/>
        <v>1080000</v>
      </c>
      <c r="U111" s="651">
        <f t="shared" si="117"/>
        <v>1080000</v>
      </c>
      <c r="V111" s="692">
        <f t="shared" si="117"/>
        <v>1080000</v>
      </c>
      <c r="W111" s="455"/>
      <c r="X111" s="454"/>
      <c r="Y111" s="455"/>
      <c r="Z111" s="454"/>
      <c r="AA111" s="456"/>
      <c r="AB111" s="457"/>
      <c r="AC111" s="457"/>
    </row>
    <row r="112" spans="1:29" s="462" customFormat="1" ht="4.95" customHeight="1">
      <c r="A112" s="459" t="s">
        <v>72</v>
      </c>
      <c r="B112" s="652">
        <f>IF((B17+B21+B25)&lt;3,0,_xlfn.CEILING.PRECISE((B17+B21+B25)/3,1))</f>
        <v>0</v>
      </c>
      <c r="C112" s="652">
        <f>IF((C17+C21+C25)&lt;3,0,_xlfn.CEILING.PRECISE((C17+C21+C25)/3,1))</f>
        <v>0</v>
      </c>
      <c r="D112" s="652">
        <f>IF((D17+D21+D25)&lt;3,0,_xlfn.CEILING.PRECISE((D17+D21+D25)/3,1))</f>
        <v>0</v>
      </c>
      <c r="E112" s="652">
        <f>IF((E17+E21+E25)&lt;3,0,_xlfn.CEILING.PRECISE((E17+E21+E25)/3,1))</f>
        <v>0</v>
      </c>
      <c r="F112" s="652">
        <f>IF((F17+F21+F25)&lt;3,0,_xlfn.CEILING.PRECISE((F17+F21+F25)/3,1))</f>
        <v>0</v>
      </c>
      <c r="G112" s="652">
        <v>1</v>
      </c>
      <c r="H112" s="652">
        <v>1</v>
      </c>
      <c r="I112" s="652">
        <v>1</v>
      </c>
      <c r="J112" s="652">
        <v>1</v>
      </c>
      <c r="K112" s="652">
        <v>1</v>
      </c>
      <c r="L112" s="652">
        <f t="shared" ref="L112:V112" si="118">IF((L17+L21+L25)&lt;3,0,_xlfn.CEILING.PRECISE((L17+L21+L25)/3,1))</f>
        <v>1</v>
      </c>
      <c r="M112" s="652">
        <f t="shared" si="118"/>
        <v>1</v>
      </c>
      <c r="N112" s="652">
        <f t="shared" si="118"/>
        <v>1</v>
      </c>
      <c r="O112" s="652">
        <f t="shared" si="118"/>
        <v>2</v>
      </c>
      <c r="P112" s="652">
        <f t="shared" si="118"/>
        <v>2</v>
      </c>
      <c r="Q112" s="652">
        <f t="shared" si="118"/>
        <v>2</v>
      </c>
      <c r="R112" s="652">
        <f t="shared" si="118"/>
        <v>2</v>
      </c>
      <c r="S112" s="652">
        <f t="shared" si="118"/>
        <v>2</v>
      </c>
      <c r="T112" s="652">
        <f t="shared" si="118"/>
        <v>2</v>
      </c>
      <c r="U112" s="652">
        <f t="shared" si="118"/>
        <v>2</v>
      </c>
      <c r="V112" s="652">
        <f t="shared" si="118"/>
        <v>2</v>
      </c>
      <c r="W112" s="455"/>
      <c r="X112" s="454"/>
      <c r="Y112" s="455"/>
      <c r="Z112" s="454"/>
      <c r="AA112" s="456"/>
      <c r="AB112" s="461"/>
      <c r="AC112" s="461"/>
    </row>
    <row r="113" spans="1:29" s="462" customFormat="1" ht="4.95" customHeight="1">
      <c r="A113" s="459" t="s">
        <v>73</v>
      </c>
      <c r="B113" s="652">
        <f>Штат!$B$17*B112</f>
        <v>0</v>
      </c>
      <c r="C113" s="652">
        <f>Штат!$B$17*C112</f>
        <v>0</v>
      </c>
      <c r="D113" s="652">
        <f>Штат!$B$17*D112</f>
        <v>0</v>
      </c>
      <c r="E113" s="652">
        <f>Штат!$B$17*E112</f>
        <v>0</v>
      </c>
      <c r="F113" s="652">
        <f>Штат!$B$17*F112</f>
        <v>0</v>
      </c>
      <c r="G113" s="652">
        <f>Штат!$B$17*G112</f>
        <v>180000</v>
      </c>
      <c r="H113" s="652">
        <f>Штат!$B$17*H112</f>
        <v>180000</v>
      </c>
      <c r="I113" s="652">
        <f>Штат!$B$17*I112</f>
        <v>180000</v>
      </c>
      <c r="J113" s="652">
        <f>Штат!$B$17*J112</f>
        <v>180000</v>
      </c>
      <c r="K113" s="652">
        <f>Штат!$B$17*K112</f>
        <v>180000</v>
      </c>
      <c r="L113" s="652">
        <f>Штат!$B$17*L112</f>
        <v>180000</v>
      </c>
      <c r="M113" s="652">
        <f>Штат!$B$17*M112</f>
        <v>180000</v>
      </c>
      <c r="N113" s="652">
        <f>Штат!$B$17*N112</f>
        <v>180000</v>
      </c>
      <c r="O113" s="652">
        <f>Штат!$B$17*O112</f>
        <v>360000</v>
      </c>
      <c r="P113" s="652">
        <f>Штат!$B$17*P112</f>
        <v>360000</v>
      </c>
      <c r="Q113" s="652">
        <f>Штат!$B$17*Q112</f>
        <v>360000</v>
      </c>
      <c r="R113" s="652">
        <f>Штат!$B$17*R112</f>
        <v>360000</v>
      </c>
      <c r="S113" s="652">
        <f>Штат!$B$17*S112</f>
        <v>360000</v>
      </c>
      <c r="T113" s="652">
        <f>Штат!$B$17*T112</f>
        <v>360000</v>
      </c>
      <c r="U113" s="652">
        <f>Штат!$B$17*U112</f>
        <v>360000</v>
      </c>
      <c r="V113" s="652">
        <f>Штат!$B$17*V112</f>
        <v>360000</v>
      </c>
      <c r="W113" s="455"/>
      <c r="X113" s="454"/>
      <c r="Y113" s="455"/>
      <c r="Z113" s="454"/>
      <c r="AA113" s="456"/>
      <c r="AB113" s="461"/>
      <c r="AC113" s="461"/>
    </row>
    <row r="114" spans="1:29" s="458" customFormat="1" ht="4.95" customHeight="1">
      <c r="A114" s="453" t="str">
        <f>Штат!A24</f>
        <v>Project Manager</v>
      </c>
      <c r="B114" s="650">
        <f>B116*3</f>
        <v>0</v>
      </c>
      <c r="C114" s="452">
        <f t="shared" ref="C114:V114" si="119">C116*3</f>
        <v>-4020</v>
      </c>
      <c r="D114" s="452">
        <f t="shared" si="119"/>
        <v>-4020</v>
      </c>
      <c r="E114" s="651">
        <f t="shared" si="119"/>
        <v>-4020</v>
      </c>
      <c r="F114" s="650">
        <f t="shared" si="119"/>
        <v>-4020</v>
      </c>
      <c r="G114" s="452">
        <f t="shared" si="119"/>
        <v>-4020</v>
      </c>
      <c r="H114" s="452">
        <f t="shared" si="119"/>
        <v>-4020</v>
      </c>
      <c r="I114" s="651">
        <f t="shared" si="119"/>
        <v>-4020</v>
      </c>
      <c r="J114" s="650">
        <f t="shared" si="119"/>
        <v>-4020</v>
      </c>
      <c r="K114" s="452">
        <f t="shared" si="119"/>
        <v>-4020</v>
      </c>
      <c r="L114" s="452">
        <f t="shared" si="119"/>
        <v>-4020</v>
      </c>
      <c r="M114" s="651">
        <f t="shared" si="119"/>
        <v>-4020</v>
      </c>
      <c r="N114" s="650">
        <f t="shared" si="119"/>
        <v>-4020</v>
      </c>
      <c r="O114" s="452">
        <f t="shared" si="119"/>
        <v>-8040</v>
      </c>
      <c r="P114" s="452">
        <f t="shared" si="119"/>
        <v>-8040</v>
      </c>
      <c r="Q114" s="651">
        <f t="shared" si="119"/>
        <v>-8040</v>
      </c>
      <c r="R114" s="650">
        <f t="shared" si="119"/>
        <v>-8040</v>
      </c>
      <c r="S114" s="452">
        <f t="shared" si="119"/>
        <v>-8040</v>
      </c>
      <c r="T114" s="452">
        <f t="shared" si="119"/>
        <v>-8040</v>
      </c>
      <c r="U114" s="651">
        <f t="shared" si="119"/>
        <v>-8040</v>
      </c>
      <c r="V114" s="692">
        <f t="shared" si="119"/>
        <v>-8040</v>
      </c>
      <c r="W114" s="455"/>
      <c r="X114" s="454"/>
      <c r="Y114" s="455"/>
      <c r="Z114" s="454"/>
      <c r="AA114" s="456"/>
      <c r="AB114" s="457"/>
      <c r="AC114" s="457"/>
    </row>
    <row r="115" spans="1:29" s="462" customFormat="1" ht="4.95" customHeight="1">
      <c r="A115" s="459" t="s">
        <v>72</v>
      </c>
      <c r="B115" s="652">
        <f>IF((B17+B21+B25)&lt;3,0,_xlfn.CEILING.PRECISE((B17+B21+B25)/3,1))</f>
        <v>0</v>
      </c>
      <c r="C115" s="652">
        <v>1</v>
      </c>
      <c r="D115" s="652">
        <v>1</v>
      </c>
      <c r="E115" s="652">
        <v>1</v>
      </c>
      <c r="F115" s="652">
        <v>1</v>
      </c>
      <c r="G115" s="652">
        <v>1</v>
      </c>
      <c r="H115" s="652">
        <v>1</v>
      </c>
      <c r="I115" s="652">
        <v>1</v>
      </c>
      <c r="J115" s="652">
        <v>1</v>
      </c>
      <c r="K115" s="652">
        <v>1</v>
      </c>
      <c r="L115" s="652">
        <f t="shared" ref="L115:V115" si="120">IF((L17+L21+L25)&lt;3,0,_xlfn.CEILING.PRECISE((L17+L21+L25)/3,1))</f>
        <v>1</v>
      </c>
      <c r="M115" s="652">
        <f t="shared" si="120"/>
        <v>1</v>
      </c>
      <c r="N115" s="652">
        <f t="shared" si="120"/>
        <v>1</v>
      </c>
      <c r="O115" s="652">
        <f t="shared" si="120"/>
        <v>2</v>
      </c>
      <c r="P115" s="652">
        <f t="shared" si="120"/>
        <v>2</v>
      </c>
      <c r="Q115" s="652">
        <f t="shared" si="120"/>
        <v>2</v>
      </c>
      <c r="R115" s="652">
        <f t="shared" si="120"/>
        <v>2</v>
      </c>
      <c r="S115" s="652">
        <f t="shared" si="120"/>
        <v>2</v>
      </c>
      <c r="T115" s="652">
        <f t="shared" si="120"/>
        <v>2</v>
      </c>
      <c r="U115" s="652">
        <f t="shared" si="120"/>
        <v>2</v>
      </c>
      <c r="V115" s="652">
        <f t="shared" si="120"/>
        <v>2</v>
      </c>
      <c r="W115" s="455"/>
      <c r="X115" s="454"/>
      <c r="Y115" s="455"/>
      <c r="Z115" s="454"/>
      <c r="AA115" s="456"/>
      <c r="AB115" s="461"/>
      <c r="AC115" s="461"/>
    </row>
    <row r="116" spans="1:29" s="462" customFormat="1" ht="4.95" customHeight="1">
      <c r="A116" s="459" t="s">
        <v>73</v>
      </c>
      <c r="B116" s="652">
        <f>-Штат!$C26*B115</f>
        <v>0</v>
      </c>
      <c r="C116" s="652">
        <f>-Штат!$C26*C115</f>
        <v>-1340</v>
      </c>
      <c r="D116" s="652">
        <f>-Штат!$C26*D115</f>
        <v>-1340</v>
      </c>
      <c r="E116" s="652">
        <f>-Штат!$C26*E115</f>
        <v>-1340</v>
      </c>
      <c r="F116" s="652">
        <f>-Штат!$C26*F115</f>
        <v>-1340</v>
      </c>
      <c r="G116" s="652">
        <f>-Штат!$C26*G115</f>
        <v>-1340</v>
      </c>
      <c r="H116" s="652">
        <f>-Штат!$C26*H115</f>
        <v>-1340</v>
      </c>
      <c r="I116" s="652">
        <f>-Штат!$C26*I115</f>
        <v>-1340</v>
      </c>
      <c r="J116" s="652">
        <f>-Штат!$C26*J115</f>
        <v>-1340</v>
      </c>
      <c r="K116" s="652">
        <f>-Штат!$C26*K115</f>
        <v>-1340</v>
      </c>
      <c r="L116" s="652">
        <f>-Штат!$C26*L115</f>
        <v>-1340</v>
      </c>
      <c r="M116" s="652">
        <f>-Штат!$C26*M115</f>
        <v>-1340</v>
      </c>
      <c r="N116" s="652">
        <f>-Штат!$C26*N115</f>
        <v>-1340</v>
      </c>
      <c r="O116" s="652">
        <f>-Штат!$C26*O115</f>
        <v>-2680</v>
      </c>
      <c r="P116" s="652">
        <f>-Штат!$C26*P115</f>
        <v>-2680</v>
      </c>
      <c r="Q116" s="652">
        <f>-Штат!$C26*Q115</f>
        <v>-2680</v>
      </c>
      <c r="R116" s="652">
        <f>-Штат!$C26*R115</f>
        <v>-2680</v>
      </c>
      <c r="S116" s="652">
        <f>-Штат!$C26*S115</f>
        <v>-2680</v>
      </c>
      <c r="T116" s="652">
        <f>-Штат!$C26*T115</f>
        <v>-2680</v>
      </c>
      <c r="U116" s="652">
        <f>-Штат!$C26*U115</f>
        <v>-2680</v>
      </c>
      <c r="V116" s="652">
        <f>-Штат!$C26*V115</f>
        <v>-2680</v>
      </c>
      <c r="W116" s="455"/>
      <c r="X116" s="454"/>
      <c r="Y116" s="455"/>
      <c r="Z116" s="454"/>
      <c r="AA116" s="456"/>
      <c r="AB116" s="461"/>
      <c r="AC116" s="461"/>
    </row>
    <row r="117" spans="1:29" s="200" customFormat="1" ht="7.05" customHeight="1">
      <c r="A117" s="228" t="s">
        <v>263</v>
      </c>
      <c r="B117" s="656">
        <f>B118+B121+B124+B127+B130+B133+B136+B139+B142+B145+B148</f>
        <v>0</v>
      </c>
      <c r="C117" s="61">
        <f t="shared" ref="C117:V117" si="121">C118+C121+C124+C127+C130+C133+C136+C139+C142+C145+C148</f>
        <v>-7380</v>
      </c>
      <c r="D117" s="61">
        <f t="shared" si="121"/>
        <v>-12390</v>
      </c>
      <c r="E117" s="657">
        <f t="shared" si="121"/>
        <v>-18060</v>
      </c>
      <c r="F117" s="656">
        <f t="shared" si="121"/>
        <v>-18060</v>
      </c>
      <c r="G117" s="61">
        <f t="shared" si="121"/>
        <v>-28410</v>
      </c>
      <c r="H117" s="61">
        <f t="shared" si="121"/>
        <v>-49110</v>
      </c>
      <c r="I117" s="657">
        <f t="shared" si="121"/>
        <v>-55110</v>
      </c>
      <c r="J117" s="656">
        <f t="shared" si="121"/>
        <v>-55110</v>
      </c>
      <c r="K117" s="61">
        <f t="shared" si="121"/>
        <v>-55110</v>
      </c>
      <c r="L117" s="61">
        <f t="shared" si="121"/>
        <v>-85830</v>
      </c>
      <c r="M117" s="657">
        <f t="shared" si="121"/>
        <v>-101190</v>
      </c>
      <c r="N117" s="656">
        <f t="shared" si="121"/>
        <v>-148110</v>
      </c>
      <c r="O117" s="61">
        <f t="shared" si="121"/>
        <v>-251250</v>
      </c>
      <c r="P117" s="61">
        <f t="shared" si="121"/>
        <v>-412530</v>
      </c>
      <c r="Q117" s="657">
        <f t="shared" si="121"/>
        <v>-667290</v>
      </c>
      <c r="R117" s="656">
        <f t="shared" si="121"/>
        <v>-346170</v>
      </c>
      <c r="S117" s="61">
        <f t="shared" si="121"/>
        <v>-338940</v>
      </c>
      <c r="T117" s="61">
        <f t="shared" si="121"/>
        <v>-349020</v>
      </c>
      <c r="U117" s="657">
        <f t="shared" si="121"/>
        <v>-362460</v>
      </c>
      <c r="V117" s="694">
        <f t="shared" si="121"/>
        <v>-387660</v>
      </c>
      <c r="W117" s="62">
        <f>SUM(C117:V117)</f>
        <v>-3749190</v>
      </c>
      <c r="X117" s="56"/>
      <c r="Y117" s="62"/>
      <c r="Z117" s="56"/>
      <c r="AA117" s="39"/>
      <c r="AB117" s="37"/>
      <c r="AC117" s="37"/>
    </row>
    <row r="118" spans="1:29" s="458" customFormat="1" ht="4.95" customHeight="1">
      <c r="A118" s="453" t="str">
        <f>Штат!A25</f>
        <v>Руководитель отдела маркетинга и продаж в России</v>
      </c>
      <c r="B118" s="650">
        <f>B120*3</f>
        <v>0</v>
      </c>
      <c r="C118" s="452">
        <f>C120*3</f>
        <v>0</v>
      </c>
      <c r="D118" s="452">
        <f t="shared" ref="D118:H118" si="122">D120*3</f>
        <v>-5010</v>
      </c>
      <c r="E118" s="651">
        <f t="shared" si="122"/>
        <v>-5010</v>
      </c>
      <c r="F118" s="650">
        <f t="shared" si="122"/>
        <v>-5010</v>
      </c>
      <c r="G118" s="452">
        <f t="shared" si="122"/>
        <v>-5010</v>
      </c>
      <c r="H118" s="452">
        <f t="shared" si="122"/>
        <v>-5010</v>
      </c>
      <c r="I118" s="651">
        <f t="shared" ref="I118:V118" si="123">I120*3</f>
        <v>-5010</v>
      </c>
      <c r="J118" s="650">
        <f t="shared" si="123"/>
        <v>-5010</v>
      </c>
      <c r="K118" s="452">
        <f t="shared" si="123"/>
        <v>-5010</v>
      </c>
      <c r="L118" s="452">
        <f t="shared" si="123"/>
        <v>-5010</v>
      </c>
      <c r="M118" s="651">
        <f t="shared" si="123"/>
        <v>-5010</v>
      </c>
      <c r="N118" s="650">
        <f t="shared" si="123"/>
        <v>-5010</v>
      </c>
      <c r="O118" s="452">
        <f t="shared" si="123"/>
        <v>-5010</v>
      </c>
      <c r="P118" s="452">
        <f t="shared" si="123"/>
        <v>-5010</v>
      </c>
      <c r="Q118" s="651">
        <f t="shared" si="123"/>
        <v>-5010</v>
      </c>
      <c r="R118" s="650">
        <f t="shared" si="123"/>
        <v>-5010</v>
      </c>
      <c r="S118" s="452">
        <f t="shared" si="123"/>
        <v>-5010</v>
      </c>
      <c r="T118" s="452">
        <f t="shared" si="123"/>
        <v>-5010</v>
      </c>
      <c r="U118" s="651">
        <f t="shared" si="123"/>
        <v>-5010</v>
      </c>
      <c r="V118" s="692">
        <f t="shared" si="123"/>
        <v>-5010</v>
      </c>
      <c r="W118" s="455"/>
      <c r="X118" s="454"/>
      <c r="Y118" s="455"/>
      <c r="Z118" s="454"/>
      <c r="AA118" s="456"/>
      <c r="AB118" s="457"/>
      <c r="AC118" s="457"/>
    </row>
    <row r="119" spans="1:29" s="462" customFormat="1" ht="4.95" customHeight="1">
      <c r="A119" s="459" t="s">
        <v>72</v>
      </c>
      <c r="B119" s="652">
        <v>0</v>
      </c>
      <c r="C119" s="460">
        <v>0</v>
      </c>
      <c r="D119" s="460">
        <v>1</v>
      </c>
      <c r="E119" s="653">
        <v>1</v>
      </c>
      <c r="F119" s="652">
        <v>1</v>
      </c>
      <c r="G119" s="460">
        <v>1</v>
      </c>
      <c r="H119" s="460">
        <v>1</v>
      </c>
      <c r="I119" s="653">
        <v>1</v>
      </c>
      <c r="J119" s="652">
        <v>1</v>
      </c>
      <c r="K119" s="460">
        <v>1</v>
      </c>
      <c r="L119" s="460">
        <v>1</v>
      </c>
      <c r="M119" s="653">
        <v>1</v>
      </c>
      <c r="N119" s="652">
        <v>1</v>
      </c>
      <c r="O119" s="460">
        <v>1</v>
      </c>
      <c r="P119" s="460">
        <v>1</v>
      </c>
      <c r="Q119" s="653">
        <v>1</v>
      </c>
      <c r="R119" s="652">
        <v>1</v>
      </c>
      <c r="S119" s="460">
        <v>1</v>
      </c>
      <c r="T119" s="460">
        <v>1</v>
      </c>
      <c r="U119" s="653">
        <v>1</v>
      </c>
      <c r="V119" s="693">
        <v>1</v>
      </c>
      <c r="W119" s="455"/>
      <c r="X119" s="454"/>
      <c r="Y119" s="455"/>
      <c r="Z119" s="454"/>
      <c r="AA119" s="456"/>
      <c r="AB119" s="461"/>
      <c r="AC119" s="461"/>
    </row>
    <row r="120" spans="1:29" s="462" customFormat="1" ht="4.95" customHeight="1">
      <c r="A120" s="459" t="s">
        <v>73</v>
      </c>
      <c r="B120" s="652">
        <f>-Штат!$C$25*B119</f>
        <v>0</v>
      </c>
      <c r="C120" s="460">
        <f>-Штат!$C$25*C119</f>
        <v>0</v>
      </c>
      <c r="D120" s="460">
        <f>-Штат!$C$25*D119</f>
        <v>-1670</v>
      </c>
      <c r="E120" s="653">
        <f>-Штат!$C$25*E119</f>
        <v>-1670</v>
      </c>
      <c r="F120" s="652">
        <f>-Штат!$C$25*F119</f>
        <v>-1670</v>
      </c>
      <c r="G120" s="460">
        <f>-Штат!$C$25*G119</f>
        <v>-1670</v>
      </c>
      <c r="H120" s="460">
        <f>-Штат!$C$25*H119</f>
        <v>-1670</v>
      </c>
      <c r="I120" s="653">
        <f>-Штат!$C$25*I119</f>
        <v>-1670</v>
      </c>
      <c r="J120" s="652">
        <f>-Штат!$C$25*J119</f>
        <v>-1670</v>
      </c>
      <c r="K120" s="460">
        <f>-Штат!$C$25*K119</f>
        <v>-1670</v>
      </c>
      <c r="L120" s="460">
        <f>-Штат!$C$25*L119</f>
        <v>-1670</v>
      </c>
      <c r="M120" s="653">
        <f>-Штат!$C$25*M119</f>
        <v>-1670</v>
      </c>
      <c r="N120" s="652">
        <f>-Штат!$C$25*N119</f>
        <v>-1670</v>
      </c>
      <c r="O120" s="460">
        <f>-Штат!$C$25*O119</f>
        <v>-1670</v>
      </c>
      <c r="P120" s="460">
        <f>-Штат!$C$25*P119</f>
        <v>-1670</v>
      </c>
      <c r="Q120" s="653">
        <f>-Штат!$C$25*Q119</f>
        <v>-1670</v>
      </c>
      <c r="R120" s="652">
        <f>-Штат!$C$25*R119</f>
        <v>-1670</v>
      </c>
      <c r="S120" s="460">
        <f>-Штат!$C$25*S119</f>
        <v>-1670</v>
      </c>
      <c r="T120" s="460">
        <f>-Штат!$C$25*T119</f>
        <v>-1670</v>
      </c>
      <c r="U120" s="653">
        <f>-Штат!$C$25*U119</f>
        <v>-1670</v>
      </c>
      <c r="V120" s="693">
        <f>-Штат!$C$25*V119</f>
        <v>-1670</v>
      </c>
      <c r="W120" s="455"/>
      <c r="X120" s="454"/>
      <c r="Y120" s="455"/>
      <c r="Z120" s="454"/>
      <c r="AA120" s="456"/>
      <c r="AB120" s="461"/>
      <c r="AC120" s="461"/>
    </row>
    <row r="121" spans="1:29" s="458" customFormat="1" ht="4.95" customHeight="1">
      <c r="A121" s="453" t="str">
        <f>Штат!A26</f>
        <v>Менеджер по продажам Россия</v>
      </c>
      <c r="B121" s="650">
        <f>B123*3</f>
        <v>0</v>
      </c>
      <c r="C121" s="452">
        <f>C123*3</f>
        <v>-4020</v>
      </c>
      <c r="D121" s="452">
        <f t="shared" ref="D121:F121" si="124">D123*3</f>
        <v>-4020</v>
      </c>
      <c r="E121" s="651">
        <f t="shared" si="124"/>
        <v>-4020</v>
      </c>
      <c r="F121" s="650">
        <f t="shared" si="124"/>
        <v>-4020</v>
      </c>
      <c r="G121" s="452">
        <f>G123*3</f>
        <v>-4020</v>
      </c>
      <c r="H121" s="452">
        <f>H123*3</f>
        <v>-4020</v>
      </c>
      <c r="I121" s="651">
        <f t="shared" ref="I121:V121" si="125">I123*3</f>
        <v>-4020</v>
      </c>
      <c r="J121" s="650">
        <f t="shared" si="125"/>
        <v>-4020</v>
      </c>
      <c r="K121" s="452">
        <f t="shared" si="125"/>
        <v>-4020</v>
      </c>
      <c r="L121" s="452">
        <f t="shared" si="125"/>
        <v>-12060</v>
      </c>
      <c r="M121" s="651">
        <f t="shared" si="125"/>
        <v>-16080</v>
      </c>
      <c r="N121" s="650">
        <f t="shared" si="125"/>
        <v>-28140</v>
      </c>
      <c r="O121" s="452">
        <f t="shared" si="125"/>
        <v>-44220</v>
      </c>
      <c r="P121" s="452">
        <f t="shared" si="125"/>
        <v>-76380</v>
      </c>
      <c r="Q121" s="651">
        <f t="shared" si="125"/>
        <v>-128640</v>
      </c>
      <c r="R121" s="650">
        <f t="shared" si="125"/>
        <v>-60300</v>
      </c>
      <c r="S121" s="452">
        <f t="shared" si="125"/>
        <v>-60300</v>
      </c>
      <c r="T121" s="452">
        <f t="shared" si="125"/>
        <v>-60300</v>
      </c>
      <c r="U121" s="651">
        <f t="shared" si="125"/>
        <v>-60300</v>
      </c>
      <c r="V121" s="692">
        <f t="shared" si="125"/>
        <v>-60300</v>
      </c>
      <c r="W121" s="455"/>
      <c r="X121" s="454"/>
      <c r="Y121" s="455"/>
      <c r="Z121" s="454"/>
      <c r="AA121" s="456"/>
      <c r="AB121" s="457"/>
      <c r="AC121" s="457"/>
    </row>
    <row r="122" spans="1:29" s="462" customFormat="1" ht="4.95" customHeight="1">
      <c r="A122" s="459" t="s">
        <v>72</v>
      </c>
      <c r="B122" s="652">
        <f>IF((B9+B13+B17+B21+B25+B27+B37+B47+B57)&lt;660,0,_xlfn.CEILING.PRECISE((B9+B13+B17+B21+B25+B27+B37+B47+B57)/660,1))</f>
        <v>0</v>
      </c>
      <c r="C122" s="652">
        <v>1</v>
      </c>
      <c r="D122" s="652">
        <v>1</v>
      </c>
      <c r="E122" s="652">
        <v>1</v>
      </c>
      <c r="F122" s="652">
        <v>1</v>
      </c>
      <c r="G122" s="652">
        <v>1</v>
      </c>
      <c r="H122" s="652">
        <v>1</v>
      </c>
      <c r="I122" s="652">
        <v>1</v>
      </c>
      <c r="J122" s="652">
        <v>1</v>
      </c>
      <c r="K122" s="652">
        <v>1</v>
      </c>
      <c r="L122" s="652">
        <f t="shared" ref="L122:Q122" si="126">IF((L9+L13+L17+L21+L25+L27+L37+L47+L57)&lt;660,0,_xlfn.CEILING.PRECISE((L9+L13+L17+L21+L25+L27+L37+L47+L57)/660,1))</f>
        <v>3</v>
      </c>
      <c r="M122" s="652">
        <f t="shared" si="126"/>
        <v>4</v>
      </c>
      <c r="N122" s="652">
        <f t="shared" si="126"/>
        <v>7</v>
      </c>
      <c r="O122" s="652">
        <f t="shared" si="126"/>
        <v>11</v>
      </c>
      <c r="P122" s="652">
        <f t="shared" si="126"/>
        <v>19</v>
      </c>
      <c r="Q122" s="652">
        <f t="shared" si="126"/>
        <v>32</v>
      </c>
      <c r="R122" s="652">
        <v>15</v>
      </c>
      <c r="S122" s="652">
        <v>15</v>
      </c>
      <c r="T122" s="652">
        <v>15</v>
      </c>
      <c r="U122" s="652">
        <v>15</v>
      </c>
      <c r="V122" s="652">
        <v>15</v>
      </c>
      <c r="W122" s="455"/>
      <c r="X122" s="454"/>
      <c r="Y122" s="455"/>
      <c r="Z122" s="454"/>
      <c r="AA122" s="456"/>
      <c r="AB122" s="461"/>
      <c r="AC122" s="461"/>
    </row>
    <row r="123" spans="1:29" s="462" customFormat="1" ht="4.95" customHeight="1">
      <c r="A123" s="459" t="s">
        <v>73</v>
      </c>
      <c r="B123" s="652">
        <f>-Штат!$C$26*B122</f>
        <v>0</v>
      </c>
      <c r="C123" s="652">
        <f>-Штат!$C$26*C122</f>
        <v>-1340</v>
      </c>
      <c r="D123" s="652">
        <f>-Штат!$C$26*D122</f>
        <v>-1340</v>
      </c>
      <c r="E123" s="652">
        <f>-Штат!$C$26*E122</f>
        <v>-1340</v>
      </c>
      <c r="F123" s="652">
        <f>-Штат!$C$26*F122</f>
        <v>-1340</v>
      </c>
      <c r="G123" s="460">
        <f>-Штат!$C$26*G122</f>
        <v>-1340</v>
      </c>
      <c r="H123" s="460">
        <f>-Штат!$C$26*H122</f>
        <v>-1340</v>
      </c>
      <c r="I123" s="653">
        <f>-Штат!$C$26*I122</f>
        <v>-1340</v>
      </c>
      <c r="J123" s="652">
        <f>-Штат!$C$26*J122</f>
        <v>-1340</v>
      </c>
      <c r="K123" s="460">
        <f>-Штат!$C$26*K122</f>
        <v>-1340</v>
      </c>
      <c r="L123" s="460">
        <f>-Штат!$C$26*L122</f>
        <v>-4020</v>
      </c>
      <c r="M123" s="653">
        <f>-Штат!$C$26*M122</f>
        <v>-5360</v>
      </c>
      <c r="N123" s="652">
        <f>-Штат!$C$26*N122</f>
        <v>-9380</v>
      </c>
      <c r="O123" s="460">
        <f>-Штат!$C$26*O122</f>
        <v>-14740</v>
      </c>
      <c r="P123" s="460">
        <f>-Штат!$C$26*P122</f>
        <v>-25460</v>
      </c>
      <c r="Q123" s="653">
        <f>-Штат!$C$26*Q122</f>
        <v>-42880</v>
      </c>
      <c r="R123" s="652">
        <f>-Штат!$C$26*R122</f>
        <v>-20100</v>
      </c>
      <c r="S123" s="460">
        <f>-Штат!$C$26*S122</f>
        <v>-20100</v>
      </c>
      <c r="T123" s="460">
        <f>-Штат!$C$26*T122</f>
        <v>-20100</v>
      </c>
      <c r="U123" s="460">
        <f>-Штат!$C$26*U122</f>
        <v>-20100</v>
      </c>
      <c r="V123" s="460">
        <f>-Штат!$C$26*V122</f>
        <v>-20100</v>
      </c>
      <c r="W123" s="455"/>
      <c r="X123" s="454"/>
      <c r="Y123" s="455"/>
      <c r="Z123" s="454"/>
      <c r="AA123" s="456"/>
      <c r="AB123" s="461"/>
      <c r="AC123" s="461"/>
    </row>
    <row r="124" spans="1:29" s="458" customFormat="1" ht="4.95" customHeight="1">
      <c r="A124" s="453" t="str">
        <f>Штат!A27</f>
        <v>Специалист по тендерам</v>
      </c>
      <c r="B124" s="650">
        <f>B126*3</f>
        <v>0</v>
      </c>
      <c r="C124" s="452">
        <f t="shared" ref="C124:V124" si="127">C126*3</f>
        <v>-3360</v>
      </c>
      <c r="D124" s="452">
        <f t="shared" si="127"/>
        <v>-3360</v>
      </c>
      <c r="E124" s="651">
        <f t="shared" si="127"/>
        <v>-3360</v>
      </c>
      <c r="F124" s="650">
        <f t="shared" si="127"/>
        <v>-3360</v>
      </c>
      <c r="G124" s="452">
        <f t="shared" si="127"/>
        <v>-3360</v>
      </c>
      <c r="H124" s="452">
        <f t="shared" si="127"/>
        <v>-3360</v>
      </c>
      <c r="I124" s="651">
        <f t="shared" si="127"/>
        <v>-3360</v>
      </c>
      <c r="J124" s="650">
        <f t="shared" si="127"/>
        <v>-3360</v>
      </c>
      <c r="K124" s="452">
        <f t="shared" si="127"/>
        <v>-3360</v>
      </c>
      <c r="L124" s="452">
        <f t="shared" si="127"/>
        <v>-3360</v>
      </c>
      <c r="M124" s="651">
        <f t="shared" si="127"/>
        <v>-3360</v>
      </c>
      <c r="N124" s="650">
        <f t="shared" si="127"/>
        <v>-3360</v>
      </c>
      <c r="O124" s="452">
        <f t="shared" si="127"/>
        <v>-3360</v>
      </c>
      <c r="P124" s="452">
        <f t="shared" si="127"/>
        <v>-3360</v>
      </c>
      <c r="Q124" s="651">
        <f t="shared" si="127"/>
        <v>-3360</v>
      </c>
      <c r="R124" s="650">
        <f t="shared" si="127"/>
        <v>-3360</v>
      </c>
      <c r="S124" s="452">
        <f t="shared" si="127"/>
        <v>-3360</v>
      </c>
      <c r="T124" s="452">
        <f t="shared" si="127"/>
        <v>-3360</v>
      </c>
      <c r="U124" s="651">
        <f t="shared" si="127"/>
        <v>-3360</v>
      </c>
      <c r="V124" s="692">
        <f t="shared" si="127"/>
        <v>-3360</v>
      </c>
      <c r="W124" s="455"/>
      <c r="X124" s="454"/>
      <c r="Y124" s="455"/>
      <c r="Z124" s="454"/>
      <c r="AA124" s="456"/>
      <c r="AB124" s="457"/>
      <c r="AC124" s="457"/>
    </row>
    <row r="125" spans="1:29" s="462" customFormat="1" ht="4.95" customHeight="1">
      <c r="A125" s="459" t="s">
        <v>72</v>
      </c>
      <c r="B125" s="652">
        <v>0</v>
      </c>
      <c r="C125" s="460">
        <v>1</v>
      </c>
      <c r="D125" s="460">
        <v>1</v>
      </c>
      <c r="E125" s="653">
        <v>1</v>
      </c>
      <c r="F125" s="652">
        <v>1</v>
      </c>
      <c r="G125" s="460">
        <v>1</v>
      </c>
      <c r="H125" s="460">
        <v>1</v>
      </c>
      <c r="I125" s="653">
        <v>1</v>
      </c>
      <c r="J125" s="652">
        <v>1</v>
      </c>
      <c r="K125" s="460">
        <v>1</v>
      </c>
      <c r="L125" s="460">
        <v>1</v>
      </c>
      <c r="M125" s="653">
        <v>1</v>
      </c>
      <c r="N125" s="652">
        <v>1</v>
      </c>
      <c r="O125" s="460">
        <v>1</v>
      </c>
      <c r="P125" s="460">
        <v>1</v>
      </c>
      <c r="Q125" s="653">
        <v>1</v>
      </c>
      <c r="R125" s="652">
        <v>1</v>
      </c>
      <c r="S125" s="460">
        <v>1</v>
      </c>
      <c r="T125" s="460">
        <v>1</v>
      </c>
      <c r="U125" s="653">
        <v>1</v>
      </c>
      <c r="V125" s="693">
        <v>1</v>
      </c>
      <c r="W125" s="455"/>
      <c r="X125" s="454"/>
      <c r="Y125" s="455"/>
      <c r="Z125" s="454"/>
      <c r="AA125" s="456"/>
      <c r="AB125" s="461"/>
      <c r="AC125" s="461"/>
    </row>
    <row r="126" spans="1:29" s="462" customFormat="1" ht="4.95" customHeight="1">
      <c r="A126" s="459" t="s">
        <v>73</v>
      </c>
      <c r="B126" s="652">
        <f>-Штат!$C$27*B125</f>
        <v>0</v>
      </c>
      <c r="C126" s="460">
        <f>-Штат!$C$27*C125</f>
        <v>-1120</v>
      </c>
      <c r="D126" s="460">
        <f>-Штат!$C$27*D125</f>
        <v>-1120</v>
      </c>
      <c r="E126" s="653">
        <f>-Штат!$C$27*E125</f>
        <v>-1120</v>
      </c>
      <c r="F126" s="652">
        <f>-Штат!$C$27*F125</f>
        <v>-1120</v>
      </c>
      <c r="G126" s="460">
        <f>-Штат!$C$27*G125</f>
        <v>-1120</v>
      </c>
      <c r="H126" s="460">
        <f>-Штат!$C$27*H125</f>
        <v>-1120</v>
      </c>
      <c r="I126" s="653">
        <f>-Штат!$C$27*I125</f>
        <v>-1120</v>
      </c>
      <c r="J126" s="652">
        <f>-Штат!$C$27*J125</f>
        <v>-1120</v>
      </c>
      <c r="K126" s="460">
        <f>-Штат!$C$27*K125</f>
        <v>-1120</v>
      </c>
      <c r="L126" s="460">
        <f>-Штат!$C$27*L125</f>
        <v>-1120</v>
      </c>
      <c r="M126" s="653">
        <f>-Штат!$C$27*M125</f>
        <v>-1120</v>
      </c>
      <c r="N126" s="652">
        <f>-Штат!$C$27*N125</f>
        <v>-1120</v>
      </c>
      <c r="O126" s="460">
        <f>-Штат!$C$27*O125</f>
        <v>-1120</v>
      </c>
      <c r="P126" s="460">
        <f>-Штат!$C$27*P125</f>
        <v>-1120</v>
      </c>
      <c r="Q126" s="653">
        <f>-Штат!$C$27*Q125</f>
        <v>-1120</v>
      </c>
      <c r="R126" s="652">
        <f>-Штат!$C$27*R125</f>
        <v>-1120</v>
      </c>
      <c r="S126" s="460">
        <f>-Штат!$C$27*S125</f>
        <v>-1120</v>
      </c>
      <c r="T126" s="460">
        <f>-Штат!$C$27*T125</f>
        <v>-1120</v>
      </c>
      <c r="U126" s="653">
        <f>-Штат!$C$27*U125</f>
        <v>-1120</v>
      </c>
      <c r="V126" s="693">
        <f>-Штат!$C$27*V125</f>
        <v>-1120</v>
      </c>
      <c r="W126" s="455"/>
      <c r="X126" s="454"/>
      <c r="Y126" s="455"/>
      <c r="Z126" s="454"/>
      <c r="AA126" s="456"/>
      <c r="AB126" s="461"/>
      <c r="AC126" s="461"/>
    </row>
    <row r="127" spans="1:29" s="458" customFormat="1" ht="4.95" customHeight="1">
      <c r="A127" s="453" t="str">
        <f>Штат!A28</f>
        <v>Работник склада</v>
      </c>
      <c r="B127" s="650">
        <f>B129*3</f>
        <v>0</v>
      </c>
      <c r="C127" s="452">
        <f t="shared" ref="C127:V127" si="128">C129*3</f>
        <v>0</v>
      </c>
      <c r="D127" s="452">
        <f t="shared" si="128"/>
        <v>0</v>
      </c>
      <c r="E127" s="651">
        <f t="shared" si="128"/>
        <v>0</v>
      </c>
      <c r="F127" s="650">
        <f t="shared" si="128"/>
        <v>0</v>
      </c>
      <c r="G127" s="452">
        <f t="shared" si="128"/>
        <v>-840</v>
      </c>
      <c r="H127" s="452">
        <f t="shared" si="128"/>
        <v>-840</v>
      </c>
      <c r="I127" s="651">
        <f t="shared" si="128"/>
        <v>-840</v>
      </c>
      <c r="J127" s="650">
        <f t="shared" si="128"/>
        <v>-840</v>
      </c>
      <c r="K127" s="452">
        <f t="shared" si="128"/>
        <v>-840</v>
      </c>
      <c r="L127" s="452">
        <f t="shared" si="128"/>
        <v>-840</v>
      </c>
      <c r="M127" s="651">
        <f t="shared" si="128"/>
        <v>-840</v>
      </c>
      <c r="N127" s="650">
        <f t="shared" si="128"/>
        <v>-1680</v>
      </c>
      <c r="O127" s="452">
        <f t="shared" si="128"/>
        <v>-1680</v>
      </c>
      <c r="P127" s="452">
        <f t="shared" si="128"/>
        <v>-6720</v>
      </c>
      <c r="Q127" s="651">
        <f t="shared" si="128"/>
        <v>-11760</v>
      </c>
      <c r="R127" s="650">
        <f t="shared" si="128"/>
        <v>-18480</v>
      </c>
      <c r="S127" s="452">
        <f t="shared" si="128"/>
        <v>-10080</v>
      </c>
      <c r="T127" s="452">
        <f t="shared" si="128"/>
        <v>-20160</v>
      </c>
      <c r="U127" s="651">
        <f t="shared" si="128"/>
        <v>-33600</v>
      </c>
      <c r="V127" s="692">
        <f t="shared" si="128"/>
        <v>-58800</v>
      </c>
      <c r="W127" s="455"/>
      <c r="X127" s="454"/>
      <c r="Y127" s="455"/>
      <c r="Z127" s="454"/>
      <c r="AA127" s="456"/>
      <c r="AB127" s="457"/>
      <c r="AC127" s="457"/>
    </row>
    <row r="128" spans="1:29" s="462" customFormat="1" ht="4.95" customHeight="1">
      <c r="A128" s="459" t="s">
        <v>72</v>
      </c>
      <c r="B128" s="652">
        <f>IF((B9+B13+B17+B21+B25+F37+B47+B57)&lt;(22*5*3),0,_xlfn.CEILING.PRECISE((B9+B13+B17+B21+B25+F37+B47+B57)/(22*5*3),1))</f>
        <v>0</v>
      </c>
      <c r="C128" s="652">
        <f>IF((C9+C13+C17+C21+C25+G37+C47+C57)&lt;22*5*3,0,_xlfn.CEILING.PRECISE((C9+C13+C17+C21+C25+G37+C47+C57)/(22*5*3),1))</f>
        <v>0</v>
      </c>
      <c r="D128" s="652">
        <f>IF((D9+D13+D17+D21+D25+H37+D47+D57)&lt;22*5*3,0,_xlfn.CEILING.PRECISE((D9+D13+D17+D21+D25+H37+D47+D57)/(22*5*3),1))</f>
        <v>0</v>
      </c>
      <c r="E128" s="652">
        <f>IF((E9+E13+E17+E21+E25+I37+E47+E57)&lt;22*5*3,0,_xlfn.CEILING.PRECISE((E9+E13+E17+E21+E25+I37+E47+E57)/(22*5*3),1))</f>
        <v>0</v>
      </c>
      <c r="F128" s="652">
        <f>IF((F9+F13+F17+F21+F25+J37+F47+F57)&lt;22*5*3,0,_xlfn.CEILING.PRECISE((F9+F13+F17+F21+F25+J37+F47+F57)/(22*5*3),1))</f>
        <v>0</v>
      </c>
      <c r="G128" s="652">
        <v>0.5</v>
      </c>
      <c r="H128" s="652">
        <v>0.5</v>
      </c>
      <c r="I128" s="652">
        <v>0.5</v>
      </c>
      <c r="J128" s="652">
        <v>0.5</v>
      </c>
      <c r="K128" s="652">
        <v>0.5</v>
      </c>
      <c r="L128" s="652">
        <v>0.5</v>
      </c>
      <c r="M128" s="652">
        <v>0.5</v>
      </c>
      <c r="N128" s="652">
        <v>1</v>
      </c>
      <c r="O128" s="652">
        <v>1</v>
      </c>
      <c r="P128" s="652">
        <f>IF((P9+P13+P17+P21+P25+P37+P47+P57)&lt;22*50*3,0,_xlfn.CEILING.PRECISE((P9+P13+P17+P21+P25+P37+P47+P57)/(22*50*3),1))</f>
        <v>4</v>
      </c>
      <c r="Q128" s="652">
        <f t="shared" ref="Q128:R128" si="129">IF((Q9+Q13+Q17+Q21+Q25+Q37+Q47+Q57)&lt;22*50*3,0,_xlfn.CEILING.PRECISE((Q9+Q13+Q17+Q21+Q25+Q37+Q47+Q57)/(22*50*3),1))</f>
        <v>7</v>
      </c>
      <c r="R128" s="652">
        <f t="shared" si="129"/>
        <v>11</v>
      </c>
      <c r="S128" s="652">
        <v>6</v>
      </c>
      <c r="T128" s="652">
        <f t="shared" ref="T128:V128" si="130">IF((T9+T13+T17+T21+T25+T37+T47+T57)&lt;22*150*3,0,_xlfn.CEILING.PRECISE((T9+T13+T17+T21+T25+T37+T47+T57)/(22*150*3),1))</f>
        <v>12</v>
      </c>
      <c r="U128" s="652">
        <f t="shared" si="130"/>
        <v>20</v>
      </c>
      <c r="V128" s="652">
        <f t="shared" si="130"/>
        <v>35</v>
      </c>
      <c r="W128" s="455"/>
      <c r="X128" s="454"/>
      <c r="Y128" s="455"/>
      <c r="Z128" s="454"/>
      <c r="AA128" s="456"/>
      <c r="AB128" s="461"/>
      <c r="AC128" s="461"/>
    </row>
    <row r="129" spans="1:29" s="462" customFormat="1" ht="4.95" customHeight="1">
      <c r="A129" s="459" t="s">
        <v>73</v>
      </c>
      <c r="B129" s="652">
        <f>-Штат!$C$28*B128</f>
        <v>0</v>
      </c>
      <c r="C129" s="460">
        <f>-Штат!$C$28*C128</f>
        <v>0</v>
      </c>
      <c r="D129" s="460">
        <f>-Штат!$C$28*D128</f>
        <v>0</v>
      </c>
      <c r="E129" s="653">
        <f>-Штат!$C$28*E128</f>
        <v>0</v>
      </c>
      <c r="F129" s="652">
        <f>-Штат!$C$28*F128</f>
        <v>0</v>
      </c>
      <c r="G129" s="460">
        <f>-Штат!$C$28*G128</f>
        <v>-280</v>
      </c>
      <c r="H129" s="460">
        <f>-Штат!$C$28*H128</f>
        <v>-280</v>
      </c>
      <c r="I129" s="653">
        <f>-Штат!$C$28*I128</f>
        <v>-280</v>
      </c>
      <c r="J129" s="652">
        <f>-Штат!$C$28*J128</f>
        <v>-280</v>
      </c>
      <c r="K129" s="460">
        <f>-Штат!$C$28*K128</f>
        <v>-280</v>
      </c>
      <c r="L129" s="460">
        <f>-Штат!$C$28*L128</f>
        <v>-280</v>
      </c>
      <c r="M129" s="653">
        <f>-Штат!$C$28*M128</f>
        <v>-280</v>
      </c>
      <c r="N129" s="652">
        <f>-Штат!$C$28*N128</f>
        <v>-560</v>
      </c>
      <c r="O129" s="460">
        <f>-Штат!$C$28*O128</f>
        <v>-560</v>
      </c>
      <c r="P129" s="460">
        <f>-Штат!$C$28*P128</f>
        <v>-2240</v>
      </c>
      <c r="Q129" s="653">
        <f>-Штат!$C$28*Q128</f>
        <v>-3920</v>
      </c>
      <c r="R129" s="652">
        <f>-Штат!$C$28*R128</f>
        <v>-6160</v>
      </c>
      <c r="S129" s="460">
        <f>-Штат!$C$28*S128</f>
        <v>-3360</v>
      </c>
      <c r="T129" s="460">
        <f>-Штат!$C$28*T128</f>
        <v>-6720</v>
      </c>
      <c r="U129" s="653">
        <f>-Штат!$C$28*U128</f>
        <v>-11200</v>
      </c>
      <c r="V129" s="693">
        <f>-Штат!$C$28*V128</f>
        <v>-19600</v>
      </c>
      <c r="W129" s="455"/>
      <c r="X129" s="454"/>
      <c r="Y129" s="455"/>
      <c r="Z129" s="454"/>
      <c r="AA129" s="456"/>
      <c r="AB129" s="461"/>
      <c r="AC129" s="461"/>
    </row>
    <row r="130" spans="1:29" s="458" customFormat="1" ht="4.95" customHeight="1">
      <c r="A130" s="453" t="str">
        <f>Штат!A29</f>
        <v>Логист Вьетнам</v>
      </c>
      <c r="B130" s="650">
        <f>B132*3</f>
        <v>0</v>
      </c>
      <c r="C130" s="452">
        <f t="shared" ref="C130:V130" si="131">C132*3</f>
        <v>0</v>
      </c>
      <c r="D130" s="452">
        <f t="shared" si="131"/>
        <v>0</v>
      </c>
      <c r="E130" s="651">
        <f t="shared" si="131"/>
        <v>0</v>
      </c>
      <c r="F130" s="650">
        <f t="shared" si="131"/>
        <v>0</v>
      </c>
      <c r="G130" s="452">
        <f t="shared" si="131"/>
        <v>-1170</v>
      </c>
      <c r="H130" s="452">
        <f t="shared" si="131"/>
        <v>-1170</v>
      </c>
      <c r="I130" s="651">
        <f t="shared" si="131"/>
        <v>-1170</v>
      </c>
      <c r="J130" s="650">
        <f t="shared" si="131"/>
        <v>-1170</v>
      </c>
      <c r="K130" s="452">
        <f t="shared" si="131"/>
        <v>-1170</v>
      </c>
      <c r="L130" s="452">
        <f t="shared" si="131"/>
        <v>-1170</v>
      </c>
      <c r="M130" s="651">
        <f t="shared" si="131"/>
        <v>-1170</v>
      </c>
      <c r="N130" s="650">
        <f t="shared" si="131"/>
        <v>-1170</v>
      </c>
      <c r="O130" s="452">
        <f t="shared" si="131"/>
        <v>-1170</v>
      </c>
      <c r="P130" s="452">
        <f t="shared" si="131"/>
        <v>-1170</v>
      </c>
      <c r="Q130" s="651">
        <f t="shared" si="131"/>
        <v>-1170</v>
      </c>
      <c r="R130" s="650">
        <f t="shared" si="131"/>
        <v>-1170</v>
      </c>
      <c r="S130" s="452">
        <f t="shared" si="131"/>
        <v>-2340</v>
      </c>
      <c r="T130" s="452">
        <f t="shared" si="131"/>
        <v>-2340</v>
      </c>
      <c r="U130" s="651">
        <f t="shared" si="131"/>
        <v>-2340</v>
      </c>
      <c r="V130" s="692">
        <f t="shared" si="131"/>
        <v>-2340</v>
      </c>
      <c r="W130" s="455"/>
      <c r="X130" s="454"/>
      <c r="Y130" s="455"/>
      <c r="Z130" s="454"/>
      <c r="AA130" s="456"/>
      <c r="AB130" s="457"/>
      <c r="AC130" s="457"/>
    </row>
    <row r="131" spans="1:29" s="462" customFormat="1" ht="4.95" customHeight="1">
      <c r="A131" s="459" t="s">
        <v>72</v>
      </c>
      <c r="B131" s="652">
        <v>0</v>
      </c>
      <c r="C131" s="460">
        <v>0</v>
      </c>
      <c r="D131" s="460">
        <v>0</v>
      </c>
      <c r="E131" s="653">
        <v>0</v>
      </c>
      <c r="F131" s="652">
        <v>0</v>
      </c>
      <c r="G131" s="460">
        <v>0.5</v>
      </c>
      <c r="H131" s="460">
        <v>0.5</v>
      </c>
      <c r="I131" s="653">
        <v>0.5</v>
      </c>
      <c r="J131" s="652">
        <v>0.5</v>
      </c>
      <c r="K131" s="460">
        <v>0.5</v>
      </c>
      <c r="L131" s="460">
        <v>0.5</v>
      </c>
      <c r="M131" s="653">
        <v>0.5</v>
      </c>
      <c r="N131" s="652">
        <v>0.5</v>
      </c>
      <c r="O131" s="460">
        <v>0.5</v>
      </c>
      <c r="P131" s="460">
        <v>0.5</v>
      </c>
      <c r="Q131" s="653">
        <v>0.5</v>
      </c>
      <c r="R131" s="652">
        <v>0.5</v>
      </c>
      <c r="S131" s="460">
        <v>1</v>
      </c>
      <c r="T131" s="460">
        <v>1</v>
      </c>
      <c r="U131" s="653">
        <v>1</v>
      </c>
      <c r="V131" s="693">
        <v>1</v>
      </c>
      <c r="W131" s="455"/>
      <c r="X131" s="454"/>
      <c r="Y131" s="455"/>
      <c r="Z131" s="454"/>
      <c r="AA131" s="456"/>
      <c r="AB131" s="461"/>
      <c r="AC131" s="461"/>
    </row>
    <row r="132" spans="1:29" s="462" customFormat="1" ht="4.95" customHeight="1">
      <c r="A132" s="459" t="s">
        <v>73</v>
      </c>
      <c r="B132" s="652">
        <f>-Штат!$C$29*B131</f>
        <v>0</v>
      </c>
      <c r="C132" s="460">
        <f>-Штат!$C$29*C131</f>
        <v>0</v>
      </c>
      <c r="D132" s="460">
        <f>-Штат!$C$29*D131</f>
        <v>0</v>
      </c>
      <c r="E132" s="653">
        <f>-Штат!$C$29*E131</f>
        <v>0</v>
      </c>
      <c r="F132" s="652">
        <f>-Штат!$C$29*F131</f>
        <v>0</v>
      </c>
      <c r="G132" s="460">
        <f>-Штат!$C$29*G131</f>
        <v>-390</v>
      </c>
      <c r="H132" s="460">
        <f>-Штат!$C$29*H131</f>
        <v>-390</v>
      </c>
      <c r="I132" s="653">
        <f>-Штат!$C$29*I131</f>
        <v>-390</v>
      </c>
      <c r="J132" s="652">
        <f>-Штат!$C$29*J131</f>
        <v>-390</v>
      </c>
      <c r="K132" s="460">
        <f>-Штат!$C$29*K131</f>
        <v>-390</v>
      </c>
      <c r="L132" s="460">
        <f>-Штат!$C$29*L131</f>
        <v>-390</v>
      </c>
      <c r="M132" s="653">
        <f>-Штат!$C$29*M131</f>
        <v>-390</v>
      </c>
      <c r="N132" s="652">
        <f>-Штат!$C$29*N131</f>
        <v>-390</v>
      </c>
      <c r="O132" s="460">
        <f>-Штат!$C$29*O131</f>
        <v>-390</v>
      </c>
      <c r="P132" s="460">
        <f>-Штат!$C$29*P131</f>
        <v>-390</v>
      </c>
      <c r="Q132" s="653">
        <f>-Штат!$C$29*Q131</f>
        <v>-390</v>
      </c>
      <c r="R132" s="652">
        <f>-Штат!$C$29*R131</f>
        <v>-390</v>
      </c>
      <c r="S132" s="460">
        <f>-Штат!$C$29*S131</f>
        <v>-780</v>
      </c>
      <c r="T132" s="460">
        <f>-Штат!$C$29*T131</f>
        <v>-780</v>
      </c>
      <c r="U132" s="653">
        <f>-Штат!$C$29*U131</f>
        <v>-780</v>
      </c>
      <c r="V132" s="693">
        <f>-Штат!$C$29*V131</f>
        <v>-780</v>
      </c>
      <c r="W132" s="455"/>
      <c r="X132" s="454"/>
      <c r="Y132" s="455"/>
      <c r="Z132" s="454"/>
      <c r="AA132" s="456"/>
      <c r="AB132" s="461"/>
      <c r="AC132" s="461"/>
    </row>
    <row r="133" spans="1:29" s="458" customFormat="1" ht="4.95" customHeight="1">
      <c r="A133" s="453" t="str">
        <f>Штат!A30</f>
        <v>Маркетолог Китай</v>
      </c>
      <c r="B133" s="650">
        <f>B135*3</f>
        <v>0</v>
      </c>
      <c r="C133" s="452">
        <f t="shared" ref="C133:D133" si="132">C135*3</f>
        <v>0</v>
      </c>
      <c r="D133" s="452">
        <f t="shared" si="132"/>
        <v>0</v>
      </c>
      <c r="E133" s="651">
        <f t="shared" ref="E133:N133" si="133">E135*3</f>
        <v>0</v>
      </c>
      <c r="F133" s="650">
        <f t="shared" si="133"/>
        <v>0</v>
      </c>
      <c r="G133" s="452">
        <f t="shared" si="133"/>
        <v>0</v>
      </c>
      <c r="H133" s="452">
        <f t="shared" si="133"/>
        <v>-6690</v>
      </c>
      <c r="I133" s="651">
        <f t="shared" si="133"/>
        <v>-6690</v>
      </c>
      <c r="J133" s="650">
        <f t="shared" si="133"/>
        <v>-6690</v>
      </c>
      <c r="K133" s="452">
        <f t="shared" si="133"/>
        <v>-6690</v>
      </c>
      <c r="L133" s="452">
        <f t="shared" si="133"/>
        <v>-6690</v>
      </c>
      <c r="M133" s="651">
        <f t="shared" si="133"/>
        <v>-6690</v>
      </c>
      <c r="N133" s="650">
        <f t="shared" si="133"/>
        <v>-6690</v>
      </c>
      <c r="O133" s="452">
        <f>O135*3</f>
        <v>-6690</v>
      </c>
      <c r="P133" s="452">
        <f t="shared" ref="P133:Q133" si="134">P135*3</f>
        <v>-6690</v>
      </c>
      <c r="Q133" s="651">
        <f t="shared" si="134"/>
        <v>-6690</v>
      </c>
      <c r="R133" s="650">
        <f t="shared" ref="R133:V133" si="135">R135*3</f>
        <v>-6690</v>
      </c>
      <c r="S133" s="452">
        <f t="shared" si="135"/>
        <v>-6690</v>
      </c>
      <c r="T133" s="452">
        <f t="shared" si="135"/>
        <v>-6690</v>
      </c>
      <c r="U133" s="651">
        <f t="shared" si="135"/>
        <v>-6690</v>
      </c>
      <c r="V133" s="692">
        <f t="shared" si="135"/>
        <v>-6690</v>
      </c>
      <c r="W133" s="455"/>
      <c r="X133" s="454"/>
      <c r="Y133" s="455"/>
      <c r="Z133" s="454"/>
      <c r="AA133" s="456"/>
      <c r="AB133" s="457"/>
      <c r="AC133" s="457"/>
    </row>
    <row r="134" spans="1:29" s="462" customFormat="1" ht="4.95" customHeight="1">
      <c r="A134" s="459" t="s">
        <v>72</v>
      </c>
      <c r="B134" s="652">
        <v>0</v>
      </c>
      <c r="C134" s="460">
        <v>0</v>
      </c>
      <c r="D134" s="460">
        <v>0</v>
      </c>
      <c r="E134" s="653">
        <v>0</v>
      </c>
      <c r="F134" s="652">
        <v>0</v>
      </c>
      <c r="G134" s="460">
        <v>0</v>
      </c>
      <c r="H134" s="460">
        <v>1</v>
      </c>
      <c r="I134" s="653">
        <v>1</v>
      </c>
      <c r="J134" s="652">
        <v>1</v>
      </c>
      <c r="K134" s="460">
        <v>1</v>
      </c>
      <c r="L134" s="460">
        <v>1</v>
      </c>
      <c r="M134" s="653">
        <v>1</v>
      </c>
      <c r="N134" s="652">
        <v>1</v>
      </c>
      <c r="O134" s="460">
        <v>1</v>
      </c>
      <c r="P134" s="460">
        <v>1</v>
      </c>
      <c r="Q134" s="653">
        <v>1</v>
      </c>
      <c r="R134" s="652">
        <v>1</v>
      </c>
      <c r="S134" s="460">
        <v>1</v>
      </c>
      <c r="T134" s="460">
        <v>1</v>
      </c>
      <c r="U134" s="653">
        <v>1</v>
      </c>
      <c r="V134" s="693">
        <v>1</v>
      </c>
      <c r="W134" s="455"/>
      <c r="X134" s="454"/>
      <c r="Y134" s="455"/>
      <c r="Z134" s="454"/>
      <c r="AA134" s="456"/>
      <c r="AB134" s="461"/>
      <c r="AC134" s="461"/>
    </row>
    <row r="135" spans="1:29" s="462" customFormat="1" ht="4.95" customHeight="1">
      <c r="A135" s="459" t="s">
        <v>73</v>
      </c>
      <c r="B135" s="652">
        <f>-Штат!$C$30*B134</f>
        <v>0</v>
      </c>
      <c r="C135" s="460">
        <f>-Штат!$C$30*C134</f>
        <v>0</v>
      </c>
      <c r="D135" s="460">
        <f>-Штат!$C$30*D134</f>
        <v>0</v>
      </c>
      <c r="E135" s="653">
        <f>-Штат!$C$30*E134</f>
        <v>0</v>
      </c>
      <c r="F135" s="652">
        <f>-Штат!$C$30*F134</f>
        <v>0</v>
      </c>
      <c r="G135" s="460">
        <f>-Штат!$C$30*G134</f>
        <v>0</v>
      </c>
      <c r="H135" s="460">
        <f>-Штат!$C$30*H134</f>
        <v>-2230</v>
      </c>
      <c r="I135" s="653">
        <f>-Штат!$C$30*I134</f>
        <v>-2230</v>
      </c>
      <c r="J135" s="652">
        <f>-Штат!$C$30*J134</f>
        <v>-2230</v>
      </c>
      <c r="K135" s="460">
        <f>-Штат!$C$30*K134</f>
        <v>-2230</v>
      </c>
      <c r="L135" s="460">
        <f>-Штат!$C$30*L134</f>
        <v>-2230</v>
      </c>
      <c r="M135" s="653">
        <f>-Штат!$C$30*M134</f>
        <v>-2230</v>
      </c>
      <c r="N135" s="652">
        <f>-Штат!$C$30*N134</f>
        <v>-2230</v>
      </c>
      <c r="O135" s="460">
        <f>-Штат!$C$30*O134</f>
        <v>-2230</v>
      </c>
      <c r="P135" s="460">
        <f>-Штат!$C$30*P134</f>
        <v>-2230</v>
      </c>
      <c r="Q135" s="653">
        <f>-Штат!$C$30*Q134</f>
        <v>-2230</v>
      </c>
      <c r="R135" s="652">
        <f>-Штат!$C$30*R134</f>
        <v>-2230</v>
      </c>
      <c r="S135" s="460">
        <f>-Штат!$C$30*S134</f>
        <v>-2230</v>
      </c>
      <c r="T135" s="460">
        <f>-Штат!$C$30*T134</f>
        <v>-2230</v>
      </c>
      <c r="U135" s="653">
        <f>-Штат!$C$30*U134</f>
        <v>-2230</v>
      </c>
      <c r="V135" s="693">
        <f>-Штат!$C$30*V134</f>
        <v>-2230</v>
      </c>
      <c r="W135" s="455"/>
      <c r="X135" s="454"/>
      <c r="Y135" s="455"/>
      <c r="Z135" s="454"/>
      <c r="AA135" s="456"/>
      <c r="AB135" s="461"/>
      <c r="AC135" s="461"/>
    </row>
    <row r="136" spans="1:29" s="458" customFormat="1" ht="4.95" customHeight="1">
      <c r="A136" s="453" t="str">
        <f>Штат!A31</f>
        <v>Менеджеры по продажам Китай</v>
      </c>
      <c r="B136" s="650">
        <f>B138*3</f>
        <v>0</v>
      </c>
      <c r="C136" s="452">
        <f>C138*3</f>
        <v>0</v>
      </c>
      <c r="D136" s="452">
        <f t="shared" ref="D136:M136" si="136">D138*3</f>
        <v>0</v>
      </c>
      <c r="E136" s="651">
        <f t="shared" si="136"/>
        <v>-5670</v>
      </c>
      <c r="F136" s="650">
        <f t="shared" si="136"/>
        <v>-5670</v>
      </c>
      <c r="G136" s="452">
        <f t="shared" si="136"/>
        <v>-5670</v>
      </c>
      <c r="H136" s="452">
        <f t="shared" si="136"/>
        <v>-5670</v>
      </c>
      <c r="I136" s="651">
        <f t="shared" si="136"/>
        <v>-5670</v>
      </c>
      <c r="J136" s="650">
        <f t="shared" si="136"/>
        <v>-5670</v>
      </c>
      <c r="K136" s="452">
        <f t="shared" si="136"/>
        <v>-5670</v>
      </c>
      <c r="L136" s="452">
        <f t="shared" si="136"/>
        <v>-17010</v>
      </c>
      <c r="M136" s="651">
        <f t="shared" si="136"/>
        <v>-22680</v>
      </c>
      <c r="N136" s="650">
        <f>N138*3</f>
        <v>-39690</v>
      </c>
      <c r="O136" s="452">
        <f>O138*3</f>
        <v>-62370</v>
      </c>
      <c r="P136" s="452">
        <f t="shared" ref="P136:V136" si="137">P138*3</f>
        <v>-107730</v>
      </c>
      <c r="Q136" s="651">
        <f t="shared" si="137"/>
        <v>-181440</v>
      </c>
      <c r="R136" s="650">
        <f t="shared" si="137"/>
        <v>-85050</v>
      </c>
      <c r="S136" s="452">
        <f t="shared" si="137"/>
        <v>-85050</v>
      </c>
      <c r="T136" s="452">
        <f t="shared" si="137"/>
        <v>-85050</v>
      </c>
      <c r="U136" s="651">
        <f t="shared" si="137"/>
        <v>-85050</v>
      </c>
      <c r="V136" s="692">
        <f t="shared" si="137"/>
        <v>-85050</v>
      </c>
      <c r="W136" s="455"/>
      <c r="X136" s="454"/>
      <c r="Y136" s="455"/>
      <c r="Z136" s="454"/>
      <c r="AA136" s="456"/>
      <c r="AB136" s="457"/>
      <c r="AC136" s="457"/>
    </row>
    <row r="137" spans="1:29" s="462" customFormat="1" ht="4.95" customHeight="1">
      <c r="A137" s="459" t="s">
        <v>72</v>
      </c>
      <c r="B137" s="652">
        <v>0</v>
      </c>
      <c r="C137" s="460">
        <v>0</v>
      </c>
      <c r="D137" s="460">
        <v>0</v>
      </c>
      <c r="E137" s="653">
        <v>1</v>
      </c>
      <c r="F137" s="652">
        <v>1</v>
      </c>
      <c r="G137" s="460">
        <v>1</v>
      </c>
      <c r="H137" s="460">
        <v>1</v>
      </c>
      <c r="I137" s="653">
        <v>1</v>
      </c>
      <c r="J137" s="652">
        <v>1</v>
      </c>
      <c r="K137" s="460">
        <f>K122</f>
        <v>1</v>
      </c>
      <c r="L137" s="460">
        <f t="shared" ref="L137:N137" si="138">L122</f>
        <v>3</v>
      </c>
      <c r="M137" s="460">
        <f t="shared" si="138"/>
        <v>4</v>
      </c>
      <c r="N137" s="460">
        <f t="shared" si="138"/>
        <v>7</v>
      </c>
      <c r="O137" s="460">
        <f>O122</f>
        <v>11</v>
      </c>
      <c r="P137" s="460">
        <f t="shared" ref="P137:V137" si="139">P122</f>
        <v>19</v>
      </c>
      <c r="Q137" s="460">
        <f t="shared" si="139"/>
        <v>32</v>
      </c>
      <c r="R137" s="460">
        <f t="shared" si="139"/>
        <v>15</v>
      </c>
      <c r="S137" s="460">
        <f t="shared" si="139"/>
        <v>15</v>
      </c>
      <c r="T137" s="460">
        <f t="shared" si="139"/>
        <v>15</v>
      </c>
      <c r="U137" s="460">
        <f t="shared" si="139"/>
        <v>15</v>
      </c>
      <c r="V137" s="460">
        <f t="shared" si="139"/>
        <v>15</v>
      </c>
      <c r="W137" s="455"/>
      <c r="X137" s="454"/>
      <c r="Y137" s="455"/>
      <c r="Z137" s="454"/>
      <c r="AA137" s="456"/>
      <c r="AB137" s="461"/>
      <c r="AC137" s="461"/>
    </row>
    <row r="138" spans="1:29" s="462" customFormat="1" ht="4.95" customHeight="1">
      <c r="A138" s="459" t="s">
        <v>73</v>
      </c>
      <c r="B138" s="652">
        <f>-Штат!$C$31*B137</f>
        <v>0</v>
      </c>
      <c r="C138" s="460">
        <f>-Штат!$C$31*C137</f>
        <v>0</v>
      </c>
      <c r="D138" s="460">
        <f>-Штат!$C$31*D137</f>
        <v>0</v>
      </c>
      <c r="E138" s="653">
        <f>-Штат!$C$31*E137</f>
        <v>-1890</v>
      </c>
      <c r="F138" s="652">
        <f>-Штат!$C$31*F137</f>
        <v>-1890</v>
      </c>
      <c r="G138" s="460">
        <f>-Штат!$C$31*G137</f>
        <v>-1890</v>
      </c>
      <c r="H138" s="460">
        <f>-Штат!$C$31*H137</f>
        <v>-1890</v>
      </c>
      <c r="I138" s="653">
        <f>-Штат!$C$31*I137</f>
        <v>-1890</v>
      </c>
      <c r="J138" s="652">
        <f>-Штат!$C$31*J137</f>
        <v>-1890</v>
      </c>
      <c r="K138" s="460">
        <f>-Штат!$C$31*K137</f>
        <v>-1890</v>
      </c>
      <c r="L138" s="460">
        <f>-Штат!$C$31*L137</f>
        <v>-5670</v>
      </c>
      <c r="M138" s="653">
        <f>-Штат!$C$31*M137</f>
        <v>-7560</v>
      </c>
      <c r="N138" s="652">
        <f>-Штат!$C$31*N137</f>
        <v>-13230</v>
      </c>
      <c r="O138" s="460">
        <f>-Штат!$C$31*O137</f>
        <v>-20790</v>
      </c>
      <c r="P138" s="460">
        <f>-Штат!$C$31*P137</f>
        <v>-35910</v>
      </c>
      <c r="Q138" s="653">
        <f>-Штат!$C$31*Q137</f>
        <v>-60480</v>
      </c>
      <c r="R138" s="652">
        <f>-Штат!$C$31*R137</f>
        <v>-28350</v>
      </c>
      <c r="S138" s="460">
        <f>-Штат!$C$31*S137</f>
        <v>-28350</v>
      </c>
      <c r="T138" s="460">
        <f>-Штат!$C$31*T137</f>
        <v>-28350</v>
      </c>
      <c r="U138" s="653">
        <f>-Штат!$C$31*U137</f>
        <v>-28350</v>
      </c>
      <c r="V138" s="693">
        <f>-Штат!$C$31*V137</f>
        <v>-28350</v>
      </c>
      <c r="W138" s="455"/>
      <c r="X138" s="454"/>
      <c r="Y138" s="455"/>
      <c r="Z138" s="454"/>
      <c r="AA138" s="456"/>
      <c r="AB138" s="461"/>
      <c r="AC138" s="461"/>
    </row>
    <row r="139" spans="1:29" s="458" customFormat="1" ht="4.95" customHeight="1">
      <c r="A139" s="453" t="str">
        <f>Штат!A32</f>
        <v>Маркетолог Европа</v>
      </c>
      <c r="B139" s="650">
        <f>B141*3</f>
        <v>0</v>
      </c>
      <c r="C139" s="452">
        <f>C141*3</f>
        <v>0</v>
      </c>
      <c r="D139" s="452">
        <f t="shared" ref="D139:V139" si="140">D141*3</f>
        <v>0</v>
      </c>
      <c r="E139" s="651">
        <f t="shared" si="140"/>
        <v>0</v>
      </c>
      <c r="F139" s="650">
        <f t="shared" si="140"/>
        <v>0</v>
      </c>
      <c r="G139" s="452">
        <f t="shared" si="140"/>
        <v>0</v>
      </c>
      <c r="H139" s="452">
        <f t="shared" si="140"/>
        <v>-8340</v>
      </c>
      <c r="I139" s="651">
        <f t="shared" si="140"/>
        <v>-8340</v>
      </c>
      <c r="J139" s="650">
        <f t="shared" si="140"/>
        <v>-8340</v>
      </c>
      <c r="K139" s="452">
        <f t="shared" si="140"/>
        <v>-8340</v>
      </c>
      <c r="L139" s="452">
        <f t="shared" si="140"/>
        <v>-8340</v>
      </c>
      <c r="M139" s="651">
        <f t="shared" si="140"/>
        <v>-8340</v>
      </c>
      <c r="N139" s="650">
        <f t="shared" si="140"/>
        <v>-8340</v>
      </c>
      <c r="O139" s="452">
        <f t="shared" si="140"/>
        <v>-8340</v>
      </c>
      <c r="P139" s="452">
        <f t="shared" si="140"/>
        <v>-8340</v>
      </c>
      <c r="Q139" s="651">
        <f t="shared" si="140"/>
        <v>-8340</v>
      </c>
      <c r="R139" s="650">
        <f t="shared" si="140"/>
        <v>-8340</v>
      </c>
      <c r="S139" s="452">
        <f t="shared" si="140"/>
        <v>-8340</v>
      </c>
      <c r="T139" s="452">
        <f t="shared" si="140"/>
        <v>-8340</v>
      </c>
      <c r="U139" s="651">
        <f t="shared" si="140"/>
        <v>-8340</v>
      </c>
      <c r="V139" s="692">
        <f t="shared" si="140"/>
        <v>-8340</v>
      </c>
      <c r="W139" s="455"/>
      <c r="X139" s="454"/>
      <c r="Y139" s="455"/>
      <c r="Z139" s="454"/>
      <c r="AA139" s="456"/>
      <c r="AB139" s="457"/>
      <c r="AC139" s="457"/>
    </row>
    <row r="140" spans="1:29" s="462" customFormat="1" ht="4.95" customHeight="1">
      <c r="A140" s="459" t="s">
        <v>72</v>
      </c>
      <c r="B140" s="652">
        <v>0</v>
      </c>
      <c r="C140" s="460">
        <v>0</v>
      </c>
      <c r="D140" s="460">
        <v>0</v>
      </c>
      <c r="E140" s="653">
        <v>0</v>
      </c>
      <c r="F140" s="652">
        <v>0</v>
      </c>
      <c r="G140" s="460">
        <v>0</v>
      </c>
      <c r="H140" s="460">
        <v>1</v>
      </c>
      <c r="I140" s="653">
        <v>1</v>
      </c>
      <c r="J140" s="652">
        <v>1</v>
      </c>
      <c r="K140" s="460">
        <v>1</v>
      </c>
      <c r="L140" s="460">
        <v>1</v>
      </c>
      <c r="M140" s="653">
        <v>1</v>
      </c>
      <c r="N140" s="652">
        <v>1</v>
      </c>
      <c r="O140" s="460">
        <v>1</v>
      </c>
      <c r="P140" s="460">
        <v>1</v>
      </c>
      <c r="Q140" s="653">
        <v>1</v>
      </c>
      <c r="R140" s="652">
        <v>1</v>
      </c>
      <c r="S140" s="460">
        <v>1</v>
      </c>
      <c r="T140" s="460">
        <v>1</v>
      </c>
      <c r="U140" s="653">
        <v>1</v>
      </c>
      <c r="V140" s="693">
        <v>1</v>
      </c>
      <c r="W140" s="455"/>
      <c r="X140" s="454"/>
      <c r="Y140" s="455"/>
      <c r="Z140" s="454"/>
      <c r="AA140" s="456"/>
      <c r="AB140" s="461"/>
      <c r="AC140" s="461"/>
    </row>
    <row r="141" spans="1:29" s="462" customFormat="1" ht="6.6" customHeight="1">
      <c r="A141" s="459" t="s">
        <v>73</v>
      </c>
      <c r="B141" s="652">
        <f>-Штат!$C$32*B140</f>
        <v>0</v>
      </c>
      <c r="C141" s="460">
        <f>-Штат!$C$32*C140</f>
        <v>0</v>
      </c>
      <c r="D141" s="460">
        <f>-Штат!$C$32*D140</f>
        <v>0</v>
      </c>
      <c r="E141" s="653">
        <f>-Штат!$C$32*E140</f>
        <v>0</v>
      </c>
      <c r="F141" s="652">
        <f>-Штат!$C$32*F140</f>
        <v>0</v>
      </c>
      <c r="G141" s="460">
        <f>-Штат!$C$32*G140</f>
        <v>0</v>
      </c>
      <c r="H141" s="460">
        <f>-Штат!$C$32*H140</f>
        <v>-2780</v>
      </c>
      <c r="I141" s="653">
        <f>-Штат!$C$32*I140</f>
        <v>-2780</v>
      </c>
      <c r="J141" s="652">
        <f>-Штат!$C$32*J140</f>
        <v>-2780</v>
      </c>
      <c r="K141" s="460">
        <f>-Штат!$C$32*K140</f>
        <v>-2780</v>
      </c>
      <c r="L141" s="460">
        <f>-Штат!$C$32*L140</f>
        <v>-2780</v>
      </c>
      <c r="M141" s="653">
        <f>-Штат!$C$32*M140</f>
        <v>-2780</v>
      </c>
      <c r="N141" s="652">
        <f>-Штат!$C$32*N140</f>
        <v>-2780</v>
      </c>
      <c r="O141" s="460">
        <f>-Штат!$C$32*O140</f>
        <v>-2780</v>
      </c>
      <c r="P141" s="460">
        <f>-Штат!$C$32*P140</f>
        <v>-2780</v>
      </c>
      <c r="Q141" s="653">
        <f>-Штат!$C$32*Q140</f>
        <v>-2780</v>
      </c>
      <c r="R141" s="652">
        <f>-Штат!$C$32*R140</f>
        <v>-2780</v>
      </c>
      <c r="S141" s="460">
        <f>-Штат!$C$32*S140</f>
        <v>-2780</v>
      </c>
      <c r="T141" s="460">
        <f>-Штат!$C$32*T140</f>
        <v>-2780</v>
      </c>
      <c r="U141" s="653">
        <f>-Штат!$C$32*U140</f>
        <v>-2780</v>
      </c>
      <c r="V141" s="693">
        <f>-Штат!$C$32*V140</f>
        <v>-2780</v>
      </c>
      <c r="W141" s="455"/>
      <c r="X141" s="454"/>
      <c r="Y141" s="455"/>
      <c r="Z141" s="454"/>
      <c r="AA141" s="456"/>
      <c r="AB141" s="461"/>
      <c r="AC141" s="461"/>
    </row>
    <row r="142" spans="1:29" s="458" customFormat="1" ht="6.6" customHeight="1">
      <c r="A142" s="453" t="str">
        <f>Штат!A33</f>
        <v>Менеджеры по продажам Европа</v>
      </c>
      <c r="B142" s="650">
        <f>B144*3</f>
        <v>0</v>
      </c>
      <c r="C142" s="452">
        <f>C144*3</f>
        <v>0</v>
      </c>
      <c r="D142" s="452">
        <f t="shared" ref="D142:V142" si="141">D144*3</f>
        <v>0</v>
      </c>
      <c r="E142" s="651">
        <f t="shared" si="141"/>
        <v>0</v>
      </c>
      <c r="F142" s="650">
        <f t="shared" si="141"/>
        <v>0</v>
      </c>
      <c r="G142" s="452">
        <f t="shared" si="141"/>
        <v>-8340</v>
      </c>
      <c r="H142" s="452">
        <f t="shared" si="141"/>
        <v>-8340</v>
      </c>
      <c r="I142" s="651">
        <f t="shared" si="141"/>
        <v>-8340</v>
      </c>
      <c r="J142" s="650">
        <f t="shared" si="141"/>
        <v>-8340</v>
      </c>
      <c r="K142" s="452">
        <f t="shared" si="141"/>
        <v>-8340</v>
      </c>
      <c r="L142" s="452">
        <f t="shared" si="141"/>
        <v>-8340</v>
      </c>
      <c r="M142" s="651">
        <f t="shared" si="141"/>
        <v>-8340</v>
      </c>
      <c r="N142" s="650">
        <f t="shared" si="141"/>
        <v>-8340</v>
      </c>
      <c r="O142" s="452">
        <f t="shared" si="141"/>
        <v>-50040</v>
      </c>
      <c r="P142" s="452">
        <f t="shared" si="141"/>
        <v>-83400</v>
      </c>
      <c r="Q142" s="651">
        <f t="shared" si="141"/>
        <v>-133440</v>
      </c>
      <c r="R142" s="650">
        <f t="shared" si="141"/>
        <v>-66720</v>
      </c>
      <c r="S142" s="452">
        <f t="shared" si="141"/>
        <v>-66720</v>
      </c>
      <c r="T142" s="452">
        <f t="shared" si="141"/>
        <v>-66720</v>
      </c>
      <c r="U142" s="651">
        <f t="shared" si="141"/>
        <v>-66720</v>
      </c>
      <c r="V142" s="692">
        <f t="shared" si="141"/>
        <v>-66720</v>
      </c>
      <c r="W142" s="455"/>
      <c r="X142" s="454"/>
      <c r="Y142" s="455"/>
      <c r="Z142" s="454"/>
      <c r="AA142" s="456"/>
      <c r="AB142" s="457"/>
      <c r="AC142" s="457"/>
    </row>
    <row r="143" spans="1:29" s="462" customFormat="1" ht="6.6" customHeight="1">
      <c r="A143" s="459" t="s">
        <v>72</v>
      </c>
      <c r="B143" s="652">
        <v>0</v>
      </c>
      <c r="C143" s="460">
        <v>0</v>
      </c>
      <c r="D143" s="460">
        <v>0</v>
      </c>
      <c r="E143" s="653">
        <v>0</v>
      </c>
      <c r="F143" s="652">
        <v>0</v>
      </c>
      <c r="G143" s="460">
        <v>1</v>
      </c>
      <c r="H143" s="460">
        <v>1</v>
      </c>
      <c r="I143" s="653">
        <v>1</v>
      </c>
      <c r="J143" s="652">
        <v>1</v>
      </c>
      <c r="K143" s="460">
        <v>1</v>
      </c>
      <c r="L143" s="460">
        <v>1</v>
      </c>
      <c r="M143" s="653">
        <v>1</v>
      </c>
      <c r="N143" s="652">
        <v>1</v>
      </c>
      <c r="O143" s="460">
        <f>CEILING(O137/2,1)</f>
        <v>6</v>
      </c>
      <c r="P143" s="460">
        <f t="shared" ref="P143:V143" si="142">CEILING(P137/2,1)</f>
        <v>10</v>
      </c>
      <c r="Q143" s="460">
        <f t="shared" si="142"/>
        <v>16</v>
      </c>
      <c r="R143" s="460">
        <f t="shared" si="142"/>
        <v>8</v>
      </c>
      <c r="S143" s="460">
        <f t="shared" si="142"/>
        <v>8</v>
      </c>
      <c r="T143" s="460">
        <f t="shared" si="142"/>
        <v>8</v>
      </c>
      <c r="U143" s="460">
        <f t="shared" si="142"/>
        <v>8</v>
      </c>
      <c r="V143" s="460">
        <f t="shared" si="142"/>
        <v>8</v>
      </c>
      <c r="W143" s="455"/>
      <c r="X143" s="454"/>
      <c r="Y143" s="455"/>
      <c r="Z143" s="454"/>
      <c r="AA143" s="456"/>
      <c r="AB143" s="461"/>
      <c r="AC143" s="461"/>
    </row>
    <row r="144" spans="1:29" s="462" customFormat="1" ht="6.6" customHeight="1">
      <c r="A144" s="459" t="s">
        <v>73</v>
      </c>
      <c r="B144" s="652">
        <f>-Штат!$C$33*B143</f>
        <v>0</v>
      </c>
      <c r="C144" s="460">
        <f>-Штат!$C$33*C143</f>
        <v>0</v>
      </c>
      <c r="D144" s="460">
        <f>-Штат!$C$33*D143</f>
        <v>0</v>
      </c>
      <c r="E144" s="653">
        <f>-Штат!$C$33*E143</f>
        <v>0</v>
      </c>
      <c r="F144" s="652">
        <f>-Штат!$C$33*F143</f>
        <v>0</v>
      </c>
      <c r="G144" s="460">
        <f>-Штат!$C$33*G143</f>
        <v>-2780</v>
      </c>
      <c r="H144" s="460">
        <f>-Штат!$C$33*H143</f>
        <v>-2780</v>
      </c>
      <c r="I144" s="653">
        <f>-Штат!$C$33*I143</f>
        <v>-2780</v>
      </c>
      <c r="J144" s="652">
        <f>-Штат!$C$33*J143</f>
        <v>-2780</v>
      </c>
      <c r="K144" s="460">
        <f>-Штат!$C$33*K143</f>
        <v>-2780</v>
      </c>
      <c r="L144" s="460">
        <f>-Штат!$C$33*L143</f>
        <v>-2780</v>
      </c>
      <c r="M144" s="653">
        <f>-Штат!$C$33*M143</f>
        <v>-2780</v>
      </c>
      <c r="N144" s="652">
        <f>-Штат!$C$33*N143</f>
        <v>-2780</v>
      </c>
      <c r="O144" s="460">
        <f>-Штат!$C$33*O143</f>
        <v>-16680</v>
      </c>
      <c r="P144" s="460">
        <f>-Штат!$C$33*P143</f>
        <v>-27800</v>
      </c>
      <c r="Q144" s="653">
        <f>-Штат!$C$33*Q143</f>
        <v>-44480</v>
      </c>
      <c r="R144" s="652">
        <f>-Штат!$C$33*R143</f>
        <v>-22240</v>
      </c>
      <c r="S144" s="460">
        <f>-Штат!$C$33*S143</f>
        <v>-22240</v>
      </c>
      <c r="T144" s="460">
        <f>-Штат!$C$33*T143</f>
        <v>-22240</v>
      </c>
      <c r="U144" s="653">
        <f>-Штат!$C$33*U143</f>
        <v>-22240</v>
      </c>
      <c r="V144" s="693">
        <f>-Штат!$C$33*V143</f>
        <v>-22240</v>
      </c>
      <c r="W144" s="455"/>
      <c r="X144" s="454"/>
      <c r="Y144" s="455"/>
      <c r="Z144" s="454"/>
      <c r="AA144" s="456"/>
      <c r="AB144" s="461"/>
      <c r="AC144" s="461"/>
    </row>
    <row r="145" spans="1:29" s="458" customFormat="1" ht="6.6" customHeight="1">
      <c r="A145" s="453" t="str">
        <f>Штат!A34</f>
        <v>Маркетолог Индия</v>
      </c>
      <c r="B145" s="650">
        <f>B147*3</f>
        <v>0</v>
      </c>
      <c r="C145" s="452">
        <f>C147*3</f>
        <v>0</v>
      </c>
      <c r="D145" s="452">
        <f t="shared" ref="D145:V145" si="143">D147*3</f>
        <v>0</v>
      </c>
      <c r="E145" s="651">
        <f t="shared" si="143"/>
        <v>0</v>
      </c>
      <c r="F145" s="650">
        <f t="shared" si="143"/>
        <v>0</v>
      </c>
      <c r="G145" s="452">
        <f t="shared" si="143"/>
        <v>0</v>
      </c>
      <c r="H145" s="452">
        <f t="shared" si="143"/>
        <v>0</v>
      </c>
      <c r="I145" s="651">
        <f t="shared" si="143"/>
        <v>-6000</v>
      </c>
      <c r="J145" s="650">
        <f t="shared" si="143"/>
        <v>-6000</v>
      </c>
      <c r="K145" s="452">
        <f t="shared" si="143"/>
        <v>-6000</v>
      </c>
      <c r="L145" s="452">
        <f t="shared" si="143"/>
        <v>-6000</v>
      </c>
      <c r="M145" s="651">
        <f t="shared" si="143"/>
        <v>-6000</v>
      </c>
      <c r="N145" s="650">
        <f t="shared" si="143"/>
        <v>-6000</v>
      </c>
      <c r="O145" s="452">
        <f t="shared" si="143"/>
        <v>-6000</v>
      </c>
      <c r="P145" s="452">
        <f t="shared" si="143"/>
        <v>-6000</v>
      </c>
      <c r="Q145" s="651">
        <f t="shared" si="143"/>
        <v>-6000</v>
      </c>
      <c r="R145" s="650">
        <f t="shared" si="143"/>
        <v>-6000</v>
      </c>
      <c r="S145" s="452">
        <f t="shared" si="143"/>
        <v>-6000</v>
      </c>
      <c r="T145" s="452">
        <f t="shared" si="143"/>
        <v>-6000</v>
      </c>
      <c r="U145" s="651">
        <f t="shared" si="143"/>
        <v>-6000</v>
      </c>
      <c r="V145" s="692">
        <f t="shared" si="143"/>
        <v>-6000</v>
      </c>
      <c r="W145" s="455"/>
      <c r="X145" s="454"/>
      <c r="Y145" s="455"/>
      <c r="Z145" s="454"/>
      <c r="AA145" s="456"/>
      <c r="AB145" s="457"/>
      <c r="AC145" s="457"/>
    </row>
    <row r="146" spans="1:29" s="462" customFormat="1" ht="4.95" customHeight="1">
      <c r="A146" s="459" t="s">
        <v>72</v>
      </c>
      <c r="B146" s="652">
        <v>0</v>
      </c>
      <c r="C146" s="460">
        <v>0</v>
      </c>
      <c r="D146" s="460">
        <v>0</v>
      </c>
      <c r="E146" s="653">
        <v>0</v>
      </c>
      <c r="F146" s="652">
        <v>0</v>
      </c>
      <c r="G146" s="460">
        <v>0</v>
      </c>
      <c r="H146" s="460">
        <v>0</v>
      </c>
      <c r="I146" s="653">
        <v>1</v>
      </c>
      <c r="J146" s="652">
        <v>1</v>
      </c>
      <c r="K146" s="460">
        <v>1</v>
      </c>
      <c r="L146" s="460">
        <v>1</v>
      </c>
      <c r="M146" s="653">
        <v>1</v>
      </c>
      <c r="N146" s="652">
        <v>1</v>
      </c>
      <c r="O146" s="460">
        <v>1</v>
      </c>
      <c r="P146" s="460">
        <v>1</v>
      </c>
      <c r="Q146" s="653">
        <v>1</v>
      </c>
      <c r="R146" s="652">
        <v>1</v>
      </c>
      <c r="S146" s="460">
        <v>1</v>
      </c>
      <c r="T146" s="460">
        <v>1</v>
      </c>
      <c r="U146" s="653">
        <v>1</v>
      </c>
      <c r="V146" s="693">
        <v>1</v>
      </c>
      <c r="W146" s="455"/>
      <c r="X146" s="454"/>
      <c r="Y146" s="455"/>
      <c r="Z146" s="454"/>
      <c r="AA146" s="456"/>
      <c r="AB146" s="461"/>
      <c r="AC146" s="461"/>
    </row>
    <row r="147" spans="1:29" s="462" customFormat="1" ht="4.95" customHeight="1">
      <c r="A147" s="459" t="s">
        <v>73</v>
      </c>
      <c r="B147" s="652">
        <f>-Штат!$C$34*B146</f>
        <v>0</v>
      </c>
      <c r="C147" s="460">
        <f>-Штат!$C$34*C146</f>
        <v>0</v>
      </c>
      <c r="D147" s="460">
        <f>-Штат!$C$34*D146</f>
        <v>0</v>
      </c>
      <c r="E147" s="653">
        <f>-Штат!$C$34*E146</f>
        <v>0</v>
      </c>
      <c r="F147" s="652">
        <f>-Штат!$C$34*F146</f>
        <v>0</v>
      </c>
      <c r="G147" s="460">
        <f>-Штат!$C$34*G146</f>
        <v>0</v>
      </c>
      <c r="H147" s="460">
        <f>-Штат!$C$34*H146</f>
        <v>0</v>
      </c>
      <c r="I147" s="653">
        <f>-Штат!$C$34*I146</f>
        <v>-2000</v>
      </c>
      <c r="J147" s="652">
        <f>-Штат!$C$34*J146</f>
        <v>-2000</v>
      </c>
      <c r="K147" s="460">
        <f>-Штат!$C$34*K146</f>
        <v>-2000</v>
      </c>
      <c r="L147" s="460">
        <f>-Штат!$C$34*L146</f>
        <v>-2000</v>
      </c>
      <c r="M147" s="653">
        <f>-Штат!$C$34*M146</f>
        <v>-2000</v>
      </c>
      <c r="N147" s="652">
        <f>-Штат!$C$34*N146</f>
        <v>-2000</v>
      </c>
      <c r="O147" s="460">
        <f>-Штат!$C$34*O146</f>
        <v>-2000</v>
      </c>
      <c r="P147" s="460">
        <f>-Штат!$C$34*P146</f>
        <v>-2000</v>
      </c>
      <c r="Q147" s="653">
        <f>-Штат!$C$34*Q146</f>
        <v>-2000</v>
      </c>
      <c r="R147" s="652">
        <f>-Штат!$C$34*R146</f>
        <v>-2000</v>
      </c>
      <c r="S147" s="460">
        <f>-Штат!$C$34*S146</f>
        <v>-2000</v>
      </c>
      <c r="T147" s="460">
        <f>-Штат!$C$34*T146</f>
        <v>-2000</v>
      </c>
      <c r="U147" s="653">
        <f>-Штат!$C$34*U146</f>
        <v>-2000</v>
      </c>
      <c r="V147" s="693">
        <f>-Штат!$C$34*V146</f>
        <v>-2000</v>
      </c>
      <c r="W147" s="455"/>
      <c r="X147" s="454"/>
      <c r="Y147" s="455"/>
      <c r="Z147" s="454"/>
      <c r="AA147" s="456"/>
      <c r="AB147" s="461"/>
      <c r="AC147" s="461"/>
    </row>
    <row r="148" spans="1:29" s="458" customFormat="1" ht="4.95" customHeight="1">
      <c r="A148" s="453" t="str">
        <f>Штат!A35</f>
        <v>Менеджеры по продажам Индия</v>
      </c>
      <c r="B148" s="650">
        <f>B150*3</f>
        <v>0</v>
      </c>
      <c r="C148" s="452">
        <f>C150*3</f>
        <v>0</v>
      </c>
      <c r="D148" s="452">
        <f t="shared" ref="D148:V148" si="144">D150*3</f>
        <v>0</v>
      </c>
      <c r="E148" s="651">
        <f t="shared" si="144"/>
        <v>0</v>
      </c>
      <c r="F148" s="650">
        <f t="shared" si="144"/>
        <v>0</v>
      </c>
      <c r="G148" s="452">
        <f t="shared" si="144"/>
        <v>0</v>
      </c>
      <c r="H148" s="452">
        <f t="shared" si="144"/>
        <v>-5670</v>
      </c>
      <c r="I148" s="651">
        <f t="shared" si="144"/>
        <v>-5670</v>
      </c>
      <c r="J148" s="650">
        <f t="shared" si="144"/>
        <v>-5670</v>
      </c>
      <c r="K148" s="452">
        <f t="shared" si="144"/>
        <v>-5670</v>
      </c>
      <c r="L148" s="452">
        <f t="shared" si="144"/>
        <v>-17010</v>
      </c>
      <c r="M148" s="651">
        <f t="shared" si="144"/>
        <v>-22680</v>
      </c>
      <c r="N148" s="650">
        <f t="shared" si="144"/>
        <v>-39690</v>
      </c>
      <c r="O148" s="452">
        <f t="shared" si="144"/>
        <v>-62370</v>
      </c>
      <c r="P148" s="452">
        <f t="shared" si="144"/>
        <v>-107730</v>
      </c>
      <c r="Q148" s="651">
        <f t="shared" si="144"/>
        <v>-181440</v>
      </c>
      <c r="R148" s="650">
        <f t="shared" si="144"/>
        <v>-85050</v>
      </c>
      <c r="S148" s="452">
        <f t="shared" si="144"/>
        <v>-85050</v>
      </c>
      <c r="T148" s="452">
        <f t="shared" si="144"/>
        <v>-85050</v>
      </c>
      <c r="U148" s="651">
        <f t="shared" si="144"/>
        <v>-85050</v>
      </c>
      <c r="V148" s="692">
        <f t="shared" si="144"/>
        <v>-85050</v>
      </c>
      <c r="W148" s="455"/>
      <c r="X148" s="454"/>
      <c r="Y148" s="455"/>
      <c r="Z148" s="454"/>
      <c r="AA148" s="456"/>
      <c r="AB148" s="457"/>
      <c r="AC148" s="457"/>
    </row>
    <row r="149" spans="1:29" s="462" customFormat="1" ht="4.95" customHeight="1">
      <c r="A149" s="459" t="s">
        <v>72</v>
      </c>
      <c r="B149" s="652">
        <v>0</v>
      </c>
      <c r="C149" s="460">
        <v>0</v>
      </c>
      <c r="D149" s="460">
        <v>0</v>
      </c>
      <c r="E149" s="653">
        <v>0</v>
      </c>
      <c r="F149" s="652">
        <v>0</v>
      </c>
      <c r="G149" s="460">
        <v>0</v>
      </c>
      <c r="H149" s="460">
        <v>1</v>
      </c>
      <c r="I149" s="653">
        <v>1</v>
      </c>
      <c r="J149" s="652">
        <f>J122</f>
        <v>1</v>
      </c>
      <c r="K149" s="652">
        <f t="shared" ref="K149:U149" si="145">K122</f>
        <v>1</v>
      </c>
      <c r="L149" s="652">
        <f t="shared" si="145"/>
        <v>3</v>
      </c>
      <c r="M149" s="652">
        <f t="shared" si="145"/>
        <v>4</v>
      </c>
      <c r="N149" s="652">
        <f t="shared" si="145"/>
        <v>7</v>
      </c>
      <c r="O149" s="652">
        <f t="shared" si="145"/>
        <v>11</v>
      </c>
      <c r="P149" s="652">
        <f t="shared" si="145"/>
        <v>19</v>
      </c>
      <c r="Q149" s="652">
        <f t="shared" si="145"/>
        <v>32</v>
      </c>
      <c r="R149" s="652">
        <f t="shared" si="145"/>
        <v>15</v>
      </c>
      <c r="S149" s="652">
        <f t="shared" si="145"/>
        <v>15</v>
      </c>
      <c r="T149" s="652">
        <f t="shared" si="145"/>
        <v>15</v>
      </c>
      <c r="U149" s="652">
        <f t="shared" si="145"/>
        <v>15</v>
      </c>
      <c r="V149" s="460">
        <f t="shared" ref="V149" si="146">V137</f>
        <v>15</v>
      </c>
      <c r="W149" s="455"/>
      <c r="X149" s="454"/>
      <c r="Y149" s="455"/>
      <c r="Z149" s="454"/>
      <c r="AA149" s="456"/>
      <c r="AB149" s="461"/>
      <c r="AC149" s="461"/>
    </row>
    <row r="150" spans="1:29" s="462" customFormat="1" ht="4.95" customHeight="1">
      <c r="A150" s="459" t="s">
        <v>73</v>
      </c>
      <c r="B150" s="652">
        <f>-Штат!$C$35*B149</f>
        <v>0</v>
      </c>
      <c r="C150" s="460">
        <f>-Штат!$C$35*C149</f>
        <v>0</v>
      </c>
      <c r="D150" s="460">
        <f>-Штат!$C$35*D149</f>
        <v>0</v>
      </c>
      <c r="E150" s="653">
        <f>-Штат!$C$35*E149</f>
        <v>0</v>
      </c>
      <c r="F150" s="652">
        <f>-Штат!$C$35*F149</f>
        <v>0</v>
      </c>
      <c r="G150" s="460">
        <f>-Штат!$C$35*G149</f>
        <v>0</v>
      </c>
      <c r="H150" s="460">
        <f>-Штат!$C$35*H149</f>
        <v>-1890</v>
      </c>
      <c r="I150" s="653">
        <f>-Штат!$C$35*I149</f>
        <v>-1890</v>
      </c>
      <c r="J150" s="652">
        <f>-Штат!$C$35*J149</f>
        <v>-1890</v>
      </c>
      <c r="K150" s="460">
        <f>-Штат!$C$35*K149</f>
        <v>-1890</v>
      </c>
      <c r="L150" s="460">
        <f>-Штат!$C$35*L149</f>
        <v>-5670</v>
      </c>
      <c r="M150" s="653">
        <f>-Штат!$C$35*M149</f>
        <v>-7560</v>
      </c>
      <c r="N150" s="652">
        <f>-Штат!$C$35*N149</f>
        <v>-13230</v>
      </c>
      <c r="O150" s="460">
        <f>-Штат!$C$35*O149</f>
        <v>-20790</v>
      </c>
      <c r="P150" s="460">
        <f>-Штат!$C$35*P149</f>
        <v>-35910</v>
      </c>
      <c r="Q150" s="653">
        <f>-Штат!$C$35*Q149</f>
        <v>-60480</v>
      </c>
      <c r="R150" s="652">
        <f>-Штат!$C$35*R149</f>
        <v>-28350</v>
      </c>
      <c r="S150" s="460">
        <f>-Штат!$C$35*S149</f>
        <v>-28350</v>
      </c>
      <c r="T150" s="460">
        <f>-Штат!$C$35*T149</f>
        <v>-28350</v>
      </c>
      <c r="U150" s="653">
        <f>-Штат!$C$35*U149</f>
        <v>-28350</v>
      </c>
      <c r="V150" s="693">
        <f>-Штат!$C$35*V149</f>
        <v>-28350</v>
      </c>
      <c r="W150" s="455"/>
      <c r="X150" s="454"/>
      <c r="Y150" s="455"/>
      <c r="Z150" s="454"/>
      <c r="AA150" s="456"/>
      <c r="AB150" s="461"/>
      <c r="AC150" s="461"/>
    </row>
    <row r="151" spans="1:29" s="200" customFormat="1" ht="7.05" customHeight="1">
      <c r="A151" s="228" t="s">
        <v>269</v>
      </c>
      <c r="B151" s="656">
        <f>B152+B155+B158+B161+B164</f>
        <v>0</v>
      </c>
      <c r="C151" s="61">
        <f t="shared" ref="C151:V151" si="147">C152+C155+C158+C161+C164</f>
        <v>-5010</v>
      </c>
      <c r="D151" s="61">
        <f t="shared" si="147"/>
        <v>-5010</v>
      </c>
      <c r="E151" s="657">
        <f t="shared" si="147"/>
        <v>-5010</v>
      </c>
      <c r="F151" s="656">
        <f t="shared" si="147"/>
        <v>-9030</v>
      </c>
      <c r="G151" s="61">
        <f t="shared" si="147"/>
        <v>-15720</v>
      </c>
      <c r="H151" s="61">
        <f t="shared" si="147"/>
        <v>-23400</v>
      </c>
      <c r="I151" s="657">
        <f t="shared" si="147"/>
        <v>-23400</v>
      </c>
      <c r="J151" s="656">
        <f t="shared" si="147"/>
        <v>-23400</v>
      </c>
      <c r="K151" s="61">
        <f t="shared" si="147"/>
        <v>-27420</v>
      </c>
      <c r="L151" s="61">
        <f t="shared" si="147"/>
        <v>-31440</v>
      </c>
      <c r="M151" s="657">
        <f t="shared" si="147"/>
        <v>-35460</v>
      </c>
      <c r="N151" s="656">
        <f t="shared" si="147"/>
        <v>-27420</v>
      </c>
      <c r="O151" s="61">
        <f t="shared" si="147"/>
        <v>-27420</v>
      </c>
      <c r="P151" s="61">
        <f t="shared" si="147"/>
        <v>-31440</v>
      </c>
      <c r="Q151" s="657">
        <f t="shared" si="147"/>
        <v>-31440</v>
      </c>
      <c r="R151" s="656">
        <f t="shared" si="147"/>
        <v>-31440</v>
      </c>
      <c r="S151" s="61">
        <f t="shared" si="147"/>
        <v>-31440</v>
      </c>
      <c r="T151" s="61">
        <f t="shared" si="147"/>
        <v>-31440</v>
      </c>
      <c r="U151" s="657">
        <f t="shared" si="147"/>
        <v>-31440</v>
      </c>
      <c r="V151" s="694">
        <f t="shared" si="147"/>
        <v>-31440</v>
      </c>
      <c r="W151" s="62">
        <f>SUM(C151:V151)</f>
        <v>-479220</v>
      </c>
      <c r="X151" s="56">
        <f>W151+W117+W95</f>
        <v>-8891610</v>
      </c>
      <c r="Y151" s="62"/>
      <c r="Z151" s="56"/>
      <c r="AA151" s="39"/>
      <c r="AB151" s="37"/>
      <c r="AC151" s="37"/>
    </row>
    <row r="152" spans="1:29" s="458" customFormat="1" ht="4.95" customHeight="1">
      <c r="A152" s="463" t="str">
        <f>Штат!A36</f>
        <v>Начальник сервисного отдела Россия</v>
      </c>
      <c r="B152" s="650">
        <f>B154*3</f>
        <v>0</v>
      </c>
      <c r="C152" s="452">
        <f>C154*3</f>
        <v>-5010</v>
      </c>
      <c r="D152" s="452">
        <f t="shared" ref="D152:N152" si="148">D154*3</f>
        <v>-5010</v>
      </c>
      <c r="E152" s="651">
        <f t="shared" si="148"/>
        <v>-5010</v>
      </c>
      <c r="F152" s="650">
        <f t="shared" si="148"/>
        <v>-5010</v>
      </c>
      <c r="G152" s="452">
        <f t="shared" si="148"/>
        <v>-5010</v>
      </c>
      <c r="H152" s="452">
        <f t="shared" si="148"/>
        <v>-5010</v>
      </c>
      <c r="I152" s="651">
        <f t="shared" si="148"/>
        <v>-5010</v>
      </c>
      <c r="J152" s="650">
        <f t="shared" si="148"/>
        <v>-5010</v>
      </c>
      <c r="K152" s="452">
        <f t="shared" si="148"/>
        <v>-5010</v>
      </c>
      <c r="L152" s="452">
        <f t="shared" si="148"/>
        <v>-5010</v>
      </c>
      <c r="M152" s="651">
        <f t="shared" si="148"/>
        <v>-5010</v>
      </c>
      <c r="N152" s="650">
        <f t="shared" si="148"/>
        <v>-5010</v>
      </c>
      <c r="O152" s="452">
        <f>O154*3</f>
        <v>-5010</v>
      </c>
      <c r="P152" s="452">
        <f>P154*3</f>
        <v>-5010</v>
      </c>
      <c r="Q152" s="651">
        <f t="shared" ref="Q152:V152" si="149">Q154*3</f>
        <v>-5010</v>
      </c>
      <c r="R152" s="650">
        <f t="shared" si="149"/>
        <v>-5010</v>
      </c>
      <c r="S152" s="452">
        <f t="shared" si="149"/>
        <v>-5010</v>
      </c>
      <c r="T152" s="452">
        <f t="shared" si="149"/>
        <v>-5010</v>
      </c>
      <c r="U152" s="651">
        <f t="shared" si="149"/>
        <v>-5010</v>
      </c>
      <c r="V152" s="692">
        <f t="shared" si="149"/>
        <v>-5010</v>
      </c>
      <c r="W152" s="455"/>
      <c r="X152" s="454"/>
      <c r="Y152" s="455"/>
      <c r="Z152" s="454"/>
      <c r="AA152" s="456"/>
      <c r="AB152" s="457"/>
      <c r="AC152" s="457"/>
    </row>
    <row r="153" spans="1:29" s="462" customFormat="1" ht="4.95" customHeight="1">
      <c r="A153" s="459" t="s">
        <v>72</v>
      </c>
      <c r="B153" s="652">
        <v>0</v>
      </c>
      <c r="C153" s="460">
        <v>1</v>
      </c>
      <c r="D153" s="460">
        <v>1</v>
      </c>
      <c r="E153" s="653">
        <v>1</v>
      </c>
      <c r="F153" s="652">
        <v>1</v>
      </c>
      <c r="G153" s="460">
        <v>1</v>
      </c>
      <c r="H153" s="460">
        <v>1</v>
      </c>
      <c r="I153" s="653">
        <v>1</v>
      </c>
      <c r="J153" s="652">
        <v>1</v>
      </c>
      <c r="K153" s="460">
        <v>1</v>
      </c>
      <c r="L153" s="460">
        <v>1</v>
      </c>
      <c r="M153" s="653">
        <v>1</v>
      </c>
      <c r="N153" s="652">
        <v>1</v>
      </c>
      <c r="O153" s="460">
        <v>1</v>
      </c>
      <c r="P153" s="460">
        <v>1</v>
      </c>
      <c r="Q153" s="653">
        <v>1</v>
      </c>
      <c r="R153" s="652">
        <v>1</v>
      </c>
      <c r="S153" s="460">
        <v>1</v>
      </c>
      <c r="T153" s="460">
        <v>1</v>
      </c>
      <c r="U153" s="653">
        <v>1</v>
      </c>
      <c r="V153" s="693">
        <v>1</v>
      </c>
      <c r="W153" s="455"/>
      <c r="X153" s="454"/>
      <c r="Y153" s="455"/>
      <c r="Z153" s="454"/>
      <c r="AA153" s="456"/>
      <c r="AB153" s="461"/>
      <c r="AC153" s="461"/>
    </row>
    <row r="154" spans="1:29" s="462" customFormat="1" ht="4.95" customHeight="1">
      <c r="A154" s="459" t="s">
        <v>73</v>
      </c>
      <c r="B154" s="652">
        <f>-Штат!$C$36*B153</f>
        <v>0</v>
      </c>
      <c r="C154" s="460">
        <f>-Штат!$C$36*C153</f>
        <v>-1670</v>
      </c>
      <c r="D154" s="460">
        <f>-Штат!$C$36*D153</f>
        <v>-1670</v>
      </c>
      <c r="E154" s="653">
        <f>-Штат!$C$36*E153</f>
        <v>-1670</v>
      </c>
      <c r="F154" s="652">
        <f>-Штат!$C$36*F153</f>
        <v>-1670</v>
      </c>
      <c r="G154" s="460">
        <f>-Штат!$C$36*G153</f>
        <v>-1670</v>
      </c>
      <c r="H154" s="460">
        <f>-Штат!$C$36*H153</f>
        <v>-1670</v>
      </c>
      <c r="I154" s="653">
        <f>-Штат!$C$36*I153</f>
        <v>-1670</v>
      </c>
      <c r="J154" s="652">
        <f>-Штат!$C$36*J153</f>
        <v>-1670</v>
      </c>
      <c r="K154" s="460">
        <f>-Штат!$C$36*K153</f>
        <v>-1670</v>
      </c>
      <c r="L154" s="460">
        <f>-Штат!$C$36*L153</f>
        <v>-1670</v>
      </c>
      <c r="M154" s="653">
        <f>-Штат!$C$36*M153</f>
        <v>-1670</v>
      </c>
      <c r="N154" s="652">
        <f>-Штат!$C$36*N153</f>
        <v>-1670</v>
      </c>
      <c r="O154" s="460">
        <f>-Штат!$C$36*O153</f>
        <v>-1670</v>
      </c>
      <c r="P154" s="460">
        <f>-Штат!$C$36*P153</f>
        <v>-1670</v>
      </c>
      <c r="Q154" s="653">
        <f>-Штат!$C$36*Q153</f>
        <v>-1670</v>
      </c>
      <c r="R154" s="652">
        <f>-Штат!$C$36*R153</f>
        <v>-1670</v>
      </c>
      <c r="S154" s="460">
        <f>-Штат!$C$36*S153</f>
        <v>-1670</v>
      </c>
      <c r="T154" s="460">
        <f>-Штат!$C$36*T153</f>
        <v>-1670</v>
      </c>
      <c r="U154" s="653">
        <f>-Штат!$C$36*U153</f>
        <v>-1670</v>
      </c>
      <c r="V154" s="693">
        <f>-Штат!$C$36*V153</f>
        <v>-1670</v>
      </c>
      <c r="W154" s="455"/>
      <c r="X154" s="454"/>
      <c r="Y154" s="455"/>
      <c r="Z154" s="454"/>
      <c r="AA154" s="456"/>
      <c r="AB154" s="461"/>
      <c r="AC154" s="461"/>
    </row>
    <row r="155" spans="1:29" s="458" customFormat="1" ht="4.95" customHeight="1">
      <c r="A155" s="463" t="str">
        <f>Штат!A37</f>
        <v>Сервисный инженер Россия</v>
      </c>
      <c r="B155" s="650">
        <f>B157*3</f>
        <v>0</v>
      </c>
      <c r="C155" s="452">
        <f t="shared" ref="C155:E155" si="150">C157*3</f>
        <v>0</v>
      </c>
      <c r="D155" s="452">
        <f t="shared" si="150"/>
        <v>0</v>
      </c>
      <c r="E155" s="651">
        <f t="shared" si="150"/>
        <v>0</v>
      </c>
      <c r="F155" s="650">
        <f t="shared" ref="F155:P155" si="151">F157*3</f>
        <v>-4020</v>
      </c>
      <c r="G155" s="452">
        <f t="shared" si="151"/>
        <v>-4020</v>
      </c>
      <c r="H155" s="452">
        <f t="shared" si="151"/>
        <v>-4020</v>
      </c>
      <c r="I155" s="651">
        <f t="shared" si="151"/>
        <v>-4020</v>
      </c>
      <c r="J155" s="650">
        <f t="shared" si="151"/>
        <v>-4020</v>
      </c>
      <c r="K155" s="452">
        <f t="shared" si="151"/>
        <v>-8040</v>
      </c>
      <c r="L155" s="452">
        <f t="shared" si="151"/>
        <v>-12060</v>
      </c>
      <c r="M155" s="651">
        <f t="shared" si="151"/>
        <v>-16080</v>
      </c>
      <c r="N155" s="650">
        <f t="shared" si="151"/>
        <v>-8040</v>
      </c>
      <c r="O155" s="452">
        <f t="shared" si="151"/>
        <v>-8040</v>
      </c>
      <c r="P155" s="452">
        <f t="shared" si="151"/>
        <v>-12060</v>
      </c>
      <c r="Q155" s="651">
        <f t="shared" ref="Q155:V155" si="152">Q157*3</f>
        <v>-12060</v>
      </c>
      <c r="R155" s="650">
        <f t="shared" si="152"/>
        <v>-12060</v>
      </c>
      <c r="S155" s="452">
        <f t="shared" si="152"/>
        <v>-12060</v>
      </c>
      <c r="T155" s="452">
        <f t="shared" si="152"/>
        <v>-12060</v>
      </c>
      <c r="U155" s="651">
        <f t="shared" si="152"/>
        <v>-12060</v>
      </c>
      <c r="V155" s="692">
        <f t="shared" si="152"/>
        <v>-12060</v>
      </c>
      <c r="W155" s="455"/>
      <c r="X155" s="454"/>
      <c r="Y155" s="455"/>
      <c r="Z155" s="454"/>
      <c r="AA155" s="456"/>
      <c r="AB155" s="457"/>
      <c r="AC155" s="457"/>
    </row>
    <row r="156" spans="1:29" s="462" customFormat="1" ht="4.95" customHeight="1">
      <c r="A156" s="459" t="s">
        <v>72</v>
      </c>
      <c r="B156" s="652">
        <f t="shared" ref="B156:M156" si="153">IF((B9+B13+B17+B21+B25+F37+B47+B57)&lt;(22*10*3),0,_xlfn.CEILING.PRECISE((B9+B13+B17+B21+B25+F37+B47+B57)/(22*10*3),1))</f>
        <v>0</v>
      </c>
      <c r="C156" s="652">
        <f t="shared" si="153"/>
        <v>0</v>
      </c>
      <c r="D156" s="652">
        <f t="shared" si="153"/>
        <v>0</v>
      </c>
      <c r="E156" s="652">
        <f t="shared" si="153"/>
        <v>0</v>
      </c>
      <c r="F156" s="652">
        <v>1</v>
      </c>
      <c r="G156" s="652">
        <v>1</v>
      </c>
      <c r="H156" s="652">
        <v>1</v>
      </c>
      <c r="I156" s="652">
        <v>1</v>
      </c>
      <c r="J156" s="652">
        <v>1</v>
      </c>
      <c r="K156" s="652">
        <f t="shared" si="153"/>
        <v>2</v>
      </c>
      <c r="L156" s="652">
        <f t="shared" si="153"/>
        <v>3</v>
      </c>
      <c r="M156" s="652">
        <f t="shared" si="153"/>
        <v>4</v>
      </c>
      <c r="N156" s="652">
        <v>2</v>
      </c>
      <c r="O156" s="652">
        <v>2</v>
      </c>
      <c r="P156" s="652">
        <v>3</v>
      </c>
      <c r="Q156" s="652">
        <v>3</v>
      </c>
      <c r="R156" s="652">
        <v>3</v>
      </c>
      <c r="S156" s="652">
        <v>3</v>
      </c>
      <c r="T156" s="652">
        <v>3</v>
      </c>
      <c r="U156" s="652">
        <v>3</v>
      </c>
      <c r="V156" s="652">
        <v>3</v>
      </c>
      <c r="W156" s="455"/>
      <c r="X156" s="454"/>
      <c r="Y156" s="455"/>
      <c r="Z156" s="454"/>
      <c r="AA156" s="456"/>
      <c r="AB156" s="461"/>
      <c r="AC156" s="461"/>
    </row>
    <row r="157" spans="1:29" s="462" customFormat="1" ht="4.95" customHeight="1">
      <c r="A157" s="459" t="s">
        <v>73</v>
      </c>
      <c r="B157" s="652">
        <f>-Штат!$C$37*B156</f>
        <v>0</v>
      </c>
      <c r="C157" s="460">
        <f>-Штат!$C$37*C156</f>
        <v>0</v>
      </c>
      <c r="D157" s="460">
        <f>-Штат!$C$37*D156</f>
        <v>0</v>
      </c>
      <c r="E157" s="653">
        <f>-Штат!$C$37*E156</f>
        <v>0</v>
      </c>
      <c r="F157" s="652">
        <f>-Штат!$C$37*F156</f>
        <v>-1340</v>
      </c>
      <c r="G157" s="460">
        <f>-Штат!$C$37*G156</f>
        <v>-1340</v>
      </c>
      <c r="H157" s="460">
        <f>-Штат!$C$37*H156</f>
        <v>-1340</v>
      </c>
      <c r="I157" s="653">
        <f>-Штат!$C$37*I156</f>
        <v>-1340</v>
      </c>
      <c r="J157" s="652">
        <f>-Штат!$C$37*J156</f>
        <v>-1340</v>
      </c>
      <c r="K157" s="460">
        <f>-Штат!$C$37*K156</f>
        <v>-2680</v>
      </c>
      <c r="L157" s="460">
        <f>-Штат!$C$37*L156</f>
        <v>-4020</v>
      </c>
      <c r="M157" s="653">
        <f>-Штат!$C$37*M156</f>
        <v>-5360</v>
      </c>
      <c r="N157" s="652">
        <f>-Штат!$C$37*N156</f>
        <v>-2680</v>
      </c>
      <c r="O157" s="460">
        <f>-Штат!$C$37*O156</f>
        <v>-2680</v>
      </c>
      <c r="P157" s="460">
        <f>-Штат!$C$37*P156</f>
        <v>-4020</v>
      </c>
      <c r="Q157" s="653">
        <f>-Штат!$C$37*Q156</f>
        <v>-4020</v>
      </c>
      <c r="R157" s="652">
        <f>-Штат!$C$37*R156</f>
        <v>-4020</v>
      </c>
      <c r="S157" s="460">
        <f>-Штат!$C$37*S156</f>
        <v>-4020</v>
      </c>
      <c r="T157" s="460">
        <f>-Штат!$C$37*T156</f>
        <v>-4020</v>
      </c>
      <c r="U157" s="653">
        <f>-Штат!$C$37*U156</f>
        <v>-4020</v>
      </c>
      <c r="V157" s="693">
        <f>-Штат!$C$37*V156</f>
        <v>-4020</v>
      </c>
      <c r="W157" s="455"/>
      <c r="X157" s="454"/>
      <c r="Y157" s="455"/>
      <c r="Z157" s="454"/>
      <c r="AA157" s="456"/>
      <c r="AB157" s="461"/>
      <c r="AC157" s="461"/>
    </row>
    <row r="158" spans="1:29" s="458" customFormat="1" ht="4.95" customHeight="1">
      <c r="A158" s="463" t="str">
        <f>Штат!A38</f>
        <v>Сервисный инженер Китай</v>
      </c>
      <c r="B158" s="650">
        <f>B160*3</f>
        <v>0</v>
      </c>
      <c r="C158" s="452">
        <f t="shared" ref="C158:V158" si="154">C160*3</f>
        <v>0</v>
      </c>
      <c r="D158" s="452">
        <f t="shared" si="154"/>
        <v>0</v>
      </c>
      <c r="E158" s="651">
        <f t="shared" si="154"/>
        <v>0</v>
      </c>
      <c r="F158" s="650">
        <f t="shared" si="154"/>
        <v>0</v>
      </c>
      <c r="G158" s="452">
        <f t="shared" si="154"/>
        <v>0</v>
      </c>
      <c r="H158" s="452">
        <f t="shared" si="154"/>
        <v>-5010</v>
      </c>
      <c r="I158" s="651">
        <f t="shared" si="154"/>
        <v>-5010</v>
      </c>
      <c r="J158" s="650">
        <f t="shared" si="154"/>
        <v>-5010</v>
      </c>
      <c r="K158" s="452">
        <f t="shared" si="154"/>
        <v>-5010</v>
      </c>
      <c r="L158" s="452">
        <f t="shared" si="154"/>
        <v>-5010</v>
      </c>
      <c r="M158" s="651">
        <f t="shared" si="154"/>
        <v>-5010</v>
      </c>
      <c r="N158" s="650">
        <f t="shared" si="154"/>
        <v>-5010</v>
      </c>
      <c r="O158" s="452">
        <f t="shared" si="154"/>
        <v>-5010</v>
      </c>
      <c r="P158" s="452">
        <f t="shared" si="154"/>
        <v>-5010</v>
      </c>
      <c r="Q158" s="651">
        <f t="shared" si="154"/>
        <v>-5010</v>
      </c>
      <c r="R158" s="650">
        <f t="shared" si="154"/>
        <v>-5010</v>
      </c>
      <c r="S158" s="452">
        <f t="shared" si="154"/>
        <v>-5010</v>
      </c>
      <c r="T158" s="452">
        <f t="shared" si="154"/>
        <v>-5010</v>
      </c>
      <c r="U158" s="651">
        <f t="shared" si="154"/>
        <v>-5010</v>
      </c>
      <c r="V158" s="692">
        <f t="shared" si="154"/>
        <v>-5010</v>
      </c>
      <c r="W158" s="455"/>
      <c r="X158" s="454"/>
      <c r="Y158" s="455"/>
      <c r="Z158" s="454"/>
      <c r="AA158" s="456"/>
      <c r="AB158" s="457"/>
      <c r="AC158" s="457"/>
    </row>
    <row r="159" spans="1:29" s="462" customFormat="1" ht="4.95" customHeight="1">
      <c r="A159" s="459" t="s">
        <v>72</v>
      </c>
      <c r="B159" s="652">
        <v>0</v>
      </c>
      <c r="C159" s="460">
        <v>0</v>
      </c>
      <c r="D159" s="460">
        <v>0</v>
      </c>
      <c r="E159" s="653">
        <v>0</v>
      </c>
      <c r="F159" s="652">
        <v>0</v>
      </c>
      <c r="G159" s="460">
        <v>0</v>
      </c>
      <c r="H159" s="460">
        <v>1</v>
      </c>
      <c r="I159" s="653">
        <v>1</v>
      </c>
      <c r="J159" s="652">
        <v>1</v>
      </c>
      <c r="K159" s="460">
        <v>1</v>
      </c>
      <c r="L159" s="460">
        <v>1</v>
      </c>
      <c r="M159" s="653">
        <v>1</v>
      </c>
      <c r="N159" s="652">
        <v>1</v>
      </c>
      <c r="O159" s="460">
        <v>1</v>
      </c>
      <c r="P159" s="460">
        <v>1</v>
      </c>
      <c r="Q159" s="653">
        <v>1</v>
      </c>
      <c r="R159" s="652">
        <v>1</v>
      </c>
      <c r="S159" s="460">
        <v>1</v>
      </c>
      <c r="T159" s="460">
        <v>1</v>
      </c>
      <c r="U159" s="653">
        <v>1</v>
      </c>
      <c r="V159" s="693">
        <v>1</v>
      </c>
      <c r="W159" s="455"/>
      <c r="X159" s="454"/>
      <c r="Y159" s="455"/>
      <c r="Z159" s="454"/>
      <c r="AA159" s="456"/>
      <c r="AB159" s="461"/>
      <c r="AC159" s="461"/>
    </row>
    <row r="160" spans="1:29" s="462" customFormat="1" ht="4.95" customHeight="1">
      <c r="A160" s="459" t="s">
        <v>73</v>
      </c>
      <c r="B160" s="652">
        <f>-Штат!$C$38*B159</f>
        <v>0</v>
      </c>
      <c r="C160" s="460">
        <f>-Штат!$C$38*C159</f>
        <v>0</v>
      </c>
      <c r="D160" s="460">
        <f>-Штат!$C$38*D159</f>
        <v>0</v>
      </c>
      <c r="E160" s="653">
        <f>-Штат!$C$38*E159</f>
        <v>0</v>
      </c>
      <c r="F160" s="652">
        <f>-Штат!$C$38*F159</f>
        <v>0</v>
      </c>
      <c r="G160" s="460">
        <f>-Штат!$C$38*G159</f>
        <v>0</v>
      </c>
      <c r="H160" s="460">
        <f>-Штат!$C$38*H159</f>
        <v>-1670</v>
      </c>
      <c r="I160" s="653">
        <f>-Штат!$C$38*I159</f>
        <v>-1670</v>
      </c>
      <c r="J160" s="652">
        <f>-Штат!$C$38*J159</f>
        <v>-1670</v>
      </c>
      <c r="K160" s="460">
        <f>-Штат!$C$38*K159</f>
        <v>-1670</v>
      </c>
      <c r="L160" s="460">
        <f>-Штат!$C$38*L159</f>
        <v>-1670</v>
      </c>
      <c r="M160" s="653">
        <f>-Штат!$C$38*M159</f>
        <v>-1670</v>
      </c>
      <c r="N160" s="652">
        <f>-Штат!$C$38*N159</f>
        <v>-1670</v>
      </c>
      <c r="O160" s="460">
        <f>-Штат!$C$38*O159</f>
        <v>-1670</v>
      </c>
      <c r="P160" s="460">
        <f>-Штат!$C$38*P159</f>
        <v>-1670</v>
      </c>
      <c r="Q160" s="653">
        <f>-Штат!$C$38*Q159</f>
        <v>-1670</v>
      </c>
      <c r="R160" s="652">
        <f>-Штат!$C$38*R159</f>
        <v>-1670</v>
      </c>
      <c r="S160" s="460">
        <f>-Штат!$C$38*S159</f>
        <v>-1670</v>
      </c>
      <c r="T160" s="460">
        <f>-Штат!$C$38*T159</f>
        <v>-1670</v>
      </c>
      <c r="U160" s="653">
        <f>-Штат!$C$38*U159</f>
        <v>-1670</v>
      </c>
      <c r="V160" s="693">
        <f>-Штат!$C$38*V159</f>
        <v>-1670</v>
      </c>
      <c r="W160" s="455"/>
      <c r="X160" s="454"/>
      <c r="Y160" s="455"/>
      <c r="Z160" s="454"/>
      <c r="AA160" s="456"/>
      <c r="AB160" s="461"/>
      <c r="AC160" s="461"/>
    </row>
    <row r="161" spans="1:29" s="458" customFormat="1" ht="4.95" customHeight="1">
      <c r="A161" s="463" t="str">
        <f>Штат!A39</f>
        <v>Сервисный инженер Европа</v>
      </c>
      <c r="B161" s="650">
        <f>B163*3</f>
        <v>0</v>
      </c>
      <c r="C161" s="452">
        <f>C163*3</f>
        <v>0</v>
      </c>
      <c r="D161" s="452">
        <f t="shared" ref="D161:V161" si="155">D163*3</f>
        <v>0</v>
      </c>
      <c r="E161" s="651">
        <f t="shared" si="155"/>
        <v>0</v>
      </c>
      <c r="F161" s="650">
        <f t="shared" si="155"/>
        <v>0</v>
      </c>
      <c r="G161" s="452">
        <f t="shared" si="155"/>
        <v>-6690</v>
      </c>
      <c r="H161" s="452">
        <f t="shared" si="155"/>
        <v>-6690</v>
      </c>
      <c r="I161" s="651">
        <f t="shared" si="155"/>
        <v>-6690</v>
      </c>
      <c r="J161" s="650">
        <f t="shared" si="155"/>
        <v>-6690</v>
      </c>
      <c r="K161" s="452">
        <f t="shared" si="155"/>
        <v>-6690</v>
      </c>
      <c r="L161" s="452">
        <f t="shared" si="155"/>
        <v>-6690</v>
      </c>
      <c r="M161" s="651">
        <f t="shared" si="155"/>
        <v>-6690</v>
      </c>
      <c r="N161" s="650">
        <f t="shared" si="155"/>
        <v>-6690</v>
      </c>
      <c r="O161" s="452">
        <f t="shared" si="155"/>
        <v>-6690</v>
      </c>
      <c r="P161" s="452">
        <f t="shared" si="155"/>
        <v>-6690</v>
      </c>
      <c r="Q161" s="651">
        <f t="shared" si="155"/>
        <v>-6690</v>
      </c>
      <c r="R161" s="650">
        <f t="shared" si="155"/>
        <v>-6690</v>
      </c>
      <c r="S161" s="452">
        <f t="shared" si="155"/>
        <v>-6690</v>
      </c>
      <c r="T161" s="452">
        <f t="shared" si="155"/>
        <v>-6690</v>
      </c>
      <c r="U161" s="651">
        <f t="shared" si="155"/>
        <v>-6690</v>
      </c>
      <c r="V161" s="692">
        <f t="shared" si="155"/>
        <v>-6690</v>
      </c>
      <c r="W161" s="455"/>
      <c r="X161" s="454"/>
      <c r="Y161" s="455"/>
      <c r="Z161" s="454"/>
      <c r="AA161" s="456"/>
      <c r="AB161" s="457"/>
      <c r="AC161" s="457"/>
    </row>
    <row r="162" spans="1:29" s="462" customFormat="1" ht="4.95" customHeight="1">
      <c r="A162" s="459" t="s">
        <v>72</v>
      </c>
      <c r="B162" s="652">
        <v>0</v>
      </c>
      <c r="C162" s="460">
        <v>0</v>
      </c>
      <c r="D162" s="460">
        <v>0</v>
      </c>
      <c r="E162" s="653">
        <v>0</v>
      </c>
      <c r="F162" s="652">
        <v>0</v>
      </c>
      <c r="G162" s="460">
        <v>1</v>
      </c>
      <c r="H162" s="460">
        <v>1</v>
      </c>
      <c r="I162" s="653">
        <v>1</v>
      </c>
      <c r="J162" s="653">
        <v>1</v>
      </c>
      <c r="K162" s="653">
        <v>1</v>
      </c>
      <c r="L162" s="653">
        <v>1</v>
      </c>
      <c r="M162" s="653">
        <v>1</v>
      </c>
      <c r="N162" s="653">
        <v>1</v>
      </c>
      <c r="O162" s="653">
        <v>1</v>
      </c>
      <c r="P162" s="653">
        <v>1</v>
      </c>
      <c r="Q162" s="653">
        <v>1</v>
      </c>
      <c r="R162" s="653">
        <v>1</v>
      </c>
      <c r="S162" s="653">
        <v>1</v>
      </c>
      <c r="T162" s="653">
        <v>1</v>
      </c>
      <c r="U162" s="653">
        <v>1</v>
      </c>
      <c r="V162" s="653">
        <v>1</v>
      </c>
      <c r="W162" s="455"/>
      <c r="X162" s="454"/>
      <c r="Y162" s="455"/>
      <c r="Z162" s="454"/>
      <c r="AA162" s="456"/>
      <c r="AB162" s="461"/>
      <c r="AC162" s="461"/>
    </row>
    <row r="163" spans="1:29" s="462" customFormat="1" ht="4.95" customHeight="1">
      <c r="A163" s="459" t="s">
        <v>73</v>
      </c>
      <c r="B163" s="652">
        <f>-Штат!$C$39*B162</f>
        <v>0</v>
      </c>
      <c r="C163" s="460">
        <f>-Штат!$C$39*C162</f>
        <v>0</v>
      </c>
      <c r="D163" s="460">
        <f>-Штат!$C$39*D162</f>
        <v>0</v>
      </c>
      <c r="E163" s="653">
        <f>-Штат!$C$39*E162</f>
        <v>0</v>
      </c>
      <c r="F163" s="652">
        <f>-Штат!$C$39*F162</f>
        <v>0</v>
      </c>
      <c r="G163" s="460">
        <f>-Штат!$C$39*G162</f>
        <v>-2230</v>
      </c>
      <c r="H163" s="460">
        <f>-Штат!$C$39*H162</f>
        <v>-2230</v>
      </c>
      <c r="I163" s="653">
        <f>-Штат!$C$39*I162</f>
        <v>-2230</v>
      </c>
      <c r="J163" s="652">
        <f>-Штат!$C$39*J162</f>
        <v>-2230</v>
      </c>
      <c r="K163" s="460">
        <f>-Штат!$C$39*K162</f>
        <v>-2230</v>
      </c>
      <c r="L163" s="460">
        <f>-Штат!$C$39*L162</f>
        <v>-2230</v>
      </c>
      <c r="M163" s="653">
        <f>-Штат!$C$39*M162</f>
        <v>-2230</v>
      </c>
      <c r="N163" s="652">
        <f>-Штат!$C$39*N162</f>
        <v>-2230</v>
      </c>
      <c r="O163" s="460">
        <f>-Штат!$C$39*O162</f>
        <v>-2230</v>
      </c>
      <c r="P163" s="460">
        <f>-Штат!$C$39*P162</f>
        <v>-2230</v>
      </c>
      <c r="Q163" s="653">
        <f>-Штат!$C$39*Q162</f>
        <v>-2230</v>
      </c>
      <c r="R163" s="652">
        <f>-Штат!$C$39*R162</f>
        <v>-2230</v>
      </c>
      <c r="S163" s="460">
        <f>-Штат!$C$39*S162</f>
        <v>-2230</v>
      </c>
      <c r="T163" s="460">
        <f>-Штат!$C$39*T162</f>
        <v>-2230</v>
      </c>
      <c r="U163" s="653">
        <f>-Штат!$C$39*U162</f>
        <v>-2230</v>
      </c>
      <c r="V163" s="693">
        <f>-Штат!$C$39*V162</f>
        <v>-2230</v>
      </c>
      <c r="W163" s="455"/>
      <c r="X163" s="454"/>
      <c r="Y163" s="455"/>
      <c r="Z163" s="454"/>
      <c r="AA163" s="456"/>
      <c r="AB163" s="461"/>
      <c r="AC163" s="461"/>
    </row>
    <row r="164" spans="1:29" s="458" customFormat="1" ht="4.95" customHeight="1">
      <c r="A164" s="463" t="str">
        <f>Штат!A40</f>
        <v>Сервисный инженер Индия</v>
      </c>
      <c r="B164" s="650">
        <f>B166*3</f>
        <v>0</v>
      </c>
      <c r="C164" s="452">
        <f>C166*3</f>
        <v>0</v>
      </c>
      <c r="D164" s="452">
        <f t="shared" ref="D164:V164" si="156">D166*3</f>
        <v>0</v>
      </c>
      <c r="E164" s="651">
        <f t="shared" si="156"/>
        <v>0</v>
      </c>
      <c r="F164" s="650">
        <f t="shared" si="156"/>
        <v>0</v>
      </c>
      <c r="G164" s="452">
        <f t="shared" si="156"/>
        <v>0</v>
      </c>
      <c r="H164" s="452">
        <f t="shared" si="156"/>
        <v>-2670</v>
      </c>
      <c r="I164" s="651">
        <f t="shared" si="156"/>
        <v>-2670</v>
      </c>
      <c r="J164" s="650">
        <f t="shared" si="156"/>
        <v>-2670</v>
      </c>
      <c r="K164" s="452">
        <f t="shared" si="156"/>
        <v>-2670</v>
      </c>
      <c r="L164" s="452">
        <f t="shared" si="156"/>
        <v>-2670</v>
      </c>
      <c r="M164" s="651">
        <f t="shared" si="156"/>
        <v>-2670</v>
      </c>
      <c r="N164" s="650">
        <f t="shared" si="156"/>
        <v>-2670</v>
      </c>
      <c r="O164" s="452">
        <f t="shared" si="156"/>
        <v>-2670</v>
      </c>
      <c r="P164" s="452">
        <f t="shared" si="156"/>
        <v>-2670</v>
      </c>
      <c r="Q164" s="651">
        <f t="shared" si="156"/>
        <v>-2670</v>
      </c>
      <c r="R164" s="650">
        <f t="shared" si="156"/>
        <v>-2670</v>
      </c>
      <c r="S164" s="452">
        <f t="shared" si="156"/>
        <v>-2670</v>
      </c>
      <c r="T164" s="452">
        <f t="shared" si="156"/>
        <v>-2670</v>
      </c>
      <c r="U164" s="651">
        <f t="shared" si="156"/>
        <v>-2670</v>
      </c>
      <c r="V164" s="692">
        <f t="shared" si="156"/>
        <v>-2670</v>
      </c>
      <c r="W164" s="455"/>
      <c r="X164" s="454"/>
      <c r="Y164" s="455"/>
      <c r="Z164" s="454"/>
      <c r="AA164" s="456"/>
      <c r="AB164" s="457"/>
      <c r="AC164" s="457"/>
    </row>
    <row r="165" spans="1:29" s="462" customFormat="1" ht="4.95" customHeight="1">
      <c r="A165" s="459" t="s">
        <v>72</v>
      </c>
      <c r="B165" s="652">
        <v>0</v>
      </c>
      <c r="C165" s="460">
        <v>0</v>
      </c>
      <c r="D165" s="460">
        <v>0</v>
      </c>
      <c r="E165" s="653">
        <v>0</v>
      </c>
      <c r="F165" s="652">
        <v>0</v>
      </c>
      <c r="G165" s="460">
        <v>0</v>
      </c>
      <c r="H165" s="460">
        <v>1</v>
      </c>
      <c r="I165" s="653">
        <v>1</v>
      </c>
      <c r="J165" s="652">
        <v>1</v>
      </c>
      <c r="K165" s="460">
        <v>1</v>
      </c>
      <c r="L165" s="460">
        <v>1</v>
      </c>
      <c r="M165" s="653">
        <v>1</v>
      </c>
      <c r="N165" s="652">
        <v>1</v>
      </c>
      <c r="O165" s="460">
        <v>1</v>
      </c>
      <c r="P165" s="460">
        <v>1</v>
      </c>
      <c r="Q165" s="460">
        <v>1</v>
      </c>
      <c r="R165" s="460">
        <v>1</v>
      </c>
      <c r="S165" s="460">
        <v>1</v>
      </c>
      <c r="T165" s="460">
        <v>1</v>
      </c>
      <c r="U165" s="460">
        <v>1</v>
      </c>
      <c r="V165" s="460">
        <v>1</v>
      </c>
      <c r="W165" s="455"/>
      <c r="X165" s="454"/>
      <c r="Y165" s="455"/>
      <c r="Z165" s="454"/>
      <c r="AA165" s="456"/>
      <c r="AB165" s="461"/>
      <c r="AC165" s="461"/>
    </row>
    <row r="166" spans="1:29" s="462" customFormat="1" ht="4.95" customHeight="1">
      <c r="A166" s="459" t="s">
        <v>73</v>
      </c>
      <c r="B166" s="652">
        <f>-Штат!$C$40*B165</f>
        <v>0</v>
      </c>
      <c r="C166" s="460">
        <f>-Штат!$C$40*C165</f>
        <v>0</v>
      </c>
      <c r="D166" s="460">
        <f>-Штат!$C$40*D165</f>
        <v>0</v>
      </c>
      <c r="E166" s="653">
        <f>-Штат!$C$40*E165</f>
        <v>0</v>
      </c>
      <c r="F166" s="652">
        <f>-Штат!$C$40*F165</f>
        <v>0</v>
      </c>
      <c r="G166" s="460">
        <f>-Штат!$C$40*G165</f>
        <v>0</v>
      </c>
      <c r="H166" s="460">
        <f>-Штат!$C$40*H165</f>
        <v>-890</v>
      </c>
      <c r="I166" s="653">
        <f>-Штат!$C$40*I165</f>
        <v>-890</v>
      </c>
      <c r="J166" s="652">
        <f>-Штат!$C$40*J165</f>
        <v>-890</v>
      </c>
      <c r="K166" s="460">
        <f>-Штат!$C$40*K165</f>
        <v>-890</v>
      </c>
      <c r="L166" s="460">
        <f>-Штат!$C$40*L165</f>
        <v>-890</v>
      </c>
      <c r="M166" s="653">
        <f>-Штат!$C$40*M165</f>
        <v>-890</v>
      </c>
      <c r="N166" s="652">
        <f>-Штат!$C$40*N165</f>
        <v>-890</v>
      </c>
      <c r="O166" s="460">
        <f>-Штат!$C$40*O165</f>
        <v>-890</v>
      </c>
      <c r="P166" s="460">
        <f>-Штат!$C$40*P165</f>
        <v>-890</v>
      </c>
      <c r="Q166" s="653">
        <f>-Штат!$C$40*Q165</f>
        <v>-890</v>
      </c>
      <c r="R166" s="652">
        <f>-Штат!$C$40*R165</f>
        <v>-890</v>
      </c>
      <c r="S166" s="460">
        <f>-Штат!$C$40*S165</f>
        <v>-890</v>
      </c>
      <c r="T166" s="460">
        <f>-Штат!$C$40*T165</f>
        <v>-890</v>
      </c>
      <c r="U166" s="653">
        <f>-Штат!$C$40*U165</f>
        <v>-890</v>
      </c>
      <c r="V166" s="693">
        <f>-Штат!$C$40*V165</f>
        <v>-890</v>
      </c>
      <c r="W166" s="455"/>
      <c r="X166" s="454"/>
      <c r="Y166" s="455"/>
      <c r="Z166" s="454"/>
      <c r="AA166" s="456"/>
      <c r="AB166" s="461"/>
      <c r="AC166" s="461"/>
    </row>
    <row r="167" spans="1:29" s="33" customFormat="1" ht="10.199999999999999" customHeight="1">
      <c r="A167" s="229" t="s">
        <v>44</v>
      </c>
      <c r="B167" s="596">
        <f t="shared" ref="B167:V167" si="157">B69*0.14</f>
        <v>-2819.1333333333332</v>
      </c>
      <c r="C167" s="12">
        <f t="shared" si="157"/>
        <v>-6657.9333333333334</v>
      </c>
      <c r="D167" s="12">
        <f t="shared" si="157"/>
        <v>-15233.400000000001</v>
      </c>
      <c r="E167" s="598">
        <f t="shared" si="157"/>
        <v>-16027.2</v>
      </c>
      <c r="F167" s="596">
        <f t="shared" si="157"/>
        <v>-19336.800000000003</v>
      </c>
      <c r="G167" s="12">
        <f t="shared" si="157"/>
        <v>-21722.400000000001</v>
      </c>
      <c r="H167" s="12">
        <f t="shared" si="157"/>
        <v>-26443.200000000001</v>
      </c>
      <c r="I167" s="598">
        <f t="shared" si="157"/>
        <v>-27283.200000000004</v>
      </c>
      <c r="J167" s="596">
        <f t="shared" si="157"/>
        <v>-26277.300000000003</v>
      </c>
      <c r="K167" s="12">
        <f t="shared" si="157"/>
        <v>-28335.300000000003</v>
      </c>
      <c r="L167" s="12">
        <f t="shared" si="157"/>
        <v>-36004.5</v>
      </c>
      <c r="M167" s="598">
        <f t="shared" si="157"/>
        <v>-42455.700000000004</v>
      </c>
      <c r="N167" s="596">
        <f t="shared" si="157"/>
        <v>-53879.700000000004</v>
      </c>
      <c r="O167" s="12">
        <f t="shared" si="157"/>
        <v>-80096.100000000006</v>
      </c>
      <c r="P167" s="12">
        <f t="shared" si="157"/>
        <v>-122675.70000000001</v>
      </c>
      <c r="Q167" s="598">
        <f t="shared" si="157"/>
        <v>-191236.50000000003</v>
      </c>
      <c r="R167" s="596">
        <f t="shared" si="157"/>
        <v>-204592.50000000003</v>
      </c>
      <c r="S167" s="12">
        <f t="shared" si="157"/>
        <v>-308244.30000000005</v>
      </c>
      <c r="T167" s="12">
        <f t="shared" si="157"/>
        <v>-74909.100000000006</v>
      </c>
      <c r="U167" s="598">
        <f t="shared" si="157"/>
        <v>-76790.700000000012</v>
      </c>
      <c r="V167" s="670">
        <f t="shared" si="157"/>
        <v>-80318.700000000012</v>
      </c>
      <c r="W167" s="62"/>
      <c r="X167" s="56"/>
      <c r="Y167" s="62"/>
      <c r="Z167" s="56"/>
      <c r="AA167" s="39"/>
      <c r="AB167" s="34"/>
      <c r="AC167" s="34"/>
    </row>
    <row r="168" spans="1:29" s="33" customFormat="1" ht="7.05" customHeight="1">
      <c r="A168" s="225" t="s">
        <v>293</v>
      </c>
      <c r="B168" s="648">
        <v>0</v>
      </c>
      <c r="C168" s="29">
        <f>-2*80000/$A$1</f>
        <v>-1777.7777777777778</v>
      </c>
      <c r="D168" s="29">
        <f>-150000/A1</f>
        <v>-1666.6666666666667</v>
      </c>
      <c r="E168" s="649">
        <f>-300000/A1</f>
        <v>-3333.3333333333335</v>
      </c>
      <c r="F168" s="648">
        <f>-240000/A1</f>
        <v>-2666.6666666666665</v>
      </c>
      <c r="G168" s="29">
        <f>-100000/A1</f>
        <v>-1111.1111111111111</v>
      </c>
      <c r="H168" s="29">
        <f>-300000/A1</f>
        <v>-3333.3333333333335</v>
      </c>
      <c r="I168" s="649">
        <f t="shared" ref="I168:V168" si="158">-300000/$A$1</f>
        <v>-3333.3333333333335</v>
      </c>
      <c r="J168" s="648">
        <f t="shared" si="158"/>
        <v>-3333.3333333333335</v>
      </c>
      <c r="K168" s="29">
        <f t="shared" si="158"/>
        <v>-3333.3333333333335</v>
      </c>
      <c r="L168" s="29">
        <f t="shared" si="158"/>
        <v>-3333.3333333333335</v>
      </c>
      <c r="M168" s="649">
        <f t="shared" si="158"/>
        <v>-3333.3333333333335</v>
      </c>
      <c r="N168" s="648">
        <f t="shared" si="158"/>
        <v>-3333.3333333333335</v>
      </c>
      <c r="O168" s="29">
        <f t="shared" si="158"/>
        <v>-3333.3333333333335</v>
      </c>
      <c r="P168" s="29">
        <f t="shared" si="158"/>
        <v>-3333.3333333333335</v>
      </c>
      <c r="Q168" s="649">
        <f t="shared" si="158"/>
        <v>-3333.3333333333335</v>
      </c>
      <c r="R168" s="648">
        <f t="shared" si="158"/>
        <v>-3333.3333333333335</v>
      </c>
      <c r="S168" s="29">
        <f t="shared" si="158"/>
        <v>-3333.3333333333335</v>
      </c>
      <c r="T168" s="29">
        <f t="shared" si="158"/>
        <v>-3333.3333333333335</v>
      </c>
      <c r="U168" s="649">
        <f t="shared" si="158"/>
        <v>-3333.3333333333335</v>
      </c>
      <c r="V168" s="691">
        <f t="shared" si="158"/>
        <v>-3333.3333333333335</v>
      </c>
      <c r="W168" s="37"/>
      <c r="X168" s="31"/>
      <c r="Y168" s="37"/>
      <c r="Z168" s="31"/>
      <c r="AA168" s="152"/>
      <c r="AB168" s="34"/>
      <c r="AC168" s="34"/>
    </row>
    <row r="169" spans="1:29" s="33" customFormat="1" ht="7.05" customHeight="1">
      <c r="A169" s="225" t="s">
        <v>292</v>
      </c>
      <c r="B169" s="29">
        <f>-0.1*(B31+B34+B41+B44+B51+B54+B61+B64)</f>
        <v>0</v>
      </c>
      <c r="C169" s="29">
        <f t="shared" ref="C169:U169" si="159">-0.1*(C31+C34+C41+C44+C51+C54+C61+C64)</f>
        <v>0</v>
      </c>
      <c r="D169" s="29">
        <f t="shared" si="159"/>
        <v>0</v>
      </c>
      <c r="E169" s="29">
        <f t="shared" si="159"/>
        <v>0</v>
      </c>
      <c r="F169" s="29">
        <f t="shared" si="159"/>
        <v>0</v>
      </c>
      <c r="G169" s="29">
        <f t="shared" si="159"/>
        <v>-17365.333333333336</v>
      </c>
      <c r="H169" s="29">
        <f t="shared" si="159"/>
        <v>-27639.040000000005</v>
      </c>
      <c r="I169" s="29">
        <f t="shared" si="159"/>
        <v>-42750.79111111111</v>
      </c>
      <c r="J169" s="29">
        <f t="shared" si="159"/>
        <v>-70266.240000000005</v>
      </c>
      <c r="K169" s="29">
        <f t="shared" si="159"/>
        <v>-131206.04444444444</v>
      </c>
      <c r="L169" s="29">
        <f t="shared" si="159"/>
        <v>-214966.40000000002</v>
      </c>
      <c r="M169" s="29">
        <f t="shared" si="159"/>
        <v>-362664.81777777785</v>
      </c>
      <c r="N169" s="29">
        <f t="shared" si="159"/>
        <v>-615041.77777777787</v>
      </c>
      <c r="O169" s="29">
        <f t="shared" si="159"/>
        <v>-1073158.0444444446</v>
      </c>
      <c r="P169" s="29">
        <f t="shared" si="159"/>
        <v>-1880506.8088888892</v>
      </c>
      <c r="Q169" s="29">
        <f t="shared" si="159"/>
        <v>-3311070.7911111112</v>
      </c>
      <c r="R169" s="29">
        <f t="shared" si="159"/>
        <v>-6484235.0222222218</v>
      </c>
      <c r="S169" s="29">
        <f t="shared" si="159"/>
        <v>-10425248.924444444</v>
      </c>
      <c r="T169" s="29">
        <f t="shared" si="159"/>
        <v>-18654640.497777775</v>
      </c>
      <c r="U169" s="29">
        <f t="shared" si="159"/>
        <v>-33580624.782222219</v>
      </c>
      <c r="V169" s="29">
        <f>-0.1*(V31+V34+V41+V44+V51+V54+V61+V64)</f>
        <v>-60827795.697777785</v>
      </c>
      <c r="W169" s="37"/>
      <c r="X169" s="31"/>
      <c r="Y169" s="37"/>
      <c r="Z169" s="31"/>
      <c r="AA169" s="152"/>
      <c r="AB169" s="34"/>
      <c r="AC169" s="34"/>
    </row>
    <row r="170" spans="1:29" s="33" customFormat="1" ht="7.05" customHeight="1">
      <c r="A170" s="225" t="s">
        <v>294</v>
      </c>
      <c r="B170" s="648">
        <v>0</v>
      </c>
      <c r="C170" s="29">
        <v>0</v>
      </c>
      <c r="D170" s="29">
        <v>0</v>
      </c>
      <c r="E170" s="649">
        <v>0</v>
      </c>
      <c r="F170" s="648">
        <f>-100000/$A$1</f>
        <v>-1111.1111111111111</v>
      </c>
      <c r="G170" s="29">
        <v>0</v>
      </c>
      <c r="H170" s="29">
        <f t="shared" ref="H170:V170" si="160">-100000/$A$1</f>
        <v>-1111.1111111111111</v>
      </c>
      <c r="I170" s="649">
        <v>0</v>
      </c>
      <c r="J170" s="648">
        <f t="shared" si="160"/>
        <v>-1111.1111111111111</v>
      </c>
      <c r="K170" s="29">
        <v>0</v>
      </c>
      <c r="L170" s="29">
        <v>0</v>
      </c>
      <c r="M170" s="649">
        <f t="shared" si="160"/>
        <v>-1111.1111111111111</v>
      </c>
      <c r="N170" s="648">
        <f t="shared" si="160"/>
        <v>-1111.1111111111111</v>
      </c>
      <c r="O170" s="29">
        <v>0</v>
      </c>
      <c r="P170" s="29">
        <f t="shared" si="160"/>
        <v>-1111.1111111111111</v>
      </c>
      <c r="Q170" s="649">
        <f t="shared" si="160"/>
        <v>-1111.1111111111111</v>
      </c>
      <c r="R170" s="648">
        <f t="shared" si="160"/>
        <v>-1111.1111111111111</v>
      </c>
      <c r="S170" s="29">
        <f t="shared" si="160"/>
        <v>-1111.1111111111111</v>
      </c>
      <c r="T170" s="29">
        <f t="shared" si="160"/>
        <v>-1111.1111111111111</v>
      </c>
      <c r="U170" s="649">
        <f t="shared" si="160"/>
        <v>-1111.1111111111111</v>
      </c>
      <c r="V170" s="691">
        <f t="shared" si="160"/>
        <v>-1111.1111111111111</v>
      </c>
      <c r="W170" s="37"/>
      <c r="X170" s="31"/>
      <c r="Y170" s="37"/>
      <c r="Z170" s="31"/>
      <c r="AA170" s="152"/>
      <c r="AB170" s="34"/>
      <c r="AC170" s="34"/>
    </row>
    <row r="171" spans="1:29" s="33" customFormat="1" ht="7.05" customHeight="1">
      <c r="A171" s="205" t="s">
        <v>47</v>
      </c>
      <c r="B171" s="648">
        <f t="shared" ref="B171:V171" si="161">-B172/$A$1</f>
        <v>0</v>
      </c>
      <c r="C171" s="29">
        <f t="shared" si="161"/>
        <v>-200</v>
      </c>
      <c r="D171" s="29">
        <f t="shared" si="161"/>
        <v>0</v>
      </c>
      <c r="E171" s="649">
        <f t="shared" si="161"/>
        <v>-1333.3333333333333</v>
      </c>
      <c r="F171" s="648">
        <f t="shared" si="161"/>
        <v>-666.66666666666663</v>
      </c>
      <c r="G171" s="29">
        <f t="shared" si="161"/>
        <v>-555.55555555555554</v>
      </c>
      <c r="H171" s="29">
        <f t="shared" si="161"/>
        <v>-666.66666666666663</v>
      </c>
      <c r="I171" s="649">
        <f t="shared" si="161"/>
        <v>-666.66666666666663</v>
      </c>
      <c r="J171" s="648">
        <f t="shared" si="161"/>
        <v>-666.66666666666663</v>
      </c>
      <c r="K171" s="29">
        <f t="shared" si="161"/>
        <v>-666.66666666666663</v>
      </c>
      <c r="L171" s="29">
        <f t="shared" si="161"/>
        <v>-666.66666666666663</v>
      </c>
      <c r="M171" s="649">
        <f t="shared" si="161"/>
        <v>-666.66666666666663</v>
      </c>
      <c r="N171" s="648">
        <f t="shared" si="161"/>
        <v>-666.66666666666663</v>
      </c>
      <c r="O171" s="29">
        <f t="shared" si="161"/>
        <v>-1000</v>
      </c>
      <c r="P171" s="29">
        <f t="shared" si="161"/>
        <v>-1000</v>
      </c>
      <c r="Q171" s="649">
        <f t="shared" si="161"/>
        <v>-1000</v>
      </c>
      <c r="R171" s="648">
        <f t="shared" si="161"/>
        <v>-1000</v>
      </c>
      <c r="S171" s="29">
        <f t="shared" si="161"/>
        <v>-1111.1111111111111</v>
      </c>
      <c r="T171" s="29">
        <f t="shared" si="161"/>
        <v>-1111.1111111111111</v>
      </c>
      <c r="U171" s="649">
        <f t="shared" si="161"/>
        <v>-1111.1111111111111</v>
      </c>
      <c r="V171" s="691">
        <f t="shared" si="161"/>
        <v>-1111.1111111111111</v>
      </c>
      <c r="W171" s="37"/>
      <c r="X171" s="31"/>
      <c r="Y171" s="37"/>
      <c r="Z171" s="31"/>
      <c r="AA171" s="152"/>
      <c r="AB171" s="34"/>
      <c r="AC171" s="34"/>
    </row>
    <row r="172" spans="1:29" s="448" customFormat="1" ht="4.95" customHeight="1">
      <c r="A172" s="451" t="s">
        <v>386</v>
      </c>
      <c r="B172" s="650"/>
      <c r="C172" s="452">
        <v>18000</v>
      </c>
      <c r="D172" s="452"/>
      <c r="E172" s="651">
        <v>120000</v>
      </c>
      <c r="F172" s="650">
        <v>60000</v>
      </c>
      <c r="G172" s="452">
        <v>50000</v>
      </c>
      <c r="H172" s="452">
        <v>60000</v>
      </c>
      <c r="I172" s="651">
        <v>60000</v>
      </c>
      <c r="J172" s="650">
        <v>60000</v>
      </c>
      <c r="K172" s="452">
        <v>60000</v>
      </c>
      <c r="L172" s="452">
        <v>60000</v>
      </c>
      <c r="M172" s="651">
        <v>60000</v>
      </c>
      <c r="N172" s="650">
        <v>60000</v>
      </c>
      <c r="O172" s="452">
        <v>90000</v>
      </c>
      <c r="P172" s="452">
        <v>90000</v>
      </c>
      <c r="Q172" s="651">
        <v>90000</v>
      </c>
      <c r="R172" s="650">
        <v>90000</v>
      </c>
      <c r="S172" s="452">
        <v>100000</v>
      </c>
      <c r="T172" s="452">
        <v>100000</v>
      </c>
      <c r="U172" s="651">
        <v>100000</v>
      </c>
      <c r="V172" s="692">
        <v>100000</v>
      </c>
      <c r="W172" s="447"/>
      <c r="X172" s="446"/>
      <c r="Y172" s="446"/>
      <c r="Z172" s="446"/>
      <c r="AA172" s="446"/>
      <c r="AB172" s="446"/>
      <c r="AC172" s="446"/>
    </row>
    <row r="173" spans="1:29" s="33" customFormat="1" ht="15.75" customHeight="1">
      <c r="A173" s="225" t="s">
        <v>45</v>
      </c>
      <c r="B173" s="648">
        <f>-56667/$A$1*3+IF((B9+B13+B17+B21+B27+B37+B47+B57)&lt;50,0,-CEILING((B9+B13+B17+B21+B27+B37+B47+B57)/5*23*3,1))</f>
        <v>-1888.9</v>
      </c>
      <c r="C173" s="648">
        <f>-56667/$A$1*3+IF((C9+C13+C17+C21+C27+C37+C47+C57)&lt;50,0,-CEILING((C9+C13+C17+C21+C27+C37+C47+C57)/5*23*3,1))</f>
        <v>-1888.9</v>
      </c>
      <c r="D173" s="648">
        <f>-56667/$A$1*3+IF((D9+D13+D17+D21+D27+D37+D47+D57)&lt;50,0,-CEILING((D9+D13+D17+D21+D27+D37+D47+D57)/5*23*3,1))</f>
        <v>-1888.9</v>
      </c>
      <c r="E173" s="648">
        <f t="shared" ref="E173" si="162">-56667/$A$1*3+IF((E9+E13+E17+E21+E27+E37+E47+E57)&lt;50,0,-CEILING((E9+E13+E17+E21+E27+E37+E47+E57)/5*23*3,1))</f>
        <v>-1888.9</v>
      </c>
      <c r="F173" s="648">
        <f>-56667/$A$1*3+IF((F9+F13+F17+F21+F27+F37+F47+F57)&lt;50,0,-CEILING((F9+F13+F17+F21+F27+F37+F47+F57)/10*1000/$A$1*3,1))</f>
        <v>-1888.9</v>
      </c>
      <c r="G173" s="648">
        <f>-56667/$A$1*3+IF((G9+G13+G17+G21+G27+G37+G47+G57)&lt;50,0,-CEILING((G9+G13+G17+G21+G27+G37+G47+G57)/10*1000/$A$1*3,1))</f>
        <v>-2332.9</v>
      </c>
      <c r="H173" s="648">
        <f>-56667/$A$1*3+IF((H9+H13+H17+H21+H27+H37+H47+H57)&lt;50,0,-CEILING((H9+H13+H17+H21+H27+H37+H47+H57)/10*1000/$A$1*3,1))</f>
        <v>-2597.9</v>
      </c>
      <c r="I173" s="648">
        <f>-56667/$A$1*3+IF((I9+I13+I17+I21+I27+I37+I47+I57)&lt;50,0,-CEILING((I9+I13+I17+I21+I27+I37+I47+I57)/10*1000/$A$1*3,1))</f>
        <v>-2965.9</v>
      </c>
      <c r="J173" s="648">
        <f>-2*56667/$A$1*3+IF((J9+J13+J17+J21+J27+J37+J47+J57)&lt;50,0,-CEILING((J9+J13+J17+J21+J27+J37+J47+J57)/10*1000/$A$1*3,1))</f>
        <v>-5547.8</v>
      </c>
      <c r="K173" s="648">
        <f>-2*56667/$A$1*3+IF((K9+K13+K17+K21+K27+K37+K47+K57)&lt;50,0,-CEILING((K9+K13+K17+K21+K27+K37+K47+K57)/10*1000/$A$1*3,1))</f>
        <v>-6782.8</v>
      </c>
      <c r="L173" s="648">
        <f>-2*56667/$A$1*3+IF((L9+L13+L17+L21+L27+L37+L47+L57)&lt;50,0,-CEILING((L9+L13+L17+L21+L27+L37+L47+L57)/10*1000/$A$1*3,1))</f>
        <v>-8674.7999999999993</v>
      </c>
      <c r="M173" s="648">
        <f>-2*56667/$A$1*3+IF((M9+M13+M17+M21+M27+M37+M47+M57)&lt;50,0,-CEILING((M9+M13+M17+M21+M27+M37+M47+M57)/10*1000/$A$1*3,1))</f>
        <v>-11904.8</v>
      </c>
      <c r="N173" s="648">
        <f t="shared" ref="N173:O173" si="163">-2*56667/$A$1*3+IF((N9+N13+N17+N21+N27+N37+N47+N57)&lt;50,0,-CEILING((N9+N13+N17+N21+N27+N37+N47+N57)/10*1000/$A$1*3,1))</f>
        <v>-17327.8</v>
      </c>
      <c r="O173" s="648">
        <f t="shared" si="163"/>
        <v>-27037.8</v>
      </c>
      <c r="P173" s="648">
        <f>-3*56667/$A$1*3+IF((P9+P13+P17+P21+P27+P37+P47+P57)&lt;50,0,-CEILING((P9+P13+P17+P21+P27+P37+P47+P57)/10*1000/$A$1*3,1))</f>
        <v>-45733.7</v>
      </c>
      <c r="Q173" s="648">
        <f t="shared" ref="Q173:V173" si="164">-3*56667/$A$1*3+IF((Q9+Q13+Q17+Q21+Q27+Q37+Q47+Q57)&lt;50,0,-CEILING((Q9+Q13+Q17+Q21+Q27+Q37+Q47+Q57)/10*1000/$A$1*3,1))</f>
        <v>-74986.7</v>
      </c>
      <c r="R173" s="648">
        <f t="shared" si="164"/>
        <v>-126163.7</v>
      </c>
      <c r="S173" s="648">
        <f t="shared" si="164"/>
        <v>-216036.7</v>
      </c>
      <c r="T173" s="648">
        <f t="shared" si="164"/>
        <v>-374746.7</v>
      </c>
      <c r="U173" s="648">
        <f t="shared" si="164"/>
        <v>-656353.69999999995</v>
      </c>
      <c r="V173" s="648">
        <f t="shared" si="164"/>
        <v>-1158820.7</v>
      </c>
      <c r="W173" s="37">
        <f t="shared" ref="W173:W178" si="165">SUM(C173:V173)</f>
        <v>-2745570</v>
      </c>
      <c r="X173" s="31"/>
      <c r="Y173" s="37"/>
      <c r="Z173" s="31"/>
      <c r="AA173" s="152"/>
      <c r="AB173" s="34"/>
      <c r="AC173" s="34"/>
    </row>
    <row r="174" spans="1:29" s="33" customFormat="1" ht="15.75" customHeight="1">
      <c r="A174" s="225" t="s">
        <v>509</v>
      </c>
      <c r="B174" s="648"/>
      <c r="C174" s="29"/>
      <c r="D174" s="29"/>
      <c r="E174" s="649"/>
      <c r="F174" s="648">
        <f>-3000/$A$1*10+IF((F9+F13+F17+F21+F27+F37+F47+F57)&lt;50,0,-CEILING((F9+F13+F17+F21+F27+F37+F47+F57)/10*2000/$A$1*3,1))</f>
        <v>-333.33333333333337</v>
      </c>
      <c r="G174" s="648">
        <f>-3000/$A$1*6*(G159+G137+G134)+IF((G9+G13+G17+G21+G27+G37+G47+G57)&lt;50,0,-CEILING((G9+G13+G17+G21+G27+G37+G47+G57)/10*2000/$A$1*3,1))</f>
        <v>-1087</v>
      </c>
      <c r="H174" s="648">
        <f>-3000/$A$1*6*(H159+H137+H134)+IF((H9+H13+H17+H21+H27+H37+H47+H57)&lt;50,0,-CEILING((H9+H13+H17+H21+H27+H37+H47+H57)/10*2000/$A$1*3,1))</f>
        <v>-2017</v>
      </c>
      <c r="I174" s="648">
        <f>-3000/$A$1*6*(I159+I137+I134)+IF((I9+I13+I17+I21+I27+I37+I47+I57)&lt;50,0,-CEILING((I9+I13+I17+I21+I27+I37+I47+I57)/10*2000/$A$1*3,1))</f>
        <v>-2754</v>
      </c>
      <c r="J174" s="648">
        <f t="shared" ref="J174:V174" si="166">-3000/$A$1*6*(J159+J137+J134)+IF((J9+J13+J17+J21+J27+J37+J47+J57)&lt;50,0,-CEILING((J9+J13+J17+J21+J27+J37+J47+J57)/10*2000/$A$1*3,1))</f>
        <v>-4140</v>
      </c>
      <c r="K174" s="648">
        <f t="shared" si="166"/>
        <v>-6610</v>
      </c>
      <c r="L174" s="648">
        <f t="shared" si="166"/>
        <v>-10794</v>
      </c>
      <c r="M174" s="648">
        <f t="shared" si="166"/>
        <v>-17454</v>
      </c>
      <c r="N174" s="648">
        <f t="shared" si="166"/>
        <v>-28900</v>
      </c>
      <c r="O174" s="648">
        <f t="shared" si="166"/>
        <v>-49120</v>
      </c>
      <c r="P174" s="648">
        <f t="shared" si="166"/>
        <v>-84334</v>
      </c>
      <c r="Q174" s="648">
        <f t="shared" si="166"/>
        <v>-145440</v>
      </c>
      <c r="R174" s="648">
        <f t="shared" si="166"/>
        <v>-244394</v>
      </c>
      <c r="S174" s="648">
        <f t="shared" si="166"/>
        <v>-424140</v>
      </c>
      <c r="T174" s="648">
        <f t="shared" si="166"/>
        <v>-741560</v>
      </c>
      <c r="U174" s="648">
        <f t="shared" si="166"/>
        <v>-1304774</v>
      </c>
      <c r="V174" s="648">
        <f t="shared" si="166"/>
        <v>-2309707</v>
      </c>
      <c r="W174" s="37">
        <f t="shared" si="165"/>
        <v>-5377558.333333334</v>
      </c>
      <c r="X174" s="31"/>
      <c r="Y174" s="37"/>
      <c r="Z174" s="31"/>
      <c r="AA174" s="152"/>
      <c r="AB174" s="34"/>
      <c r="AC174" s="34"/>
    </row>
    <row r="175" spans="1:29" s="33" customFormat="1" ht="15.75" customHeight="1">
      <c r="A175" s="225" t="s">
        <v>283</v>
      </c>
      <c r="B175" s="648">
        <f>-9000/$A$1</f>
        <v>-100</v>
      </c>
      <c r="C175" s="29">
        <f>-9000/$A$1</f>
        <v>-100</v>
      </c>
      <c r="D175" s="29">
        <f>C175*1.7</f>
        <v>-170</v>
      </c>
      <c r="E175" s="29">
        <f>D175*1.7</f>
        <v>-289</v>
      </c>
      <c r="F175" s="29">
        <f>E175*1.5</f>
        <v>-433.5</v>
      </c>
      <c r="G175" s="29">
        <f t="shared" ref="G175:V175" si="167">F175*1.5</f>
        <v>-650.25</v>
      </c>
      <c r="H175" s="29">
        <f t="shared" si="167"/>
        <v>-975.375</v>
      </c>
      <c r="I175" s="29">
        <f t="shared" si="167"/>
        <v>-1463.0625</v>
      </c>
      <c r="J175" s="29">
        <f t="shared" si="167"/>
        <v>-2194.59375</v>
      </c>
      <c r="K175" s="29">
        <f t="shared" si="167"/>
        <v>-3291.890625</v>
      </c>
      <c r="L175" s="29">
        <f t="shared" si="167"/>
        <v>-4937.8359375</v>
      </c>
      <c r="M175" s="29">
        <f t="shared" si="167"/>
        <v>-7406.75390625</v>
      </c>
      <c r="N175" s="29">
        <f t="shared" si="167"/>
        <v>-11110.130859375</v>
      </c>
      <c r="O175" s="29">
        <f t="shared" si="167"/>
        <v>-16665.1962890625</v>
      </c>
      <c r="P175" s="29">
        <f t="shared" si="167"/>
        <v>-24997.79443359375</v>
      </c>
      <c r="Q175" s="29">
        <f t="shared" si="167"/>
        <v>-37496.691650390625</v>
      </c>
      <c r="R175" s="29">
        <f t="shared" si="167"/>
        <v>-56245.037475585938</v>
      </c>
      <c r="S175" s="29">
        <f t="shared" si="167"/>
        <v>-84367.556213378906</v>
      </c>
      <c r="T175" s="29">
        <f t="shared" si="167"/>
        <v>-126551.33432006836</v>
      </c>
      <c r="U175" s="29">
        <f t="shared" si="167"/>
        <v>-189827.00148010254</v>
      </c>
      <c r="V175" s="29">
        <f t="shared" si="167"/>
        <v>-284740.50222015381</v>
      </c>
      <c r="W175" s="37">
        <f t="shared" si="165"/>
        <v>-853913.50666046143</v>
      </c>
      <c r="X175" s="31"/>
      <c r="Y175" s="37"/>
      <c r="Z175" s="31"/>
      <c r="AA175" s="152"/>
      <c r="AB175" s="34"/>
      <c r="AC175" s="34"/>
    </row>
    <row r="176" spans="1:29" s="33" customFormat="1" ht="25.2" customHeight="1">
      <c r="A176" s="225" t="s">
        <v>286</v>
      </c>
      <c r="B176" s="648">
        <v>-112</v>
      </c>
      <c r="C176" s="29">
        <f>-(1400*3+5900)/$A$1</f>
        <v>-112.22222222222223</v>
      </c>
      <c r="D176" s="29">
        <f>-(1400*3+5900)/$A$1-200*105/$A$1</f>
        <v>-345.55555555555554</v>
      </c>
      <c r="E176" s="649">
        <f t="shared" ref="E176:Q176" si="168">-(1400*3+5900)/$A$1</f>
        <v>-112.22222222222223</v>
      </c>
      <c r="F176" s="648">
        <f t="shared" si="168"/>
        <v>-112.22222222222223</v>
      </c>
      <c r="G176" s="29">
        <f t="shared" si="168"/>
        <v>-112.22222222222223</v>
      </c>
      <c r="H176" s="29">
        <f>-(1400*3+5900)/$A$1-200*105/$A$1</f>
        <v>-345.55555555555554</v>
      </c>
      <c r="I176" s="649">
        <f t="shared" si="168"/>
        <v>-112.22222222222223</v>
      </c>
      <c r="J176" s="648">
        <f t="shared" si="168"/>
        <v>-112.22222222222223</v>
      </c>
      <c r="K176" s="29">
        <f t="shared" si="168"/>
        <v>-112.22222222222223</v>
      </c>
      <c r="L176" s="29">
        <f>-(1400*3+5900)/$A$1-200*105/$A$1</f>
        <v>-345.55555555555554</v>
      </c>
      <c r="M176" s="649">
        <f t="shared" si="168"/>
        <v>-112.22222222222223</v>
      </c>
      <c r="N176" s="648">
        <f t="shared" si="168"/>
        <v>-112.22222222222223</v>
      </c>
      <c r="O176" s="29">
        <f t="shared" si="168"/>
        <v>-112.22222222222223</v>
      </c>
      <c r="P176" s="29">
        <f>-(1400*3+5900)/$A$1-200*105/$A$1</f>
        <v>-345.55555555555554</v>
      </c>
      <c r="Q176" s="649">
        <f t="shared" si="168"/>
        <v>-112.22222222222223</v>
      </c>
      <c r="R176" s="648">
        <f>-(6000*3+5900)/$A$1</f>
        <v>-265.55555555555554</v>
      </c>
      <c r="S176" s="648">
        <f t="shared" ref="S176:V176" si="169">-(6000*3+5900)/$A$1</f>
        <v>-265.55555555555554</v>
      </c>
      <c r="T176" s="29">
        <f>-(1400*3+5900)/$A$1-200*105/$A$1</f>
        <v>-345.55555555555554</v>
      </c>
      <c r="U176" s="648">
        <f t="shared" si="169"/>
        <v>-265.55555555555554</v>
      </c>
      <c r="V176" s="648">
        <f t="shared" si="169"/>
        <v>-265.55555555555554</v>
      </c>
      <c r="W176" s="37">
        <f t="shared" si="165"/>
        <v>-4024.4444444444448</v>
      </c>
      <c r="X176" s="31"/>
      <c r="Y176" s="37"/>
      <c r="Z176" s="31"/>
      <c r="AA176" s="152"/>
      <c r="AB176" s="34"/>
      <c r="AC176" s="34"/>
    </row>
    <row r="177" spans="1:29" s="33" customFormat="1" ht="18" customHeight="1">
      <c r="A177" s="230" t="s">
        <v>458</v>
      </c>
      <c r="B177" s="648">
        <f>-('VR курсы'!$A$3*88*B13+B7*'VR курсы'!$A$3*88)/$A$1</f>
        <v>0</v>
      </c>
      <c r="C177" s="648">
        <f>-('VR курсы'!$A$3*88*C13+C7*'VR курсы'!$A$3*88)/$A$1</f>
        <v>-5689.6888888888889</v>
      </c>
      <c r="D177" s="648">
        <f>-('VR курсы'!$A$3*88*D13+D7*'VR курсы'!$A$3*88)/$A$1</f>
        <v>-5689.6888888888889</v>
      </c>
      <c r="E177" s="648">
        <f>-('VR курсы'!$A$3*88*E13+E7*'VR курсы'!$A$3*88)/$A$1</f>
        <v>-5689.6888888888889</v>
      </c>
      <c r="F177" s="648">
        <f>-('VR курсы'!$A$3*88*F13+F7*'VR курсы'!$A$3*88)/$A$1</f>
        <v>-11379.377777777778</v>
      </c>
      <c r="G177" s="648">
        <f>-('VR курсы'!$A$3*88*G13+G7*'VR курсы'!$A$3*88)/$A$1</f>
        <v>-22758.755555555555</v>
      </c>
      <c r="H177" s="648">
        <f>-('VR курсы'!$A$3*88*H13+H7*'VR курсы'!$A$3*88)/$A$1</f>
        <v>-34138.133333333331</v>
      </c>
      <c r="I177" s="648">
        <f>-('VR курсы'!$A$3*88*I13+I7*'VR курсы'!$A$3*88)/$A$1</f>
        <v>-45517.511111111111</v>
      </c>
      <c r="J177" s="648">
        <f>-('VR курсы'!$A$3*88*J13+J7*'VR курсы'!$A$3*88)/$A$1</f>
        <v>-56896.888888888891</v>
      </c>
      <c r="K177" s="648">
        <f>-('VR курсы'!$A$3*88*K13+K7*'VR курсы'!$A$3*88)/$A$1</f>
        <v>-68276.266666666663</v>
      </c>
      <c r="L177" s="648">
        <f>-('VR курсы'!$A$3*88*L13+L7*'VR курсы'!$A$3*88)/$A$1</f>
        <v>-91035.022222222222</v>
      </c>
      <c r="M177" s="648">
        <f>-('VR курсы'!$A$3*88*M13+M7*'VR курсы'!$A$3*88)/$A$1</f>
        <v>-130862.84444444445</v>
      </c>
      <c r="N177" s="648">
        <f>-('VR курсы'!$A$3*88*N13+N7*'VR курсы'!$A$3*88)/$A$1</f>
        <v>-187759.73333333334</v>
      </c>
      <c r="O177" s="648">
        <f>-('VR курсы'!$A$3*88*O13+O7*'VR курсы'!$A$3*88)/$A$1</f>
        <v>-267415.37777777779</v>
      </c>
      <c r="P177" s="648">
        <f>-('VR курсы'!$A$3*88*P13+P7*'VR курсы'!$A$3*88)/$A$1</f>
        <v>-375519.46666666667</v>
      </c>
      <c r="Q177" s="648">
        <f>-('VR курсы'!$A$3*88*Q13+Q7*'VR курсы'!$A$3*88)/$A$1</f>
        <v>-529141.06666666665</v>
      </c>
      <c r="R177" s="648">
        <f>-('VR курсы'!$A$3*88*R13+R7*'VR курсы'!$A$3*88)/$A$1</f>
        <v>-768108</v>
      </c>
      <c r="S177" s="648">
        <f>-('VR курсы'!$A$3*88*S13+S7*'VR курсы'!$A$3*88)/$A$1</f>
        <v>-1115179.0222222223</v>
      </c>
      <c r="T177" s="648">
        <f>-('VR курсы'!$A$3*88*T13+T7*'VR курсы'!$A$3*88)/$A$1</f>
        <v>-1672768.5333333334</v>
      </c>
      <c r="U177" s="648">
        <f>-('VR курсы'!$A$3*88*U13+U7*'VR курсы'!$A$3*88)/$A$1</f>
        <v>-2509152.7999999998</v>
      </c>
      <c r="V177" s="648">
        <f>-('VR курсы'!$A$3*88*V13+V7*'VR курсы'!$A$3*88)/$A$1</f>
        <v>-3766574.0444444446</v>
      </c>
      <c r="W177" s="37">
        <f t="shared" si="165"/>
        <v>-11669551.911111113</v>
      </c>
      <c r="X177" s="31"/>
      <c r="Y177" s="37"/>
      <c r="Z177" s="31"/>
      <c r="AA177" s="152"/>
      <c r="AB177" s="34"/>
      <c r="AC177" s="34"/>
    </row>
    <row r="178" spans="1:29" s="33" customFormat="1" ht="18" customHeight="1">
      <c r="A178" s="230" t="s">
        <v>389</v>
      </c>
      <c r="B178" s="648">
        <f>-'VR курсы'!$C$42*(B17+B21+B25)/$A$1</f>
        <v>-2465.5555555555557</v>
      </c>
      <c r="C178" s="648">
        <f>-'VR курсы'!$C$42*(C17+C21+C25)/$A$1</f>
        <v>0</v>
      </c>
      <c r="D178" s="648">
        <f>-'VR курсы'!$C$42*(D17+D21+D25)/$A$1</f>
        <v>0</v>
      </c>
      <c r="E178" s="648">
        <f>-'VR курсы'!$C$42*(E17+E21+E25)/$A$1</f>
        <v>0</v>
      </c>
      <c r="F178" s="648">
        <f>-'VR курсы'!$C$42*(F17+F21+F25)/$A$1</f>
        <v>-36983.333333333336</v>
      </c>
      <c r="G178" s="648">
        <f>-'VR курсы'!$C$42*(G17+G21+G25)/$A$1</f>
        <v>0</v>
      </c>
      <c r="H178" s="648">
        <f>-'VR курсы'!$C$42*(H17+H21+H25)/$A$1</f>
        <v>-12327.777777777777</v>
      </c>
      <c r="I178" s="648">
        <f>-'VR курсы'!$C$42/$A$1*(I17+I21+I25)</f>
        <v>-24655.555555555555</v>
      </c>
      <c r="J178" s="648">
        <f>-'VR курсы'!$C$42/$A$1*(J17+J21+J25)</f>
        <v>-49311.111111111109</v>
      </c>
      <c r="K178" s="648">
        <f>-'VR курсы'!$C$42*(K17+K21+K25)/$A$1</f>
        <v>-61638.888888888891</v>
      </c>
      <c r="L178" s="648">
        <f>-'VR курсы'!$C$42*(L17+L21+L25)/$A$1</f>
        <v>-73966.666666666672</v>
      </c>
      <c r="M178" s="648">
        <f>-'VR курсы'!$C$42*(M17+M21+M25)/$A$1</f>
        <v>-73966.666666666672</v>
      </c>
      <c r="N178" s="648">
        <f>-'VR курсы'!$C$42*(N17+N21+N25)/$A$1</f>
        <v>-73966.666666666672</v>
      </c>
      <c r="O178" s="648">
        <f>-'VR курсы'!$C$42*(O17+O21+O25)/$A$1</f>
        <v>-98622.222222222219</v>
      </c>
      <c r="P178" s="648">
        <f>-'VR курсы'!$C$42*(P17+P21+P25)/$A$1</f>
        <v>-98622.222222222219</v>
      </c>
      <c r="Q178" s="648">
        <f>-'VR курсы'!$C$42*(Q17+Q21+Q25)/$A$1</f>
        <v>-98622.222222222219</v>
      </c>
      <c r="R178" s="648">
        <f>-'VR курсы'!$C$42*(R17+R21+R25)/$A$1</f>
        <v>-123277.77777777778</v>
      </c>
      <c r="S178" s="648">
        <f>-'VR курсы'!$C$42*(S17+S21+S25)/$A$1</f>
        <v>-123277.77777777778</v>
      </c>
      <c r="T178" s="648">
        <f>-'VR курсы'!$C$42*(T17+T21+T25)/$A$1</f>
        <v>-123277.77777777778</v>
      </c>
      <c r="U178" s="648">
        <f>-'VR курсы'!$C$42*(U17+U21+U25)/$A$1</f>
        <v>-123277.77777777778</v>
      </c>
      <c r="V178" s="648">
        <f>-'VR курсы'!$C$42*(V17+V21+V25)/$A$1</f>
        <v>-147933.33333333334</v>
      </c>
      <c r="W178" s="37">
        <f t="shared" si="165"/>
        <v>-1343727.7777777778</v>
      </c>
      <c r="X178" s="31"/>
      <c r="Y178" s="37"/>
      <c r="Z178" s="31"/>
      <c r="AA178" s="152"/>
      <c r="AB178" s="34"/>
      <c r="AC178" s="34"/>
    </row>
    <row r="179" spans="1:29" s="33" customFormat="1" ht="11.4" customHeight="1">
      <c r="A179" s="230" t="s">
        <v>377</v>
      </c>
      <c r="B179" s="648"/>
      <c r="C179" s="29"/>
      <c r="D179" s="29"/>
      <c r="E179" s="649"/>
      <c r="F179" s="648"/>
      <c r="G179" s="29">
        <f>-2797200/$A$1</f>
        <v>-31080</v>
      </c>
      <c r="H179" s="29"/>
      <c r="I179" s="649"/>
      <c r="J179" s="648"/>
      <c r="K179" s="29"/>
      <c r="L179" s="29"/>
      <c r="M179" s="649"/>
      <c r="N179" s="648"/>
      <c r="O179" s="29"/>
      <c r="P179" s="29"/>
      <c r="Q179" s="649"/>
      <c r="R179" s="648"/>
      <c r="S179" s="29"/>
      <c r="T179" s="29"/>
      <c r="U179" s="649"/>
      <c r="V179" s="691"/>
      <c r="W179" s="37"/>
      <c r="X179" s="31"/>
      <c r="Y179" s="37"/>
      <c r="Z179" s="31"/>
      <c r="AA179" s="152"/>
      <c r="AB179" s="34"/>
      <c r="AC179" s="34"/>
    </row>
    <row r="180" spans="1:29" s="33" customFormat="1" ht="11.4" customHeight="1">
      <c r="A180" s="230" t="s">
        <v>433</v>
      </c>
      <c r="B180" s="648"/>
      <c r="C180" s="29"/>
      <c r="D180" s="29"/>
      <c r="E180" s="649">
        <f>-300000/$A$1</f>
        <v>-3333.3333333333335</v>
      </c>
      <c r="F180" s="648"/>
      <c r="G180" s="29"/>
      <c r="H180" s="29"/>
      <c r="I180" s="649"/>
      <c r="J180" s="648"/>
      <c r="K180" s="29"/>
      <c r="L180" s="29"/>
      <c r="M180" s="649"/>
      <c r="N180" s="648"/>
      <c r="O180" s="29"/>
      <c r="P180" s="29"/>
      <c r="Q180" s="649"/>
      <c r="R180" s="648"/>
      <c r="S180" s="29"/>
      <c r="T180" s="29"/>
      <c r="U180" s="649"/>
      <c r="V180" s="691"/>
      <c r="W180" s="37"/>
      <c r="X180" s="31"/>
      <c r="Y180" s="37"/>
      <c r="Z180" s="31"/>
      <c r="AA180" s="152"/>
      <c r="AB180" s="34"/>
      <c r="AC180" s="34"/>
    </row>
    <row r="181" spans="1:29" s="33" customFormat="1" ht="14.4" customHeight="1">
      <c r="A181" s="230" t="s">
        <v>189</v>
      </c>
      <c r="B181" s="648">
        <f>-('TAU Easy'!$B$3/План!$A$1*B37+'TAU Haptic'!B3/План!$A$1*B47+'TAU Suit'!B3/План!$A$1*B57)</f>
        <v>-448.8</v>
      </c>
      <c r="C181" s="648">
        <f>-('TAU Easy'!$B$3/План!$A$1*C37+'TAU Haptic'!C3/План!$A$1*C47+'TAU Suit'!C3/План!$A$1*C57)</f>
        <v>-897.6</v>
      </c>
      <c r="D181" s="648">
        <f>-('TAU Easy'!$B$3/План!$A$1*D37+'TAU Haptic'!D3/План!$A$1*D47+'TAU Suit'!D3/План!$A$1*D57)</f>
        <v>-897.6</v>
      </c>
      <c r="E181" s="648">
        <f>-('TAU Easy'!$B$3/План!$A$1*E37+'TAU Haptic'!E3/План!$A$1*E47+'TAU Suit'!E3/План!$A$1*E57)</f>
        <v>-897.6</v>
      </c>
      <c r="F181" s="648">
        <f>-('TAU Easy'!$B$3/План!$A$1*F37+'TAU Haptic'!F3/План!$A$1*F47+'TAU Suit'!F3/План!$A$1*F57)</f>
        <v>-2692.8</v>
      </c>
      <c r="G181" s="648">
        <f>-('TAU Easy'!$B$3/План!$A$1*G37+'TAU Haptic'!$B$3/План!$A$1*G47+'TAU Suit'!$B$3/План!$A$1*G57)</f>
        <v>-73051.733333333323</v>
      </c>
      <c r="H181" s="648">
        <f>-('TAU Easy'!$B$3/План!$A$1*H37+'TAU Haptic'!$B$3/План!$A$1*H47+'TAU Suit'!$B$3/План!$A$1*H57)</f>
        <v>-116641.06666666667</v>
      </c>
      <c r="I181" s="648">
        <f>-('TAU Easy'!$B$3/План!$A$1*I37+'TAU Haptic'!$B$3/План!$A$1*I47+'TAU Suit'!$B$3/План!$A$1*I57)</f>
        <v>-178954.84444444443</v>
      </c>
      <c r="J181" s="648">
        <f>-('TAU Easy'!$B$3/План!$A$1*J37+'TAU Haptic'!$B$3/План!$A$1*J47+'TAU Suit'!$B$3/План!$A$1*J57)</f>
        <v>-306940.08888888889</v>
      </c>
      <c r="K181" s="648">
        <f>-('TAU Easy'!$B$3/План!$A$1*K37+'TAU Haptic'!$B$3/План!$A$1*K47+'TAU Suit'!$B$3/План!$A$1*K57)</f>
        <v>-550066.48888888885</v>
      </c>
      <c r="L181" s="648">
        <f>-('TAU Easy'!$B$3/План!$A$1*L37+'TAU Haptic'!$B$3/План!$A$1*L47+'TAU Suit'!$B$3/План!$A$1*L57)</f>
        <v>-902882.93333333335</v>
      </c>
      <c r="M181" s="648">
        <f>-('TAU Easy'!$B$3/План!$A$1*M37+'TAU Haptic'!$B$3/План!$A$1*M47+'TAU Suit'!$B$3/План!$A$1*M57)</f>
        <v>-1523894.0444444446</v>
      </c>
      <c r="N181" s="648">
        <f>-('TAU Easy'!$B$3/План!$A$1*N37+'TAU Haptic'!$B$3/План!$A$1*N47+'TAU Suit'!$B$3/План!$A$1*N57)</f>
        <v>-2588991.2888888894</v>
      </c>
      <c r="O181" s="648">
        <f>-('TAU Easy'!$B$3/План!$A$1*O37+'TAU Haptic'!$B$3/План!$A$1*O47+'TAU Suit'!$B$3/План!$A$1*O57)</f>
        <v>-4526053.1555555556</v>
      </c>
      <c r="P181" s="648">
        <f>-('TAU Easy'!$B$3/План!$A$1*P37+'TAU Haptic'!$B$3/План!$A$1*P47+'TAU Suit'!$B$3/План!$A$1*P57)</f>
        <v>-7952742.8444444444</v>
      </c>
      <c r="Q181" s="648">
        <f>-('TAU Easy'!$B$3/План!$A$1*Q37+'TAU Haptic'!$B$3/План!$A$1*Q47+'TAU Suit'!$B$3/План!$A$1*Q57)</f>
        <v>-14056531.377777776</v>
      </c>
      <c r="R181" s="648">
        <f>-('TAU Easy'!$B$3/План!$A$1*R37+'TAU Haptic'!$B$3/План!$A$1*R47+'TAU Suit'!$B$3/План!$A$1*R57)</f>
        <v>-24999476.088888887</v>
      </c>
      <c r="S181" s="648">
        <f>-('TAU Easy'!$B$3/План!$A$1*S37+'TAU Haptic'!$B$3/План!$A$1*S47+'TAU Suit'!$B$3/План!$A$1*S57)</f>
        <v>-44733175.911111109</v>
      </c>
      <c r="T181" s="648">
        <f>-('TAU Easy'!$B$3/План!$A$1*T37+'TAU Haptic'!$B$3/План!$A$1*T47+'TAU Suit'!$B$3/План!$A$1*T57)</f>
        <v>-80563461.24444443</v>
      </c>
      <c r="U181" s="648">
        <f>-('TAU Easy'!$B$3/План!$A$1*U37+'TAU Haptic'!$B$3/План!$A$1*U47+'TAU Suit'!$B$3/План!$A$1*U57)</f>
        <v>-146035501.33333331</v>
      </c>
      <c r="V181" s="648">
        <f>-('TAU Easy'!$B$3/План!$A$1*V37+'TAU Haptic'!$B$3/План!$A$1*V47+'TAU Suit'!$B$3/План!$A$1*V57)</f>
        <v>-266475706.93333334</v>
      </c>
      <c r="W181" s="37">
        <f>SUM(B181:V181)</f>
        <v>-595589905.77777767</v>
      </c>
      <c r="X181" s="31"/>
      <c r="Y181" s="37"/>
      <c r="Z181" s="31"/>
      <c r="AA181" s="152"/>
      <c r="AB181" s="34"/>
      <c r="AC181" s="34"/>
    </row>
    <row r="182" spans="1:29" s="33" customFormat="1" ht="15.75" customHeight="1">
      <c r="A182" s="230" t="s">
        <v>46</v>
      </c>
      <c r="B182" s="596">
        <v>0</v>
      </c>
      <c r="C182" s="12">
        <f>-(C9*2+C17+C29+C32+C35+C39+C42+C45+C49+C52+C55+C59+C62+C65)*2000/$A$1</f>
        <v>-88.888888888888886</v>
      </c>
      <c r="D182" s="12">
        <f t="shared" ref="D182:V182" si="170">-(D9*2+D17+D29+D32+D35+D39+D42+D45+D49+D52+D55+D59+D62+D65)*2000/$A$1</f>
        <v>-88.888888888888886</v>
      </c>
      <c r="E182" s="12">
        <f t="shared" si="170"/>
        <v>-111.11111111111111</v>
      </c>
      <c r="F182" s="12">
        <f t="shared" si="170"/>
        <v>-177.77777777777777</v>
      </c>
      <c r="G182" s="12">
        <f t="shared" si="170"/>
        <v>-2866.6666666666665</v>
      </c>
      <c r="H182" s="12">
        <f t="shared" si="170"/>
        <v>-4577.7777777777774</v>
      </c>
      <c r="I182" s="12">
        <f t="shared" si="170"/>
        <v>-7000</v>
      </c>
      <c r="J182" s="12">
        <f t="shared" si="170"/>
        <v>-11577.777777777777</v>
      </c>
      <c r="K182" s="12">
        <f t="shared" si="170"/>
        <v>-19755.555555555555</v>
      </c>
      <c r="L182" s="12">
        <f t="shared" si="170"/>
        <v>-32288.888888888891</v>
      </c>
      <c r="M182" s="12">
        <f t="shared" si="170"/>
        <v>-53666.666666666664</v>
      </c>
      <c r="N182" s="12">
        <f t="shared" si="170"/>
        <v>-89600</v>
      </c>
      <c r="O182" s="12">
        <f t="shared" si="170"/>
        <v>-154022.22222222222</v>
      </c>
      <c r="P182" s="12">
        <f t="shared" si="170"/>
        <v>-265644.44444444444</v>
      </c>
      <c r="Q182" s="12">
        <f t="shared" si="170"/>
        <v>-460066.66666666669</v>
      </c>
      <c r="R182" s="12">
        <f t="shared" si="170"/>
        <v>-800311.11111111112</v>
      </c>
      <c r="S182" s="12">
        <f t="shared" si="170"/>
        <v>-1398111.111111111</v>
      </c>
      <c r="T182" s="12">
        <f t="shared" si="170"/>
        <v>-2454000</v>
      </c>
      <c r="U182" s="12">
        <f t="shared" si="170"/>
        <v>-4328111.111111111</v>
      </c>
      <c r="V182" s="12">
        <f t="shared" si="170"/>
        <v>-7672977.777777778</v>
      </c>
      <c r="W182" s="37"/>
      <c r="X182" s="31"/>
      <c r="Y182" s="37"/>
      <c r="Z182" s="31"/>
      <c r="AA182" s="152"/>
      <c r="AB182" s="34"/>
      <c r="AC182" s="34"/>
    </row>
    <row r="183" spans="1:29" s="33" customFormat="1" ht="15.75" customHeight="1">
      <c r="A183" s="224" t="s">
        <v>74</v>
      </c>
      <c r="B183" s="596">
        <f>IF(B3&lt;1000000000,0,-(B3+B186+B181+B177+B169+B168+B173)*0.2)</f>
        <v>0</v>
      </c>
      <c r="C183" s="12">
        <f>IF(C3&lt;1000000000,0,-(C3+C186+C181+C177+C169+C168+C173)*0.2)</f>
        <v>0</v>
      </c>
      <c r="D183" s="12">
        <f>IF(D3&lt;1000000000,0,-(D3+D186+D181+D177+D169+D168+D173)*0.2)</f>
        <v>0</v>
      </c>
      <c r="E183" s="598">
        <f>IF(E3&lt;1000000000,0,-(E3+E186+E181+E177+E169+E168+E173)*0.2)</f>
        <v>0</v>
      </c>
      <c r="F183" s="596">
        <f>IF(F3&lt;1000000000,0,-(F3+F186+F181+F177+F169+F168+F173)*0.2)</f>
        <v>0</v>
      </c>
      <c r="G183" s="12">
        <f t="shared" ref="G183:V183" si="171">IF((SUM(C3:F3))&lt;1000000000,0,-(G3+G186+G181+G177+G169+G168+G173)*0.2)</f>
        <v>0</v>
      </c>
      <c r="H183" s="12">
        <f t="shared" si="171"/>
        <v>0</v>
      </c>
      <c r="I183" s="598">
        <f t="shared" si="171"/>
        <v>0</v>
      </c>
      <c r="J183" s="596">
        <f t="shared" si="171"/>
        <v>0</v>
      </c>
      <c r="K183" s="12">
        <f t="shared" si="171"/>
        <v>0</v>
      </c>
      <c r="L183" s="12">
        <f t="shared" si="171"/>
        <v>0</v>
      </c>
      <c r="M183" s="598">
        <f t="shared" si="171"/>
        <v>0</v>
      </c>
      <c r="N183" s="596">
        <f t="shared" si="171"/>
        <v>0</v>
      </c>
      <c r="O183" s="12">
        <f t="shared" si="171"/>
        <v>0</v>
      </c>
      <c r="P183" s="12">
        <f t="shared" si="171"/>
        <v>0</v>
      </c>
      <c r="Q183" s="598">
        <f t="shared" si="171"/>
        <v>0</v>
      </c>
      <c r="R183" s="596">
        <f t="shared" si="171"/>
        <v>0</v>
      </c>
      <c r="S183" s="12">
        <f t="shared" si="171"/>
        <v>0</v>
      </c>
      <c r="T183" s="12">
        <f t="shared" si="171"/>
        <v>0</v>
      </c>
      <c r="U183" s="598">
        <f t="shared" si="171"/>
        <v>0</v>
      </c>
      <c r="V183" s="670">
        <f t="shared" si="171"/>
        <v>0</v>
      </c>
      <c r="W183" s="62"/>
      <c r="X183" s="56"/>
      <c r="Y183" s="62"/>
      <c r="Z183" s="56"/>
      <c r="AA183" s="39"/>
      <c r="AB183" s="34"/>
      <c r="AC183" s="34"/>
    </row>
    <row r="184" spans="1:29" s="33" customFormat="1" ht="15.75" customHeight="1">
      <c r="A184" s="224" t="s">
        <v>61</v>
      </c>
      <c r="B184" s="596">
        <f>IF(B3&lt;1000000000,0,-(B4+B183)*0.2)</f>
        <v>0</v>
      </c>
      <c r="C184" s="12">
        <f>IF(C3&lt;1000000000,0,-(C4+C183)*0.2)</f>
        <v>0</v>
      </c>
      <c r="D184" s="12">
        <f>IF(D3&lt;1000000000,0,-(D4+D183)*0.2)</f>
        <v>0</v>
      </c>
      <c r="E184" s="598">
        <f>IF(E3&lt;1000000000,0,-(E4+E183)*0.2)</f>
        <v>0</v>
      </c>
      <c r="F184" s="596">
        <f>IF(F3&lt;1000000000,0,-(F4+F183)*0.2)</f>
        <v>0</v>
      </c>
      <c r="G184" s="12">
        <f t="shared" ref="G184:V184" si="172">IF(SUM(C3:F3)&lt;1000000000,0,-(G4+G183)*0.2)</f>
        <v>0</v>
      </c>
      <c r="H184" s="12">
        <f t="shared" si="172"/>
        <v>0</v>
      </c>
      <c r="I184" s="598">
        <f t="shared" si="172"/>
        <v>0</v>
      </c>
      <c r="J184" s="596">
        <f t="shared" si="172"/>
        <v>0</v>
      </c>
      <c r="K184" s="12">
        <f t="shared" si="172"/>
        <v>0</v>
      </c>
      <c r="L184" s="12">
        <f t="shared" si="172"/>
        <v>0</v>
      </c>
      <c r="M184" s="598">
        <f t="shared" si="172"/>
        <v>0</v>
      </c>
      <c r="N184" s="596">
        <f t="shared" si="172"/>
        <v>0</v>
      </c>
      <c r="O184" s="12">
        <f t="shared" si="172"/>
        <v>0</v>
      </c>
      <c r="P184" s="12">
        <f t="shared" si="172"/>
        <v>0</v>
      </c>
      <c r="Q184" s="598">
        <f t="shared" si="172"/>
        <v>0</v>
      </c>
      <c r="R184" s="596">
        <f t="shared" si="172"/>
        <v>0</v>
      </c>
      <c r="S184" s="12">
        <f t="shared" si="172"/>
        <v>0</v>
      </c>
      <c r="T184" s="12">
        <f t="shared" si="172"/>
        <v>0</v>
      </c>
      <c r="U184" s="598">
        <f t="shared" si="172"/>
        <v>0</v>
      </c>
      <c r="V184" s="670">
        <f t="shared" si="172"/>
        <v>0</v>
      </c>
      <c r="W184" s="62"/>
      <c r="X184" s="56"/>
      <c r="Y184" s="62"/>
      <c r="Z184" s="56"/>
      <c r="AA184" s="39"/>
      <c r="AB184" s="34"/>
      <c r="AC184" s="34"/>
    </row>
    <row r="185" spans="1:29" s="33" customFormat="1" ht="15.75" customHeight="1">
      <c r="A185" s="205"/>
      <c r="B185" s="594"/>
      <c r="C185" s="11"/>
      <c r="D185" s="11"/>
      <c r="E185" s="595"/>
      <c r="F185" s="594"/>
      <c r="G185" s="11"/>
      <c r="H185" s="11"/>
      <c r="I185" s="595"/>
      <c r="J185" s="594"/>
      <c r="K185" s="11"/>
      <c r="L185" s="11"/>
      <c r="M185" s="595"/>
      <c r="N185" s="594"/>
      <c r="O185" s="11"/>
      <c r="P185" s="11"/>
      <c r="Q185" s="595"/>
      <c r="R185" s="594"/>
      <c r="S185" s="11"/>
      <c r="T185" s="11"/>
      <c r="U185" s="595"/>
      <c r="V185" s="668"/>
      <c r="W185" s="141"/>
      <c r="X185" s="30"/>
      <c r="Y185" s="141"/>
      <c r="Z185" s="30"/>
      <c r="AA185" s="146"/>
      <c r="AB185" s="34"/>
      <c r="AC185" s="34"/>
    </row>
    <row r="186" spans="1:29" s="33" customFormat="1" ht="15.75" customHeight="1">
      <c r="A186" s="205" t="s">
        <v>48</v>
      </c>
      <c r="B186" s="594">
        <f>SUM(B187:B192)</f>
        <v>0</v>
      </c>
      <c r="C186" s="11">
        <f t="shared" ref="C186:V186" si="173">SUM(C187:C192)</f>
        <v>-12400</v>
      </c>
      <c r="D186" s="11">
        <f t="shared" si="173"/>
        <v>8333.3333333333339</v>
      </c>
      <c r="E186" s="595">
        <f t="shared" si="173"/>
        <v>-20055.555555555555</v>
      </c>
      <c r="F186" s="594">
        <f t="shared" si="173"/>
        <v>555.55555555555657</v>
      </c>
      <c r="G186" s="11">
        <f t="shared" si="173"/>
        <v>-24444.444444444445</v>
      </c>
      <c r="H186" s="11">
        <f t="shared" si="173"/>
        <v>2222.2222222222226</v>
      </c>
      <c r="I186" s="595">
        <f t="shared" si="173"/>
        <v>-22833.333333333332</v>
      </c>
      <c r="J186" s="594">
        <f t="shared" si="173"/>
        <v>-15777.777777777777</v>
      </c>
      <c r="K186" s="11">
        <f t="shared" si="173"/>
        <v>-29777.777777777777</v>
      </c>
      <c r="L186" s="11">
        <f t="shared" si="173"/>
        <v>-20555.555555555555</v>
      </c>
      <c r="M186" s="595">
        <f t="shared" si="173"/>
        <v>-33388.888888888891</v>
      </c>
      <c r="N186" s="594">
        <f t="shared" si="173"/>
        <v>-36888.888888888891</v>
      </c>
      <c r="O186" s="11">
        <f t="shared" si="173"/>
        <v>-65333.333333333328</v>
      </c>
      <c r="P186" s="11">
        <f t="shared" si="173"/>
        <v>-63555.555555555562</v>
      </c>
      <c r="Q186" s="595">
        <f t="shared" si="173"/>
        <v>-136722.22222222222</v>
      </c>
      <c r="R186" s="594">
        <f t="shared" si="173"/>
        <v>-139666.66666666669</v>
      </c>
      <c r="S186" s="11">
        <f t="shared" si="173"/>
        <v>-293666.66666666663</v>
      </c>
      <c r="T186" s="11">
        <f t="shared" si="173"/>
        <v>225888.88888888885</v>
      </c>
      <c r="U186" s="595">
        <f t="shared" si="173"/>
        <v>-293944.44444444438</v>
      </c>
      <c r="V186" s="668">
        <f t="shared" si="173"/>
        <v>195555.5555555555</v>
      </c>
      <c r="W186" s="141"/>
      <c r="X186" s="30"/>
      <c r="Y186" s="141"/>
      <c r="Z186" s="30"/>
      <c r="AA186" s="146"/>
      <c r="AB186" s="34"/>
      <c r="AC186" s="34"/>
    </row>
    <row r="187" spans="1:29" s="33" customFormat="1" ht="15.75" customHeight="1">
      <c r="A187" s="225" t="s">
        <v>49</v>
      </c>
      <c r="B187" s="648">
        <v>0</v>
      </c>
      <c r="C187" s="29">
        <f>-180000/$A$1</f>
        <v>-2000</v>
      </c>
      <c r="D187" s="29"/>
      <c r="E187" s="649">
        <f>-85000*3/$A$1</f>
        <v>-2833.3333333333335</v>
      </c>
      <c r="F187" s="648">
        <v>0</v>
      </c>
      <c r="G187" s="29">
        <f>-180000/$A$1</f>
        <v>-2000</v>
      </c>
      <c r="H187" s="29"/>
      <c r="I187" s="649">
        <f>-85000*3/$A$1</f>
        <v>-2833.3333333333335</v>
      </c>
      <c r="J187" s="648">
        <v>0</v>
      </c>
      <c r="K187" s="29">
        <f>-180000/$A$1</f>
        <v>-2000</v>
      </c>
      <c r="L187" s="29"/>
      <c r="M187" s="649">
        <f>-85000*3/$A$1</f>
        <v>-2833.3333333333335</v>
      </c>
      <c r="N187" s="648">
        <v>0</v>
      </c>
      <c r="O187" s="29">
        <f>-180000/$A$1</f>
        <v>-2000</v>
      </c>
      <c r="P187" s="29"/>
      <c r="Q187" s="649">
        <f>-85000*3/$A$1</f>
        <v>-2833.3333333333335</v>
      </c>
      <c r="R187" s="648">
        <v>0</v>
      </c>
      <c r="S187" s="29">
        <f>-180000/$A$1</f>
        <v>-2000</v>
      </c>
      <c r="T187" s="29"/>
      <c r="U187" s="649">
        <f>-85000*3/$A$1</f>
        <v>-2833.3333333333335</v>
      </c>
      <c r="V187" s="691">
        <v>0</v>
      </c>
      <c r="W187" s="37"/>
      <c r="X187" s="31"/>
      <c r="Y187" s="37"/>
      <c r="Z187" s="31"/>
      <c r="AA187" s="152"/>
      <c r="AB187" s="34"/>
      <c r="AC187" s="34"/>
    </row>
    <row r="188" spans="1:29" s="33" customFormat="1" ht="15.75" customHeight="1">
      <c r="A188" s="225" t="s">
        <v>50</v>
      </c>
      <c r="B188" s="648">
        <v>0</v>
      </c>
      <c r="C188" s="648">
        <v>0</v>
      </c>
      <c r="D188" s="648">
        <f>-(4-CEILING((D72+D75+D78+D83+D86+D90+D93+D97+D100+D103+D106+D109+D112+D115+D119+D125+D122+D128+D131+D137+D140+D143+D146+D149+D153+D156+D159+D162+D165),1))*50000/$A$1-C188</f>
        <v>8333.3333333333339</v>
      </c>
      <c r="E188" s="648">
        <f>(4-CEILING((E72+E75+E78+E83+E86+E90+E93+E97+E100+E103+E106+E109+E112+E115+E119+E125+E122+E128+E131+E137+E140+E143+E146+E149+E153+E156+E159+E162+E165),1))*50000/$A$1-D188+0</f>
        <v>-17222.222222222223</v>
      </c>
      <c r="F188" s="648">
        <f>(4-CEILING((F72+F75+F78+F83+F86+F90+F93+F97+F100+F103+F106+F109+F112+F115+F119+F125+F122+F128+F131+F137+F140+F143+F146+F149+F153+F156+F159+F162+F165),1))*50000/$A$1-E188+0</f>
        <v>5555.5555555555566</v>
      </c>
      <c r="G188" s="648">
        <f t="shared" ref="G188:V188" si="174">(4-CEILING((G72+G75+G78+G83+G86+G90+G93+G97+G100+G103+G106+G109+G112+G115+G119+G125+G122+G128+G131+G137+G140+G143+G146+G149+G153+G156+G159+G162+G165),1))*50000/$A$1-F188+0</f>
        <v>-19444.444444444445</v>
      </c>
      <c r="H188" s="648">
        <f t="shared" si="174"/>
        <v>2222.2222222222226</v>
      </c>
      <c r="I188" s="648">
        <f t="shared" si="174"/>
        <v>-20000</v>
      </c>
      <c r="J188" s="648">
        <f t="shared" si="174"/>
        <v>2222.2222222222226</v>
      </c>
      <c r="K188" s="648">
        <f t="shared" si="174"/>
        <v>-22777.777777777777</v>
      </c>
      <c r="L188" s="648">
        <f t="shared" si="174"/>
        <v>-5555.5555555555547</v>
      </c>
      <c r="M188" s="648">
        <f t="shared" si="174"/>
        <v>-30555.555555555555</v>
      </c>
      <c r="N188" s="648">
        <f t="shared" si="174"/>
        <v>-18888.888888888891</v>
      </c>
      <c r="O188" s="648">
        <f t="shared" si="174"/>
        <v>-58333.333333333328</v>
      </c>
      <c r="P188" s="648">
        <f t="shared" si="174"/>
        <v>-65555.555555555562</v>
      </c>
      <c r="Q188" s="648">
        <f t="shared" si="174"/>
        <v>-133888.88888888888</v>
      </c>
      <c r="R188" s="648">
        <f t="shared" si="174"/>
        <v>-121666.66666666669</v>
      </c>
      <c r="S188" s="648">
        <f t="shared" si="174"/>
        <v>-286666.66666666663</v>
      </c>
      <c r="T188" s="648">
        <f t="shared" si="174"/>
        <v>223888.88888888885</v>
      </c>
      <c r="U188" s="648">
        <f t="shared" si="174"/>
        <v>-291111.11111111107</v>
      </c>
      <c r="V188" s="648">
        <f t="shared" si="174"/>
        <v>215555.5555555555</v>
      </c>
      <c r="W188" s="37"/>
      <c r="X188" s="31"/>
      <c r="Y188" s="37"/>
      <c r="Z188" s="31"/>
      <c r="AA188" s="152"/>
      <c r="AB188" s="34"/>
      <c r="AC188" s="34"/>
    </row>
    <row r="189" spans="1:29" s="33" customFormat="1" ht="15.75" customHeight="1">
      <c r="A189" s="225" t="s">
        <v>51</v>
      </c>
      <c r="B189" s="648">
        <v>0</v>
      </c>
      <c r="C189" s="29">
        <v>0</v>
      </c>
      <c r="D189" s="29">
        <v>0</v>
      </c>
      <c r="E189" s="649">
        <v>0</v>
      </c>
      <c r="F189" s="648">
        <v>0</v>
      </c>
      <c r="G189" s="29">
        <f>2000*90/A1</f>
        <v>2000</v>
      </c>
      <c r="H189" s="29">
        <v>0</v>
      </c>
      <c r="I189" s="649">
        <v>0</v>
      </c>
      <c r="J189" s="648">
        <f>2000*90/A1</f>
        <v>2000</v>
      </c>
      <c r="K189" s="29">
        <v>0</v>
      </c>
      <c r="L189" s="29">
        <v>0</v>
      </c>
      <c r="M189" s="649">
        <v>0</v>
      </c>
      <c r="N189" s="648">
        <f>2000*90/A1</f>
        <v>2000</v>
      </c>
      <c r="O189" s="29">
        <v>0</v>
      </c>
      <c r="P189" s="29">
        <f>2000*90/A1</f>
        <v>2000</v>
      </c>
      <c r="Q189" s="649">
        <v>0</v>
      </c>
      <c r="R189" s="648">
        <f>2000*90/A1</f>
        <v>2000</v>
      </c>
      <c r="S189" s="29">
        <v>0</v>
      </c>
      <c r="T189" s="29">
        <f>2000*90/A1</f>
        <v>2000</v>
      </c>
      <c r="U189" s="649">
        <v>0</v>
      </c>
      <c r="V189" s="691">
        <v>0</v>
      </c>
      <c r="W189" s="37"/>
      <c r="X189" s="31"/>
      <c r="Y189" s="37"/>
      <c r="Z189" s="31"/>
      <c r="AA189" s="152"/>
      <c r="AB189" s="34"/>
      <c r="AC189" s="34"/>
    </row>
    <row r="190" spans="1:29" s="33" customFormat="1" ht="15.75" customHeight="1">
      <c r="A190" s="225" t="s">
        <v>514</v>
      </c>
      <c r="B190" s="648">
        <v>0</v>
      </c>
      <c r="C190" s="29">
        <f>-10400*90/A1</f>
        <v>-10400</v>
      </c>
      <c r="D190" s="29">
        <v>0</v>
      </c>
      <c r="E190" s="649">
        <v>0</v>
      </c>
      <c r="F190" s="648"/>
      <c r="G190" s="29">
        <v>-5000</v>
      </c>
      <c r="H190" s="29">
        <v>0</v>
      </c>
      <c r="I190" s="649">
        <v>0</v>
      </c>
      <c r="J190" s="648">
        <v>0</v>
      </c>
      <c r="K190" s="29">
        <v>-5000</v>
      </c>
      <c r="L190" s="29">
        <v>0</v>
      </c>
      <c r="M190" s="649">
        <v>0</v>
      </c>
      <c r="N190" s="648">
        <v>0</v>
      </c>
      <c r="O190" s="29">
        <v>-5000</v>
      </c>
      <c r="P190" s="29">
        <v>0</v>
      </c>
      <c r="Q190" s="649">
        <v>0</v>
      </c>
      <c r="R190" s="648">
        <v>0</v>
      </c>
      <c r="S190" s="29">
        <v>-5000</v>
      </c>
      <c r="T190" s="29">
        <v>0</v>
      </c>
      <c r="U190" s="649">
        <v>0</v>
      </c>
      <c r="V190" s="691">
        <v>0</v>
      </c>
      <c r="W190" s="37"/>
      <c r="X190" s="31"/>
      <c r="Y190" s="37"/>
      <c r="Z190" s="31"/>
      <c r="AA190" s="152"/>
      <c r="AB190" s="34"/>
      <c r="AC190" s="34"/>
    </row>
    <row r="191" spans="1:29" s="33" customFormat="1" ht="15.75" customHeight="1">
      <c r="A191" s="225" t="s">
        <v>516</v>
      </c>
      <c r="B191" s="648">
        <v>0</v>
      </c>
      <c r="C191" s="29">
        <v>0</v>
      </c>
      <c r="D191" s="29">
        <v>0</v>
      </c>
      <c r="E191" s="649">
        <v>0</v>
      </c>
      <c r="F191" s="648">
        <f>-450000/A1</f>
        <v>-5000</v>
      </c>
      <c r="G191" s="29">
        <v>0</v>
      </c>
      <c r="H191" s="29">
        <v>0</v>
      </c>
      <c r="I191" s="649">
        <v>0</v>
      </c>
      <c r="J191" s="648">
        <f>-1800000/$A$1</f>
        <v>-20000</v>
      </c>
      <c r="K191" s="29">
        <v>0</v>
      </c>
      <c r="L191" s="29">
        <v>0</v>
      </c>
      <c r="M191" s="649">
        <v>0</v>
      </c>
      <c r="N191" s="648">
        <f>-1800000/$A$1</f>
        <v>-20000</v>
      </c>
      <c r="O191" s="29">
        <v>0</v>
      </c>
      <c r="P191" s="29">
        <v>0</v>
      </c>
      <c r="Q191" s="649">
        <v>0</v>
      </c>
      <c r="R191" s="648">
        <f>-1800000/$A$1</f>
        <v>-20000</v>
      </c>
      <c r="S191" s="29">
        <v>0</v>
      </c>
      <c r="T191" s="29">
        <v>0</v>
      </c>
      <c r="U191" s="649">
        <v>0</v>
      </c>
      <c r="V191" s="648">
        <f>-1800000/$A$1</f>
        <v>-20000</v>
      </c>
      <c r="W191" s="37"/>
      <c r="X191" s="31"/>
      <c r="Y191" s="37"/>
      <c r="Z191" s="31"/>
      <c r="AA191" s="152"/>
      <c r="AB191" s="34"/>
      <c r="AC191" s="34"/>
    </row>
    <row r="192" spans="1:29" s="33" customFormat="1" ht="15.75" customHeight="1">
      <c r="A192" s="225" t="s">
        <v>52</v>
      </c>
      <c r="B192" s="648">
        <v>0</v>
      </c>
      <c r="C192" s="29">
        <v>0</v>
      </c>
      <c r="D192" s="29">
        <v>0</v>
      </c>
      <c r="E192" s="649">
        <v>0</v>
      </c>
      <c r="F192" s="648">
        <v>0</v>
      </c>
      <c r="G192" s="29">
        <v>0</v>
      </c>
      <c r="H192" s="648">
        <v>0</v>
      </c>
      <c r="I192" s="649">
        <v>0</v>
      </c>
      <c r="J192" s="648">
        <v>0</v>
      </c>
      <c r="K192" s="29">
        <v>0</v>
      </c>
      <c r="L192" s="29">
        <f>-15000*90/A1</f>
        <v>-15000</v>
      </c>
      <c r="M192" s="649">
        <v>0</v>
      </c>
      <c r="N192" s="648">
        <v>0</v>
      </c>
      <c r="O192" s="29">
        <v>0</v>
      </c>
      <c r="P192" s="29">
        <v>0</v>
      </c>
      <c r="Q192" s="649">
        <v>0</v>
      </c>
      <c r="R192" s="648">
        <v>0</v>
      </c>
      <c r="S192" s="29">
        <v>0</v>
      </c>
      <c r="T192" s="29">
        <v>0</v>
      </c>
      <c r="U192" s="649">
        <v>0</v>
      </c>
      <c r="V192" s="691">
        <v>0</v>
      </c>
      <c r="W192" s="37"/>
      <c r="X192" s="31"/>
      <c r="Y192" s="37"/>
      <c r="Z192" s="31"/>
      <c r="AA192" s="152"/>
      <c r="AB192" s="34"/>
      <c r="AC192" s="34"/>
    </row>
    <row r="193" spans="1:29" s="33" customFormat="1" ht="15.75" customHeight="1">
      <c r="A193" s="225" t="s">
        <v>510</v>
      </c>
      <c r="B193" s="648">
        <v>0</v>
      </c>
      <c r="C193" s="29">
        <v>0</v>
      </c>
      <c r="D193" s="29">
        <v>0</v>
      </c>
      <c r="E193" s="649">
        <v>0</v>
      </c>
      <c r="F193" s="648">
        <v>0</v>
      </c>
      <c r="G193" s="29">
        <v>0</v>
      </c>
      <c r="H193" s="648">
        <f>-12000*90/A1</f>
        <v>-12000</v>
      </c>
      <c r="I193" s="649">
        <v>0</v>
      </c>
      <c r="J193" s="648">
        <v>0</v>
      </c>
      <c r="K193" s="648"/>
      <c r="L193" s="29">
        <v>0</v>
      </c>
      <c r="M193" s="649">
        <v>0</v>
      </c>
      <c r="N193" s="648">
        <v>0</v>
      </c>
      <c r="O193" s="29">
        <v>0</v>
      </c>
      <c r="P193" s="29">
        <v>0</v>
      </c>
      <c r="Q193" s="649">
        <v>0</v>
      </c>
      <c r="R193" s="648">
        <v>0</v>
      </c>
      <c r="S193" s="29">
        <v>0</v>
      </c>
      <c r="T193" s="29">
        <v>0</v>
      </c>
      <c r="U193" s="649">
        <v>0</v>
      </c>
      <c r="V193" s="691">
        <v>0</v>
      </c>
      <c r="W193" s="37"/>
      <c r="X193" s="31"/>
      <c r="Y193" s="37"/>
      <c r="Z193" s="31"/>
      <c r="AA193" s="152"/>
      <c r="AB193" s="34"/>
      <c r="AC193" s="34"/>
    </row>
    <row r="194" spans="1:29" s="33" customFormat="1" ht="15.75" customHeight="1">
      <c r="A194" s="225" t="s">
        <v>511</v>
      </c>
      <c r="B194" s="648">
        <v>0</v>
      </c>
      <c r="C194" s="29">
        <v>0</v>
      </c>
      <c r="D194" s="29">
        <v>0</v>
      </c>
      <c r="E194" s="649">
        <v>0</v>
      </c>
      <c r="F194" s="648">
        <v>0</v>
      </c>
      <c r="G194" s="29">
        <v>0</v>
      </c>
      <c r="H194" s="648"/>
      <c r="I194" s="649">
        <v>0</v>
      </c>
      <c r="J194" s="648">
        <f>-5000*90/A1</f>
        <v>-5000</v>
      </c>
      <c r="K194" s="648"/>
      <c r="L194" s="29">
        <v>0</v>
      </c>
      <c r="M194" s="649">
        <v>0</v>
      </c>
      <c r="N194" s="648">
        <v>0</v>
      </c>
      <c r="O194" s="29">
        <v>0</v>
      </c>
      <c r="P194" s="29">
        <v>0</v>
      </c>
      <c r="Q194" s="649">
        <v>0</v>
      </c>
      <c r="R194" s="648">
        <v>0</v>
      </c>
      <c r="S194" s="29">
        <v>0</v>
      </c>
      <c r="T194" s="29">
        <v>0</v>
      </c>
      <c r="U194" s="649">
        <v>0</v>
      </c>
      <c r="V194" s="691">
        <v>0</v>
      </c>
      <c r="W194" s="37"/>
      <c r="X194" s="31"/>
      <c r="Y194" s="37"/>
      <c r="Z194" s="31"/>
      <c r="AA194" s="152"/>
      <c r="AB194" s="34"/>
      <c r="AC194" s="34"/>
    </row>
    <row r="195" spans="1:29" s="33" customFormat="1" ht="15.75" customHeight="1">
      <c r="A195" s="205" t="s">
        <v>60</v>
      </c>
      <c r="B195" s="594">
        <f t="shared" ref="B195:V195" si="175">B5+B186</f>
        <v>-6076.2111111111044</v>
      </c>
      <c r="C195" s="11">
        <f t="shared" si="175"/>
        <v>-68669.411111111112</v>
      </c>
      <c r="D195" s="11">
        <f t="shared" si="175"/>
        <v>-117757.09999999999</v>
      </c>
      <c r="E195" s="595">
        <f t="shared" si="175"/>
        <v>-157669.69911111114</v>
      </c>
      <c r="F195" s="594">
        <f t="shared" si="175"/>
        <v>204533.08977777782</v>
      </c>
      <c r="G195" s="11">
        <f t="shared" si="175"/>
        <v>-125685.94911111111</v>
      </c>
      <c r="H195" s="11">
        <f t="shared" si="175"/>
        <v>142498.285</v>
      </c>
      <c r="I195" s="595">
        <f t="shared" si="175"/>
        <v>-3238.8647222222826</v>
      </c>
      <c r="J195" s="594">
        <f t="shared" si="175"/>
        <v>176249.15513888895</v>
      </c>
      <c r="K195" s="11">
        <f t="shared" si="175"/>
        <v>668188.25381944468</v>
      </c>
      <c r="L195" s="11">
        <f t="shared" si="175"/>
        <v>886662.44184027752</v>
      </c>
      <c r="M195" s="595">
        <f t="shared" si="175"/>
        <v>1669445.4616493057</v>
      </c>
      <c r="N195" s="594">
        <f t="shared" si="175"/>
        <v>3037350.258029514</v>
      </c>
      <c r="O195" s="11">
        <f t="shared" si="175"/>
        <v>5452686.3037109384</v>
      </c>
      <c r="P195" s="11">
        <f t="shared" si="175"/>
        <v>9850278.8188997395</v>
      </c>
      <c r="Q195" s="595">
        <f t="shared" si="175"/>
        <v>17755237.472794052</v>
      </c>
      <c r="R195" s="594">
        <f t="shared" si="175"/>
        <v>38763744.651413307</v>
      </c>
      <c r="S195" s="11">
        <f t="shared" si="175"/>
        <v>60450714.097119942</v>
      </c>
      <c r="T195" s="11">
        <f t="shared" si="175"/>
        <v>115014664.30123547</v>
      </c>
      <c r="U195" s="595">
        <f t="shared" si="175"/>
        <v>211107434.99407545</v>
      </c>
      <c r="V195" s="668">
        <f t="shared" si="175"/>
        <v>391867830.9333353</v>
      </c>
      <c r="W195" s="141"/>
      <c r="X195" s="30"/>
      <c r="Y195" s="141"/>
      <c r="Z195" s="30"/>
      <c r="AA195" s="146"/>
      <c r="AB195" s="34"/>
      <c r="AC195" s="34"/>
    </row>
    <row r="196" spans="1:29" s="33" customFormat="1" ht="15.75" customHeight="1">
      <c r="A196" s="225"/>
      <c r="B196" s="648"/>
      <c r="C196" s="29"/>
      <c r="D196" s="29"/>
      <c r="E196" s="649"/>
      <c r="F196" s="648"/>
      <c r="G196" s="29"/>
      <c r="H196" s="29"/>
      <c r="I196" s="649"/>
      <c r="J196" s="648"/>
      <c r="K196" s="29"/>
      <c r="L196" s="29"/>
      <c r="M196" s="649"/>
      <c r="N196" s="648"/>
      <c r="O196" s="29"/>
      <c r="P196" s="29"/>
      <c r="Q196" s="649"/>
      <c r="R196" s="648"/>
      <c r="S196" s="29"/>
      <c r="T196" s="29"/>
      <c r="U196" s="649"/>
      <c r="V196" s="691"/>
      <c r="W196" s="37"/>
      <c r="X196" s="31"/>
      <c r="Y196" s="37"/>
      <c r="Z196" s="31"/>
      <c r="AA196" s="152"/>
      <c r="AB196" s="34"/>
      <c r="AC196" s="34"/>
    </row>
    <row r="197" spans="1:29" s="33" customFormat="1" ht="15.75" customHeight="1">
      <c r="A197" s="205" t="s">
        <v>53</v>
      </c>
      <c r="B197" s="594">
        <f t="shared" ref="B197:V197" si="176">SUM(B199:B201)</f>
        <v>900000</v>
      </c>
      <c r="C197" s="11">
        <f>SUM(C198:C201)</f>
        <v>4647200</v>
      </c>
      <c r="D197" s="11">
        <f t="shared" si="176"/>
        <v>10000000</v>
      </c>
      <c r="E197" s="595">
        <f t="shared" si="176"/>
        <v>0</v>
      </c>
      <c r="F197" s="594">
        <f t="shared" si="176"/>
        <v>10000000</v>
      </c>
      <c r="G197" s="11">
        <f t="shared" si="176"/>
        <v>10000000</v>
      </c>
      <c r="H197" s="11">
        <f t="shared" si="176"/>
        <v>0</v>
      </c>
      <c r="I197" s="595">
        <f t="shared" si="176"/>
        <v>0</v>
      </c>
      <c r="J197" s="594">
        <f t="shared" si="176"/>
        <v>0</v>
      </c>
      <c r="K197" s="11">
        <f t="shared" si="176"/>
        <v>0</v>
      </c>
      <c r="L197" s="11">
        <f t="shared" si="176"/>
        <v>0</v>
      </c>
      <c r="M197" s="595">
        <f t="shared" si="176"/>
        <v>0</v>
      </c>
      <c r="N197" s="594">
        <f t="shared" si="176"/>
        <v>0</v>
      </c>
      <c r="O197" s="11">
        <f t="shared" si="176"/>
        <v>0</v>
      </c>
      <c r="P197" s="11">
        <f t="shared" si="176"/>
        <v>0</v>
      </c>
      <c r="Q197" s="595">
        <f t="shared" si="176"/>
        <v>0</v>
      </c>
      <c r="R197" s="594">
        <f t="shared" si="176"/>
        <v>-9725852.8295199927</v>
      </c>
      <c r="S197" s="11">
        <f t="shared" si="176"/>
        <v>0</v>
      </c>
      <c r="T197" s="11">
        <f t="shared" si="176"/>
        <v>0</v>
      </c>
      <c r="U197" s="595">
        <f t="shared" si="176"/>
        <v>0</v>
      </c>
      <c r="V197" s="668">
        <f t="shared" si="176"/>
        <v>0</v>
      </c>
      <c r="W197" s="141">
        <f>SUM(B197:V197)</f>
        <v>25821347.170480005</v>
      </c>
      <c r="X197" s="30"/>
      <c r="Y197" s="141"/>
      <c r="Z197" s="30"/>
      <c r="AA197" s="146"/>
      <c r="AB197" s="34"/>
      <c r="AC197" s="34"/>
    </row>
    <row r="198" spans="1:29" s="33" customFormat="1" ht="15.75" customHeight="1">
      <c r="A198" s="205" t="s">
        <v>274</v>
      </c>
      <c r="B198" s="594"/>
      <c r="C198" s="11">
        <f>1499400+1297800</f>
        <v>2797200</v>
      </c>
      <c r="D198" s="11"/>
      <c r="E198" s="595"/>
      <c r="F198" s="594"/>
      <c r="G198" s="11"/>
      <c r="H198" s="11"/>
      <c r="I198" s="595"/>
      <c r="J198" s="594"/>
      <c r="K198" s="11"/>
      <c r="L198" s="11"/>
      <c r="M198" s="595"/>
      <c r="N198" s="594"/>
      <c r="O198" s="11"/>
      <c r="P198" s="11"/>
      <c r="Q198" s="595"/>
      <c r="R198" s="594"/>
      <c r="S198" s="11"/>
      <c r="T198" s="11"/>
      <c r="U198" s="595"/>
      <c r="V198" s="668"/>
      <c r="W198" s="141"/>
      <c r="X198" s="30"/>
      <c r="Y198" s="141"/>
      <c r="Z198" s="30"/>
      <c r="AA198" s="146"/>
      <c r="AB198" s="34"/>
      <c r="AC198" s="34"/>
    </row>
    <row r="199" spans="1:29" s="33" customFormat="1" ht="15.75" customHeight="1">
      <c r="A199" s="225" t="s">
        <v>54</v>
      </c>
      <c r="B199" s="648">
        <v>0</v>
      </c>
      <c r="C199" s="29">
        <v>0</v>
      </c>
      <c r="D199" s="29">
        <v>10000000</v>
      </c>
      <c r="E199" s="649">
        <v>0</v>
      </c>
      <c r="F199" s="648">
        <v>10000000</v>
      </c>
      <c r="G199" s="29">
        <v>10000000</v>
      </c>
      <c r="H199" s="29">
        <v>0</v>
      </c>
      <c r="I199" s="649">
        <v>0</v>
      </c>
      <c r="J199" s="648">
        <v>0</v>
      </c>
      <c r="K199" s="29">
        <v>0</v>
      </c>
      <c r="L199" s="29">
        <v>0</v>
      </c>
      <c r="M199" s="649">
        <v>0</v>
      </c>
      <c r="N199" s="648">
        <v>0</v>
      </c>
      <c r="O199" s="29">
        <v>0</v>
      </c>
      <c r="P199" s="29">
        <v>0</v>
      </c>
      <c r="Q199" s="649">
        <v>0</v>
      </c>
      <c r="R199" s="648">
        <f>-B212</f>
        <v>-9725852.8295199927</v>
      </c>
      <c r="S199" s="29"/>
      <c r="T199" s="29"/>
      <c r="U199" s="649"/>
      <c r="V199" s="691"/>
      <c r="W199" s="37"/>
      <c r="X199" s="31"/>
      <c r="Y199" s="37"/>
      <c r="Z199" s="31"/>
      <c r="AA199" s="152"/>
      <c r="AB199" s="34"/>
      <c r="AC199" s="34"/>
    </row>
    <row r="200" spans="1:29" s="33" customFormat="1" ht="15.75" customHeight="1">
      <c r="A200" s="225" t="s">
        <v>55</v>
      </c>
      <c r="B200" s="648">
        <v>900000</v>
      </c>
      <c r="C200" s="29">
        <v>1850000</v>
      </c>
      <c r="D200" s="29">
        <v>0</v>
      </c>
      <c r="E200" s="649">
        <v>0</v>
      </c>
      <c r="F200" s="648">
        <v>0</v>
      </c>
      <c r="G200" s="29">
        <v>0</v>
      </c>
      <c r="H200" s="29">
        <v>0</v>
      </c>
      <c r="I200" s="649">
        <v>0</v>
      </c>
      <c r="J200" s="648">
        <v>0</v>
      </c>
      <c r="K200" s="29">
        <v>0</v>
      </c>
      <c r="L200" s="29">
        <v>0</v>
      </c>
      <c r="M200" s="649">
        <v>0</v>
      </c>
      <c r="N200" s="648">
        <v>0</v>
      </c>
      <c r="O200" s="29">
        <v>0</v>
      </c>
      <c r="P200" s="29">
        <v>0</v>
      </c>
      <c r="Q200" s="649">
        <v>0</v>
      </c>
      <c r="R200" s="648">
        <v>0</v>
      </c>
      <c r="S200" s="29">
        <v>0</v>
      </c>
      <c r="T200" s="29">
        <v>0</v>
      </c>
      <c r="U200" s="649">
        <v>0</v>
      </c>
      <c r="V200" s="691">
        <v>0</v>
      </c>
      <c r="W200" s="37"/>
      <c r="X200" s="31"/>
      <c r="Y200" s="37"/>
      <c r="Z200" s="31"/>
      <c r="AA200" s="152"/>
      <c r="AB200" s="34"/>
      <c r="AC200" s="34"/>
    </row>
    <row r="201" spans="1:29" s="33" customFormat="1" ht="15.75" customHeight="1">
      <c r="A201" s="225" t="s">
        <v>56</v>
      </c>
      <c r="B201" s="648">
        <v>0</v>
      </c>
      <c r="C201" s="29">
        <v>0</v>
      </c>
      <c r="D201" s="29">
        <v>0</v>
      </c>
      <c r="E201" s="649">
        <v>0</v>
      </c>
      <c r="F201" s="648">
        <v>0</v>
      </c>
      <c r="G201" s="29">
        <v>0</v>
      </c>
      <c r="H201" s="29">
        <v>0</v>
      </c>
      <c r="I201" s="649">
        <v>0</v>
      </c>
      <c r="J201" s="648">
        <v>0</v>
      </c>
      <c r="K201" s="29">
        <v>0</v>
      </c>
      <c r="L201" s="29">
        <v>0</v>
      </c>
      <c r="M201" s="649">
        <v>0</v>
      </c>
      <c r="N201" s="648">
        <v>0</v>
      </c>
      <c r="O201" s="29">
        <v>0</v>
      </c>
      <c r="P201" s="29">
        <v>0</v>
      </c>
      <c r="Q201" s="649">
        <v>0</v>
      </c>
      <c r="R201" s="648">
        <v>0</v>
      </c>
      <c r="S201" s="29">
        <v>0</v>
      </c>
      <c r="T201" s="29">
        <v>0</v>
      </c>
      <c r="U201" s="649">
        <v>0</v>
      </c>
      <c r="V201" s="691">
        <v>0</v>
      </c>
      <c r="W201" s="37"/>
      <c r="X201" s="31"/>
      <c r="Y201" s="37"/>
      <c r="Z201" s="31"/>
      <c r="AA201" s="152"/>
      <c r="AB201" s="34"/>
      <c r="AC201" s="34"/>
    </row>
    <row r="202" spans="1:29" s="33" customFormat="1" ht="15.75" customHeight="1">
      <c r="A202" s="225"/>
      <c r="B202" s="648"/>
      <c r="C202" s="29"/>
      <c r="D202" s="29"/>
      <c r="E202" s="649"/>
      <c r="F202" s="648"/>
      <c r="G202" s="29"/>
      <c r="H202" s="29"/>
      <c r="I202" s="649"/>
      <c r="J202" s="648"/>
      <c r="K202" s="29"/>
      <c r="L202" s="29"/>
      <c r="M202" s="649"/>
      <c r="N202" s="648"/>
      <c r="O202" s="29"/>
      <c r="P202" s="29"/>
      <c r="Q202" s="649"/>
      <c r="R202" s="648"/>
      <c r="S202" s="29"/>
      <c r="T202" s="29"/>
      <c r="U202" s="649"/>
      <c r="V202" s="691"/>
      <c r="W202" s="37"/>
      <c r="X202" s="31"/>
      <c r="Y202" s="37"/>
      <c r="Z202" s="31"/>
      <c r="AA202" s="152"/>
      <c r="AB202" s="34"/>
      <c r="AC202" s="34"/>
    </row>
    <row r="203" spans="1:29" s="33" customFormat="1" ht="15" customHeight="1">
      <c r="A203" s="225" t="s">
        <v>57</v>
      </c>
      <c r="B203" s="648"/>
      <c r="C203" s="29"/>
      <c r="D203" s="29"/>
      <c r="E203" s="649"/>
      <c r="F203" s="648"/>
      <c r="G203" s="29"/>
      <c r="H203" s="29"/>
      <c r="I203" s="649"/>
      <c r="J203" s="648"/>
      <c r="K203" s="29"/>
      <c r="L203" s="29"/>
      <c r="M203" s="649"/>
      <c r="N203" s="648"/>
      <c r="O203" s="29"/>
      <c r="P203" s="29"/>
      <c r="Q203" s="649"/>
      <c r="R203" s="648"/>
      <c r="S203" s="29"/>
      <c r="T203" s="29"/>
      <c r="U203" s="649"/>
      <c r="V203" s="691"/>
      <c r="W203" s="37"/>
      <c r="X203" s="31"/>
      <c r="Y203" s="37"/>
      <c r="Z203" s="31"/>
      <c r="AA203" s="152"/>
      <c r="AB203" s="34"/>
      <c r="AC203" s="34"/>
    </row>
    <row r="204" spans="1:29" s="33" customFormat="1" ht="15" customHeight="1">
      <c r="A204" s="225" t="s">
        <v>58</v>
      </c>
      <c r="B204" s="648">
        <v>0</v>
      </c>
      <c r="C204" s="29">
        <f t="shared" ref="C204:V204" si="177">B205</f>
        <v>893923.7888888889</v>
      </c>
      <c r="D204" s="29">
        <f t="shared" si="177"/>
        <v>5472454.3777777776</v>
      </c>
      <c r="E204" s="649">
        <f t="shared" si="177"/>
        <v>15354697.277777778</v>
      </c>
      <c r="F204" s="648">
        <f t="shared" si="177"/>
        <v>15197027.578666667</v>
      </c>
      <c r="G204" s="29">
        <f t="shared" si="177"/>
        <v>25401560.668444443</v>
      </c>
      <c r="H204" s="29">
        <f t="shared" si="177"/>
        <v>35275874.719333328</v>
      </c>
      <c r="I204" s="649">
        <f t="shared" si="177"/>
        <v>35418373.004333325</v>
      </c>
      <c r="J204" s="648">
        <f t="shared" si="177"/>
        <v>35415134.139611103</v>
      </c>
      <c r="K204" s="29">
        <f t="shared" si="177"/>
        <v>35591383.29474999</v>
      </c>
      <c r="L204" s="29">
        <f t="shared" si="177"/>
        <v>36259571.548569433</v>
      </c>
      <c r="M204" s="649">
        <f t="shared" si="177"/>
        <v>37146233.99040971</v>
      </c>
      <c r="N204" s="648">
        <f t="shared" si="177"/>
        <v>38815679.452059016</v>
      </c>
      <c r="O204" s="29">
        <f t="shared" si="177"/>
        <v>41853029.710088529</v>
      </c>
      <c r="P204" s="29">
        <f t="shared" si="177"/>
        <v>47305716.013799466</v>
      </c>
      <c r="Q204" s="649">
        <f t="shared" si="177"/>
        <v>57155994.832699209</v>
      </c>
      <c r="R204" s="648">
        <f t="shared" si="177"/>
        <v>74911232.305493265</v>
      </c>
      <c r="S204" s="29">
        <f t="shared" si="177"/>
        <v>103949124.12738657</v>
      </c>
      <c r="T204" s="29">
        <f t="shared" si="177"/>
        <v>164399838.2245065</v>
      </c>
      <c r="U204" s="649">
        <f t="shared" si="177"/>
        <v>279414502.52574193</v>
      </c>
      <c r="V204" s="691">
        <f t="shared" si="177"/>
        <v>490521937.51981735</v>
      </c>
      <c r="W204" s="37"/>
      <c r="X204" s="31"/>
      <c r="Y204" s="37"/>
      <c r="Z204" s="31"/>
      <c r="AA204" s="152"/>
      <c r="AB204" s="34"/>
      <c r="AC204" s="34"/>
    </row>
    <row r="205" spans="1:29" s="33" customFormat="1" ht="15" customHeight="1" thickBot="1">
      <c r="A205" s="661" t="s">
        <v>59</v>
      </c>
      <c r="B205" s="664">
        <f t="shared" ref="B205:V205" si="178">B204+B197+B195</f>
        <v>893923.7888888889</v>
      </c>
      <c r="C205" s="665">
        <f t="shared" si="178"/>
        <v>5472454.3777777776</v>
      </c>
      <c r="D205" s="665">
        <f t="shared" si="178"/>
        <v>15354697.277777778</v>
      </c>
      <c r="E205" s="666">
        <f t="shared" si="178"/>
        <v>15197027.578666667</v>
      </c>
      <c r="F205" s="658">
        <f t="shared" si="178"/>
        <v>25401560.668444443</v>
      </c>
      <c r="G205" s="659">
        <f t="shared" si="178"/>
        <v>35275874.719333328</v>
      </c>
      <c r="H205" s="659">
        <f t="shared" si="178"/>
        <v>35418373.004333325</v>
      </c>
      <c r="I205" s="660">
        <f t="shared" si="178"/>
        <v>35415134.139611103</v>
      </c>
      <c r="J205" s="658">
        <f t="shared" si="178"/>
        <v>35591383.29474999</v>
      </c>
      <c r="K205" s="659">
        <f t="shared" si="178"/>
        <v>36259571.548569433</v>
      </c>
      <c r="L205" s="659">
        <f t="shared" si="178"/>
        <v>37146233.99040971</v>
      </c>
      <c r="M205" s="660">
        <f t="shared" si="178"/>
        <v>38815679.452059016</v>
      </c>
      <c r="N205" s="658">
        <f t="shared" si="178"/>
        <v>41853029.710088529</v>
      </c>
      <c r="O205" s="659">
        <f t="shared" si="178"/>
        <v>47305716.013799466</v>
      </c>
      <c r="P205" s="659">
        <f t="shared" si="178"/>
        <v>57155994.832699209</v>
      </c>
      <c r="Q205" s="660">
        <f t="shared" si="178"/>
        <v>74911232.305493265</v>
      </c>
      <c r="R205" s="658">
        <f t="shared" si="178"/>
        <v>103949124.12738657</v>
      </c>
      <c r="S205" s="659">
        <f t="shared" si="178"/>
        <v>164399838.2245065</v>
      </c>
      <c r="T205" s="659">
        <f t="shared" si="178"/>
        <v>279414502.52574193</v>
      </c>
      <c r="U205" s="660">
        <f t="shared" si="178"/>
        <v>490521937.51981735</v>
      </c>
      <c r="V205" s="695">
        <f t="shared" si="178"/>
        <v>882389768.45315266</v>
      </c>
      <c r="W205" s="37"/>
      <c r="X205" s="31"/>
      <c r="Y205" s="37"/>
      <c r="Z205" s="31"/>
      <c r="AA205" s="152"/>
      <c r="AB205" s="34"/>
      <c r="AC205" s="34"/>
    </row>
    <row r="206" spans="1:29" s="33" customFormat="1" ht="22.5" customHeight="1" thickTop="1">
      <c r="A206" s="145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8"/>
      <c r="O206" s="30"/>
      <c r="P206" s="30"/>
      <c r="Q206" s="30"/>
      <c r="R206" s="38"/>
      <c r="S206" s="30"/>
      <c r="T206" s="38"/>
      <c r="U206" s="30"/>
      <c r="V206" s="38"/>
      <c r="W206" s="141"/>
      <c r="X206" s="30"/>
      <c r="Y206" s="141"/>
      <c r="Z206" s="30"/>
      <c r="AA206" s="146"/>
      <c r="AB206" s="38"/>
      <c r="AC206" s="38"/>
    </row>
    <row r="207" spans="1:29" s="33" customFormat="1" ht="15.75" customHeight="1">
      <c r="A207" s="151"/>
      <c r="B207" s="31" t="s">
        <v>82</v>
      </c>
      <c r="C207" s="31"/>
      <c r="D207" s="31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7"/>
      <c r="X207" s="31"/>
      <c r="Y207" s="37"/>
      <c r="Z207" s="31"/>
      <c r="AA207" s="152"/>
      <c r="AB207" s="34"/>
      <c r="AC207" s="34"/>
    </row>
    <row r="208" spans="1:29" s="33" customFormat="1" ht="15.75" customHeight="1">
      <c r="A208" s="151" t="s">
        <v>83</v>
      </c>
      <c r="B208" s="31">
        <v>7000000</v>
      </c>
      <c r="C208" s="152"/>
      <c r="D208" s="31"/>
      <c r="E208" s="34"/>
      <c r="F208" s="31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7"/>
      <c r="X208" s="31"/>
      <c r="Y208" s="37"/>
      <c r="Z208" s="31"/>
      <c r="AA208" s="152"/>
      <c r="AB208" s="34"/>
      <c r="AC208" s="34"/>
    </row>
    <row r="209" spans="1:29" s="33" customFormat="1" ht="15.75" customHeight="1">
      <c r="A209" s="151"/>
      <c r="B209" s="31"/>
      <c r="C209" s="152"/>
      <c r="D209" s="31"/>
      <c r="E209" s="34"/>
      <c r="F209" s="34"/>
      <c r="G209" s="37"/>
      <c r="H209" s="37"/>
      <c r="I209" s="34"/>
      <c r="J209" s="37"/>
      <c r="K209" s="37"/>
      <c r="L209" s="37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7"/>
      <c r="X209" s="31"/>
      <c r="Y209" s="37"/>
      <c r="Z209" s="31"/>
      <c r="AA209" s="152"/>
      <c r="AB209" s="34"/>
      <c r="AC209" s="34"/>
    </row>
    <row r="210" spans="1:29" s="33" customFormat="1" ht="15.75" customHeight="1">
      <c r="A210" s="151" t="s">
        <v>84</v>
      </c>
      <c r="B210" s="31">
        <v>350000</v>
      </c>
      <c r="C210" s="152">
        <f>B210/B208</f>
        <v>0.05</v>
      </c>
      <c r="D210" s="31"/>
      <c r="E210" s="34"/>
      <c r="F210" s="34"/>
      <c r="G210" s="37"/>
      <c r="H210" s="37"/>
      <c r="I210" s="34"/>
      <c r="J210" s="37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7"/>
      <c r="X210" s="31"/>
      <c r="Y210" s="37"/>
      <c r="Z210" s="31"/>
      <c r="AA210" s="152"/>
      <c r="AB210" s="34"/>
      <c r="AC210" s="34"/>
    </row>
    <row r="211" spans="1:29" s="33" customFormat="1" ht="15.75" customHeight="1">
      <c r="A211" s="151" t="s">
        <v>127</v>
      </c>
      <c r="B211" s="31">
        <f>R4*5</f>
        <v>194517056.59039986</v>
      </c>
      <c r="C211" s="152"/>
      <c r="D211" s="31"/>
      <c r="E211" s="37"/>
      <c r="F211" s="34"/>
      <c r="G211" s="37"/>
      <c r="H211" s="37"/>
      <c r="I211" s="34"/>
      <c r="J211" s="37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7"/>
      <c r="X211" s="31"/>
      <c r="Y211" s="37"/>
      <c r="Z211" s="31"/>
      <c r="AA211" s="152"/>
      <c r="AB211" s="34"/>
      <c r="AC211" s="34"/>
    </row>
    <row r="212" spans="1:29" s="33" customFormat="1" ht="15.75" customHeight="1">
      <c r="A212" s="151" t="s">
        <v>88</v>
      </c>
      <c r="B212" s="31">
        <f>B211*C210</f>
        <v>9725852.8295199927</v>
      </c>
      <c r="C212" s="152"/>
      <c r="D212" s="31"/>
      <c r="E212" s="34"/>
      <c r="F212" s="34"/>
      <c r="G212" s="37"/>
      <c r="H212" s="37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7"/>
      <c r="X212" s="31"/>
      <c r="Y212" s="37"/>
      <c r="Z212" s="31"/>
      <c r="AA212" s="152"/>
      <c r="AB212" s="34"/>
      <c r="AC212" s="34"/>
    </row>
    <row r="213" spans="1:29" s="33" customFormat="1" ht="15.75" customHeight="1">
      <c r="A213" s="151"/>
      <c r="B213" s="31"/>
      <c r="C213" s="31"/>
      <c r="D213" s="31"/>
      <c r="E213" s="35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7"/>
      <c r="X213" s="31"/>
      <c r="Y213" s="37"/>
      <c r="Z213" s="31"/>
      <c r="AA213" s="152"/>
      <c r="AB213" s="34"/>
      <c r="AC213" s="34"/>
    </row>
    <row r="214" spans="1:29" s="33" customFormat="1" ht="15.75" customHeight="1">
      <c r="A214" s="151"/>
      <c r="B214" s="31"/>
      <c r="C214" s="31"/>
      <c r="D214" s="31"/>
      <c r="E214" s="35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7"/>
      <c r="X214" s="31"/>
      <c r="Y214" s="37"/>
      <c r="Z214" s="31"/>
      <c r="AA214" s="152"/>
      <c r="AB214" s="34"/>
      <c r="AC214" s="34"/>
    </row>
    <row r="215" spans="1:29" s="33" customFormat="1" ht="15.75" customHeight="1">
      <c r="A215" s="151"/>
      <c r="B215" s="31"/>
      <c r="C215" s="31"/>
      <c r="D215" s="31"/>
      <c r="E215" s="35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7"/>
      <c r="X215" s="31"/>
      <c r="Y215" s="37"/>
      <c r="Z215" s="31"/>
      <c r="AA215" s="152"/>
      <c r="AB215" s="34"/>
      <c r="AC215" s="34"/>
    </row>
    <row r="216" spans="1:29" s="33" customFormat="1" ht="15.75" customHeight="1">
      <c r="A216" s="151"/>
      <c r="B216" s="31"/>
      <c r="C216" s="31"/>
      <c r="D216" s="31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7"/>
      <c r="X216" s="31"/>
      <c r="Y216" s="37"/>
      <c r="Z216" s="31"/>
      <c r="AA216" s="152"/>
      <c r="AB216" s="34"/>
      <c r="AC216" s="34"/>
    </row>
    <row r="217" spans="1:29" s="33" customFormat="1" ht="15.75" customHeight="1">
      <c r="A217" s="151"/>
      <c r="B217" s="31"/>
      <c r="C217" s="31"/>
      <c r="D217" s="31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7"/>
      <c r="X217" s="31"/>
      <c r="Y217" s="37"/>
      <c r="Z217" s="31"/>
      <c r="AA217" s="152"/>
      <c r="AB217" s="35"/>
      <c r="AC217" s="35"/>
    </row>
    <row r="218" spans="1:29" s="33" customFormat="1" ht="15.75" customHeight="1">
      <c r="A218" s="153"/>
      <c r="B218" s="31"/>
      <c r="C218" s="31"/>
      <c r="D218" s="31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7"/>
      <c r="X218" s="31"/>
      <c r="Y218" s="37"/>
      <c r="Z218" s="31"/>
      <c r="AA218" s="152"/>
      <c r="AB218" s="34"/>
      <c r="AC218" s="34"/>
    </row>
    <row r="219" spans="1:29" s="33" customFormat="1" ht="15.75" customHeight="1">
      <c r="A219" s="151"/>
      <c r="B219" s="31"/>
      <c r="C219" s="31"/>
      <c r="D219" s="31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7"/>
      <c r="X219" s="31"/>
      <c r="Y219" s="37"/>
      <c r="Z219" s="31"/>
      <c r="AA219" s="152"/>
      <c r="AB219" s="34"/>
      <c r="AC219" s="34"/>
    </row>
    <row r="220" spans="1:29" s="33" customFormat="1" ht="15.75" customHeight="1">
      <c r="A220" s="151"/>
      <c r="B220" s="31"/>
      <c r="C220" s="31"/>
      <c r="D220" s="31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7"/>
      <c r="X220" s="31"/>
      <c r="Y220" s="37"/>
      <c r="Z220" s="31"/>
      <c r="AA220" s="152"/>
      <c r="AB220" s="34"/>
      <c r="AC220" s="34"/>
    </row>
    <row r="221" spans="1:29" s="33" customFormat="1" ht="15.75" customHeight="1">
      <c r="A221" s="151"/>
      <c r="B221" s="31"/>
      <c r="C221" s="31"/>
      <c r="D221" s="31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7"/>
      <c r="X221" s="31"/>
      <c r="Y221" s="37"/>
      <c r="Z221" s="31"/>
      <c r="AA221" s="152"/>
      <c r="AB221" s="34"/>
      <c r="AC221" s="34"/>
    </row>
    <row r="222" spans="1:29" s="33" customFormat="1" ht="15.75" customHeight="1">
      <c r="A222" s="151"/>
      <c r="B222" s="31"/>
      <c r="C222" s="31"/>
      <c r="D222" s="31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7"/>
      <c r="X222" s="31"/>
      <c r="Y222" s="37"/>
      <c r="Z222" s="31"/>
      <c r="AA222" s="152"/>
      <c r="AB222" s="34"/>
      <c r="AC222" s="34"/>
    </row>
    <row r="223" spans="1:29" s="33" customFormat="1" ht="15.75" customHeight="1">
      <c r="A223" s="151"/>
      <c r="B223" s="31"/>
      <c r="C223" s="31"/>
      <c r="D223" s="31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7"/>
      <c r="X223" s="31"/>
      <c r="Y223" s="37"/>
      <c r="Z223" s="31"/>
      <c r="AA223" s="152"/>
      <c r="AB223" s="34"/>
      <c r="AC223" s="34"/>
    </row>
    <row r="224" spans="1:29" s="33" customFormat="1" ht="15.75" customHeight="1">
      <c r="A224" s="151"/>
      <c r="B224" s="31"/>
      <c r="C224" s="31"/>
      <c r="D224" s="31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7"/>
      <c r="X224" s="31"/>
      <c r="Y224" s="37"/>
      <c r="Z224" s="31"/>
      <c r="AA224" s="152"/>
      <c r="AB224" s="34"/>
      <c r="AC224" s="34"/>
    </row>
    <row r="225" spans="1:29" s="33" customFormat="1" ht="15.75" customHeight="1">
      <c r="A225" s="151"/>
      <c r="B225" s="31"/>
      <c r="C225" s="31"/>
      <c r="D225" s="31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7"/>
      <c r="X225" s="31"/>
      <c r="Y225" s="37"/>
      <c r="Z225" s="31"/>
      <c r="AA225" s="152"/>
      <c r="AB225" s="34"/>
      <c r="AC225" s="34"/>
    </row>
    <row r="226" spans="1:29" s="33" customFormat="1" ht="15.75" customHeight="1">
      <c r="A226" s="151"/>
      <c r="B226" s="31"/>
      <c r="C226" s="31"/>
      <c r="D226" s="31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7"/>
      <c r="X226" s="31"/>
      <c r="Y226" s="37"/>
      <c r="Z226" s="31"/>
      <c r="AA226" s="152"/>
      <c r="AB226" s="34"/>
      <c r="AC226" s="34"/>
    </row>
    <row r="227" spans="1:29" s="33" customFormat="1" ht="15.75" customHeight="1">
      <c r="A227" s="151"/>
      <c r="B227" s="31"/>
      <c r="C227" s="31"/>
      <c r="D227" s="31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7"/>
      <c r="X227" s="31"/>
      <c r="Y227" s="37"/>
      <c r="Z227" s="31"/>
      <c r="AA227" s="152"/>
      <c r="AB227" s="34"/>
      <c r="AC227" s="34"/>
    </row>
    <row r="228" spans="1:29" s="33" customFormat="1" ht="15.75" customHeight="1">
      <c r="A228" s="151"/>
      <c r="B228" s="31"/>
      <c r="C228" s="31"/>
      <c r="D228" s="31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7"/>
      <c r="X228" s="31"/>
      <c r="Y228" s="37"/>
      <c r="Z228" s="31"/>
      <c r="AA228" s="152"/>
      <c r="AB228" s="34"/>
      <c r="AC228" s="34"/>
    </row>
    <row r="229" spans="1:29" s="33" customFormat="1" ht="15.75" customHeight="1">
      <c r="A229" s="151"/>
      <c r="B229" s="31"/>
      <c r="C229" s="31"/>
      <c r="D229" s="31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7"/>
      <c r="X229" s="31"/>
      <c r="Y229" s="37"/>
      <c r="Z229" s="31"/>
      <c r="AA229" s="152"/>
      <c r="AB229" s="34"/>
      <c r="AC229" s="34"/>
    </row>
    <row r="230" spans="1:29" s="33" customFormat="1" ht="15.75" customHeight="1">
      <c r="A230" s="151"/>
      <c r="B230" s="31"/>
      <c r="C230" s="31"/>
      <c r="D230" s="31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7"/>
      <c r="X230" s="31"/>
      <c r="Y230" s="37"/>
      <c r="Z230" s="31"/>
      <c r="AA230" s="152"/>
      <c r="AB230" s="34"/>
      <c r="AC230" s="34"/>
    </row>
    <row r="231" spans="1:29" s="33" customFormat="1" ht="15.75" customHeight="1">
      <c r="A231" s="151"/>
      <c r="B231" s="31"/>
      <c r="C231" s="31"/>
      <c r="D231" s="31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7"/>
      <c r="X231" s="31"/>
      <c r="Y231" s="37"/>
      <c r="Z231" s="31"/>
      <c r="AA231" s="152"/>
      <c r="AB231" s="34"/>
      <c r="AC231" s="34"/>
    </row>
    <row r="232" spans="1:29" s="33" customFormat="1" ht="15.75" customHeight="1">
      <c r="A232" s="151"/>
      <c r="B232" s="31"/>
      <c r="C232" s="31"/>
      <c r="D232" s="31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7"/>
      <c r="X232" s="31"/>
      <c r="Y232" s="37"/>
      <c r="Z232" s="31"/>
      <c r="AA232" s="152"/>
      <c r="AB232" s="34"/>
      <c r="AC232" s="34"/>
    </row>
    <row r="233" spans="1:29" s="33" customFormat="1" ht="15.75" customHeight="1">
      <c r="A233" s="151"/>
      <c r="B233" s="31"/>
      <c r="C233" s="31"/>
      <c r="D233" s="31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7"/>
      <c r="X233" s="31"/>
      <c r="Y233" s="37"/>
      <c r="Z233" s="31"/>
      <c r="AA233" s="152"/>
      <c r="AB233" s="34"/>
      <c r="AC233" s="34"/>
    </row>
    <row r="234" spans="1:29" s="33" customFormat="1" ht="15.75" customHeight="1">
      <c r="A234" s="151"/>
      <c r="B234" s="31"/>
      <c r="C234" s="31"/>
      <c r="D234" s="31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7"/>
      <c r="X234" s="31"/>
      <c r="Y234" s="37"/>
      <c r="Z234" s="31"/>
      <c r="AA234" s="152"/>
      <c r="AB234" s="34"/>
      <c r="AC234" s="34"/>
    </row>
    <row r="235" spans="1:29" s="33" customFormat="1" ht="15.75" customHeight="1">
      <c r="A235" s="151"/>
      <c r="B235" s="31"/>
      <c r="C235" s="31"/>
      <c r="D235" s="31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7"/>
      <c r="X235" s="31"/>
      <c r="Y235" s="37"/>
      <c r="Z235" s="31"/>
      <c r="AA235" s="152"/>
      <c r="AB235" s="34"/>
      <c r="AC235" s="34"/>
    </row>
    <row r="236" spans="1:29" s="33" customFormat="1" ht="15.75" customHeight="1">
      <c r="A236" s="151"/>
      <c r="B236" s="31"/>
      <c r="C236" s="31"/>
      <c r="D236" s="31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7"/>
      <c r="X236" s="31"/>
      <c r="Y236" s="37"/>
      <c r="Z236" s="31"/>
      <c r="AA236" s="152"/>
      <c r="AB236" s="34"/>
      <c r="AC236" s="34"/>
    </row>
    <row r="237" spans="1:29" s="33" customFormat="1" ht="15.75" customHeight="1">
      <c r="A237" s="151"/>
      <c r="B237" s="31"/>
      <c r="C237" s="31"/>
      <c r="D237" s="31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7"/>
      <c r="X237" s="31"/>
      <c r="Y237" s="37"/>
      <c r="Z237" s="31"/>
      <c r="AA237" s="152"/>
      <c r="AB237" s="34"/>
      <c r="AC237" s="34"/>
    </row>
    <row r="238" spans="1:29" s="33" customFormat="1" ht="15.75" customHeight="1">
      <c r="A238" s="151"/>
      <c r="B238" s="31"/>
      <c r="C238" s="31"/>
      <c r="D238" s="31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7"/>
      <c r="X238" s="31"/>
      <c r="Y238" s="37"/>
      <c r="Z238" s="31"/>
      <c r="AA238" s="152"/>
      <c r="AB238" s="34"/>
      <c r="AC238" s="34"/>
    </row>
    <row r="239" spans="1:29" s="33" customFormat="1" ht="15.75" customHeight="1">
      <c r="A239" s="151"/>
      <c r="B239" s="31"/>
      <c r="C239" s="31"/>
      <c r="D239" s="31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7"/>
      <c r="X239" s="31"/>
      <c r="Y239" s="37"/>
      <c r="Z239" s="31"/>
      <c r="AA239" s="152"/>
      <c r="AB239" s="34"/>
      <c r="AC239" s="34"/>
    </row>
    <row r="240" spans="1:29" s="33" customFormat="1" ht="15.75" customHeight="1">
      <c r="A240" s="151"/>
      <c r="B240" s="31"/>
      <c r="C240" s="31"/>
      <c r="D240" s="31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7"/>
      <c r="X240" s="31"/>
      <c r="Y240" s="37"/>
      <c r="Z240" s="31"/>
      <c r="AA240" s="152"/>
      <c r="AB240" s="34"/>
      <c r="AC240" s="34"/>
    </row>
    <row r="241" spans="1:29" s="33" customFormat="1" ht="15.75" customHeight="1">
      <c r="A241" s="151"/>
      <c r="B241" s="31"/>
      <c r="C241" s="31"/>
      <c r="D241" s="31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7"/>
      <c r="X241" s="31"/>
      <c r="Y241" s="37"/>
      <c r="Z241" s="31"/>
      <c r="AA241" s="152"/>
      <c r="AB241" s="34"/>
      <c r="AC241" s="34"/>
    </row>
    <row r="242" spans="1:29" s="33" customFormat="1" ht="15.75" customHeight="1">
      <c r="A242" s="151"/>
      <c r="B242" s="31"/>
      <c r="C242" s="31"/>
      <c r="D242" s="31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7"/>
      <c r="X242" s="31"/>
      <c r="Y242" s="37"/>
      <c r="Z242" s="31"/>
      <c r="AA242" s="152"/>
      <c r="AB242" s="34"/>
      <c r="AC242" s="34"/>
    </row>
    <row r="243" spans="1:29" s="33" customFormat="1" ht="15.75" customHeight="1">
      <c r="A243" s="151"/>
      <c r="B243" s="31"/>
      <c r="C243" s="31"/>
      <c r="D243" s="31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7"/>
      <c r="X243" s="31"/>
      <c r="Y243" s="37"/>
      <c r="Z243" s="31"/>
      <c r="AA243" s="152"/>
      <c r="AB243" s="34"/>
      <c r="AC243" s="34"/>
    </row>
    <row r="244" spans="1:29" s="33" customFormat="1" ht="15.75" customHeight="1">
      <c r="A244" s="151"/>
      <c r="B244" s="31"/>
      <c r="C244" s="31"/>
      <c r="D244" s="31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7"/>
      <c r="X244" s="31"/>
      <c r="Y244" s="37"/>
      <c r="Z244" s="31"/>
      <c r="AA244" s="152"/>
      <c r="AB244" s="34"/>
      <c r="AC244" s="34"/>
    </row>
    <row r="245" spans="1:29" s="33" customFormat="1" ht="15.75" customHeight="1">
      <c r="A245" s="151"/>
      <c r="B245" s="31"/>
      <c r="C245" s="31"/>
      <c r="D245" s="31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7"/>
      <c r="X245" s="31"/>
      <c r="Y245" s="37"/>
      <c r="Z245" s="31"/>
      <c r="AA245" s="152"/>
      <c r="AB245" s="34"/>
      <c r="AC245" s="34"/>
    </row>
    <row r="246" spans="1:29" s="33" customFormat="1" ht="15.75" customHeight="1">
      <c r="A246" s="151"/>
      <c r="B246" s="31"/>
      <c r="C246" s="31"/>
      <c r="D246" s="31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7"/>
      <c r="X246" s="31"/>
      <c r="Y246" s="37"/>
      <c r="Z246" s="31"/>
      <c r="AA246" s="152"/>
      <c r="AB246" s="34"/>
      <c r="AC246" s="34"/>
    </row>
    <row r="247" spans="1:29" s="33" customFormat="1" ht="15.75" customHeight="1">
      <c r="A247" s="151"/>
      <c r="B247" s="31"/>
      <c r="C247" s="31"/>
      <c r="D247" s="31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7"/>
      <c r="X247" s="31"/>
      <c r="Y247" s="37"/>
      <c r="Z247" s="31"/>
      <c r="AA247" s="152"/>
      <c r="AB247" s="34"/>
      <c r="AC247" s="34"/>
    </row>
    <row r="248" spans="1:29" s="33" customFormat="1" ht="15.75" customHeight="1">
      <c r="A248" s="151"/>
      <c r="B248" s="31"/>
      <c r="C248" s="31"/>
      <c r="D248" s="31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7"/>
      <c r="X248" s="31"/>
      <c r="Y248" s="37"/>
      <c r="Z248" s="31"/>
      <c r="AA248" s="152"/>
      <c r="AB248" s="34"/>
      <c r="AC248" s="34"/>
    </row>
    <row r="249" spans="1:29" s="33" customFormat="1" ht="15.75" customHeight="1">
      <c r="A249" s="151"/>
      <c r="B249" s="31"/>
      <c r="C249" s="31"/>
      <c r="D249" s="31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7"/>
      <c r="X249" s="31"/>
      <c r="Y249" s="37"/>
      <c r="Z249" s="31"/>
      <c r="AA249" s="152"/>
      <c r="AB249" s="34"/>
      <c r="AC249" s="34"/>
    </row>
    <row r="250" spans="1:29" s="33" customFormat="1" ht="15.75" customHeight="1">
      <c r="A250" s="151"/>
      <c r="B250" s="31"/>
      <c r="C250" s="31"/>
      <c r="D250" s="31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7"/>
      <c r="X250" s="31"/>
      <c r="Y250" s="37"/>
      <c r="Z250" s="31"/>
      <c r="AA250" s="152"/>
      <c r="AB250" s="34"/>
      <c r="AC250" s="34"/>
    </row>
    <row r="251" spans="1:29" s="33" customFormat="1" ht="15.75" customHeight="1">
      <c r="A251" s="151"/>
      <c r="B251" s="31"/>
      <c r="C251" s="31"/>
      <c r="D251" s="31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7"/>
      <c r="X251" s="31"/>
      <c r="Y251" s="37"/>
      <c r="Z251" s="31"/>
      <c r="AA251" s="152"/>
      <c r="AB251" s="34"/>
      <c r="AC251" s="34"/>
    </row>
    <row r="252" spans="1:29" s="33" customFormat="1" ht="15.75" customHeight="1">
      <c r="A252" s="151"/>
      <c r="B252" s="31"/>
      <c r="C252" s="31"/>
      <c r="D252" s="31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7"/>
      <c r="X252" s="31"/>
      <c r="Y252" s="37"/>
      <c r="Z252" s="31"/>
      <c r="AA252" s="152"/>
      <c r="AB252" s="34"/>
      <c r="AC252" s="34"/>
    </row>
    <row r="253" spans="1:29" s="33" customFormat="1" ht="15.75" customHeight="1">
      <c r="A253" s="151"/>
      <c r="B253" s="31"/>
      <c r="C253" s="31"/>
      <c r="D253" s="31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7"/>
      <c r="X253" s="31"/>
      <c r="Y253" s="37"/>
      <c r="Z253" s="31"/>
      <c r="AA253" s="152"/>
      <c r="AB253" s="34"/>
      <c r="AC253" s="34"/>
    </row>
    <row r="254" spans="1:29" s="33" customFormat="1" ht="15.75" customHeight="1">
      <c r="A254" s="151"/>
      <c r="B254" s="31"/>
      <c r="C254" s="31"/>
      <c r="D254" s="31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7"/>
      <c r="X254" s="31"/>
      <c r="Y254" s="37"/>
      <c r="Z254" s="31"/>
      <c r="AA254" s="152"/>
      <c r="AB254" s="34"/>
      <c r="AC254" s="34"/>
    </row>
    <row r="255" spans="1:29" s="33" customFormat="1" ht="15.75" customHeight="1">
      <c r="A255" s="151"/>
      <c r="B255" s="31"/>
      <c r="C255" s="31"/>
      <c r="D255" s="31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7"/>
      <c r="X255" s="31"/>
      <c r="Y255" s="37"/>
      <c r="Z255" s="31"/>
      <c r="AA255" s="152"/>
      <c r="AB255" s="34"/>
      <c r="AC255" s="34"/>
    </row>
    <row r="256" spans="1:29" s="33" customFormat="1" ht="15.75" customHeight="1">
      <c r="A256" s="151"/>
      <c r="B256" s="31"/>
      <c r="C256" s="31"/>
      <c r="D256" s="31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7"/>
      <c r="X256" s="31"/>
      <c r="Y256" s="37"/>
      <c r="Z256" s="31"/>
      <c r="AA256" s="152"/>
      <c r="AB256" s="34"/>
      <c r="AC256" s="34"/>
    </row>
    <row r="257" spans="1:30" s="33" customFormat="1" ht="15.75" customHeight="1">
      <c r="A257" s="151"/>
      <c r="B257" s="31"/>
      <c r="C257" s="31"/>
      <c r="D257" s="31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7"/>
      <c r="X257" s="31"/>
      <c r="Y257" s="37"/>
      <c r="Z257" s="31"/>
      <c r="AA257" s="152"/>
      <c r="AB257" s="34"/>
      <c r="AC257" s="34"/>
    </row>
    <row r="258" spans="1:30" s="33" customFormat="1" ht="15.75" customHeight="1">
      <c r="A258" s="151"/>
      <c r="B258" s="31"/>
      <c r="C258" s="31"/>
      <c r="D258" s="31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7"/>
      <c r="X258" s="31"/>
      <c r="Y258" s="37"/>
      <c r="Z258" s="31"/>
      <c r="AA258" s="152"/>
      <c r="AB258" s="34"/>
      <c r="AC258" s="34"/>
    </row>
    <row r="259" spans="1:30" s="33" customFormat="1" ht="15.75" customHeight="1">
      <c r="A259" s="151"/>
      <c r="B259" s="31"/>
      <c r="C259" s="31"/>
      <c r="D259" s="31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7"/>
      <c r="X259" s="31"/>
      <c r="Y259" s="37"/>
      <c r="Z259" s="31"/>
      <c r="AA259" s="152"/>
      <c r="AB259" s="34"/>
      <c r="AC259" s="34"/>
    </row>
    <row r="260" spans="1:30" s="33" customFormat="1" ht="15.75" customHeight="1">
      <c r="A260" s="151"/>
      <c r="B260" s="31"/>
      <c r="C260" s="31"/>
      <c r="D260" s="31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7"/>
      <c r="X260" s="31"/>
      <c r="Y260" s="37"/>
      <c r="Z260" s="31"/>
      <c r="AA260" s="152"/>
      <c r="AB260" s="34"/>
      <c r="AC260" s="34"/>
    </row>
    <row r="261" spans="1:30" s="33" customFormat="1" ht="15.75" customHeight="1">
      <c r="A261" s="151"/>
      <c r="B261" s="31"/>
      <c r="C261" s="31"/>
      <c r="D261" s="31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7"/>
      <c r="X261" s="31"/>
      <c r="Y261" s="37"/>
      <c r="Z261" s="31"/>
      <c r="AA261" s="152"/>
      <c r="AB261" s="34"/>
      <c r="AC261" s="34"/>
    </row>
    <row r="262" spans="1:30" s="33" customFormat="1" ht="15.75" customHeight="1">
      <c r="A262" s="151"/>
      <c r="B262" s="31"/>
      <c r="C262" s="31"/>
      <c r="D262" s="31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7"/>
      <c r="X262" s="31"/>
      <c r="Y262" s="37"/>
      <c r="Z262" s="31"/>
      <c r="AA262" s="152"/>
      <c r="AB262" s="34"/>
      <c r="AC262" s="34"/>
    </row>
    <row r="263" spans="1:30" s="33" customFormat="1" ht="15.75" customHeight="1">
      <c r="A263" s="151"/>
      <c r="B263" s="31"/>
      <c r="C263" s="31"/>
      <c r="D263" s="31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7"/>
      <c r="X263" s="31"/>
      <c r="Y263" s="37"/>
      <c r="Z263" s="31"/>
      <c r="AA263" s="152"/>
      <c r="AB263" s="34"/>
      <c r="AC263" s="34"/>
    </row>
    <row r="264" spans="1:30" s="33" customFormat="1" ht="15.75" customHeight="1">
      <c r="A264" s="151"/>
      <c r="B264" s="31"/>
      <c r="C264" s="31"/>
      <c r="D264" s="31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7"/>
      <c r="X264" s="31"/>
      <c r="Y264" s="37"/>
      <c r="Z264" s="31"/>
      <c r="AA264" s="152"/>
      <c r="AB264" s="34"/>
      <c r="AC264" s="34"/>
    </row>
    <row r="265" spans="1:30" ht="15.75" customHeight="1">
      <c r="A265" s="151"/>
      <c r="B265" s="31"/>
      <c r="C265" s="31"/>
      <c r="D265" s="31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7"/>
      <c r="X265" s="31"/>
      <c r="Y265" s="37"/>
      <c r="Z265" s="31"/>
      <c r="AA265" s="152"/>
      <c r="AB265" s="34"/>
      <c r="AC265" s="34"/>
      <c r="AD265" s="33"/>
    </row>
    <row r="266" spans="1:30" ht="15.75" customHeight="1">
      <c r="A266" s="151"/>
      <c r="B266" s="31"/>
      <c r="C266" s="31"/>
      <c r="D266" s="31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7"/>
      <c r="X266" s="31"/>
      <c r="Y266" s="37"/>
      <c r="Z266" s="31"/>
      <c r="AA266" s="152"/>
      <c r="AB266" s="34"/>
      <c r="AC266" s="34"/>
      <c r="AD266" s="33"/>
    </row>
    <row r="267" spans="1:30" ht="15.75" customHeight="1">
      <c r="A267" s="151"/>
      <c r="B267" s="31"/>
      <c r="C267" s="31"/>
      <c r="D267" s="31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7"/>
      <c r="X267" s="31"/>
      <c r="Y267" s="37"/>
      <c r="Z267" s="31"/>
      <c r="AA267" s="152"/>
      <c r="AB267" s="34"/>
      <c r="AC267" s="34"/>
      <c r="AD267" s="33"/>
    </row>
    <row r="268" spans="1:30" ht="15.75" customHeight="1">
      <c r="A268" s="151"/>
      <c r="B268" s="31"/>
      <c r="C268" s="31"/>
      <c r="D268" s="31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7"/>
      <c r="X268" s="31"/>
      <c r="Y268" s="37"/>
      <c r="Z268" s="31"/>
      <c r="AA268" s="152"/>
      <c r="AB268" s="34"/>
      <c r="AC268" s="34"/>
      <c r="AD268" s="33"/>
    </row>
    <row r="269" spans="1:30" ht="15.75" customHeight="1">
      <c r="A269" s="151"/>
      <c r="B269" s="31"/>
      <c r="C269" s="31"/>
      <c r="D269" s="31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7"/>
      <c r="X269" s="31"/>
      <c r="Y269" s="37"/>
      <c r="Z269" s="31"/>
      <c r="AA269" s="152"/>
      <c r="AB269" s="34"/>
      <c r="AC269" s="34"/>
      <c r="AD269" s="33"/>
    </row>
    <row r="270" spans="1:30" ht="15.75" customHeight="1">
      <c r="A270" s="151"/>
      <c r="B270" s="31"/>
      <c r="C270" s="31"/>
      <c r="D270" s="31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7"/>
      <c r="X270" s="31"/>
      <c r="Y270" s="37"/>
      <c r="Z270" s="31"/>
      <c r="AA270" s="152"/>
      <c r="AB270" s="34"/>
      <c r="AC270" s="34"/>
      <c r="AD270" s="33"/>
    </row>
    <row r="271" spans="1:30" ht="15.75" customHeight="1">
      <c r="A271" s="151"/>
      <c r="B271" s="31"/>
      <c r="C271" s="31"/>
      <c r="D271" s="31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7"/>
      <c r="X271" s="31"/>
      <c r="Y271" s="37"/>
      <c r="Z271" s="31"/>
      <c r="AA271" s="152"/>
      <c r="AB271" s="34"/>
      <c r="AC271" s="34"/>
      <c r="AD271" s="33"/>
    </row>
    <row r="272" spans="1:30" ht="15.75" customHeight="1">
      <c r="A272" s="151"/>
      <c r="B272" s="31"/>
      <c r="C272" s="31"/>
      <c r="D272" s="31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7"/>
      <c r="X272" s="31"/>
      <c r="Y272" s="37"/>
      <c r="Z272" s="31"/>
      <c r="AA272" s="152"/>
      <c r="AB272" s="34"/>
      <c r="AC272" s="34"/>
      <c r="AD272" s="33"/>
    </row>
    <row r="273" spans="1:30" ht="15.75" customHeight="1">
      <c r="A273" s="151"/>
      <c r="B273" s="31"/>
      <c r="C273" s="31"/>
      <c r="D273" s="31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7"/>
      <c r="X273" s="31"/>
      <c r="Y273" s="37"/>
      <c r="Z273" s="31"/>
      <c r="AA273" s="152"/>
      <c r="AB273" s="34"/>
      <c r="AC273" s="34"/>
      <c r="AD273" s="33"/>
    </row>
    <row r="274" spans="1:30" ht="15.75" customHeight="1">
      <c r="A274" s="151"/>
      <c r="B274" s="31"/>
      <c r="C274" s="31"/>
      <c r="D274" s="31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7"/>
      <c r="X274" s="31"/>
      <c r="Y274" s="37"/>
      <c r="Z274" s="31"/>
      <c r="AA274" s="152"/>
      <c r="AB274" s="34"/>
      <c r="AC274" s="34"/>
      <c r="AD274" s="33"/>
    </row>
    <row r="275" spans="1:30" ht="15.75" customHeight="1">
      <c r="A275" s="151"/>
      <c r="B275" s="31"/>
      <c r="C275" s="31"/>
      <c r="D275" s="31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7"/>
      <c r="X275" s="31"/>
      <c r="Y275" s="37"/>
      <c r="Z275" s="31"/>
      <c r="AA275" s="152"/>
      <c r="AB275" s="34"/>
      <c r="AC275" s="34"/>
      <c r="AD275" s="33"/>
    </row>
    <row r="276" spans="1:30" ht="15.75" customHeight="1">
      <c r="A276" s="151"/>
      <c r="B276" s="31"/>
      <c r="C276" s="31"/>
      <c r="D276" s="31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7"/>
      <c r="X276" s="31"/>
      <c r="Y276" s="37"/>
      <c r="Z276" s="31"/>
      <c r="AA276" s="152"/>
      <c r="AB276" s="34"/>
      <c r="AC276" s="34"/>
      <c r="AD276" s="33"/>
    </row>
    <row r="277" spans="1:30" ht="15.75" customHeight="1">
      <c r="A277" s="151"/>
      <c r="B277" s="31"/>
      <c r="C277" s="31"/>
      <c r="D277" s="31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7"/>
      <c r="X277" s="31"/>
      <c r="Y277" s="37"/>
      <c r="Z277" s="31"/>
      <c r="AA277" s="152"/>
      <c r="AB277" s="34"/>
      <c r="AC277" s="34"/>
      <c r="AD277" s="33"/>
    </row>
    <row r="278" spans="1:30" ht="15.75" customHeight="1">
      <c r="A278" s="151"/>
      <c r="B278" s="31"/>
      <c r="C278" s="31"/>
      <c r="D278" s="31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7"/>
      <c r="X278" s="31"/>
      <c r="Y278" s="37"/>
      <c r="Z278" s="31"/>
      <c r="AA278" s="152"/>
      <c r="AB278" s="34"/>
      <c r="AC278" s="34"/>
      <c r="AD278" s="33"/>
    </row>
    <row r="279" spans="1:30" ht="15.75" customHeight="1">
      <c r="A279" s="151"/>
      <c r="B279" s="31"/>
      <c r="C279" s="31"/>
      <c r="D279" s="31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7"/>
      <c r="X279" s="31"/>
      <c r="Y279" s="37"/>
      <c r="Z279" s="31"/>
      <c r="AA279" s="152"/>
      <c r="AB279" s="34"/>
      <c r="AC279" s="34"/>
      <c r="AD279" s="33"/>
    </row>
    <row r="280" spans="1:30" ht="15.75" customHeight="1">
      <c r="A280" s="151"/>
      <c r="B280" s="31"/>
      <c r="C280" s="31"/>
      <c r="D280" s="31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7"/>
      <c r="X280" s="31"/>
      <c r="Y280" s="37"/>
      <c r="Z280" s="31"/>
      <c r="AA280" s="152"/>
      <c r="AB280" s="34"/>
      <c r="AC280" s="34"/>
      <c r="AD280" s="33"/>
    </row>
    <row r="281" spans="1:30" ht="15.75" customHeight="1">
      <c r="A281" s="151"/>
      <c r="B281" s="31"/>
      <c r="C281" s="31"/>
      <c r="D281" s="31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7"/>
      <c r="X281" s="31"/>
      <c r="Y281" s="37"/>
      <c r="Z281" s="31"/>
      <c r="AA281" s="152"/>
      <c r="AB281" s="34"/>
      <c r="AC281" s="34"/>
      <c r="AD281" s="33"/>
    </row>
    <row r="282" spans="1:30" ht="15.75" customHeight="1">
      <c r="A282" s="151"/>
      <c r="B282" s="31"/>
      <c r="C282" s="31"/>
      <c r="D282" s="31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7"/>
      <c r="X282" s="31"/>
      <c r="Y282" s="37"/>
      <c r="Z282" s="31"/>
      <c r="AA282" s="152"/>
      <c r="AB282" s="34"/>
      <c r="AC282" s="34"/>
      <c r="AD282" s="33"/>
    </row>
    <row r="283" spans="1:30" ht="15.75" customHeight="1">
      <c r="A283" s="151"/>
      <c r="B283" s="31"/>
      <c r="C283" s="31"/>
      <c r="D283" s="31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7"/>
      <c r="X283" s="31"/>
      <c r="Y283" s="37"/>
      <c r="Z283" s="31"/>
      <c r="AA283" s="152"/>
      <c r="AB283" s="34"/>
      <c r="AC283" s="34"/>
      <c r="AD283" s="33"/>
    </row>
    <row r="284" spans="1:30" ht="15.75" customHeight="1">
      <c r="A284" s="151"/>
      <c r="B284" s="31"/>
      <c r="C284" s="31"/>
      <c r="D284" s="31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7"/>
      <c r="X284" s="31"/>
      <c r="Y284" s="37"/>
      <c r="Z284" s="31"/>
      <c r="AA284" s="152"/>
      <c r="AB284" s="34"/>
      <c r="AC284" s="34"/>
      <c r="AD284" s="33"/>
    </row>
    <row r="285" spans="1:30" ht="15.75" customHeight="1">
      <c r="A285" s="151"/>
      <c r="B285" s="31"/>
      <c r="C285" s="31"/>
      <c r="D285" s="31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7"/>
      <c r="X285" s="31"/>
      <c r="Y285" s="37"/>
      <c r="Z285" s="31"/>
      <c r="AA285" s="152"/>
      <c r="AB285" s="34"/>
      <c r="AC285" s="34"/>
      <c r="AD285" s="33"/>
    </row>
    <row r="286" spans="1:30" ht="15.75" customHeight="1">
      <c r="A286" s="151"/>
      <c r="B286" s="31"/>
      <c r="C286" s="31"/>
      <c r="D286" s="31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7"/>
      <c r="X286" s="31"/>
      <c r="Y286" s="37"/>
      <c r="Z286" s="31"/>
      <c r="AA286" s="152"/>
      <c r="AB286" s="34"/>
      <c r="AC286" s="34"/>
      <c r="AD286" s="33"/>
    </row>
    <row r="287" spans="1:30" ht="15.75" customHeight="1">
      <c r="A287" s="151"/>
      <c r="B287" s="31"/>
      <c r="C287" s="31"/>
      <c r="D287" s="31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7"/>
      <c r="X287" s="31"/>
      <c r="Y287" s="37"/>
      <c r="Z287" s="31"/>
      <c r="AA287" s="152"/>
      <c r="AB287" s="34"/>
      <c r="AC287" s="34"/>
      <c r="AD287" s="33"/>
    </row>
    <row r="288" spans="1:30" ht="15.75" customHeight="1">
      <c r="A288" s="151"/>
      <c r="B288" s="31"/>
      <c r="C288" s="31"/>
      <c r="D288" s="31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7"/>
      <c r="X288" s="31"/>
      <c r="Y288" s="37"/>
      <c r="Z288" s="31"/>
      <c r="AA288" s="152"/>
      <c r="AB288" s="34"/>
      <c r="AC288" s="34"/>
      <c r="AD288" s="33"/>
    </row>
    <row r="289" spans="1:30" ht="15.75" customHeight="1">
      <c r="A289" s="151"/>
      <c r="B289" s="31"/>
      <c r="C289" s="31"/>
      <c r="D289" s="31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7"/>
      <c r="X289" s="31"/>
      <c r="Y289" s="37"/>
      <c r="Z289" s="31"/>
      <c r="AA289" s="152"/>
      <c r="AB289" s="34"/>
      <c r="AC289" s="34"/>
      <c r="AD289" s="33"/>
    </row>
    <row r="290" spans="1:30" ht="15.75" customHeight="1">
      <c r="A290" s="151"/>
      <c r="B290" s="31"/>
      <c r="C290" s="31"/>
      <c r="D290" s="31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7"/>
      <c r="X290" s="31"/>
      <c r="Y290" s="37"/>
      <c r="Z290" s="31"/>
      <c r="AA290" s="152"/>
      <c r="AB290" s="34"/>
      <c r="AC290" s="34"/>
      <c r="AD290" s="33"/>
    </row>
    <row r="291" spans="1:30" ht="15.75" customHeight="1">
      <c r="A291" s="151"/>
      <c r="B291" s="31"/>
      <c r="C291" s="31"/>
      <c r="D291" s="31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7"/>
      <c r="X291" s="31"/>
      <c r="Y291" s="37"/>
      <c r="Z291" s="31"/>
      <c r="AA291" s="152"/>
      <c r="AB291" s="34"/>
      <c r="AC291" s="34"/>
      <c r="AD291" s="33"/>
    </row>
    <row r="292" spans="1:30" ht="15.75" customHeight="1">
      <c r="A292" s="151"/>
      <c r="B292" s="31"/>
      <c r="C292" s="31"/>
      <c r="D292" s="31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7"/>
      <c r="X292" s="31"/>
      <c r="Y292" s="37"/>
      <c r="Z292" s="31"/>
      <c r="AA292" s="152"/>
      <c r="AB292" s="34"/>
      <c r="AC292" s="34"/>
      <c r="AD292" s="33"/>
    </row>
    <row r="293" spans="1:30" ht="15.75" customHeight="1">
      <c r="A293" s="151"/>
      <c r="B293" s="31"/>
      <c r="C293" s="31"/>
      <c r="D293" s="31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7"/>
      <c r="X293" s="31"/>
      <c r="Y293" s="37"/>
      <c r="Z293" s="31"/>
      <c r="AA293" s="152"/>
      <c r="AB293" s="34"/>
      <c r="AC293" s="34"/>
      <c r="AD293" s="33"/>
    </row>
    <row r="294" spans="1:30" ht="15.75" customHeight="1">
      <c r="A294" s="151"/>
      <c r="B294" s="31"/>
      <c r="C294" s="31"/>
      <c r="D294" s="31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7"/>
      <c r="X294" s="31"/>
      <c r="Y294" s="37"/>
      <c r="Z294" s="31"/>
      <c r="AA294" s="152"/>
      <c r="AB294" s="34"/>
      <c r="AC294" s="34"/>
      <c r="AD294" s="33"/>
    </row>
    <row r="295" spans="1:30" ht="15.75" customHeight="1">
      <c r="A295" s="151"/>
      <c r="B295" s="31"/>
      <c r="C295" s="31"/>
      <c r="D295" s="31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7"/>
      <c r="X295" s="31"/>
      <c r="Y295" s="37"/>
      <c r="Z295" s="31"/>
      <c r="AA295" s="152"/>
      <c r="AB295" s="34"/>
      <c r="AC295" s="34"/>
      <c r="AD295" s="33"/>
    </row>
    <row r="296" spans="1:30" ht="15.75" customHeight="1">
      <c r="A296" s="151"/>
      <c r="B296" s="31"/>
      <c r="C296" s="31"/>
      <c r="D296" s="31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7"/>
      <c r="X296" s="31"/>
      <c r="Y296" s="37"/>
      <c r="Z296" s="31"/>
      <c r="AA296" s="152"/>
      <c r="AB296" s="34"/>
      <c r="AC296" s="34"/>
      <c r="AD296" s="33"/>
    </row>
    <row r="297" spans="1:30" ht="15.75" customHeight="1">
      <c r="A297" s="151"/>
      <c r="B297" s="31"/>
      <c r="C297" s="31"/>
      <c r="D297" s="31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7"/>
      <c r="X297" s="31"/>
      <c r="Y297" s="37"/>
      <c r="Z297" s="31"/>
      <c r="AA297" s="152"/>
      <c r="AB297" s="34"/>
      <c r="AC297" s="34"/>
      <c r="AD297" s="33"/>
    </row>
    <row r="298" spans="1:30" ht="15.75" customHeight="1">
      <c r="A298" s="151"/>
      <c r="B298" s="31"/>
      <c r="C298" s="31"/>
      <c r="D298" s="31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7"/>
      <c r="X298" s="31"/>
      <c r="Y298" s="37"/>
      <c r="Z298" s="31"/>
      <c r="AA298" s="152"/>
      <c r="AB298" s="34"/>
      <c r="AC298" s="34"/>
      <c r="AD298" s="33"/>
    </row>
    <row r="299" spans="1:30" ht="15.75" customHeight="1">
      <c r="A299" s="151"/>
      <c r="B299" s="31"/>
      <c r="C299" s="31"/>
      <c r="D299" s="31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7"/>
      <c r="X299" s="31"/>
      <c r="Y299" s="37"/>
      <c r="Z299" s="31"/>
      <c r="AA299" s="152"/>
      <c r="AB299" s="34"/>
      <c r="AC299" s="34"/>
      <c r="AD299" s="33"/>
    </row>
    <row r="300" spans="1:30" ht="15.75" customHeight="1">
      <c r="A300" s="151"/>
      <c r="B300" s="31"/>
      <c r="C300" s="31"/>
      <c r="D300" s="31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7"/>
      <c r="X300" s="31"/>
      <c r="Y300" s="37"/>
      <c r="Z300" s="31"/>
      <c r="AA300" s="152"/>
      <c r="AB300" s="34"/>
      <c r="AC300" s="34"/>
      <c r="AD300" s="33"/>
    </row>
    <row r="301" spans="1:30" ht="15.75" customHeight="1">
      <c r="A301" s="151"/>
      <c r="B301" s="31"/>
      <c r="C301" s="31"/>
      <c r="D301" s="31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7"/>
      <c r="X301" s="31"/>
      <c r="Y301" s="37"/>
      <c r="Z301" s="31"/>
      <c r="AA301" s="152"/>
      <c r="AB301" s="34"/>
      <c r="AC301" s="34"/>
      <c r="AD301" s="33"/>
    </row>
    <row r="302" spans="1:30" ht="15.75" customHeight="1">
      <c r="A302" s="151"/>
      <c r="B302" s="31"/>
      <c r="C302" s="31"/>
      <c r="D302" s="31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7"/>
      <c r="X302" s="31"/>
      <c r="Y302" s="37"/>
      <c r="Z302" s="31"/>
      <c r="AA302" s="152"/>
      <c r="AB302" s="34"/>
      <c r="AC302" s="34"/>
      <c r="AD302" s="33"/>
    </row>
    <row r="303" spans="1:30" ht="15.75" customHeight="1">
      <c r="A303" s="151"/>
      <c r="B303" s="31"/>
      <c r="C303" s="31"/>
      <c r="D303" s="31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7"/>
      <c r="X303" s="31"/>
      <c r="Y303" s="37"/>
      <c r="Z303" s="31"/>
      <c r="AA303" s="152"/>
      <c r="AB303" s="34"/>
      <c r="AC303" s="34"/>
      <c r="AD303" s="33"/>
    </row>
    <row r="304" spans="1:30" ht="15.75" customHeight="1">
      <c r="A304" s="151"/>
      <c r="B304" s="31"/>
      <c r="C304" s="31"/>
      <c r="D304" s="31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7"/>
      <c r="X304" s="31"/>
      <c r="Y304" s="37"/>
      <c r="Z304" s="31"/>
      <c r="AA304" s="152"/>
      <c r="AB304" s="34"/>
      <c r="AC304" s="34"/>
      <c r="AD304" s="33"/>
    </row>
    <row r="305" spans="1:30" ht="15.75" customHeight="1">
      <c r="A305" s="151"/>
      <c r="B305" s="31"/>
      <c r="C305" s="31"/>
      <c r="D305" s="31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7"/>
      <c r="X305" s="31"/>
      <c r="Y305" s="37"/>
      <c r="Z305" s="31"/>
      <c r="AA305" s="152"/>
      <c r="AB305" s="34"/>
      <c r="AC305" s="34"/>
      <c r="AD305" s="33"/>
    </row>
    <row r="306" spans="1:30" ht="15.75" customHeight="1">
      <c r="A306" s="151"/>
      <c r="B306" s="31"/>
      <c r="C306" s="31"/>
      <c r="D306" s="31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7"/>
      <c r="X306" s="31"/>
      <c r="Y306" s="37"/>
      <c r="Z306" s="31"/>
      <c r="AA306" s="152"/>
      <c r="AB306" s="34"/>
      <c r="AC306" s="34"/>
      <c r="AD306" s="33"/>
    </row>
    <row r="307" spans="1:30" ht="15.75" customHeight="1">
      <c r="A307" s="151"/>
      <c r="B307" s="31"/>
      <c r="C307" s="31"/>
      <c r="D307" s="31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7"/>
      <c r="X307" s="31"/>
      <c r="Y307" s="37"/>
      <c r="Z307" s="31"/>
      <c r="AA307" s="152"/>
      <c r="AB307" s="34"/>
      <c r="AC307" s="34"/>
      <c r="AD307" s="33"/>
    </row>
    <row r="308" spans="1:30" ht="15.75" customHeight="1">
      <c r="A308" s="151"/>
      <c r="B308" s="31"/>
      <c r="C308" s="31"/>
      <c r="D308" s="31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7"/>
      <c r="X308" s="31"/>
      <c r="Y308" s="37"/>
      <c r="Z308" s="31"/>
      <c r="AA308" s="152"/>
      <c r="AB308" s="34"/>
      <c r="AC308" s="34"/>
      <c r="AD308" s="33"/>
    </row>
    <row r="309" spans="1:30" ht="15.75" customHeight="1">
      <c r="A309" s="151"/>
      <c r="B309" s="31"/>
      <c r="C309" s="31"/>
      <c r="D309" s="31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7"/>
      <c r="X309" s="31"/>
      <c r="Y309" s="478"/>
      <c r="Z309" s="32"/>
      <c r="AA309" s="662"/>
      <c r="AB309" s="36"/>
      <c r="AC309" s="36"/>
      <c r="AD309" s="33"/>
    </row>
    <row r="310" spans="1:30" ht="15.75" customHeight="1">
      <c r="A310" s="151"/>
      <c r="B310" s="31"/>
      <c r="C310" s="31"/>
      <c r="D310" s="31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7"/>
      <c r="X310" s="31"/>
      <c r="Y310" s="478"/>
      <c r="Z310" s="32"/>
      <c r="AA310" s="662"/>
      <c r="AB310" s="36"/>
      <c r="AC310" s="36"/>
      <c r="AD310" s="33"/>
    </row>
    <row r="311" spans="1:30" ht="15.75" customHeight="1">
      <c r="A311" s="151"/>
      <c r="B311" s="31"/>
      <c r="C311" s="31"/>
      <c r="D311" s="31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7"/>
      <c r="X311" s="31"/>
      <c r="Y311" s="478"/>
      <c r="Z311" s="32"/>
      <c r="AA311" s="662"/>
      <c r="AB311" s="36"/>
      <c r="AC311" s="36"/>
      <c r="AD311" s="33"/>
    </row>
    <row r="312" spans="1:30" ht="15.75" customHeight="1">
      <c r="A312" s="151"/>
      <c r="B312" s="31"/>
      <c r="C312" s="31"/>
      <c r="D312" s="31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7"/>
      <c r="X312" s="31"/>
      <c r="Y312" s="478"/>
      <c r="Z312" s="32"/>
      <c r="AA312" s="662"/>
      <c r="AB312" s="36"/>
      <c r="AC312" s="36"/>
      <c r="AD312" s="33"/>
    </row>
    <row r="313" spans="1:30" ht="15.75" customHeight="1">
      <c r="A313" s="151"/>
      <c r="B313" s="31"/>
      <c r="C313" s="31"/>
      <c r="D313" s="31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7"/>
      <c r="X313" s="31"/>
      <c r="Y313" s="478"/>
      <c r="Z313" s="32"/>
      <c r="AA313" s="662"/>
      <c r="AB313" s="36"/>
      <c r="AC313" s="36"/>
      <c r="AD313" s="33"/>
    </row>
    <row r="314" spans="1:30" ht="15.75" customHeight="1">
      <c r="A314" s="151"/>
      <c r="B314" s="31"/>
      <c r="C314" s="31"/>
      <c r="D314" s="31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7"/>
      <c r="X314" s="31"/>
      <c r="Y314" s="478"/>
      <c r="Z314" s="32"/>
      <c r="AA314" s="662"/>
      <c r="AB314" s="36"/>
      <c r="AC314" s="36"/>
      <c r="AD314" s="33"/>
    </row>
    <row r="315" spans="1:30" ht="15.75" customHeight="1">
      <c r="A315" s="151"/>
      <c r="B315" s="31"/>
      <c r="C315" s="31"/>
      <c r="D315" s="31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7"/>
      <c r="X315" s="31"/>
      <c r="Y315" s="478"/>
      <c r="Z315" s="32"/>
      <c r="AA315" s="662"/>
      <c r="AB315" s="36"/>
      <c r="AC315" s="36"/>
      <c r="AD315" s="33"/>
    </row>
    <row r="316" spans="1:30" ht="15.75" customHeight="1">
      <c r="A316" s="151"/>
      <c r="B316" s="31"/>
      <c r="C316" s="31"/>
      <c r="D316" s="31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7"/>
      <c r="X316" s="31"/>
      <c r="Y316" s="478"/>
      <c r="Z316" s="32"/>
      <c r="AA316" s="662"/>
      <c r="AB316" s="36"/>
      <c r="AC316" s="36"/>
      <c r="AD316" s="33"/>
    </row>
    <row r="317" spans="1:30" ht="15.75" customHeight="1">
      <c r="A317" s="151"/>
      <c r="B317" s="31"/>
      <c r="C317" s="31"/>
      <c r="D317" s="31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7"/>
      <c r="X317" s="31"/>
      <c r="Y317" s="478"/>
      <c r="Z317" s="32"/>
      <c r="AA317" s="662"/>
      <c r="AB317" s="36"/>
      <c r="AC317" s="36"/>
      <c r="AD317" s="33"/>
    </row>
    <row r="318" spans="1:30" ht="15.75" customHeight="1">
      <c r="A318" s="151"/>
      <c r="B318" s="31"/>
      <c r="C318" s="31"/>
      <c r="D318" s="31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7"/>
      <c r="X318" s="31"/>
      <c r="Y318" s="478"/>
      <c r="Z318" s="32"/>
      <c r="AA318" s="662"/>
      <c r="AB318" s="36"/>
      <c r="AC318" s="36"/>
      <c r="AD318" s="33"/>
    </row>
    <row r="319" spans="1:30" ht="15.75" customHeight="1">
      <c r="A319" s="151"/>
      <c r="B319" s="31"/>
      <c r="C319" s="31"/>
      <c r="D319" s="31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7"/>
      <c r="X319" s="31"/>
      <c r="Y319" s="478"/>
      <c r="Z319" s="32"/>
      <c r="AA319" s="662"/>
      <c r="AB319" s="36"/>
      <c r="AC319" s="36"/>
      <c r="AD319" s="33"/>
    </row>
    <row r="320" spans="1:30" ht="15.75" customHeight="1">
      <c r="A320" s="151"/>
      <c r="B320" s="31"/>
      <c r="C320" s="31"/>
      <c r="D320" s="31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7"/>
      <c r="X320" s="31"/>
      <c r="Y320" s="478"/>
      <c r="Z320" s="32"/>
      <c r="AA320" s="662"/>
      <c r="AB320" s="36"/>
      <c r="AC320" s="36"/>
      <c r="AD320" s="33"/>
    </row>
    <row r="321" spans="1:30" ht="15.75" customHeight="1">
      <c r="A321" s="151"/>
      <c r="B321" s="31"/>
      <c r="C321" s="31"/>
      <c r="D321" s="31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7"/>
      <c r="X321" s="31"/>
      <c r="Y321" s="478"/>
      <c r="Z321" s="32"/>
      <c r="AA321" s="662"/>
      <c r="AB321" s="36"/>
      <c r="AC321" s="36"/>
      <c r="AD321" s="33"/>
    </row>
    <row r="322" spans="1:30" ht="15.75" customHeight="1">
      <c r="A322" s="151"/>
      <c r="B322" s="31"/>
      <c r="C322" s="31"/>
      <c r="D322" s="31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7"/>
      <c r="X322" s="31"/>
      <c r="Y322" s="478"/>
      <c r="Z322" s="32"/>
      <c r="AA322" s="662"/>
      <c r="AB322" s="36"/>
      <c r="AC322" s="36"/>
      <c r="AD322" s="33"/>
    </row>
    <row r="323" spans="1:30" ht="15.75" customHeight="1">
      <c r="A323" s="151"/>
      <c r="B323" s="31"/>
      <c r="C323" s="31"/>
      <c r="D323" s="31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7"/>
      <c r="X323" s="31"/>
      <c r="Y323" s="478"/>
      <c r="Z323" s="32"/>
      <c r="AA323" s="662"/>
      <c r="AB323" s="36"/>
      <c r="AC323" s="36"/>
      <c r="AD323" s="33"/>
    </row>
    <row r="324" spans="1:30" ht="15.75" customHeight="1">
      <c r="A324" s="151"/>
      <c r="B324" s="31"/>
      <c r="C324" s="31"/>
      <c r="D324" s="31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7"/>
      <c r="X324" s="31"/>
      <c r="Y324" s="478"/>
      <c r="Z324" s="32"/>
      <c r="AA324" s="662"/>
      <c r="AB324" s="36"/>
      <c r="AC324" s="36"/>
      <c r="AD324" s="33"/>
    </row>
    <row r="325" spans="1:30" ht="15.75" customHeight="1">
      <c r="A325" s="151"/>
      <c r="B325" s="31"/>
      <c r="C325" s="31"/>
      <c r="D325" s="31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7"/>
      <c r="X325" s="31"/>
      <c r="Y325" s="478"/>
      <c r="Z325" s="32"/>
      <c r="AA325" s="662"/>
      <c r="AB325" s="36"/>
      <c r="AC325" s="36"/>
      <c r="AD325" s="33"/>
    </row>
    <row r="326" spans="1:30" ht="15.75" customHeight="1">
      <c r="A326" s="151"/>
      <c r="B326" s="31"/>
      <c r="C326" s="31"/>
      <c r="D326" s="31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7"/>
      <c r="X326" s="31"/>
      <c r="Y326" s="478"/>
      <c r="Z326" s="32"/>
      <c r="AA326" s="662"/>
      <c r="AB326" s="36"/>
      <c r="AC326" s="36"/>
      <c r="AD326" s="33"/>
    </row>
    <row r="327" spans="1:30" ht="15.75" customHeight="1">
      <c r="A327" s="151"/>
      <c r="B327" s="31"/>
      <c r="C327" s="31"/>
      <c r="D327" s="31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7"/>
      <c r="X327" s="31"/>
      <c r="Y327" s="478"/>
      <c r="Z327" s="32"/>
      <c r="AA327" s="662"/>
      <c r="AB327" s="36"/>
      <c r="AC327" s="36"/>
      <c r="AD327" s="33"/>
    </row>
    <row r="328" spans="1:30" ht="15.75" customHeight="1">
      <c r="A328" s="151"/>
      <c r="B328" s="31"/>
      <c r="C328" s="31"/>
      <c r="D328" s="31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7"/>
      <c r="X328" s="31"/>
      <c r="Y328" s="478"/>
      <c r="Z328" s="32"/>
      <c r="AA328" s="662"/>
      <c r="AB328" s="36"/>
      <c r="AC328" s="36"/>
      <c r="AD328" s="33"/>
    </row>
    <row r="329" spans="1:30" ht="15.75" customHeight="1">
      <c r="A329" s="151"/>
      <c r="B329" s="31"/>
      <c r="C329" s="31"/>
      <c r="D329" s="31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7"/>
      <c r="X329" s="31"/>
      <c r="Y329" s="478"/>
      <c r="Z329" s="32"/>
      <c r="AA329" s="662"/>
      <c r="AB329" s="36"/>
      <c r="AC329" s="36"/>
      <c r="AD329" s="33"/>
    </row>
    <row r="330" spans="1:30" ht="15.75" customHeight="1">
      <c r="A330" s="151"/>
      <c r="B330" s="31"/>
      <c r="C330" s="31"/>
      <c r="D330" s="31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7"/>
      <c r="X330" s="31"/>
      <c r="Y330" s="478"/>
      <c r="Z330" s="32"/>
      <c r="AA330" s="662"/>
      <c r="AB330" s="36"/>
      <c r="AC330" s="36"/>
      <c r="AD330" s="33"/>
    </row>
    <row r="331" spans="1:30" ht="15.75" customHeight="1">
      <c r="A331" s="151"/>
      <c r="B331" s="31"/>
      <c r="C331" s="31"/>
      <c r="D331" s="31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7"/>
      <c r="X331" s="31"/>
      <c r="Y331" s="478"/>
      <c r="Z331" s="32"/>
      <c r="AA331" s="662"/>
      <c r="AB331" s="36"/>
      <c r="AC331" s="36"/>
      <c r="AD331" s="33"/>
    </row>
    <row r="332" spans="1:30" ht="15.75" customHeight="1">
      <c r="A332" s="151"/>
      <c r="B332" s="31"/>
      <c r="C332" s="31"/>
      <c r="D332" s="31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7"/>
      <c r="X332" s="31"/>
      <c r="Y332" s="478"/>
      <c r="Z332" s="32"/>
      <c r="AA332" s="662"/>
      <c r="AB332" s="36"/>
      <c r="AC332" s="36"/>
      <c r="AD332" s="33"/>
    </row>
    <row r="333" spans="1:30" ht="15.75" customHeight="1">
      <c r="A333" s="151"/>
      <c r="B333" s="31"/>
      <c r="C333" s="31"/>
      <c r="D333" s="31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7"/>
      <c r="X333" s="31"/>
      <c r="Y333" s="478"/>
      <c r="Z333" s="32"/>
      <c r="AA333" s="662"/>
      <c r="AB333" s="36"/>
      <c r="AC333" s="36"/>
      <c r="AD333" s="33"/>
    </row>
    <row r="334" spans="1:30" ht="15.75" customHeight="1">
      <c r="A334" s="151"/>
      <c r="B334" s="31"/>
      <c r="C334" s="31"/>
      <c r="D334" s="31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7"/>
      <c r="X334" s="31"/>
      <c r="Y334" s="478"/>
      <c r="Z334" s="32"/>
      <c r="AA334" s="662"/>
      <c r="AB334" s="36"/>
      <c r="AC334" s="36"/>
      <c r="AD334" s="33"/>
    </row>
    <row r="335" spans="1:30" ht="15.75" customHeight="1">
      <c r="A335" s="151"/>
      <c r="B335" s="31"/>
      <c r="C335" s="31"/>
      <c r="D335" s="31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7"/>
      <c r="X335" s="31"/>
      <c r="Y335" s="478"/>
      <c r="Z335" s="32"/>
      <c r="AA335" s="662"/>
      <c r="AB335" s="36"/>
      <c r="AC335" s="36"/>
      <c r="AD335" s="33"/>
    </row>
    <row r="336" spans="1:30" ht="15.75" customHeight="1">
      <c r="A336" s="151"/>
      <c r="B336" s="31"/>
      <c r="C336" s="31"/>
      <c r="D336" s="31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7"/>
      <c r="X336" s="31"/>
      <c r="Y336" s="478"/>
      <c r="Z336" s="32"/>
      <c r="AA336" s="662"/>
      <c r="AB336" s="36"/>
      <c r="AC336" s="36"/>
      <c r="AD336" s="33"/>
    </row>
    <row r="337" spans="1:30" ht="15.75" customHeight="1">
      <c r="A337" s="151"/>
      <c r="B337" s="31"/>
      <c r="C337" s="31"/>
      <c r="D337" s="31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7"/>
      <c r="X337" s="31"/>
      <c r="Y337" s="478"/>
      <c r="Z337" s="32"/>
      <c r="AA337" s="662"/>
      <c r="AB337" s="36"/>
      <c r="AC337" s="36"/>
      <c r="AD337" s="33"/>
    </row>
    <row r="338" spans="1:30" ht="15.75" customHeight="1">
      <c r="A338" s="151"/>
      <c r="B338" s="31"/>
      <c r="C338" s="31"/>
      <c r="D338" s="31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7"/>
      <c r="X338" s="31"/>
      <c r="Y338" s="478"/>
      <c r="Z338" s="32"/>
      <c r="AA338" s="662"/>
      <c r="AB338" s="36"/>
      <c r="AC338" s="36"/>
      <c r="AD338" s="33"/>
    </row>
    <row r="339" spans="1:30" ht="15.75" customHeight="1">
      <c r="A339" s="151"/>
      <c r="B339" s="31"/>
      <c r="C339" s="31"/>
      <c r="D339" s="31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7"/>
      <c r="X339" s="31"/>
      <c r="Y339" s="478"/>
      <c r="Z339" s="32"/>
      <c r="AA339" s="662"/>
      <c r="AB339" s="36"/>
      <c r="AC339" s="36"/>
      <c r="AD339" s="33"/>
    </row>
    <row r="340" spans="1:30" ht="15.75" customHeight="1">
      <c r="A340" s="151"/>
      <c r="B340" s="31"/>
      <c r="C340" s="31"/>
      <c r="D340" s="31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7"/>
      <c r="X340" s="31"/>
      <c r="Y340" s="478"/>
      <c r="Z340" s="32"/>
      <c r="AA340" s="662"/>
      <c r="AB340" s="36"/>
      <c r="AC340" s="36"/>
      <c r="AD340" s="33"/>
    </row>
    <row r="341" spans="1:30" ht="15.75" customHeight="1">
      <c r="A341" s="151"/>
      <c r="B341" s="31"/>
      <c r="C341" s="31"/>
      <c r="D341" s="31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7"/>
      <c r="X341" s="31"/>
      <c r="Y341" s="478"/>
      <c r="Z341" s="32"/>
      <c r="AA341" s="662"/>
      <c r="AB341" s="36"/>
      <c r="AC341" s="36"/>
      <c r="AD341" s="33"/>
    </row>
    <row r="342" spans="1:30" ht="15.75" customHeight="1">
      <c r="A342" s="151"/>
      <c r="B342" s="31"/>
      <c r="C342" s="31"/>
      <c r="D342" s="31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7"/>
      <c r="X342" s="31"/>
      <c r="Y342" s="478"/>
      <c r="Z342" s="32"/>
      <c r="AA342" s="662"/>
      <c r="AB342" s="36"/>
      <c r="AC342" s="36"/>
      <c r="AD342" s="33"/>
    </row>
    <row r="343" spans="1:30" ht="15.75" customHeight="1">
      <c r="A343" s="151"/>
      <c r="B343" s="31"/>
      <c r="C343" s="31"/>
      <c r="D343" s="31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7"/>
      <c r="X343" s="31"/>
      <c r="Y343" s="478"/>
      <c r="Z343" s="32"/>
      <c r="AA343" s="662"/>
      <c r="AB343" s="36"/>
      <c r="AC343" s="36"/>
      <c r="AD343" s="33"/>
    </row>
    <row r="344" spans="1:30" ht="15.75" customHeight="1">
      <c r="A344" s="151"/>
      <c r="B344" s="31"/>
      <c r="C344" s="31"/>
      <c r="D344" s="31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7"/>
      <c r="X344" s="31"/>
      <c r="Y344" s="478"/>
      <c r="Z344" s="32"/>
      <c r="AA344" s="662"/>
      <c r="AB344" s="36"/>
      <c r="AC344" s="36"/>
      <c r="AD344" s="33"/>
    </row>
    <row r="345" spans="1:30" ht="15.75" customHeight="1">
      <c r="A345" s="151"/>
      <c r="B345" s="31"/>
      <c r="C345" s="31"/>
      <c r="D345" s="31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7"/>
      <c r="X345" s="31"/>
      <c r="Y345" s="478"/>
      <c r="Z345" s="32"/>
      <c r="AA345" s="662"/>
      <c r="AB345" s="36"/>
      <c r="AC345" s="36"/>
      <c r="AD345" s="33"/>
    </row>
    <row r="346" spans="1:30" ht="15.75" customHeight="1">
      <c r="A346" s="151"/>
      <c r="B346" s="31"/>
      <c r="C346" s="31"/>
      <c r="D346" s="31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7"/>
      <c r="X346" s="31"/>
      <c r="Y346" s="478"/>
      <c r="Z346" s="32"/>
      <c r="AA346" s="662"/>
      <c r="AB346" s="36"/>
      <c r="AC346" s="36"/>
      <c r="AD346" s="33"/>
    </row>
    <row r="347" spans="1:30" ht="15.75" customHeight="1">
      <c r="A347" s="151"/>
      <c r="B347" s="31"/>
      <c r="C347" s="31"/>
      <c r="D347" s="31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7"/>
      <c r="X347" s="31"/>
      <c r="Y347" s="478"/>
      <c r="Z347" s="32"/>
      <c r="AA347" s="662"/>
      <c r="AB347" s="36"/>
      <c r="AC347" s="36"/>
      <c r="AD347" s="33"/>
    </row>
    <row r="348" spans="1:30" ht="15.75" customHeight="1">
      <c r="A348" s="151"/>
      <c r="B348" s="31"/>
      <c r="C348" s="31"/>
      <c r="D348" s="31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7"/>
      <c r="X348" s="31"/>
      <c r="Y348" s="478"/>
      <c r="Z348" s="32"/>
      <c r="AA348" s="662"/>
      <c r="AB348" s="36"/>
      <c r="AC348" s="36"/>
      <c r="AD348" s="33"/>
    </row>
    <row r="349" spans="1:30" ht="15.75" customHeight="1">
      <c r="A349" s="151"/>
      <c r="B349" s="31"/>
      <c r="C349" s="31"/>
      <c r="D349" s="31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7"/>
      <c r="X349" s="31"/>
      <c r="Y349" s="478"/>
      <c r="Z349" s="32"/>
      <c r="AA349" s="662"/>
      <c r="AB349" s="36"/>
      <c r="AC349" s="36"/>
      <c r="AD349" s="33"/>
    </row>
    <row r="350" spans="1:30" ht="15.75" customHeight="1">
      <c r="A350" s="151"/>
      <c r="B350" s="31"/>
      <c r="C350" s="31"/>
      <c r="D350" s="31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7"/>
      <c r="X350" s="31"/>
      <c r="Y350" s="478"/>
      <c r="Z350" s="32"/>
      <c r="AA350" s="662"/>
      <c r="AB350" s="36"/>
      <c r="AC350" s="36"/>
      <c r="AD350" s="33"/>
    </row>
    <row r="351" spans="1:30" ht="15.75" customHeight="1">
      <c r="A351" s="151"/>
      <c r="B351" s="31"/>
      <c r="C351" s="31"/>
      <c r="D351" s="31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7"/>
      <c r="X351" s="31"/>
      <c r="Y351" s="478"/>
      <c r="Z351" s="32"/>
      <c r="AA351" s="662"/>
      <c r="AB351" s="36"/>
      <c r="AC351" s="36"/>
      <c r="AD351" s="33"/>
    </row>
    <row r="352" spans="1:30" ht="15.75" customHeight="1">
      <c r="A352" s="151"/>
      <c r="B352" s="31"/>
      <c r="C352" s="31"/>
      <c r="D352" s="31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7"/>
      <c r="X352" s="31"/>
      <c r="Y352" s="478"/>
      <c r="Z352" s="32"/>
      <c r="AA352" s="662"/>
      <c r="AB352" s="36"/>
      <c r="AC352" s="36"/>
      <c r="AD352" s="33"/>
    </row>
    <row r="353" spans="1:30" ht="15.75" customHeight="1">
      <c r="A353" s="151"/>
      <c r="B353" s="31"/>
      <c r="C353" s="31"/>
      <c r="D353" s="31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7"/>
      <c r="X353" s="31"/>
      <c r="Y353" s="478"/>
      <c r="Z353" s="32"/>
      <c r="AA353" s="662"/>
      <c r="AB353" s="36"/>
      <c r="AC353" s="36"/>
      <c r="AD353" s="33"/>
    </row>
    <row r="354" spans="1:30" ht="15.75" customHeight="1">
      <c r="A354" s="151"/>
      <c r="B354" s="31"/>
      <c r="C354" s="31"/>
      <c r="D354" s="31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7"/>
      <c r="X354" s="31"/>
      <c r="Y354" s="478"/>
      <c r="Z354" s="32"/>
      <c r="AA354" s="662"/>
      <c r="AB354" s="36"/>
      <c r="AC354" s="36"/>
      <c r="AD354" s="33"/>
    </row>
    <row r="355" spans="1:30" ht="15.75" customHeight="1">
      <c r="A355" s="151"/>
      <c r="B355" s="31"/>
      <c r="C355" s="31"/>
      <c r="D355" s="31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7"/>
      <c r="X355" s="31"/>
      <c r="Y355" s="478"/>
      <c r="Z355" s="32"/>
      <c r="AA355" s="662"/>
      <c r="AB355" s="36"/>
      <c r="AC355" s="36"/>
      <c r="AD355" s="33"/>
    </row>
    <row r="356" spans="1:30" ht="15.75" customHeight="1">
      <c r="A356" s="151"/>
      <c r="B356" s="31"/>
      <c r="C356" s="31"/>
      <c r="D356" s="31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7"/>
      <c r="X356" s="31"/>
      <c r="Y356" s="478"/>
      <c r="Z356" s="32"/>
      <c r="AA356" s="662"/>
      <c r="AB356" s="36"/>
      <c r="AC356" s="36"/>
      <c r="AD356" s="33"/>
    </row>
    <row r="357" spans="1:30" ht="15.75" customHeight="1">
      <c r="A357" s="151"/>
      <c r="B357" s="31"/>
      <c r="C357" s="31"/>
      <c r="D357" s="31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7"/>
      <c r="X357" s="31"/>
      <c r="Y357" s="478"/>
      <c r="Z357" s="32"/>
      <c r="AA357" s="662"/>
      <c r="AB357" s="36"/>
      <c r="AC357" s="36"/>
      <c r="AD357" s="33"/>
    </row>
    <row r="358" spans="1:30" ht="15.75" customHeight="1">
      <c r="A358" s="151"/>
      <c r="B358" s="31"/>
      <c r="C358" s="31"/>
      <c r="D358" s="31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7"/>
      <c r="X358" s="31"/>
      <c r="Y358" s="478"/>
      <c r="Z358" s="32"/>
      <c r="AA358" s="662"/>
      <c r="AB358" s="36"/>
      <c r="AC358" s="36"/>
      <c r="AD358" s="33"/>
    </row>
    <row r="359" spans="1:30" ht="15.75" customHeight="1">
      <c r="A359" s="151"/>
      <c r="B359" s="31"/>
      <c r="C359" s="31"/>
      <c r="D359" s="31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7"/>
      <c r="X359" s="31"/>
      <c r="Y359" s="478"/>
      <c r="Z359" s="32"/>
      <c r="AA359" s="662"/>
      <c r="AB359" s="36"/>
      <c r="AC359" s="36"/>
      <c r="AD359" s="33"/>
    </row>
    <row r="360" spans="1:30" ht="15.75" customHeight="1">
      <c r="A360" s="151"/>
      <c r="B360" s="31"/>
      <c r="C360" s="31"/>
      <c r="D360" s="31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7"/>
      <c r="X360" s="31"/>
      <c r="Y360" s="478"/>
      <c r="Z360" s="32"/>
      <c r="AA360" s="662"/>
      <c r="AB360" s="36"/>
      <c r="AC360" s="36"/>
      <c r="AD360" s="33"/>
    </row>
    <row r="361" spans="1:30" ht="15.75" customHeight="1">
      <c r="A361" s="151"/>
      <c r="B361" s="31"/>
      <c r="C361" s="31"/>
      <c r="D361" s="31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7"/>
      <c r="X361" s="31"/>
      <c r="Y361" s="478"/>
      <c r="Z361" s="32"/>
      <c r="AA361" s="662"/>
      <c r="AB361" s="36"/>
      <c r="AC361" s="36"/>
      <c r="AD361" s="33"/>
    </row>
    <row r="362" spans="1:30" ht="15.75" customHeight="1">
      <c r="A362" s="151"/>
      <c r="B362" s="31"/>
      <c r="C362" s="31"/>
      <c r="D362" s="31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7"/>
      <c r="X362" s="31"/>
      <c r="Y362" s="478"/>
      <c r="Z362" s="32"/>
      <c r="AA362" s="662"/>
      <c r="AB362" s="36"/>
      <c r="AC362" s="36"/>
      <c r="AD362" s="33"/>
    </row>
    <row r="363" spans="1:30" ht="15.75" customHeight="1">
      <c r="A363" s="151"/>
      <c r="B363" s="31"/>
      <c r="C363" s="31"/>
      <c r="D363" s="31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7"/>
      <c r="X363" s="31"/>
      <c r="Y363" s="478"/>
      <c r="Z363" s="32"/>
      <c r="AA363" s="662"/>
      <c r="AB363" s="36"/>
      <c r="AC363" s="36"/>
      <c r="AD363" s="33"/>
    </row>
    <row r="364" spans="1:30" ht="15.75" customHeight="1">
      <c r="A364" s="151"/>
      <c r="B364" s="31"/>
      <c r="C364" s="31"/>
      <c r="D364" s="31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7"/>
      <c r="X364" s="31"/>
      <c r="Y364" s="478"/>
      <c r="Z364" s="32"/>
      <c r="AA364" s="662"/>
      <c r="AB364" s="36"/>
      <c r="AC364" s="36"/>
      <c r="AD364" s="33"/>
    </row>
    <row r="365" spans="1:30" ht="15.75" customHeight="1">
      <c r="A365" s="151"/>
      <c r="B365" s="31"/>
      <c r="C365" s="31"/>
      <c r="D365" s="31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7"/>
      <c r="X365" s="31"/>
      <c r="Y365" s="478"/>
      <c r="Z365" s="32"/>
      <c r="AA365" s="662"/>
      <c r="AB365" s="36"/>
      <c r="AC365" s="36"/>
      <c r="AD365" s="33"/>
    </row>
    <row r="366" spans="1:30" ht="15.75" customHeight="1">
      <c r="A366" s="151"/>
      <c r="B366" s="31"/>
      <c r="C366" s="31"/>
      <c r="D366" s="31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7"/>
      <c r="X366" s="31"/>
      <c r="Y366" s="478"/>
      <c r="Z366" s="32"/>
      <c r="AA366" s="662"/>
      <c r="AB366" s="36"/>
      <c r="AC366" s="36"/>
      <c r="AD366" s="33"/>
    </row>
    <row r="367" spans="1:30" ht="15.75" customHeight="1">
      <c r="A367" s="151"/>
      <c r="B367" s="31"/>
      <c r="C367" s="31"/>
      <c r="D367" s="31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7"/>
      <c r="X367" s="31"/>
      <c r="Y367" s="478"/>
      <c r="Z367" s="32"/>
      <c r="AA367" s="662"/>
      <c r="AB367" s="36"/>
      <c r="AC367" s="36"/>
      <c r="AD367" s="33"/>
    </row>
    <row r="368" spans="1:30" ht="15.75" customHeight="1">
      <c r="A368" s="151"/>
      <c r="B368" s="31"/>
      <c r="C368" s="31"/>
      <c r="D368" s="31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7"/>
      <c r="X368" s="31"/>
      <c r="Y368" s="478"/>
      <c r="Z368" s="32"/>
      <c r="AA368" s="662"/>
      <c r="AB368" s="36"/>
      <c r="AC368" s="36"/>
      <c r="AD368" s="33"/>
    </row>
    <row r="369" spans="1:30" ht="15.75" customHeight="1">
      <c r="A369" s="151"/>
      <c r="B369" s="31"/>
      <c r="C369" s="31"/>
      <c r="D369" s="31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7"/>
      <c r="X369" s="31"/>
      <c r="Y369" s="478"/>
      <c r="Z369" s="32"/>
      <c r="AA369" s="662"/>
      <c r="AB369" s="36"/>
      <c r="AC369" s="36"/>
      <c r="AD369" s="33"/>
    </row>
    <row r="370" spans="1:30" ht="15.75" customHeight="1">
      <c r="A370" s="151"/>
      <c r="B370" s="31"/>
      <c r="C370" s="31"/>
      <c r="D370" s="31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7"/>
      <c r="X370" s="31"/>
      <c r="Y370" s="478"/>
      <c r="Z370" s="32"/>
      <c r="AA370" s="662"/>
      <c r="AB370" s="36"/>
      <c r="AC370" s="36"/>
      <c r="AD370" s="33"/>
    </row>
    <row r="371" spans="1:30" ht="15.75" customHeight="1">
      <c r="A371" s="151"/>
      <c r="B371" s="31"/>
      <c r="C371" s="31"/>
      <c r="D371" s="31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7"/>
      <c r="X371" s="31"/>
      <c r="Y371" s="478"/>
      <c r="Z371" s="32"/>
      <c r="AA371" s="662"/>
      <c r="AB371" s="36"/>
      <c r="AC371" s="36"/>
      <c r="AD371" s="33"/>
    </row>
    <row r="372" spans="1:30" ht="15.75" customHeight="1">
      <c r="A372" s="151"/>
      <c r="B372" s="31"/>
      <c r="C372" s="31"/>
      <c r="D372" s="31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7"/>
      <c r="X372" s="31"/>
      <c r="Y372" s="478"/>
      <c r="Z372" s="32"/>
      <c r="AA372" s="662"/>
      <c r="AB372" s="36"/>
      <c r="AC372" s="36"/>
      <c r="AD372" s="33"/>
    </row>
    <row r="373" spans="1:30" ht="15.75" customHeight="1">
      <c r="A373" s="151"/>
      <c r="B373" s="31"/>
      <c r="C373" s="31"/>
      <c r="D373" s="31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7"/>
      <c r="X373" s="31"/>
      <c r="Y373" s="478"/>
      <c r="Z373" s="32"/>
      <c r="AA373" s="662"/>
      <c r="AB373" s="36"/>
      <c r="AC373" s="36"/>
      <c r="AD373" s="33"/>
    </row>
    <row r="374" spans="1:30" ht="15.75" customHeight="1">
      <c r="A374" s="151"/>
      <c r="B374" s="31"/>
      <c r="C374" s="31"/>
      <c r="D374" s="31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7"/>
      <c r="X374" s="31"/>
      <c r="Y374" s="478"/>
      <c r="Z374" s="32"/>
      <c r="AA374" s="662"/>
      <c r="AB374" s="36"/>
      <c r="AC374" s="36"/>
      <c r="AD374" s="33"/>
    </row>
    <row r="375" spans="1:30" ht="15.75" customHeight="1">
      <c r="A375" s="151"/>
      <c r="B375" s="31"/>
      <c r="C375" s="31"/>
      <c r="D375" s="31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7"/>
      <c r="X375" s="31"/>
      <c r="Y375" s="478"/>
      <c r="Z375" s="32"/>
      <c r="AA375" s="662"/>
      <c r="AB375" s="36"/>
      <c r="AC375" s="36"/>
      <c r="AD375" s="33"/>
    </row>
    <row r="376" spans="1:30" ht="15.75" customHeight="1">
      <c r="A376" s="151"/>
      <c r="B376" s="31"/>
      <c r="C376" s="31"/>
      <c r="D376" s="31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7"/>
      <c r="X376" s="31"/>
      <c r="Y376" s="478"/>
      <c r="Z376" s="32"/>
      <c r="AA376" s="662"/>
      <c r="AB376" s="36"/>
      <c r="AC376" s="36"/>
      <c r="AD376" s="33"/>
    </row>
    <row r="377" spans="1:30" ht="15.75" customHeight="1">
      <c r="A377" s="151"/>
      <c r="B377" s="31"/>
      <c r="C377" s="31"/>
      <c r="D377" s="31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7"/>
      <c r="X377" s="31"/>
      <c r="Y377" s="478"/>
      <c r="Z377" s="32"/>
      <c r="AA377" s="662"/>
      <c r="AB377" s="36"/>
      <c r="AC377" s="36"/>
      <c r="AD377" s="33"/>
    </row>
    <row r="378" spans="1:30" ht="15.75" customHeight="1">
      <c r="A378" s="151"/>
      <c r="B378" s="31"/>
      <c r="C378" s="31"/>
      <c r="D378" s="31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7"/>
      <c r="X378" s="31"/>
      <c r="Y378" s="478"/>
      <c r="Z378" s="32"/>
      <c r="AA378" s="662"/>
      <c r="AB378" s="36"/>
      <c r="AC378" s="36"/>
      <c r="AD378" s="33"/>
    </row>
    <row r="379" spans="1:30" ht="15.75" customHeight="1">
      <c r="A379" s="151"/>
      <c r="B379" s="31"/>
      <c r="C379" s="31"/>
      <c r="D379" s="31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7"/>
      <c r="X379" s="31"/>
      <c r="Y379" s="478"/>
      <c r="Z379" s="32"/>
      <c r="AA379" s="662"/>
      <c r="AB379" s="36"/>
      <c r="AC379" s="36"/>
      <c r="AD379" s="33"/>
    </row>
    <row r="380" spans="1:30" ht="15.75" customHeight="1">
      <c r="A380" s="151"/>
      <c r="B380" s="31"/>
      <c r="C380" s="31"/>
      <c r="D380" s="31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7"/>
      <c r="X380" s="31"/>
      <c r="Y380" s="478"/>
      <c r="Z380" s="32"/>
      <c r="AA380" s="662"/>
      <c r="AB380" s="36"/>
      <c r="AC380" s="36"/>
      <c r="AD380" s="33"/>
    </row>
    <row r="381" spans="1:30" ht="15.75" customHeight="1">
      <c r="A381" s="151"/>
      <c r="B381" s="31"/>
      <c r="C381" s="31"/>
      <c r="D381" s="31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7"/>
      <c r="X381" s="31"/>
      <c r="Y381" s="478"/>
      <c r="Z381" s="32"/>
      <c r="AA381" s="662"/>
      <c r="AB381" s="36"/>
      <c r="AC381" s="36"/>
      <c r="AD381" s="33"/>
    </row>
    <row r="382" spans="1:30" ht="15.75" customHeight="1">
      <c r="A382" s="151"/>
      <c r="B382" s="31"/>
      <c r="C382" s="31"/>
      <c r="D382" s="31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7"/>
      <c r="X382" s="31"/>
      <c r="Y382" s="478"/>
      <c r="Z382" s="32"/>
      <c r="AA382" s="662"/>
      <c r="AB382" s="36"/>
      <c r="AC382" s="36"/>
      <c r="AD382" s="33"/>
    </row>
    <row r="383" spans="1:30" ht="15.75" customHeight="1">
      <c r="A383" s="151"/>
      <c r="B383" s="31"/>
      <c r="C383" s="31"/>
      <c r="D383" s="31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7"/>
      <c r="X383" s="31"/>
      <c r="Y383" s="478"/>
      <c r="Z383" s="32"/>
      <c r="AA383" s="662"/>
      <c r="AB383" s="36"/>
      <c r="AC383" s="36"/>
      <c r="AD383" s="33"/>
    </row>
    <row r="384" spans="1:30" ht="15.75" customHeight="1">
      <c r="A384" s="151"/>
      <c r="B384" s="31"/>
      <c r="C384" s="31"/>
      <c r="D384" s="31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7"/>
      <c r="X384" s="31"/>
      <c r="Y384" s="478"/>
      <c r="Z384" s="32"/>
      <c r="AA384" s="662"/>
      <c r="AB384" s="36"/>
      <c r="AC384" s="36"/>
      <c r="AD384" s="33"/>
    </row>
    <row r="385" spans="1:30" ht="15.75" customHeight="1">
      <c r="A385" s="151"/>
      <c r="B385" s="31"/>
      <c r="C385" s="31"/>
      <c r="D385" s="31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7"/>
      <c r="X385" s="31"/>
      <c r="Y385" s="478"/>
      <c r="Z385" s="32"/>
      <c r="AA385" s="662"/>
      <c r="AB385" s="36"/>
      <c r="AC385" s="36"/>
      <c r="AD385" s="33"/>
    </row>
    <row r="386" spans="1:30" ht="15.75" customHeight="1">
      <c r="A386" s="151"/>
      <c r="B386" s="31"/>
      <c r="C386" s="31"/>
      <c r="D386" s="31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7"/>
      <c r="X386" s="31"/>
      <c r="Y386" s="478"/>
      <c r="Z386" s="32"/>
      <c r="AA386" s="662"/>
      <c r="AB386" s="36"/>
      <c r="AC386" s="36"/>
      <c r="AD386" s="33"/>
    </row>
    <row r="387" spans="1:30" ht="15.75" customHeight="1">
      <c r="A387" s="151"/>
      <c r="B387" s="31"/>
      <c r="C387" s="31"/>
      <c r="D387" s="31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7"/>
      <c r="X387" s="31"/>
      <c r="Y387" s="478"/>
      <c r="Z387" s="32"/>
      <c r="AA387" s="662"/>
      <c r="AB387" s="36"/>
      <c r="AC387" s="36"/>
      <c r="AD387" s="33"/>
    </row>
    <row r="388" spans="1:30" ht="15.75" customHeight="1">
      <c r="A388" s="151"/>
      <c r="B388" s="31"/>
      <c r="C388" s="31"/>
      <c r="D388" s="31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7"/>
      <c r="X388" s="31"/>
      <c r="Y388" s="478"/>
      <c r="Z388" s="32"/>
      <c r="AA388" s="662"/>
      <c r="AB388" s="36"/>
      <c r="AC388" s="36"/>
      <c r="AD388" s="33"/>
    </row>
    <row r="389" spans="1:30" ht="15.75" customHeight="1">
      <c r="A389" s="151"/>
      <c r="B389" s="31"/>
      <c r="C389" s="31"/>
      <c r="D389" s="31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7"/>
      <c r="X389" s="31"/>
      <c r="Y389" s="478"/>
      <c r="Z389" s="32"/>
      <c r="AA389" s="662"/>
      <c r="AB389" s="36"/>
      <c r="AC389" s="36"/>
      <c r="AD389" s="33"/>
    </row>
    <row r="390" spans="1:30" ht="15.75" customHeight="1">
      <c r="A390" s="151"/>
      <c r="B390" s="31"/>
      <c r="C390" s="31"/>
      <c r="D390" s="31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7"/>
      <c r="X390" s="31"/>
      <c r="Y390" s="478"/>
      <c r="Z390" s="32"/>
      <c r="AA390" s="662"/>
      <c r="AB390" s="36"/>
      <c r="AC390" s="36"/>
      <c r="AD390" s="33"/>
    </row>
    <row r="391" spans="1:30" ht="15.75" customHeight="1">
      <c r="A391" s="151"/>
      <c r="B391" s="31"/>
      <c r="C391" s="31"/>
      <c r="D391" s="31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7"/>
      <c r="X391" s="31"/>
      <c r="Y391" s="478"/>
      <c r="Z391" s="32"/>
      <c r="AA391" s="662"/>
      <c r="AB391" s="36"/>
      <c r="AC391" s="36"/>
      <c r="AD391" s="33"/>
    </row>
    <row r="392" spans="1:30" ht="15.75" customHeight="1">
      <c r="A392" s="151"/>
      <c r="B392" s="31"/>
      <c r="C392" s="31"/>
      <c r="D392" s="31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7"/>
      <c r="X392" s="31"/>
      <c r="Y392" s="478"/>
      <c r="Z392" s="32"/>
      <c r="AA392" s="662"/>
      <c r="AB392" s="36"/>
      <c r="AC392" s="36"/>
      <c r="AD392" s="33"/>
    </row>
    <row r="393" spans="1:30" ht="15.75" customHeight="1">
      <c r="A393" s="151"/>
      <c r="B393" s="31"/>
      <c r="C393" s="31"/>
      <c r="D393" s="31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7"/>
      <c r="X393" s="31"/>
      <c r="Y393" s="478"/>
      <c r="Z393" s="32"/>
      <c r="AA393" s="662"/>
      <c r="AB393" s="36"/>
      <c r="AC393" s="36"/>
      <c r="AD393" s="33"/>
    </row>
    <row r="394" spans="1:30" ht="15.75" customHeight="1">
      <c r="A394" s="151"/>
      <c r="B394" s="31"/>
      <c r="C394" s="31"/>
      <c r="D394" s="31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7"/>
      <c r="X394" s="31"/>
      <c r="Y394" s="478"/>
      <c r="Z394" s="32"/>
      <c r="AA394" s="662"/>
      <c r="AB394" s="36"/>
      <c r="AC394" s="36"/>
      <c r="AD394" s="33"/>
    </row>
    <row r="395" spans="1:30" ht="15.75" customHeight="1">
      <c r="A395" s="151"/>
      <c r="B395" s="31"/>
      <c r="C395" s="31"/>
      <c r="D395" s="31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7"/>
      <c r="X395" s="31"/>
      <c r="Y395" s="478"/>
      <c r="Z395" s="32"/>
      <c r="AA395" s="662"/>
      <c r="AB395" s="36"/>
      <c r="AC395" s="36"/>
      <c r="AD395" s="33"/>
    </row>
    <row r="396" spans="1:30" ht="15.75" customHeight="1">
      <c r="A396" s="151"/>
      <c r="B396" s="31"/>
      <c r="C396" s="31"/>
      <c r="D396" s="31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7"/>
      <c r="X396" s="31"/>
      <c r="Y396" s="478"/>
      <c r="Z396" s="32"/>
      <c r="AA396" s="662"/>
      <c r="AB396" s="36"/>
      <c r="AC396" s="36"/>
      <c r="AD396" s="33"/>
    </row>
    <row r="397" spans="1:30" ht="15.75" customHeight="1">
      <c r="A397" s="151"/>
      <c r="B397" s="31"/>
      <c r="C397" s="31"/>
      <c r="D397" s="31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7"/>
      <c r="X397" s="31"/>
      <c r="Y397" s="478"/>
      <c r="Z397" s="32"/>
      <c r="AA397" s="662"/>
      <c r="AB397" s="36"/>
      <c r="AC397" s="36"/>
      <c r="AD397" s="33"/>
    </row>
    <row r="398" spans="1:30" ht="15.75" customHeight="1">
      <c r="A398" s="151"/>
      <c r="B398" s="31"/>
      <c r="C398" s="31"/>
      <c r="D398" s="31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7"/>
      <c r="X398" s="31"/>
      <c r="Y398" s="478"/>
      <c r="Z398" s="32"/>
      <c r="AA398" s="662"/>
      <c r="AB398" s="36"/>
      <c r="AC398" s="36"/>
      <c r="AD398" s="33"/>
    </row>
    <row r="399" spans="1:30" ht="15.75" customHeight="1">
      <c r="A399" s="151"/>
      <c r="B399" s="31"/>
      <c r="C399" s="31"/>
      <c r="D399" s="31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7"/>
      <c r="X399" s="31"/>
      <c r="Y399" s="478"/>
      <c r="Z399" s="32"/>
      <c r="AA399" s="662"/>
      <c r="AB399" s="36"/>
      <c r="AC399" s="36"/>
      <c r="AD399" s="33"/>
    </row>
    <row r="400" spans="1:30" ht="15.75" customHeight="1">
      <c r="A400" s="151"/>
      <c r="B400" s="31"/>
      <c r="C400" s="31"/>
      <c r="D400" s="31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7"/>
      <c r="X400" s="31"/>
      <c r="Y400" s="478"/>
      <c r="Z400" s="32"/>
      <c r="AA400" s="662"/>
      <c r="AB400" s="36"/>
      <c r="AC400" s="36"/>
      <c r="AD400" s="33"/>
    </row>
    <row r="401" spans="1:30" ht="15.75" customHeight="1">
      <c r="A401" s="151"/>
      <c r="B401" s="31"/>
      <c r="C401" s="31"/>
      <c r="D401" s="31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7"/>
      <c r="X401" s="31"/>
      <c r="Y401" s="478"/>
      <c r="Z401" s="32"/>
      <c r="AA401" s="662"/>
      <c r="AB401" s="36"/>
      <c r="AC401" s="36"/>
      <c r="AD401" s="33"/>
    </row>
    <row r="402" spans="1:30" ht="15.75" customHeight="1">
      <c r="A402" s="151"/>
      <c r="B402" s="31"/>
      <c r="C402" s="31"/>
      <c r="D402" s="31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7"/>
      <c r="X402" s="31"/>
      <c r="Y402" s="478"/>
      <c r="Z402" s="32"/>
      <c r="AA402" s="662"/>
      <c r="AB402" s="36"/>
      <c r="AC402" s="36"/>
      <c r="AD402" s="33"/>
    </row>
    <row r="403" spans="1:30" ht="15.75" customHeight="1">
      <c r="A403" s="151"/>
      <c r="B403" s="31"/>
      <c r="C403" s="31"/>
      <c r="D403" s="31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7"/>
      <c r="X403" s="31"/>
      <c r="Y403" s="478"/>
      <c r="Z403" s="32"/>
      <c r="AA403" s="662"/>
      <c r="AB403" s="36"/>
      <c r="AC403" s="36"/>
      <c r="AD403" s="33"/>
    </row>
    <row r="404" spans="1:30" ht="15.75" customHeight="1">
      <c r="A404" s="151"/>
      <c r="B404" s="31"/>
      <c r="C404" s="31"/>
      <c r="D404" s="31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7"/>
      <c r="X404" s="31"/>
      <c r="Y404" s="478"/>
      <c r="Z404" s="32"/>
      <c r="AA404" s="662"/>
      <c r="AB404" s="36"/>
      <c r="AC404" s="36"/>
      <c r="AD404" s="33"/>
    </row>
    <row r="405" spans="1:30" ht="15.75" customHeight="1">
      <c r="A405" s="151"/>
      <c r="B405" s="31"/>
      <c r="C405" s="31"/>
      <c r="D405" s="31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7"/>
      <c r="X405" s="31"/>
      <c r="Y405" s="478"/>
      <c r="Z405" s="32"/>
      <c r="AA405" s="662"/>
      <c r="AB405" s="36"/>
      <c r="AC405" s="36"/>
      <c r="AD405" s="33"/>
    </row>
    <row r="406" spans="1:30" ht="15.75" customHeight="1">
      <c r="A406" s="151"/>
      <c r="B406" s="31"/>
      <c r="C406" s="31"/>
      <c r="D406" s="31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7"/>
      <c r="X406" s="31"/>
      <c r="Y406" s="478"/>
      <c r="Z406" s="32"/>
      <c r="AA406" s="662"/>
      <c r="AB406" s="36"/>
      <c r="AC406" s="36"/>
      <c r="AD406" s="33"/>
    </row>
    <row r="407" spans="1:30" ht="15.75" customHeight="1">
      <c r="A407" s="151"/>
      <c r="B407" s="31"/>
      <c r="C407" s="31"/>
      <c r="D407" s="31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7"/>
      <c r="X407" s="31"/>
      <c r="Y407" s="478"/>
      <c r="Z407" s="32"/>
      <c r="AA407" s="662"/>
      <c r="AB407" s="36"/>
      <c r="AC407" s="36"/>
      <c r="AD407" s="33"/>
    </row>
    <row r="408" spans="1:30" ht="15.75" customHeight="1">
      <c r="A408" s="151"/>
      <c r="B408" s="31"/>
      <c r="C408" s="31"/>
      <c r="D408" s="31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7"/>
      <c r="X408" s="31"/>
      <c r="Y408" s="478"/>
      <c r="Z408" s="32"/>
      <c r="AA408" s="662"/>
      <c r="AB408" s="36"/>
      <c r="AC408" s="36"/>
      <c r="AD408" s="33"/>
    </row>
    <row r="409" spans="1:30" ht="15.75" customHeight="1">
      <c r="A409" s="151"/>
      <c r="B409" s="31"/>
      <c r="C409" s="31"/>
      <c r="D409" s="31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7"/>
      <c r="X409" s="31"/>
      <c r="Y409" s="478"/>
      <c r="Z409" s="32"/>
      <c r="AA409" s="662"/>
      <c r="AB409" s="36"/>
      <c r="AC409" s="36"/>
      <c r="AD409" s="33"/>
    </row>
    <row r="410" spans="1:30" ht="15.75" customHeight="1">
      <c r="A410" s="151"/>
      <c r="B410" s="31"/>
      <c r="C410" s="31"/>
      <c r="D410" s="31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7"/>
      <c r="X410" s="31"/>
      <c r="Y410" s="478"/>
      <c r="Z410" s="32"/>
      <c r="AA410" s="662"/>
      <c r="AB410" s="36"/>
      <c r="AC410" s="36"/>
      <c r="AD410" s="33"/>
    </row>
    <row r="411" spans="1:30" ht="15.75" customHeight="1">
      <c r="A411" s="151"/>
      <c r="B411" s="31"/>
      <c r="C411" s="31"/>
      <c r="D411" s="31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7"/>
      <c r="X411" s="31"/>
      <c r="Y411" s="478"/>
      <c r="Z411" s="32"/>
      <c r="AA411" s="662"/>
      <c r="AB411" s="36"/>
      <c r="AC411" s="36"/>
      <c r="AD411" s="33"/>
    </row>
    <row r="412" spans="1:30" ht="15.75" customHeight="1">
      <c r="A412" s="151"/>
      <c r="B412" s="31"/>
      <c r="C412" s="31"/>
      <c r="D412" s="31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7"/>
      <c r="X412" s="31"/>
      <c r="Y412" s="478"/>
      <c r="Z412" s="32"/>
      <c r="AA412" s="662"/>
      <c r="AB412" s="36"/>
      <c r="AC412" s="36"/>
      <c r="AD412" s="33"/>
    </row>
    <row r="413" spans="1:30" ht="15.75" customHeight="1">
      <c r="A413" s="151"/>
      <c r="B413" s="31"/>
      <c r="C413" s="31"/>
      <c r="D413" s="31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7"/>
      <c r="X413" s="31"/>
      <c r="Y413" s="478"/>
      <c r="Z413" s="32"/>
      <c r="AA413" s="662"/>
      <c r="AB413" s="36"/>
      <c r="AC413" s="36"/>
      <c r="AD413" s="33"/>
    </row>
    <row r="414" spans="1:30" ht="15.75" customHeight="1">
      <c r="A414" s="151"/>
      <c r="B414" s="31"/>
      <c r="C414" s="31"/>
      <c r="D414" s="31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7"/>
      <c r="X414" s="31"/>
      <c r="Y414" s="478"/>
      <c r="Z414" s="32"/>
      <c r="AA414" s="662"/>
      <c r="AB414" s="36"/>
      <c r="AC414" s="36"/>
      <c r="AD414" s="33"/>
    </row>
    <row r="415" spans="1:30" ht="15.75" customHeight="1">
      <c r="A415" s="151"/>
      <c r="B415" s="31"/>
      <c r="C415" s="31"/>
      <c r="D415" s="31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7"/>
      <c r="X415" s="31"/>
      <c r="Y415" s="478"/>
      <c r="Z415" s="32"/>
      <c r="AA415" s="662"/>
      <c r="AB415" s="36"/>
      <c r="AC415" s="36"/>
      <c r="AD415" s="33"/>
    </row>
    <row r="416" spans="1:30" ht="15.75" customHeight="1">
      <c r="A416" s="151"/>
      <c r="B416" s="31"/>
      <c r="C416" s="31"/>
      <c r="D416" s="31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7"/>
      <c r="X416" s="31"/>
      <c r="Y416" s="478"/>
      <c r="Z416" s="32"/>
      <c r="AA416" s="662"/>
      <c r="AB416" s="36"/>
      <c r="AC416" s="36"/>
      <c r="AD416" s="33"/>
    </row>
    <row r="417" spans="1:30" ht="15.75" customHeight="1">
      <c r="A417" s="151"/>
      <c r="B417" s="31"/>
      <c r="C417" s="31"/>
      <c r="D417" s="31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7"/>
      <c r="X417" s="31"/>
      <c r="Y417" s="478"/>
      <c r="Z417" s="32"/>
      <c r="AA417" s="662"/>
      <c r="AB417" s="36"/>
      <c r="AC417" s="36"/>
      <c r="AD417" s="33"/>
    </row>
    <row r="418" spans="1:30" ht="15.75" customHeight="1">
      <c r="A418" s="151"/>
      <c r="B418" s="31"/>
      <c r="C418" s="31"/>
      <c r="D418" s="31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7"/>
      <c r="X418" s="31"/>
      <c r="Y418" s="478"/>
      <c r="Z418" s="32"/>
      <c r="AA418" s="662"/>
      <c r="AB418" s="36"/>
      <c r="AC418" s="36"/>
      <c r="AD418" s="33"/>
    </row>
    <row r="419" spans="1:30" ht="15.75" customHeight="1">
      <c r="A419" s="151"/>
      <c r="B419" s="31"/>
      <c r="C419" s="31"/>
      <c r="D419" s="31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7"/>
      <c r="X419" s="31"/>
      <c r="Y419" s="478"/>
      <c r="Z419" s="32"/>
      <c r="AA419" s="662"/>
      <c r="AB419" s="36"/>
      <c r="AC419" s="36"/>
      <c r="AD419" s="33"/>
    </row>
    <row r="420" spans="1:30" ht="15.75" customHeight="1">
      <c r="A420" s="151"/>
      <c r="B420" s="31"/>
      <c r="C420" s="31"/>
      <c r="D420" s="31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7"/>
      <c r="X420" s="31"/>
      <c r="Y420" s="478"/>
      <c r="Z420" s="32"/>
      <c r="AA420" s="662"/>
      <c r="AB420" s="36"/>
      <c r="AC420" s="36"/>
      <c r="AD420" s="33"/>
    </row>
    <row r="421" spans="1:30" ht="15.75" customHeight="1">
      <c r="A421" s="151"/>
      <c r="B421" s="31"/>
      <c r="C421" s="31"/>
      <c r="D421" s="31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7"/>
      <c r="X421" s="31"/>
      <c r="Y421" s="478"/>
      <c r="Z421" s="32"/>
      <c r="AA421" s="662"/>
      <c r="AB421" s="36"/>
      <c r="AC421" s="36"/>
      <c r="AD421" s="33"/>
    </row>
    <row r="422" spans="1:30" ht="15.75" customHeight="1">
      <c r="A422" s="151"/>
      <c r="B422" s="31"/>
      <c r="C422" s="31"/>
      <c r="D422" s="31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7"/>
      <c r="X422" s="31"/>
      <c r="Y422" s="478"/>
      <c r="Z422" s="32"/>
      <c r="AA422" s="662"/>
      <c r="AB422" s="36"/>
      <c r="AC422" s="36"/>
      <c r="AD422" s="33"/>
    </row>
    <row r="423" spans="1:30" ht="15.75" customHeight="1">
      <c r="A423" s="151"/>
      <c r="B423" s="31"/>
      <c r="C423" s="31"/>
      <c r="D423" s="31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7"/>
      <c r="X423" s="31"/>
      <c r="Y423" s="478"/>
      <c r="Z423" s="32"/>
      <c r="AA423" s="662"/>
      <c r="AB423" s="36"/>
      <c r="AC423" s="36"/>
      <c r="AD423" s="33"/>
    </row>
    <row r="424" spans="1:30" ht="15.75" customHeight="1">
      <c r="A424" s="151"/>
      <c r="B424" s="31"/>
      <c r="C424" s="31"/>
      <c r="D424" s="31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7"/>
      <c r="X424" s="31"/>
      <c r="Y424" s="478"/>
      <c r="Z424" s="32"/>
      <c r="AA424" s="662"/>
      <c r="AB424" s="36"/>
      <c r="AC424" s="36"/>
      <c r="AD424" s="33"/>
    </row>
    <row r="425" spans="1:30" ht="15.75" customHeight="1">
      <c r="A425" s="151"/>
      <c r="B425" s="31"/>
      <c r="C425" s="31"/>
      <c r="D425" s="31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7"/>
      <c r="X425" s="31"/>
      <c r="Y425" s="478"/>
      <c r="Z425" s="32"/>
      <c r="AA425" s="662"/>
      <c r="AB425" s="36"/>
      <c r="AC425" s="36"/>
      <c r="AD425" s="33"/>
    </row>
    <row r="426" spans="1:30" ht="15.75" customHeight="1">
      <c r="A426" s="151"/>
      <c r="B426" s="31"/>
      <c r="C426" s="31"/>
      <c r="D426" s="31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7"/>
      <c r="X426" s="31"/>
      <c r="Y426" s="478"/>
      <c r="Z426" s="32"/>
      <c r="AA426" s="662"/>
      <c r="AB426" s="36"/>
      <c r="AC426" s="36"/>
      <c r="AD426" s="33"/>
    </row>
    <row r="427" spans="1:30" ht="15.75" customHeight="1">
      <c r="A427" s="151"/>
      <c r="B427" s="31"/>
      <c r="C427" s="31"/>
      <c r="D427" s="31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7"/>
      <c r="X427" s="31"/>
      <c r="Y427" s="478"/>
      <c r="Z427" s="32"/>
      <c r="AA427" s="662"/>
      <c r="AB427" s="36"/>
      <c r="AC427" s="36"/>
      <c r="AD427" s="33"/>
    </row>
    <row r="428" spans="1:30" ht="15.75" customHeight="1">
      <c r="A428" s="151"/>
      <c r="B428" s="31"/>
      <c r="C428" s="31"/>
      <c r="D428" s="31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7"/>
      <c r="X428" s="31"/>
      <c r="Y428" s="478"/>
      <c r="Z428" s="32"/>
      <c r="AA428" s="662"/>
      <c r="AB428" s="36"/>
      <c r="AC428" s="36"/>
      <c r="AD428" s="33"/>
    </row>
    <row r="429" spans="1:30" ht="15.75" customHeight="1">
      <c r="A429" s="151"/>
      <c r="B429" s="31"/>
      <c r="C429" s="31"/>
      <c r="D429" s="31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7"/>
      <c r="X429" s="31"/>
      <c r="Y429" s="478"/>
      <c r="Z429" s="32"/>
      <c r="AA429" s="662"/>
      <c r="AB429" s="36"/>
      <c r="AC429" s="36"/>
      <c r="AD429" s="33"/>
    </row>
    <row r="430" spans="1:30" ht="15.75" customHeight="1">
      <c r="A430" s="151"/>
      <c r="B430" s="31"/>
      <c r="C430" s="31"/>
      <c r="D430" s="31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7"/>
      <c r="X430" s="31"/>
      <c r="Y430" s="478"/>
      <c r="Z430" s="32"/>
      <c r="AA430" s="662"/>
      <c r="AB430" s="36"/>
      <c r="AC430" s="36"/>
      <c r="AD430" s="33"/>
    </row>
    <row r="431" spans="1:30" ht="15.75" customHeight="1">
      <c r="A431" s="151"/>
      <c r="B431" s="31"/>
      <c r="C431" s="31"/>
      <c r="D431" s="31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7"/>
      <c r="X431" s="31"/>
      <c r="Y431" s="478"/>
      <c r="Z431" s="32"/>
      <c r="AA431" s="662"/>
      <c r="AB431" s="36"/>
      <c r="AC431" s="36"/>
      <c r="AD431" s="33"/>
    </row>
    <row r="432" spans="1:30" ht="15.75" customHeight="1">
      <c r="A432" s="151"/>
      <c r="B432" s="31"/>
      <c r="C432" s="31"/>
      <c r="D432" s="31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7"/>
      <c r="X432" s="31"/>
      <c r="Y432" s="478"/>
      <c r="Z432" s="32"/>
      <c r="AA432" s="662"/>
      <c r="AB432" s="36"/>
      <c r="AC432" s="36"/>
      <c r="AD432" s="33"/>
    </row>
    <row r="433" spans="1:30" ht="15.75" customHeight="1">
      <c r="A433" s="151"/>
      <c r="B433" s="31"/>
      <c r="C433" s="31"/>
      <c r="D433" s="31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7"/>
      <c r="X433" s="31"/>
      <c r="Y433" s="478"/>
      <c r="Z433" s="32"/>
      <c r="AA433" s="662"/>
      <c r="AB433" s="36"/>
      <c r="AC433" s="36"/>
      <c r="AD433" s="33"/>
    </row>
    <row r="434" spans="1:30" ht="15.75" customHeight="1">
      <c r="A434" s="151"/>
      <c r="B434" s="31"/>
      <c r="C434" s="31"/>
      <c r="D434" s="31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7"/>
      <c r="X434" s="31"/>
      <c r="Y434" s="478"/>
      <c r="Z434" s="32"/>
      <c r="AA434" s="662"/>
      <c r="AB434" s="36"/>
      <c r="AC434" s="36"/>
      <c r="AD434" s="33"/>
    </row>
    <row r="435" spans="1:30" ht="15.75" customHeight="1">
      <c r="A435" s="151"/>
      <c r="B435" s="31"/>
      <c r="C435" s="31"/>
      <c r="D435" s="31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7"/>
      <c r="X435" s="31"/>
      <c r="Y435" s="478"/>
      <c r="Z435" s="32"/>
      <c r="AA435" s="662"/>
      <c r="AB435" s="36"/>
      <c r="AC435" s="36"/>
      <c r="AD435" s="33"/>
    </row>
    <row r="436" spans="1:30" ht="15.75" customHeight="1">
      <c r="A436" s="151"/>
      <c r="B436" s="31"/>
      <c r="C436" s="31"/>
      <c r="D436" s="31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7"/>
      <c r="X436" s="31"/>
      <c r="Y436" s="478"/>
      <c r="Z436" s="32"/>
      <c r="AA436" s="662"/>
      <c r="AB436" s="36"/>
      <c r="AC436" s="36"/>
      <c r="AD436" s="33"/>
    </row>
    <row r="437" spans="1:30" ht="15.75" customHeight="1">
      <c r="A437" s="151"/>
      <c r="B437" s="31"/>
      <c r="C437" s="31"/>
      <c r="D437" s="31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7"/>
      <c r="X437" s="31"/>
      <c r="Y437" s="478"/>
      <c r="Z437" s="32"/>
      <c r="AA437" s="662"/>
      <c r="AB437" s="36"/>
      <c r="AC437" s="36"/>
      <c r="AD437" s="33"/>
    </row>
    <row r="438" spans="1:30" ht="15.75" customHeight="1">
      <c r="A438" s="151"/>
      <c r="B438" s="31"/>
      <c r="C438" s="31"/>
      <c r="D438" s="31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7"/>
      <c r="X438" s="31"/>
      <c r="Y438" s="478"/>
      <c r="Z438" s="32"/>
      <c r="AA438" s="662"/>
      <c r="AB438" s="36"/>
      <c r="AC438" s="36"/>
      <c r="AD438" s="33"/>
    </row>
    <row r="439" spans="1:30" ht="15.75" customHeight="1">
      <c r="A439" s="151"/>
      <c r="B439" s="31"/>
      <c r="C439" s="31"/>
      <c r="D439" s="31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7"/>
      <c r="X439" s="31"/>
      <c r="Y439" s="478"/>
      <c r="Z439" s="32"/>
      <c r="AA439" s="662"/>
      <c r="AB439" s="36"/>
      <c r="AC439" s="36"/>
      <c r="AD439" s="33"/>
    </row>
    <row r="440" spans="1:30" ht="15.75" customHeight="1">
      <c r="A440" s="151"/>
      <c r="B440" s="31"/>
      <c r="C440" s="31"/>
      <c r="D440" s="31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7"/>
      <c r="X440" s="31"/>
      <c r="Y440" s="478"/>
      <c r="Z440" s="32"/>
      <c r="AA440" s="662"/>
      <c r="AB440" s="36"/>
      <c r="AC440" s="36"/>
      <c r="AD440" s="33"/>
    </row>
    <row r="441" spans="1:30" ht="15.75" customHeight="1">
      <c r="A441" s="151"/>
      <c r="B441" s="31"/>
      <c r="C441" s="31"/>
      <c r="D441" s="31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7"/>
      <c r="X441" s="31"/>
      <c r="Y441" s="478"/>
      <c r="Z441" s="32"/>
      <c r="AA441" s="662"/>
      <c r="AB441" s="36"/>
      <c r="AC441" s="36"/>
      <c r="AD441" s="33"/>
    </row>
    <row r="442" spans="1:30" ht="15.75" customHeight="1">
      <c r="A442" s="151"/>
      <c r="B442" s="31"/>
      <c r="C442" s="31"/>
      <c r="D442" s="31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7"/>
      <c r="X442" s="31"/>
      <c r="Y442" s="478"/>
      <c r="Z442" s="32"/>
      <c r="AA442" s="662"/>
      <c r="AB442" s="36"/>
      <c r="AC442" s="36"/>
      <c r="AD442" s="33"/>
    </row>
    <row r="443" spans="1:30" ht="15.75" customHeight="1">
      <c r="A443" s="151"/>
      <c r="B443" s="31"/>
      <c r="C443" s="31"/>
      <c r="D443" s="31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7"/>
      <c r="X443" s="31"/>
      <c r="Y443" s="478"/>
      <c r="Z443" s="32"/>
      <c r="AA443" s="662"/>
      <c r="AB443" s="36"/>
      <c r="AC443" s="36"/>
      <c r="AD443" s="33"/>
    </row>
    <row r="444" spans="1:30" ht="15.75" customHeight="1">
      <c r="A444" s="151"/>
      <c r="B444" s="31"/>
      <c r="C444" s="31"/>
      <c r="D444" s="31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7"/>
      <c r="X444" s="31"/>
      <c r="Y444" s="478"/>
      <c r="Z444" s="32"/>
      <c r="AA444" s="662"/>
      <c r="AB444" s="36"/>
      <c r="AC444" s="36"/>
      <c r="AD444" s="33"/>
    </row>
    <row r="445" spans="1:30" ht="15.75" customHeight="1">
      <c r="A445" s="151"/>
      <c r="B445" s="31"/>
      <c r="C445" s="31"/>
      <c r="D445" s="31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7"/>
      <c r="X445" s="31"/>
      <c r="Y445" s="478"/>
      <c r="Z445" s="32"/>
      <c r="AA445" s="662"/>
      <c r="AB445" s="36"/>
      <c r="AC445" s="36"/>
      <c r="AD445" s="33"/>
    </row>
    <row r="446" spans="1:30" ht="15.75" customHeight="1">
      <c r="A446" s="151"/>
      <c r="B446" s="31"/>
      <c r="C446" s="31"/>
      <c r="D446" s="31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7"/>
      <c r="X446" s="31"/>
      <c r="Y446" s="478"/>
      <c r="Z446" s="32"/>
      <c r="AA446" s="662"/>
      <c r="AB446" s="36"/>
      <c r="AC446" s="36"/>
      <c r="AD446" s="33"/>
    </row>
    <row r="447" spans="1:30" ht="15.75" customHeight="1">
      <c r="A447" s="151"/>
      <c r="B447" s="31"/>
      <c r="C447" s="31"/>
      <c r="D447" s="31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7"/>
      <c r="X447" s="31"/>
      <c r="Y447" s="478"/>
      <c r="Z447" s="32"/>
      <c r="AA447" s="662"/>
      <c r="AB447" s="36"/>
      <c r="AC447" s="36"/>
      <c r="AD447" s="33"/>
    </row>
    <row r="448" spans="1:30" ht="15.75" customHeight="1">
      <c r="A448" s="151"/>
      <c r="B448" s="31"/>
      <c r="C448" s="31"/>
      <c r="D448" s="31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7"/>
      <c r="X448" s="31"/>
      <c r="Y448" s="478"/>
      <c r="Z448" s="32"/>
      <c r="AA448" s="662"/>
      <c r="AB448" s="36"/>
      <c r="AC448" s="36"/>
      <c r="AD448" s="33"/>
    </row>
    <row r="449" spans="1:30" ht="15.75" customHeight="1">
      <c r="A449" s="151"/>
      <c r="B449" s="31"/>
      <c r="C449" s="31"/>
      <c r="D449" s="31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7"/>
      <c r="X449" s="31"/>
      <c r="Y449" s="478"/>
      <c r="Z449" s="32"/>
      <c r="AA449" s="662"/>
      <c r="AB449" s="36"/>
      <c r="AC449" s="36"/>
      <c r="AD449" s="33"/>
    </row>
    <row r="450" spans="1:30" ht="15.75" customHeight="1">
      <c r="A450" s="151"/>
      <c r="B450" s="31"/>
      <c r="C450" s="31"/>
      <c r="D450" s="31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7"/>
      <c r="X450" s="31"/>
      <c r="Y450" s="478"/>
      <c r="Z450" s="32"/>
      <c r="AA450" s="662"/>
      <c r="AB450" s="36"/>
      <c r="AC450" s="36"/>
      <c r="AD450" s="33"/>
    </row>
    <row r="451" spans="1:30" ht="15.75" customHeight="1">
      <c r="A451" s="151"/>
      <c r="B451" s="31"/>
      <c r="C451" s="31"/>
      <c r="D451" s="31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7"/>
      <c r="X451" s="31"/>
      <c r="Y451" s="478"/>
      <c r="Z451" s="32"/>
      <c r="AA451" s="662"/>
      <c r="AB451" s="36"/>
      <c r="AC451" s="36"/>
      <c r="AD451" s="33"/>
    </row>
    <row r="452" spans="1:30" ht="15.75" customHeight="1">
      <c r="A452" s="151"/>
      <c r="B452" s="31"/>
      <c r="C452" s="31"/>
      <c r="D452" s="31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7"/>
      <c r="X452" s="31"/>
      <c r="Y452" s="478"/>
      <c r="Z452" s="32"/>
      <c r="AA452" s="662"/>
      <c r="AB452" s="36"/>
      <c r="AC452" s="36"/>
      <c r="AD452" s="33"/>
    </row>
    <row r="453" spans="1:30" ht="15.75" customHeight="1">
      <c r="A453" s="151"/>
      <c r="B453" s="31"/>
      <c r="C453" s="31"/>
      <c r="D453" s="31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7"/>
      <c r="X453" s="31"/>
      <c r="Y453" s="478"/>
      <c r="Z453" s="32"/>
      <c r="AA453" s="662"/>
      <c r="AB453" s="36"/>
      <c r="AC453" s="36"/>
      <c r="AD453" s="33"/>
    </row>
    <row r="454" spans="1:30" ht="15.75" customHeight="1">
      <c r="A454" s="151"/>
      <c r="B454" s="31"/>
      <c r="C454" s="31"/>
      <c r="D454" s="31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7"/>
      <c r="X454" s="31"/>
      <c r="Y454" s="478"/>
      <c r="Z454" s="32"/>
      <c r="AA454" s="662"/>
      <c r="AB454" s="36"/>
      <c r="AC454" s="36"/>
      <c r="AD454" s="33"/>
    </row>
    <row r="455" spans="1:30" ht="15.75" customHeight="1">
      <c r="A455" s="151"/>
      <c r="B455" s="31"/>
      <c r="C455" s="31"/>
      <c r="D455" s="31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7"/>
      <c r="X455" s="31"/>
      <c r="Y455" s="478"/>
      <c r="Z455" s="32"/>
      <c r="AA455" s="662"/>
      <c r="AB455" s="36"/>
      <c r="AC455" s="36"/>
      <c r="AD455" s="33"/>
    </row>
    <row r="456" spans="1:30" ht="15.75" customHeight="1">
      <c r="A456" s="151"/>
      <c r="B456" s="31"/>
      <c r="C456" s="31"/>
      <c r="D456" s="31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7"/>
      <c r="X456" s="31"/>
      <c r="Y456" s="478"/>
      <c r="Z456" s="32"/>
      <c r="AA456" s="662"/>
      <c r="AB456" s="36"/>
      <c r="AC456" s="36"/>
      <c r="AD456" s="33"/>
    </row>
    <row r="457" spans="1:30" ht="15.75" customHeight="1">
      <c r="A457" s="151"/>
      <c r="B457" s="31"/>
      <c r="C457" s="31"/>
      <c r="D457" s="31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7"/>
      <c r="X457" s="31"/>
      <c r="Y457" s="478"/>
      <c r="Z457" s="32"/>
      <c r="AA457" s="662"/>
      <c r="AB457" s="36"/>
      <c r="AC457" s="36"/>
      <c r="AD457" s="33"/>
    </row>
    <row r="458" spans="1:30" ht="15.75" customHeight="1">
      <c r="A458" s="151"/>
      <c r="B458" s="31"/>
      <c r="C458" s="31"/>
      <c r="D458" s="31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7"/>
      <c r="X458" s="31"/>
      <c r="Y458" s="478"/>
      <c r="Z458" s="32"/>
      <c r="AA458" s="662"/>
      <c r="AB458" s="36"/>
      <c r="AC458" s="36"/>
      <c r="AD458" s="33"/>
    </row>
    <row r="459" spans="1:30" ht="15.75" customHeight="1">
      <c r="A459" s="151"/>
      <c r="B459" s="31"/>
      <c r="C459" s="31"/>
      <c r="D459" s="31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7"/>
      <c r="X459" s="31"/>
      <c r="Y459" s="478"/>
      <c r="Z459" s="32"/>
      <c r="AA459" s="662"/>
      <c r="AB459" s="36"/>
      <c r="AC459" s="36"/>
      <c r="AD459" s="33"/>
    </row>
    <row r="460" spans="1:30" ht="15.75" customHeight="1">
      <c r="A460" s="151"/>
      <c r="B460" s="31"/>
      <c r="C460" s="31"/>
      <c r="D460" s="31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7"/>
      <c r="X460" s="31"/>
      <c r="Y460" s="478"/>
      <c r="Z460" s="32"/>
      <c r="AA460" s="662"/>
      <c r="AB460" s="36"/>
      <c r="AC460" s="36"/>
      <c r="AD460" s="33"/>
    </row>
    <row r="461" spans="1:30" ht="15.75" customHeight="1">
      <c r="A461" s="151"/>
      <c r="B461" s="31"/>
      <c r="C461" s="31"/>
      <c r="D461" s="31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7"/>
      <c r="X461" s="31"/>
      <c r="Y461" s="478"/>
      <c r="Z461" s="32"/>
      <c r="AA461" s="662"/>
      <c r="AB461" s="36"/>
      <c r="AC461" s="36"/>
      <c r="AD461" s="33"/>
    </row>
    <row r="462" spans="1:30" ht="15.75" customHeight="1">
      <c r="A462" s="151"/>
      <c r="B462" s="31"/>
      <c r="C462" s="31"/>
      <c r="D462" s="31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7"/>
      <c r="X462" s="31"/>
      <c r="Y462" s="478"/>
      <c r="Z462" s="32"/>
      <c r="AA462" s="662"/>
      <c r="AB462" s="36"/>
      <c r="AC462" s="36"/>
      <c r="AD462" s="33"/>
    </row>
    <row r="463" spans="1:30" ht="15.75" customHeight="1">
      <c r="A463" s="151"/>
      <c r="B463" s="31"/>
      <c r="C463" s="31"/>
      <c r="D463" s="31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7"/>
      <c r="X463" s="31"/>
      <c r="Y463" s="478"/>
      <c r="Z463" s="32"/>
      <c r="AA463" s="662"/>
      <c r="AB463" s="36"/>
      <c r="AC463" s="36"/>
      <c r="AD463" s="33"/>
    </row>
    <row r="464" spans="1:30" ht="15.75" customHeight="1">
      <c r="A464" s="151"/>
      <c r="B464" s="31"/>
      <c r="C464" s="31"/>
      <c r="D464" s="31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7"/>
      <c r="X464" s="31"/>
      <c r="Y464" s="478"/>
      <c r="Z464" s="32"/>
      <c r="AA464" s="662"/>
      <c r="AB464" s="36"/>
      <c r="AC464" s="36"/>
      <c r="AD464" s="33"/>
    </row>
    <row r="465" spans="1:30" ht="15.75" customHeight="1">
      <c r="A465" s="151"/>
      <c r="B465" s="31"/>
      <c r="C465" s="31"/>
      <c r="D465" s="31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7"/>
      <c r="X465" s="31"/>
      <c r="Y465" s="478"/>
      <c r="Z465" s="32"/>
      <c r="AA465" s="662"/>
      <c r="AB465" s="36"/>
      <c r="AC465" s="36"/>
      <c r="AD465" s="33"/>
    </row>
    <row r="466" spans="1:30" ht="15.75" customHeight="1">
      <c r="A466" s="151"/>
      <c r="B466" s="31"/>
      <c r="C466" s="31"/>
      <c r="D466" s="31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7"/>
      <c r="X466" s="31"/>
      <c r="Y466" s="478"/>
      <c r="Z466" s="32"/>
      <c r="AA466" s="662"/>
      <c r="AB466" s="36"/>
      <c r="AC466" s="36"/>
      <c r="AD466" s="33"/>
    </row>
    <row r="467" spans="1:30" ht="15.75" customHeight="1">
      <c r="A467" s="151"/>
      <c r="B467" s="31"/>
      <c r="C467" s="31"/>
      <c r="D467" s="31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7"/>
      <c r="X467" s="31"/>
      <c r="Y467" s="478"/>
      <c r="Z467" s="32"/>
      <c r="AA467" s="662"/>
      <c r="AB467" s="36"/>
      <c r="AC467" s="36"/>
      <c r="AD467" s="33"/>
    </row>
    <row r="468" spans="1:30" ht="15.75" customHeight="1">
      <c r="A468" s="151"/>
      <c r="B468" s="31"/>
      <c r="C468" s="31"/>
      <c r="D468" s="31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7"/>
      <c r="X468" s="31"/>
      <c r="Y468" s="478"/>
      <c r="Z468" s="32"/>
      <c r="AA468" s="662"/>
      <c r="AB468" s="36"/>
      <c r="AC468" s="36"/>
      <c r="AD468" s="33"/>
    </row>
    <row r="469" spans="1:30" ht="15.75" customHeight="1">
      <c r="A469" s="151"/>
      <c r="B469" s="31"/>
      <c r="C469" s="31"/>
      <c r="D469" s="31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7"/>
      <c r="X469" s="31"/>
      <c r="Y469" s="478"/>
      <c r="Z469" s="32"/>
      <c r="AA469" s="662"/>
      <c r="AB469" s="36"/>
      <c r="AC469" s="36"/>
      <c r="AD469" s="33"/>
    </row>
    <row r="470" spans="1:30" ht="15.75" customHeight="1">
      <c r="A470" s="151"/>
      <c r="B470" s="31"/>
      <c r="C470" s="31"/>
      <c r="D470" s="31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7"/>
      <c r="X470" s="31"/>
      <c r="Y470" s="478"/>
      <c r="Z470" s="32"/>
      <c r="AA470" s="662"/>
      <c r="AB470" s="36"/>
      <c r="AC470" s="36"/>
      <c r="AD470" s="33"/>
    </row>
    <row r="471" spans="1:30" ht="15.75" customHeight="1">
      <c r="A471" s="151"/>
      <c r="B471" s="31"/>
      <c r="C471" s="31"/>
      <c r="D471" s="31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7"/>
      <c r="X471" s="31"/>
      <c r="Y471" s="478"/>
      <c r="Z471" s="32"/>
      <c r="AA471" s="662"/>
      <c r="AB471" s="36"/>
      <c r="AC471" s="36"/>
      <c r="AD471" s="33"/>
    </row>
    <row r="472" spans="1:30" ht="15.75" customHeight="1">
      <c r="A472" s="151"/>
      <c r="B472" s="31"/>
      <c r="C472" s="31"/>
      <c r="D472" s="31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7"/>
      <c r="X472" s="31"/>
      <c r="Y472" s="478"/>
      <c r="Z472" s="32"/>
      <c r="AA472" s="662"/>
      <c r="AB472" s="36"/>
      <c r="AC472" s="36"/>
      <c r="AD472" s="33"/>
    </row>
    <row r="473" spans="1:30" ht="15.75" customHeight="1">
      <c r="A473" s="151"/>
      <c r="B473" s="31"/>
      <c r="C473" s="31"/>
      <c r="D473" s="31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7"/>
      <c r="X473" s="31"/>
      <c r="Y473" s="478"/>
      <c r="Z473" s="32"/>
      <c r="AA473" s="662"/>
      <c r="AB473" s="36"/>
      <c r="AC473" s="36"/>
      <c r="AD473" s="33"/>
    </row>
    <row r="474" spans="1:30" ht="15.75" customHeight="1">
      <c r="A474" s="151"/>
      <c r="B474" s="31"/>
      <c r="C474" s="31"/>
      <c r="D474" s="31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7"/>
      <c r="X474" s="31"/>
      <c r="Y474" s="478"/>
      <c r="Z474" s="32"/>
      <c r="AA474" s="662"/>
      <c r="AB474" s="36"/>
      <c r="AC474" s="36"/>
      <c r="AD474" s="33"/>
    </row>
    <row r="475" spans="1:30" ht="15.75" customHeight="1">
      <c r="A475" s="151"/>
      <c r="B475" s="31"/>
      <c r="C475" s="31"/>
      <c r="D475" s="31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7"/>
      <c r="X475" s="31"/>
      <c r="Y475" s="478"/>
      <c r="Z475" s="32"/>
      <c r="AA475" s="662"/>
      <c r="AB475" s="36"/>
      <c r="AC475" s="36"/>
      <c r="AD475" s="33"/>
    </row>
    <row r="476" spans="1:30" ht="15.75" customHeight="1">
      <c r="A476" s="151"/>
      <c r="B476" s="31"/>
      <c r="C476" s="31"/>
      <c r="D476" s="31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7"/>
      <c r="X476" s="31"/>
      <c r="Y476" s="478"/>
      <c r="Z476" s="32"/>
      <c r="AA476" s="662"/>
      <c r="AB476" s="36"/>
      <c r="AC476" s="36"/>
      <c r="AD476" s="33"/>
    </row>
    <row r="477" spans="1:30" ht="15.75" customHeight="1">
      <c r="A477" s="151"/>
      <c r="B477" s="31"/>
      <c r="C477" s="31"/>
      <c r="D477" s="31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7"/>
      <c r="X477" s="31"/>
      <c r="Y477" s="478"/>
      <c r="Z477" s="32"/>
      <c r="AA477" s="662"/>
      <c r="AB477" s="36"/>
      <c r="AC477" s="36"/>
      <c r="AD477" s="33"/>
    </row>
    <row r="478" spans="1:30" ht="15.75" customHeight="1">
      <c r="A478" s="151"/>
      <c r="B478" s="31"/>
      <c r="C478" s="31"/>
      <c r="D478" s="31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7"/>
      <c r="X478" s="31"/>
      <c r="Y478" s="478"/>
      <c r="Z478" s="32"/>
      <c r="AA478" s="662"/>
      <c r="AB478" s="36"/>
      <c r="AC478" s="36"/>
      <c r="AD478" s="33"/>
    </row>
    <row r="479" spans="1:30" ht="15.75" customHeight="1">
      <c r="A479" s="151"/>
      <c r="B479" s="31"/>
      <c r="C479" s="31"/>
      <c r="D479" s="31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7"/>
      <c r="X479" s="31"/>
      <c r="Y479" s="478"/>
      <c r="Z479" s="32"/>
      <c r="AA479" s="662"/>
      <c r="AB479" s="36"/>
      <c r="AC479" s="36"/>
      <c r="AD479" s="33"/>
    </row>
    <row r="480" spans="1:30" ht="15.75" customHeight="1">
      <c r="A480" s="151"/>
      <c r="B480" s="31"/>
      <c r="C480" s="31"/>
      <c r="D480" s="31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7"/>
      <c r="X480" s="31"/>
      <c r="Y480" s="478"/>
      <c r="Z480" s="32"/>
      <c r="AA480" s="662"/>
      <c r="AB480" s="36"/>
      <c r="AC480" s="36"/>
      <c r="AD480" s="33"/>
    </row>
    <row r="481" spans="1:30" ht="15.75" customHeight="1">
      <c r="A481" s="151"/>
      <c r="B481" s="31"/>
      <c r="C481" s="31"/>
      <c r="D481" s="31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7"/>
      <c r="X481" s="31"/>
      <c r="Y481" s="478"/>
      <c r="Z481" s="32"/>
      <c r="AA481" s="662"/>
      <c r="AB481" s="36"/>
      <c r="AC481" s="36"/>
      <c r="AD481" s="33"/>
    </row>
    <row r="482" spans="1:30" ht="15.75" customHeight="1">
      <c r="A482" s="151"/>
      <c r="B482" s="31"/>
      <c r="C482" s="31"/>
      <c r="D482" s="31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7"/>
      <c r="X482" s="31"/>
      <c r="Y482" s="478"/>
      <c r="Z482" s="32"/>
      <c r="AA482" s="662"/>
      <c r="AB482" s="36"/>
      <c r="AC482" s="36"/>
      <c r="AD482" s="33"/>
    </row>
    <row r="483" spans="1:30" ht="15.75" customHeight="1">
      <c r="A483" s="151"/>
      <c r="B483" s="31"/>
      <c r="C483" s="31"/>
      <c r="D483" s="31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7"/>
      <c r="X483" s="31"/>
      <c r="Y483" s="478"/>
      <c r="Z483" s="32"/>
      <c r="AA483" s="662"/>
      <c r="AB483" s="36"/>
      <c r="AC483" s="36"/>
      <c r="AD483" s="33"/>
    </row>
    <row r="484" spans="1:30" ht="15.75" customHeight="1">
      <c r="A484" s="151"/>
      <c r="B484" s="31"/>
      <c r="C484" s="31"/>
      <c r="D484" s="31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7"/>
      <c r="X484" s="31"/>
      <c r="Y484" s="478"/>
      <c r="Z484" s="32"/>
      <c r="AA484" s="662"/>
      <c r="AB484" s="36"/>
      <c r="AC484" s="36"/>
      <c r="AD484" s="33"/>
    </row>
    <row r="485" spans="1:30" ht="15.75" customHeight="1">
      <c r="A485" s="151"/>
      <c r="B485" s="31"/>
      <c r="C485" s="31"/>
      <c r="D485" s="31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7"/>
      <c r="X485" s="31"/>
      <c r="Y485" s="478"/>
      <c r="Z485" s="32"/>
      <c r="AA485" s="662"/>
      <c r="AB485" s="36"/>
      <c r="AC485" s="36"/>
      <c r="AD485" s="33"/>
    </row>
    <row r="486" spans="1:30" ht="15.75" customHeight="1">
      <c r="A486" s="151"/>
      <c r="B486" s="31"/>
      <c r="C486" s="31"/>
      <c r="D486" s="31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7"/>
      <c r="X486" s="31"/>
      <c r="Y486" s="478"/>
      <c r="Z486" s="32"/>
      <c r="AA486" s="662"/>
      <c r="AB486" s="36"/>
      <c r="AC486" s="36"/>
      <c r="AD486" s="33"/>
    </row>
    <row r="487" spans="1:30" ht="15.75" customHeight="1">
      <c r="A487" s="151"/>
      <c r="B487" s="31"/>
      <c r="C487" s="31"/>
      <c r="D487" s="31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7"/>
      <c r="X487" s="31"/>
      <c r="Y487" s="478"/>
      <c r="Z487" s="32"/>
      <c r="AA487" s="662"/>
      <c r="AB487" s="36"/>
      <c r="AC487" s="36"/>
      <c r="AD487" s="33"/>
    </row>
    <row r="488" spans="1:30" ht="15.75" customHeight="1">
      <c r="A488" s="151"/>
      <c r="B488" s="31"/>
      <c r="C488" s="31"/>
      <c r="D488" s="31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7"/>
      <c r="X488" s="31"/>
      <c r="Y488" s="478"/>
      <c r="Z488" s="32"/>
      <c r="AA488" s="662"/>
      <c r="AB488" s="36"/>
      <c r="AC488" s="36"/>
      <c r="AD488" s="33"/>
    </row>
    <row r="489" spans="1:30" ht="15.75" customHeight="1">
      <c r="A489" s="151"/>
      <c r="B489" s="31"/>
      <c r="C489" s="31"/>
      <c r="D489" s="31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7"/>
      <c r="X489" s="31"/>
      <c r="Y489" s="478"/>
      <c r="Z489" s="32"/>
      <c r="AA489" s="662"/>
      <c r="AB489" s="36"/>
      <c r="AC489" s="36"/>
      <c r="AD489" s="33"/>
    </row>
    <row r="490" spans="1:30" ht="15.75" customHeight="1">
      <c r="A490" s="151"/>
      <c r="B490" s="31"/>
      <c r="C490" s="31"/>
      <c r="D490" s="31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7"/>
      <c r="X490" s="31"/>
      <c r="Y490" s="478"/>
      <c r="Z490" s="32"/>
      <c r="AA490" s="662"/>
      <c r="AB490" s="36"/>
      <c r="AC490" s="36"/>
      <c r="AD490" s="33"/>
    </row>
    <row r="491" spans="1:30" ht="15.75" customHeight="1">
      <c r="A491" s="151"/>
      <c r="B491" s="31"/>
      <c r="C491" s="31"/>
      <c r="D491" s="31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7"/>
      <c r="X491" s="31"/>
      <c r="Y491" s="478"/>
      <c r="Z491" s="32"/>
      <c r="AA491" s="662"/>
      <c r="AB491" s="36"/>
      <c r="AC491" s="36"/>
      <c r="AD491" s="33"/>
    </row>
    <row r="492" spans="1:30" ht="15.75" customHeight="1">
      <c r="A492" s="151"/>
      <c r="B492" s="31"/>
      <c r="C492" s="31"/>
      <c r="D492" s="31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7"/>
      <c r="X492" s="31"/>
      <c r="Y492" s="478"/>
      <c r="Z492" s="32"/>
      <c r="AA492" s="662"/>
      <c r="AB492" s="36"/>
      <c r="AC492" s="36"/>
      <c r="AD492" s="33"/>
    </row>
    <row r="493" spans="1:30" ht="15.75" customHeight="1">
      <c r="A493" s="151"/>
      <c r="B493" s="31"/>
      <c r="C493" s="31"/>
      <c r="D493" s="31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7"/>
      <c r="X493" s="31"/>
      <c r="Y493" s="478"/>
      <c r="Z493" s="32"/>
      <c r="AA493" s="662"/>
      <c r="AB493" s="36"/>
      <c r="AC493" s="36"/>
      <c r="AD493" s="33"/>
    </row>
    <row r="494" spans="1:30" ht="15.75" customHeight="1">
      <c r="A494" s="151"/>
      <c r="B494" s="31"/>
      <c r="C494" s="31"/>
      <c r="D494" s="31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7"/>
      <c r="X494" s="31"/>
      <c r="Y494" s="478"/>
      <c r="Z494" s="32"/>
      <c r="AA494" s="662"/>
      <c r="AB494" s="36"/>
      <c r="AC494" s="36"/>
      <c r="AD494" s="33"/>
    </row>
    <row r="495" spans="1:30" ht="15.75" customHeight="1">
      <c r="A495" s="151"/>
      <c r="B495" s="31"/>
      <c r="C495" s="31"/>
      <c r="D495" s="31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7"/>
      <c r="X495" s="31"/>
      <c r="Y495" s="478"/>
      <c r="Z495" s="32"/>
      <c r="AA495" s="662"/>
      <c r="AB495" s="36"/>
      <c r="AC495" s="36"/>
      <c r="AD495" s="33"/>
    </row>
    <row r="496" spans="1:30" ht="15.75" customHeight="1">
      <c r="A496" s="151"/>
      <c r="B496" s="31"/>
      <c r="C496" s="31"/>
      <c r="D496" s="31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7"/>
      <c r="X496" s="31"/>
      <c r="Y496" s="478"/>
      <c r="Z496" s="32"/>
      <c r="AA496" s="662"/>
      <c r="AB496" s="36"/>
      <c r="AC496" s="36"/>
      <c r="AD496" s="33"/>
    </row>
    <row r="497" spans="1:30" ht="15.75" customHeight="1">
      <c r="A497" s="151"/>
      <c r="B497" s="31"/>
      <c r="C497" s="31"/>
      <c r="D497" s="31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7"/>
      <c r="X497" s="31"/>
      <c r="Y497" s="478"/>
      <c r="Z497" s="32"/>
      <c r="AA497" s="662"/>
      <c r="AB497" s="36"/>
      <c r="AC497" s="36"/>
      <c r="AD497" s="33"/>
    </row>
    <row r="498" spans="1:30" ht="15.75" customHeight="1">
      <c r="A498" s="151"/>
      <c r="B498" s="31"/>
      <c r="C498" s="31"/>
      <c r="D498" s="31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7"/>
      <c r="X498" s="31"/>
      <c r="Y498" s="478"/>
      <c r="Z498" s="32"/>
      <c r="AA498" s="662"/>
      <c r="AB498" s="36"/>
      <c r="AC498" s="36"/>
      <c r="AD498" s="33"/>
    </row>
    <row r="499" spans="1:30" ht="15.75" customHeight="1">
      <c r="A499" s="151"/>
      <c r="B499" s="31"/>
      <c r="C499" s="31"/>
      <c r="D499" s="31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7"/>
      <c r="X499" s="31"/>
      <c r="Y499" s="478"/>
      <c r="Z499" s="32"/>
      <c r="AA499" s="662"/>
      <c r="AB499" s="36"/>
      <c r="AC499" s="36"/>
      <c r="AD499" s="33"/>
    </row>
    <row r="500" spans="1:30" ht="15.75" customHeight="1">
      <c r="A500" s="151"/>
      <c r="B500" s="31"/>
      <c r="C500" s="31"/>
      <c r="D500" s="31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7"/>
      <c r="X500" s="31"/>
      <c r="Y500" s="478"/>
      <c r="Z500" s="32"/>
      <c r="AA500" s="662"/>
      <c r="AB500" s="36"/>
      <c r="AC500" s="36"/>
      <c r="AD500" s="33"/>
    </row>
    <row r="501" spans="1:30" ht="15.75" customHeight="1">
      <c r="A501" s="151"/>
      <c r="B501" s="31"/>
      <c r="C501" s="31"/>
      <c r="D501" s="31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7"/>
      <c r="X501" s="31"/>
      <c r="Y501" s="478"/>
      <c r="Z501" s="32"/>
      <c r="AA501" s="662"/>
      <c r="AB501" s="36"/>
      <c r="AC501" s="36"/>
      <c r="AD501" s="33"/>
    </row>
    <row r="502" spans="1:30" ht="15.75" customHeight="1">
      <c r="A502" s="151"/>
      <c r="B502" s="31"/>
      <c r="C502" s="31"/>
      <c r="D502" s="31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7"/>
      <c r="X502" s="31"/>
      <c r="Y502" s="478"/>
      <c r="Z502" s="32"/>
      <c r="AA502" s="662"/>
      <c r="AB502" s="36"/>
      <c r="AC502" s="36"/>
      <c r="AD502" s="33"/>
    </row>
    <row r="503" spans="1:30" ht="15.75" customHeight="1">
      <c r="A503" s="151"/>
      <c r="B503" s="31"/>
      <c r="C503" s="31"/>
      <c r="D503" s="31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7"/>
      <c r="X503" s="31"/>
      <c r="Y503" s="478"/>
      <c r="Z503" s="32"/>
      <c r="AA503" s="662"/>
      <c r="AB503" s="36"/>
      <c r="AC503" s="36"/>
      <c r="AD503" s="33"/>
    </row>
    <row r="504" spans="1:30" ht="15.75" customHeight="1">
      <c r="A504" s="151"/>
      <c r="B504" s="31"/>
      <c r="C504" s="31"/>
      <c r="D504" s="31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7"/>
      <c r="X504" s="31"/>
      <c r="Y504" s="478"/>
      <c r="Z504" s="32"/>
      <c r="AA504" s="662"/>
      <c r="AB504" s="36"/>
      <c r="AC504" s="36"/>
      <c r="AD504" s="33"/>
    </row>
    <row r="505" spans="1:30" ht="15.75" customHeight="1">
      <c r="A505" s="151"/>
      <c r="B505" s="31"/>
      <c r="C505" s="31"/>
      <c r="D505" s="31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7"/>
      <c r="X505" s="31"/>
      <c r="Y505" s="478"/>
      <c r="Z505" s="32"/>
      <c r="AA505" s="662"/>
      <c r="AB505" s="36"/>
      <c r="AC505" s="36"/>
      <c r="AD505" s="33"/>
    </row>
    <row r="506" spans="1:30" ht="15.75" customHeight="1">
      <c r="A506" s="151"/>
      <c r="B506" s="31"/>
      <c r="C506" s="31"/>
      <c r="D506" s="31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7"/>
      <c r="X506" s="31"/>
      <c r="Y506" s="478"/>
      <c r="Z506" s="32"/>
      <c r="AA506" s="662"/>
      <c r="AB506" s="36"/>
      <c r="AC506" s="36"/>
      <c r="AD506" s="33"/>
    </row>
    <row r="507" spans="1:30" ht="15.75" customHeight="1">
      <c r="A507" s="151"/>
      <c r="B507" s="31"/>
      <c r="C507" s="31"/>
      <c r="D507" s="31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7"/>
      <c r="X507" s="31"/>
      <c r="Y507" s="478"/>
      <c r="Z507" s="32"/>
      <c r="AA507" s="662"/>
      <c r="AB507" s="36"/>
      <c r="AC507" s="36"/>
      <c r="AD507" s="33"/>
    </row>
    <row r="508" spans="1:30" ht="15.75" customHeight="1">
      <c r="A508" s="151"/>
      <c r="B508" s="31"/>
      <c r="C508" s="31"/>
      <c r="D508" s="31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7"/>
      <c r="X508" s="31"/>
      <c r="Y508" s="478"/>
      <c r="Z508" s="32"/>
      <c r="AA508" s="662"/>
      <c r="AB508" s="36"/>
      <c r="AC508" s="36"/>
      <c r="AD508" s="33"/>
    </row>
    <row r="509" spans="1:30" ht="15.75" customHeight="1">
      <c r="A509" s="151"/>
      <c r="B509" s="31"/>
      <c r="C509" s="31"/>
      <c r="D509" s="31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7"/>
      <c r="X509" s="31"/>
      <c r="Y509" s="478"/>
      <c r="Z509" s="32"/>
      <c r="AA509" s="662"/>
      <c r="AB509" s="36"/>
      <c r="AC509" s="36"/>
      <c r="AD509" s="33"/>
    </row>
    <row r="510" spans="1:30" ht="15.75" customHeight="1">
      <c r="A510" s="151"/>
      <c r="B510" s="31"/>
      <c r="C510" s="31"/>
      <c r="D510" s="31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7"/>
      <c r="X510" s="31"/>
      <c r="Y510" s="478"/>
      <c r="Z510" s="32"/>
      <c r="AA510" s="662"/>
      <c r="AB510" s="36"/>
      <c r="AC510" s="36"/>
      <c r="AD510" s="33"/>
    </row>
    <row r="511" spans="1:30" ht="15.75" customHeight="1">
      <c r="A511" s="151"/>
      <c r="B511" s="31"/>
      <c r="C511" s="31"/>
      <c r="D511" s="31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7"/>
      <c r="X511" s="31"/>
      <c r="Y511" s="478"/>
      <c r="Z511" s="32"/>
      <c r="AA511" s="662"/>
      <c r="AB511" s="36"/>
      <c r="AC511" s="36"/>
      <c r="AD511" s="33"/>
    </row>
    <row r="512" spans="1:30" ht="15.75" customHeight="1">
      <c r="A512" s="151"/>
      <c r="B512" s="31"/>
      <c r="C512" s="31"/>
      <c r="D512" s="31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7"/>
      <c r="X512" s="31"/>
      <c r="Y512" s="478"/>
      <c r="Z512" s="32"/>
      <c r="AA512" s="662"/>
      <c r="AB512" s="36"/>
      <c r="AC512" s="36"/>
      <c r="AD512" s="33"/>
    </row>
    <row r="513" spans="1:30" ht="15.75" customHeight="1">
      <c r="A513" s="151"/>
      <c r="B513" s="31"/>
      <c r="C513" s="31"/>
      <c r="D513" s="31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7"/>
      <c r="X513" s="31"/>
      <c r="Y513" s="478"/>
      <c r="Z513" s="32"/>
      <c r="AA513" s="662"/>
      <c r="AB513" s="36"/>
      <c r="AC513" s="36"/>
      <c r="AD513" s="33"/>
    </row>
    <row r="514" spans="1:30" ht="15.75" customHeight="1">
      <c r="A514" s="151"/>
      <c r="B514" s="31"/>
      <c r="C514" s="31"/>
      <c r="D514" s="31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7"/>
      <c r="X514" s="31"/>
      <c r="Y514" s="478"/>
      <c r="Z514" s="32"/>
      <c r="AA514" s="662"/>
      <c r="AB514" s="36"/>
      <c r="AC514" s="36"/>
      <c r="AD514" s="33"/>
    </row>
    <row r="515" spans="1:30" ht="15.75" customHeight="1">
      <c r="A515" s="151"/>
      <c r="B515" s="31"/>
      <c r="C515" s="31"/>
      <c r="D515" s="31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7"/>
      <c r="X515" s="31"/>
      <c r="Y515" s="478"/>
      <c r="Z515" s="32"/>
      <c r="AA515" s="662"/>
      <c r="AB515" s="36"/>
      <c r="AC515" s="36"/>
      <c r="AD515" s="33"/>
    </row>
    <row r="516" spans="1:30" ht="15.75" customHeight="1">
      <c r="A516" s="151"/>
      <c r="B516" s="31"/>
      <c r="C516" s="31"/>
      <c r="D516" s="31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7"/>
      <c r="X516" s="31"/>
      <c r="Y516" s="478"/>
      <c r="Z516" s="32"/>
      <c r="AA516" s="662"/>
      <c r="AB516" s="36"/>
      <c r="AC516" s="36"/>
      <c r="AD516" s="33"/>
    </row>
    <row r="517" spans="1:30" ht="15.75" customHeight="1">
      <c r="A517" s="151"/>
      <c r="B517" s="31"/>
      <c r="C517" s="31"/>
      <c r="D517" s="31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7"/>
      <c r="X517" s="31"/>
      <c r="Y517" s="478"/>
      <c r="Z517" s="32"/>
      <c r="AA517" s="662"/>
      <c r="AB517" s="36"/>
      <c r="AC517" s="36"/>
      <c r="AD517" s="33"/>
    </row>
    <row r="518" spans="1:30" ht="15.75" customHeight="1">
      <c r="A518" s="151"/>
      <c r="B518" s="31"/>
      <c r="C518" s="31"/>
      <c r="D518" s="31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7"/>
      <c r="X518" s="31"/>
      <c r="Y518" s="478"/>
      <c r="Z518" s="32"/>
      <c r="AA518" s="662"/>
      <c r="AB518" s="36"/>
      <c r="AC518" s="36"/>
      <c r="AD518" s="33"/>
    </row>
    <row r="519" spans="1:30" ht="15.75" customHeight="1">
      <c r="A519" s="151"/>
      <c r="B519" s="31"/>
      <c r="C519" s="31"/>
      <c r="D519" s="31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7"/>
      <c r="X519" s="31"/>
      <c r="Y519" s="478"/>
      <c r="Z519" s="32"/>
      <c r="AA519" s="662"/>
      <c r="AB519" s="36"/>
      <c r="AC519" s="36"/>
      <c r="AD519" s="33"/>
    </row>
    <row r="520" spans="1:30" ht="15.75" customHeight="1">
      <c r="A520" s="151"/>
      <c r="B520" s="31"/>
      <c r="C520" s="31"/>
      <c r="D520" s="31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7"/>
      <c r="X520" s="31"/>
      <c r="Y520" s="478"/>
      <c r="Z520" s="32"/>
      <c r="AA520" s="662"/>
      <c r="AB520" s="36"/>
      <c r="AC520" s="36"/>
      <c r="AD520" s="33"/>
    </row>
    <row r="521" spans="1:30" ht="15.75" customHeight="1">
      <c r="A521" s="151"/>
      <c r="B521" s="31"/>
      <c r="C521" s="31"/>
      <c r="D521" s="31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7"/>
      <c r="X521" s="31"/>
      <c r="Y521" s="478"/>
      <c r="Z521" s="32"/>
      <c r="AA521" s="662"/>
      <c r="AB521" s="36"/>
      <c r="AC521" s="36"/>
      <c r="AD521" s="33"/>
    </row>
    <row r="522" spans="1:30" ht="15.75" customHeight="1">
      <c r="A522" s="151"/>
      <c r="B522" s="31"/>
      <c r="C522" s="31"/>
      <c r="D522" s="31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7"/>
      <c r="X522" s="31"/>
      <c r="Y522" s="478"/>
      <c r="Z522" s="32"/>
      <c r="AA522" s="662"/>
      <c r="AB522" s="36"/>
      <c r="AC522" s="36"/>
      <c r="AD522" s="33"/>
    </row>
    <row r="523" spans="1:30" ht="15.75" customHeight="1">
      <c r="A523" s="151"/>
      <c r="B523" s="31"/>
      <c r="C523" s="31"/>
      <c r="D523" s="31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7"/>
      <c r="X523" s="31"/>
      <c r="Y523" s="478"/>
      <c r="Z523" s="32"/>
      <c r="AA523" s="662"/>
      <c r="AB523" s="36"/>
      <c r="AC523" s="36"/>
      <c r="AD523" s="33"/>
    </row>
    <row r="524" spans="1:30" ht="15.75" customHeight="1">
      <c r="A524" s="151"/>
      <c r="B524" s="31"/>
      <c r="C524" s="31"/>
      <c r="D524" s="31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7"/>
      <c r="X524" s="31"/>
      <c r="Y524" s="478"/>
      <c r="Z524" s="32"/>
      <c r="AA524" s="662"/>
      <c r="AB524" s="36"/>
      <c r="AC524" s="36"/>
      <c r="AD524" s="33"/>
    </row>
    <row r="525" spans="1:30" ht="15.75" customHeight="1">
      <c r="A525" s="151"/>
      <c r="B525" s="31"/>
      <c r="C525" s="31"/>
      <c r="D525" s="31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7"/>
      <c r="X525" s="31"/>
      <c r="Y525" s="478"/>
      <c r="Z525" s="32"/>
      <c r="AA525" s="662"/>
      <c r="AB525" s="36"/>
      <c r="AC525" s="36"/>
      <c r="AD525" s="33"/>
    </row>
    <row r="526" spans="1:30" ht="15.75" customHeight="1">
      <c r="A526" s="151"/>
      <c r="B526" s="31"/>
      <c r="C526" s="31"/>
      <c r="D526" s="31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7"/>
      <c r="X526" s="31"/>
      <c r="Y526" s="478"/>
      <c r="Z526" s="32"/>
      <c r="AA526" s="662"/>
      <c r="AB526" s="36"/>
      <c r="AC526" s="36"/>
      <c r="AD526" s="33"/>
    </row>
    <row r="527" spans="1:30" ht="15.75" customHeight="1">
      <c r="A527" s="151"/>
      <c r="B527" s="31"/>
      <c r="C527" s="31"/>
      <c r="D527" s="31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7"/>
      <c r="X527" s="31"/>
      <c r="Y527" s="478"/>
      <c r="Z527" s="32"/>
      <c r="AA527" s="662"/>
      <c r="AB527" s="36"/>
      <c r="AC527" s="36"/>
      <c r="AD527" s="33"/>
    </row>
    <row r="528" spans="1:30" ht="15.75" customHeight="1">
      <c r="A528" s="151"/>
      <c r="B528" s="31"/>
      <c r="C528" s="31"/>
      <c r="D528" s="31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7"/>
      <c r="X528" s="31"/>
      <c r="Y528" s="478"/>
      <c r="Z528" s="32"/>
      <c r="AA528" s="662"/>
      <c r="AB528" s="36"/>
      <c r="AC528" s="36"/>
      <c r="AD528" s="33"/>
    </row>
    <row r="529" spans="1:30" ht="15.75" customHeight="1">
      <c r="A529" s="151"/>
      <c r="B529" s="31"/>
      <c r="C529" s="31"/>
      <c r="D529" s="31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7"/>
      <c r="X529" s="31"/>
      <c r="Y529" s="478"/>
      <c r="Z529" s="32"/>
      <c r="AA529" s="662"/>
      <c r="AB529" s="36"/>
      <c r="AC529" s="36"/>
      <c r="AD529" s="33"/>
    </row>
    <row r="530" spans="1:30" ht="15.75" customHeight="1">
      <c r="A530" s="151"/>
      <c r="B530" s="31"/>
      <c r="C530" s="31"/>
      <c r="D530" s="31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7"/>
      <c r="X530" s="31"/>
      <c r="Y530" s="478"/>
      <c r="Z530" s="32"/>
      <c r="AA530" s="662"/>
      <c r="AB530" s="36"/>
      <c r="AC530" s="36"/>
      <c r="AD530" s="33"/>
    </row>
    <row r="531" spans="1:30" ht="15.75" customHeight="1">
      <c r="A531" s="151"/>
      <c r="B531" s="31"/>
      <c r="C531" s="31"/>
      <c r="D531" s="31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7"/>
      <c r="X531" s="31"/>
      <c r="Y531" s="478"/>
      <c r="Z531" s="32"/>
      <c r="AA531" s="662"/>
      <c r="AB531" s="36"/>
      <c r="AC531" s="36"/>
      <c r="AD531" s="33"/>
    </row>
    <row r="532" spans="1:30" ht="15.75" customHeight="1">
      <c r="A532" s="151"/>
      <c r="B532" s="31"/>
      <c r="C532" s="31"/>
      <c r="D532" s="31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7"/>
      <c r="X532" s="31"/>
      <c r="Y532" s="478"/>
      <c r="Z532" s="32"/>
      <c r="AA532" s="662"/>
      <c r="AB532" s="36"/>
      <c r="AC532" s="36"/>
      <c r="AD532" s="33"/>
    </row>
    <row r="533" spans="1:30" ht="15.75" customHeight="1">
      <c r="A533" s="151"/>
      <c r="B533" s="31"/>
      <c r="C533" s="31"/>
      <c r="D533" s="31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7"/>
      <c r="X533" s="31"/>
      <c r="Y533" s="478"/>
      <c r="Z533" s="32"/>
      <c r="AA533" s="662"/>
      <c r="AB533" s="36"/>
      <c r="AC533" s="36"/>
      <c r="AD533" s="33"/>
    </row>
    <row r="534" spans="1:30" ht="15.75" customHeight="1">
      <c r="A534" s="151"/>
      <c r="B534" s="31"/>
      <c r="C534" s="31"/>
      <c r="D534" s="31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7"/>
      <c r="X534" s="31"/>
      <c r="Y534" s="478"/>
      <c r="Z534" s="32"/>
      <c r="AA534" s="662"/>
      <c r="AB534" s="36"/>
      <c r="AC534" s="36"/>
      <c r="AD534" s="33"/>
    </row>
    <row r="535" spans="1:30" ht="15.75" customHeight="1">
      <c r="A535" s="151"/>
      <c r="B535" s="31"/>
      <c r="C535" s="31"/>
      <c r="D535" s="31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7"/>
      <c r="X535" s="31"/>
      <c r="Y535" s="478"/>
      <c r="Z535" s="32"/>
      <c r="AA535" s="662"/>
      <c r="AB535" s="36"/>
      <c r="AC535" s="36"/>
      <c r="AD535" s="33"/>
    </row>
    <row r="536" spans="1:30" ht="15.75" customHeight="1">
      <c r="A536" s="151"/>
      <c r="B536" s="31"/>
      <c r="C536" s="31"/>
      <c r="D536" s="31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7"/>
      <c r="X536" s="31"/>
      <c r="Y536" s="478"/>
      <c r="Z536" s="32"/>
      <c r="AA536" s="662"/>
      <c r="AB536" s="36"/>
      <c r="AC536" s="36"/>
      <c r="AD536" s="33"/>
    </row>
    <row r="537" spans="1:30" ht="15.75" customHeight="1">
      <c r="A537" s="151"/>
      <c r="B537" s="31"/>
      <c r="C537" s="31"/>
      <c r="D537" s="31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7"/>
      <c r="X537" s="31"/>
      <c r="Y537" s="478"/>
      <c r="Z537" s="32"/>
      <c r="AA537" s="662"/>
      <c r="AB537" s="36"/>
      <c r="AC537" s="36"/>
      <c r="AD537" s="33"/>
    </row>
    <row r="538" spans="1:30" ht="15.75" customHeight="1">
      <c r="A538" s="151"/>
      <c r="B538" s="31"/>
      <c r="C538" s="31"/>
      <c r="D538" s="31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7"/>
      <c r="X538" s="31"/>
      <c r="Y538" s="478"/>
      <c r="Z538" s="32"/>
      <c r="AA538" s="662"/>
      <c r="AB538" s="36"/>
      <c r="AC538" s="36"/>
      <c r="AD538" s="33"/>
    </row>
    <row r="539" spans="1:30" ht="15.75" customHeight="1">
      <c r="A539" s="151"/>
      <c r="B539" s="31"/>
      <c r="C539" s="31"/>
      <c r="D539" s="31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7"/>
      <c r="X539" s="31"/>
      <c r="Y539" s="478"/>
      <c r="Z539" s="32"/>
      <c r="AA539" s="662"/>
      <c r="AB539" s="36"/>
      <c r="AC539" s="36"/>
      <c r="AD539" s="33"/>
    </row>
    <row r="540" spans="1:30" ht="15.75" customHeight="1">
      <c r="A540" s="151"/>
      <c r="B540" s="31"/>
      <c r="C540" s="31"/>
      <c r="D540" s="31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7"/>
      <c r="X540" s="31"/>
      <c r="Y540" s="478"/>
      <c r="Z540" s="32"/>
      <c r="AA540" s="662"/>
      <c r="AB540" s="36"/>
      <c r="AC540" s="36"/>
      <c r="AD540" s="33"/>
    </row>
    <row r="541" spans="1:30" ht="15.75" customHeight="1">
      <c r="A541" s="151"/>
      <c r="B541" s="31"/>
      <c r="C541" s="31"/>
      <c r="D541" s="31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7"/>
      <c r="X541" s="31"/>
      <c r="Y541" s="478"/>
      <c r="Z541" s="32"/>
      <c r="AA541" s="662"/>
      <c r="AB541" s="36"/>
      <c r="AC541" s="36"/>
      <c r="AD541" s="33"/>
    </row>
    <row r="542" spans="1:30" ht="15.75" customHeight="1">
      <c r="A542" s="151"/>
      <c r="B542" s="31"/>
      <c r="C542" s="31"/>
      <c r="D542" s="31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7"/>
      <c r="X542" s="31"/>
      <c r="Y542" s="478"/>
      <c r="Z542" s="32"/>
      <c r="AA542" s="662"/>
      <c r="AB542" s="36"/>
      <c r="AC542" s="36"/>
      <c r="AD542" s="33"/>
    </row>
    <row r="543" spans="1:30" ht="15.75" customHeight="1">
      <c r="A543" s="151"/>
      <c r="B543" s="31"/>
      <c r="C543" s="31"/>
      <c r="D543" s="31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7"/>
      <c r="X543" s="31"/>
      <c r="Y543" s="478"/>
      <c r="Z543" s="32"/>
      <c r="AA543" s="662"/>
      <c r="AB543" s="36"/>
      <c r="AC543" s="36"/>
      <c r="AD543" s="33"/>
    </row>
    <row r="544" spans="1:30" ht="15.75" customHeight="1">
      <c r="A544" s="151"/>
      <c r="B544" s="31"/>
      <c r="C544" s="31"/>
      <c r="D544" s="31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7"/>
      <c r="X544" s="31"/>
      <c r="Y544" s="478"/>
      <c r="Z544" s="32"/>
      <c r="AA544" s="662"/>
      <c r="AB544" s="36"/>
      <c r="AC544" s="36"/>
      <c r="AD544" s="33"/>
    </row>
    <row r="545" spans="1:30" ht="15.75" customHeight="1">
      <c r="A545" s="151"/>
      <c r="B545" s="31"/>
      <c r="C545" s="31"/>
      <c r="D545" s="31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7"/>
      <c r="X545" s="31"/>
      <c r="Y545" s="478"/>
      <c r="Z545" s="32"/>
      <c r="AA545" s="662"/>
      <c r="AB545" s="36"/>
      <c r="AC545" s="36"/>
      <c r="AD545" s="33"/>
    </row>
    <row r="546" spans="1:30" ht="15.75" customHeight="1">
      <c r="A546" s="151"/>
      <c r="B546" s="31"/>
      <c r="C546" s="31"/>
      <c r="D546" s="31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7"/>
      <c r="X546" s="31"/>
      <c r="Y546" s="478"/>
      <c r="Z546" s="32"/>
      <c r="AA546" s="662"/>
      <c r="AB546" s="36"/>
      <c r="AC546" s="36"/>
      <c r="AD546" s="33"/>
    </row>
    <row r="547" spans="1:30" ht="15.75" customHeight="1">
      <c r="A547" s="151"/>
      <c r="B547" s="31"/>
      <c r="C547" s="31"/>
      <c r="D547" s="31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7"/>
      <c r="X547" s="31"/>
      <c r="Y547" s="478"/>
      <c r="Z547" s="32"/>
      <c r="AA547" s="662"/>
      <c r="AB547" s="36"/>
      <c r="AC547" s="36"/>
      <c r="AD547" s="33"/>
    </row>
    <row r="548" spans="1:30" ht="15.75" customHeight="1">
      <c r="A548" s="151"/>
      <c r="B548" s="31"/>
      <c r="C548" s="31"/>
      <c r="D548" s="31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7"/>
      <c r="X548" s="31"/>
      <c r="Y548" s="478"/>
      <c r="Z548" s="32"/>
      <c r="AA548" s="662"/>
      <c r="AB548" s="36"/>
      <c r="AC548" s="36"/>
      <c r="AD548" s="33"/>
    </row>
    <row r="549" spans="1:30" ht="15.75" customHeight="1">
      <c r="A549" s="151"/>
      <c r="B549" s="31"/>
      <c r="C549" s="31"/>
      <c r="D549" s="31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7"/>
      <c r="X549" s="31"/>
      <c r="Y549" s="478"/>
      <c r="Z549" s="32"/>
      <c r="AA549" s="662"/>
      <c r="AB549" s="36"/>
      <c r="AC549" s="36"/>
      <c r="AD549" s="33"/>
    </row>
    <row r="550" spans="1:30" ht="15.75" customHeight="1">
      <c r="A550" s="151"/>
      <c r="B550" s="31"/>
      <c r="C550" s="31"/>
      <c r="D550" s="31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7"/>
      <c r="X550" s="31"/>
      <c r="Y550" s="478"/>
      <c r="Z550" s="32"/>
      <c r="AA550" s="662"/>
      <c r="AB550" s="36"/>
      <c r="AC550" s="36"/>
      <c r="AD550" s="33"/>
    </row>
    <row r="551" spans="1:30" ht="15.75" customHeight="1">
      <c r="A551" s="151"/>
      <c r="B551" s="31"/>
      <c r="C551" s="31"/>
      <c r="D551" s="31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7"/>
      <c r="X551" s="31"/>
      <c r="Y551" s="478"/>
      <c r="Z551" s="32"/>
      <c r="AA551" s="662"/>
      <c r="AB551" s="36"/>
      <c r="AC551" s="36"/>
      <c r="AD551" s="33"/>
    </row>
    <row r="552" spans="1:30" ht="15.75" customHeight="1">
      <c r="A552" s="151"/>
      <c r="B552" s="31"/>
      <c r="C552" s="31"/>
      <c r="D552" s="31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7"/>
      <c r="X552" s="31"/>
      <c r="Y552" s="478"/>
      <c r="Z552" s="32"/>
      <c r="AA552" s="662"/>
      <c r="AB552" s="36"/>
      <c r="AC552" s="36"/>
      <c r="AD552" s="33"/>
    </row>
    <row r="553" spans="1:30" ht="15.75" customHeight="1">
      <c r="A553" s="151"/>
      <c r="B553" s="31"/>
      <c r="C553" s="31"/>
      <c r="D553" s="31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7"/>
      <c r="X553" s="31"/>
      <c r="Y553" s="478"/>
      <c r="Z553" s="32"/>
      <c r="AA553" s="662"/>
      <c r="AB553" s="36"/>
      <c r="AC553" s="36"/>
      <c r="AD553" s="33"/>
    </row>
    <row r="554" spans="1:30" ht="15.75" customHeight="1">
      <c r="A554" s="151"/>
      <c r="B554" s="31"/>
      <c r="C554" s="31"/>
      <c r="D554" s="31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7"/>
      <c r="X554" s="31"/>
      <c r="Y554" s="478"/>
      <c r="Z554" s="32"/>
      <c r="AA554" s="662"/>
      <c r="AB554" s="36"/>
      <c r="AC554" s="36"/>
      <c r="AD554" s="33"/>
    </row>
    <row r="555" spans="1:30" ht="15.75" customHeight="1">
      <c r="A555" s="151"/>
      <c r="B555" s="31"/>
      <c r="C555" s="31"/>
      <c r="D555" s="31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7"/>
      <c r="X555" s="31"/>
      <c r="Y555" s="478"/>
      <c r="Z555" s="32"/>
      <c r="AA555" s="662"/>
      <c r="AB555" s="36"/>
      <c r="AC555" s="36"/>
      <c r="AD555" s="33"/>
    </row>
    <row r="556" spans="1:30" ht="15.75" customHeight="1">
      <c r="A556" s="151"/>
      <c r="B556" s="31"/>
      <c r="C556" s="31"/>
      <c r="D556" s="31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7"/>
      <c r="X556" s="31"/>
      <c r="Y556" s="478"/>
      <c r="Z556" s="32"/>
      <c r="AA556" s="662"/>
      <c r="AB556" s="36"/>
      <c r="AC556" s="36"/>
      <c r="AD556" s="33"/>
    </row>
    <row r="557" spans="1:30" ht="15.75" customHeight="1">
      <c r="A557" s="151"/>
      <c r="B557" s="31"/>
      <c r="C557" s="31"/>
      <c r="D557" s="31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7"/>
      <c r="X557" s="31"/>
      <c r="Y557" s="478"/>
      <c r="Z557" s="32"/>
      <c r="AA557" s="662"/>
      <c r="AB557" s="36"/>
      <c r="AC557" s="36"/>
      <c r="AD557" s="33"/>
    </row>
    <row r="558" spans="1:30" ht="15.75" customHeight="1">
      <c r="A558" s="151"/>
      <c r="B558" s="31"/>
      <c r="C558" s="31"/>
      <c r="D558" s="31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7"/>
      <c r="X558" s="31"/>
      <c r="Y558" s="478"/>
      <c r="Z558" s="32"/>
      <c r="AA558" s="662"/>
      <c r="AB558" s="36"/>
      <c r="AC558" s="36"/>
      <c r="AD558" s="33"/>
    </row>
    <row r="559" spans="1:30" ht="15.75" customHeight="1">
      <c r="A559" s="151"/>
      <c r="B559" s="31"/>
      <c r="C559" s="31"/>
      <c r="D559" s="31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7"/>
      <c r="X559" s="31"/>
      <c r="Y559" s="478"/>
      <c r="Z559" s="32"/>
      <c r="AA559" s="662"/>
      <c r="AB559" s="36"/>
      <c r="AC559" s="36"/>
      <c r="AD559" s="33"/>
    </row>
    <row r="560" spans="1:30" ht="15.75" customHeight="1">
      <c r="A560" s="151"/>
      <c r="B560" s="31"/>
      <c r="C560" s="31"/>
      <c r="D560" s="31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7"/>
      <c r="X560" s="31"/>
      <c r="Y560" s="478"/>
      <c r="Z560" s="32"/>
      <c r="AA560" s="662"/>
      <c r="AB560" s="36"/>
      <c r="AC560" s="36"/>
      <c r="AD560" s="33"/>
    </row>
    <row r="561" spans="1:30" ht="15.75" customHeight="1">
      <c r="A561" s="151"/>
      <c r="B561" s="31"/>
      <c r="C561" s="31"/>
      <c r="D561" s="31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7"/>
      <c r="X561" s="31"/>
      <c r="Y561" s="478"/>
      <c r="Z561" s="32"/>
      <c r="AA561" s="662"/>
      <c r="AB561" s="36"/>
      <c r="AC561" s="36"/>
      <c r="AD561" s="33"/>
    </row>
    <row r="562" spans="1:30" ht="15.75" customHeight="1">
      <c r="A562" s="151"/>
      <c r="B562" s="31"/>
      <c r="C562" s="31"/>
      <c r="D562" s="31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7"/>
      <c r="X562" s="31"/>
      <c r="Y562" s="478"/>
      <c r="Z562" s="32"/>
      <c r="AA562" s="662"/>
      <c r="AB562" s="36"/>
      <c r="AC562" s="36"/>
      <c r="AD562" s="33"/>
    </row>
    <row r="563" spans="1:30" ht="15.75" customHeight="1">
      <c r="A563" s="151"/>
      <c r="B563" s="31"/>
      <c r="C563" s="31"/>
      <c r="D563" s="31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7"/>
      <c r="X563" s="31"/>
      <c r="Y563" s="478"/>
      <c r="Z563" s="32"/>
      <c r="AA563" s="662"/>
      <c r="AB563" s="36"/>
      <c r="AC563" s="36"/>
      <c r="AD563" s="33"/>
    </row>
    <row r="564" spans="1:30" ht="15.75" customHeight="1">
      <c r="A564" s="151"/>
      <c r="B564" s="31"/>
      <c r="C564" s="31"/>
      <c r="D564" s="31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7"/>
      <c r="X564" s="31"/>
      <c r="Y564" s="478"/>
      <c r="Z564" s="32"/>
      <c r="AA564" s="662"/>
      <c r="AB564" s="36"/>
      <c r="AC564" s="36"/>
      <c r="AD564" s="33"/>
    </row>
    <row r="565" spans="1:30" ht="15.75" customHeight="1">
      <c r="A565" s="151"/>
      <c r="B565" s="31"/>
      <c r="C565" s="31"/>
      <c r="D565" s="31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7"/>
      <c r="X565" s="31"/>
      <c r="Y565" s="478"/>
      <c r="Z565" s="32"/>
      <c r="AA565" s="662"/>
      <c r="AB565" s="36"/>
      <c r="AC565" s="36"/>
      <c r="AD565" s="33"/>
    </row>
    <row r="566" spans="1:30" ht="15.75" customHeight="1">
      <c r="A566" s="151"/>
      <c r="B566" s="31"/>
      <c r="C566" s="31"/>
      <c r="D566" s="31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7"/>
      <c r="X566" s="31"/>
      <c r="Y566" s="478"/>
      <c r="Z566" s="32"/>
      <c r="AA566" s="662"/>
      <c r="AB566" s="36"/>
      <c r="AC566" s="36"/>
      <c r="AD566" s="33"/>
    </row>
    <row r="567" spans="1:30" ht="15.75" customHeight="1">
      <c r="A567" s="151"/>
      <c r="B567" s="31"/>
      <c r="C567" s="31"/>
      <c r="D567" s="31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7"/>
      <c r="X567" s="31"/>
      <c r="Y567" s="478"/>
      <c r="Z567" s="32"/>
      <c r="AA567" s="662"/>
      <c r="AB567" s="36"/>
      <c r="AC567" s="36"/>
      <c r="AD567" s="33"/>
    </row>
    <row r="568" spans="1:30" ht="15.75" customHeight="1">
      <c r="A568" s="151"/>
      <c r="B568" s="31"/>
      <c r="C568" s="31"/>
      <c r="D568" s="31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7"/>
      <c r="X568" s="31"/>
      <c r="Y568" s="478"/>
      <c r="Z568" s="32"/>
      <c r="AA568" s="662"/>
      <c r="AB568" s="36"/>
      <c r="AC568" s="36"/>
      <c r="AD568" s="33"/>
    </row>
    <row r="569" spans="1:30" ht="15.75" customHeight="1">
      <c r="A569" s="151"/>
      <c r="B569" s="31"/>
      <c r="C569" s="31"/>
      <c r="D569" s="31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7"/>
      <c r="X569" s="31"/>
      <c r="Y569" s="478"/>
      <c r="Z569" s="32"/>
      <c r="AA569" s="662"/>
      <c r="AB569" s="36"/>
      <c r="AC569" s="36"/>
      <c r="AD569" s="33"/>
    </row>
    <row r="570" spans="1:30" ht="15.75" customHeight="1">
      <c r="A570" s="151"/>
      <c r="B570" s="31"/>
      <c r="C570" s="31"/>
      <c r="D570" s="31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7"/>
      <c r="X570" s="31"/>
      <c r="Y570" s="478"/>
      <c r="Z570" s="32"/>
      <c r="AA570" s="662"/>
      <c r="AB570" s="36"/>
      <c r="AC570" s="36"/>
      <c r="AD570" s="33"/>
    </row>
    <row r="571" spans="1:30" ht="15.75" customHeight="1">
      <c r="A571" s="151"/>
      <c r="B571" s="31"/>
      <c r="C571" s="31"/>
      <c r="D571" s="31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7"/>
      <c r="X571" s="31"/>
      <c r="Y571" s="478"/>
      <c r="Z571" s="32"/>
      <c r="AA571" s="662"/>
      <c r="AB571" s="36"/>
      <c r="AC571" s="36"/>
      <c r="AD571" s="33"/>
    </row>
    <row r="572" spans="1:30" ht="15.75" customHeight="1">
      <c r="A572" s="151"/>
      <c r="B572" s="31"/>
      <c r="C572" s="31"/>
      <c r="D572" s="31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7"/>
      <c r="X572" s="31"/>
      <c r="Y572" s="478"/>
      <c r="Z572" s="32"/>
      <c r="AA572" s="662"/>
      <c r="AB572" s="36"/>
      <c r="AC572" s="36"/>
      <c r="AD572" s="33"/>
    </row>
    <row r="573" spans="1:30" ht="15.75" customHeight="1">
      <c r="A573" s="151"/>
      <c r="B573" s="31"/>
      <c r="C573" s="31"/>
      <c r="D573" s="31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7"/>
      <c r="X573" s="31"/>
      <c r="Y573" s="478"/>
      <c r="Z573" s="32"/>
      <c r="AA573" s="662"/>
      <c r="AB573" s="36"/>
      <c r="AC573" s="36"/>
      <c r="AD573" s="33"/>
    </row>
    <row r="574" spans="1:30" ht="15.75" customHeight="1">
      <c r="A574" s="151"/>
      <c r="B574" s="31"/>
      <c r="C574" s="31"/>
      <c r="D574" s="31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7"/>
      <c r="X574" s="31"/>
      <c r="Y574" s="478"/>
      <c r="Z574" s="32"/>
      <c r="AA574" s="662"/>
      <c r="AB574" s="36"/>
      <c r="AC574" s="36"/>
      <c r="AD574" s="33"/>
    </row>
    <row r="575" spans="1:30" ht="15.75" customHeight="1">
      <c r="A575" s="151"/>
      <c r="B575" s="31"/>
      <c r="C575" s="31"/>
      <c r="D575" s="31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7"/>
      <c r="X575" s="31"/>
      <c r="Y575" s="478"/>
      <c r="Z575" s="32"/>
      <c r="AA575" s="662"/>
      <c r="AB575" s="36"/>
      <c r="AC575" s="36"/>
      <c r="AD575" s="33"/>
    </row>
    <row r="576" spans="1:30" ht="15.75" customHeight="1">
      <c r="A576" s="151"/>
      <c r="B576" s="31"/>
      <c r="C576" s="31"/>
      <c r="D576" s="31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7"/>
      <c r="X576" s="31"/>
      <c r="Y576" s="478"/>
      <c r="Z576" s="32"/>
      <c r="AA576" s="662"/>
      <c r="AB576" s="36"/>
      <c r="AC576" s="36"/>
      <c r="AD576" s="33"/>
    </row>
    <row r="577" spans="1:30" ht="15.75" customHeight="1">
      <c r="A577" s="151"/>
      <c r="B577" s="31"/>
      <c r="C577" s="31"/>
      <c r="D577" s="31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7"/>
      <c r="X577" s="31"/>
      <c r="Y577" s="478"/>
      <c r="Z577" s="32"/>
      <c r="AA577" s="662"/>
      <c r="AB577" s="36"/>
      <c r="AC577" s="36"/>
      <c r="AD577" s="33"/>
    </row>
    <row r="578" spans="1:30" ht="15.75" customHeight="1">
      <c r="A578" s="151"/>
      <c r="B578" s="31"/>
      <c r="C578" s="31"/>
      <c r="D578" s="31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7"/>
      <c r="X578" s="31"/>
      <c r="Y578" s="478"/>
      <c r="Z578" s="32"/>
      <c r="AA578" s="662"/>
      <c r="AB578" s="36"/>
      <c r="AC578" s="36"/>
      <c r="AD578" s="33"/>
    </row>
    <row r="579" spans="1:30" ht="15.75" customHeight="1">
      <c r="A579" s="151"/>
      <c r="B579" s="31"/>
      <c r="C579" s="31"/>
      <c r="D579" s="31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7"/>
      <c r="X579" s="31"/>
      <c r="Y579" s="478"/>
      <c r="Z579" s="32"/>
      <c r="AA579" s="662"/>
      <c r="AB579" s="36"/>
      <c r="AC579" s="36"/>
      <c r="AD579" s="33"/>
    </row>
    <row r="580" spans="1:30" ht="15.75" customHeight="1">
      <c r="A580" s="151"/>
      <c r="B580" s="31"/>
      <c r="C580" s="31"/>
      <c r="D580" s="31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7"/>
      <c r="X580" s="31"/>
      <c r="Y580" s="478"/>
      <c r="Z580" s="32"/>
      <c r="AA580" s="662"/>
      <c r="AB580" s="36"/>
      <c r="AC580" s="36"/>
      <c r="AD580" s="33"/>
    </row>
    <row r="581" spans="1:30" ht="15.75" customHeight="1">
      <c r="A581" s="151"/>
      <c r="B581" s="31"/>
      <c r="C581" s="31"/>
      <c r="D581" s="31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7"/>
      <c r="X581" s="31"/>
      <c r="Y581" s="478"/>
      <c r="Z581" s="32"/>
      <c r="AA581" s="662"/>
      <c r="AB581" s="36"/>
      <c r="AC581" s="36"/>
      <c r="AD581" s="33"/>
    </row>
    <row r="582" spans="1:30" ht="15.75" customHeight="1">
      <c r="A582" s="151"/>
      <c r="B582" s="31"/>
      <c r="C582" s="31"/>
      <c r="D582" s="31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7"/>
      <c r="X582" s="31"/>
      <c r="Y582" s="478"/>
      <c r="Z582" s="32"/>
      <c r="AA582" s="662"/>
      <c r="AB582" s="36"/>
      <c r="AC582" s="36"/>
      <c r="AD582" s="33"/>
    </row>
    <row r="583" spans="1:30" ht="15.75" customHeight="1">
      <c r="A583" s="151"/>
      <c r="B583" s="31"/>
      <c r="C583" s="31"/>
      <c r="D583" s="31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7"/>
      <c r="X583" s="31"/>
      <c r="Y583" s="478"/>
      <c r="Z583" s="32"/>
      <c r="AA583" s="662"/>
      <c r="AB583" s="36"/>
      <c r="AC583" s="36"/>
      <c r="AD583" s="33"/>
    </row>
    <row r="584" spans="1:30" ht="15.75" customHeight="1">
      <c r="A584" s="151"/>
      <c r="B584" s="31"/>
      <c r="C584" s="31"/>
      <c r="D584" s="31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7"/>
      <c r="X584" s="31"/>
      <c r="Y584" s="478"/>
      <c r="Z584" s="32"/>
      <c r="AA584" s="662"/>
      <c r="AB584" s="36"/>
      <c r="AC584" s="36"/>
      <c r="AD584" s="33"/>
    </row>
    <row r="585" spans="1:30" ht="15.75" customHeight="1">
      <c r="A585" s="151"/>
      <c r="B585" s="31"/>
      <c r="C585" s="31"/>
      <c r="D585" s="31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7"/>
      <c r="X585" s="31"/>
      <c r="Y585" s="478"/>
      <c r="Z585" s="32"/>
      <c r="AA585" s="662"/>
      <c r="AB585" s="36"/>
      <c r="AC585" s="36"/>
      <c r="AD585" s="33"/>
    </row>
    <row r="586" spans="1:30" ht="15.75" customHeight="1">
      <c r="A586" s="151"/>
      <c r="B586" s="31"/>
      <c r="C586" s="31"/>
      <c r="D586" s="31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7"/>
      <c r="X586" s="31"/>
      <c r="Y586" s="478"/>
      <c r="Z586" s="32"/>
      <c r="AA586" s="662"/>
      <c r="AB586" s="36"/>
      <c r="AC586" s="36"/>
      <c r="AD586" s="33"/>
    </row>
    <row r="587" spans="1:30" ht="15.75" customHeight="1">
      <c r="A587" s="151"/>
      <c r="B587" s="31"/>
      <c r="C587" s="31"/>
      <c r="D587" s="31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7"/>
      <c r="X587" s="31"/>
      <c r="Y587" s="478"/>
      <c r="Z587" s="32"/>
      <c r="AA587" s="662"/>
      <c r="AB587" s="36"/>
      <c r="AC587" s="36"/>
      <c r="AD587" s="33"/>
    </row>
    <row r="588" spans="1:30" ht="15.75" customHeight="1">
      <c r="A588" s="151"/>
      <c r="B588" s="31"/>
      <c r="C588" s="31"/>
      <c r="D588" s="31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7"/>
      <c r="X588" s="31"/>
      <c r="Y588" s="478"/>
      <c r="Z588" s="32"/>
      <c r="AA588" s="662"/>
      <c r="AB588" s="36"/>
      <c r="AC588" s="36"/>
      <c r="AD588" s="33"/>
    </row>
    <row r="589" spans="1:30" ht="15.75" customHeight="1">
      <c r="A589" s="151"/>
      <c r="B589" s="31"/>
      <c r="C589" s="31"/>
      <c r="D589" s="31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7"/>
      <c r="X589" s="31"/>
      <c r="Y589" s="478"/>
      <c r="Z589" s="32"/>
      <c r="AA589" s="662"/>
      <c r="AB589" s="36"/>
      <c r="AC589" s="36"/>
      <c r="AD589" s="33"/>
    </row>
    <row r="590" spans="1:30" ht="15.75" customHeight="1">
      <c r="A590" s="151"/>
      <c r="B590" s="31"/>
      <c r="C590" s="31"/>
      <c r="D590" s="31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7"/>
      <c r="X590" s="31"/>
      <c r="Y590" s="478"/>
      <c r="Z590" s="32"/>
      <c r="AA590" s="662"/>
      <c r="AB590" s="36"/>
      <c r="AC590" s="36"/>
      <c r="AD590" s="33"/>
    </row>
    <row r="591" spans="1:30" ht="15.75" customHeight="1">
      <c r="A591" s="151"/>
      <c r="B591" s="31"/>
      <c r="C591" s="31"/>
      <c r="D591" s="31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7"/>
      <c r="X591" s="31"/>
      <c r="Y591" s="478"/>
      <c r="Z591" s="32"/>
      <c r="AA591" s="662"/>
      <c r="AB591" s="36"/>
      <c r="AC591" s="36"/>
      <c r="AD591" s="33"/>
    </row>
    <row r="592" spans="1:30" ht="15.75" customHeight="1">
      <c r="A592" s="151"/>
      <c r="B592" s="31"/>
      <c r="C592" s="31"/>
      <c r="D592" s="31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7"/>
      <c r="X592" s="31"/>
      <c r="Y592" s="478"/>
      <c r="Z592" s="32"/>
      <c r="AA592" s="662"/>
      <c r="AB592" s="36"/>
      <c r="AC592" s="36"/>
      <c r="AD592" s="33"/>
    </row>
    <row r="593" spans="1:30" ht="15.75" customHeight="1">
      <c r="A593" s="151"/>
      <c r="B593" s="31"/>
      <c r="C593" s="31"/>
      <c r="D593" s="31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7"/>
      <c r="X593" s="31"/>
      <c r="Y593" s="478"/>
      <c r="Z593" s="32"/>
      <c r="AA593" s="662"/>
      <c r="AB593" s="36"/>
      <c r="AC593" s="36"/>
      <c r="AD593" s="33"/>
    </row>
    <row r="594" spans="1:30" ht="15.75" customHeight="1">
      <c r="A594" s="151"/>
      <c r="B594" s="31"/>
      <c r="C594" s="31"/>
      <c r="D594" s="31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7"/>
      <c r="X594" s="31"/>
      <c r="Y594" s="478"/>
      <c r="Z594" s="32"/>
      <c r="AA594" s="662"/>
      <c r="AB594" s="36"/>
      <c r="AC594" s="36"/>
      <c r="AD594" s="33"/>
    </row>
    <row r="595" spans="1:30" ht="15.75" customHeight="1">
      <c r="A595" s="151"/>
      <c r="B595" s="31"/>
      <c r="C595" s="31"/>
      <c r="D595" s="31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7"/>
      <c r="X595" s="31"/>
      <c r="Y595" s="478"/>
      <c r="Z595" s="32"/>
      <c r="AA595" s="662"/>
      <c r="AB595" s="36"/>
      <c r="AC595" s="36"/>
      <c r="AD595" s="33"/>
    </row>
    <row r="596" spans="1:30" ht="15.75" customHeight="1">
      <c r="A596" s="151"/>
      <c r="B596" s="31"/>
      <c r="C596" s="31"/>
      <c r="D596" s="31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7"/>
      <c r="X596" s="31"/>
      <c r="Y596" s="478"/>
      <c r="Z596" s="32"/>
      <c r="AA596" s="662"/>
      <c r="AB596" s="36"/>
      <c r="AC596" s="36"/>
      <c r="AD596" s="33"/>
    </row>
    <row r="597" spans="1:30" ht="15.75" customHeight="1">
      <c r="A597" s="151"/>
      <c r="B597" s="31"/>
      <c r="C597" s="31"/>
      <c r="D597" s="31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7"/>
      <c r="X597" s="31"/>
      <c r="Y597" s="478"/>
      <c r="Z597" s="32"/>
      <c r="AA597" s="662"/>
      <c r="AB597" s="36"/>
      <c r="AC597" s="36"/>
      <c r="AD597" s="33"/>
    </row>
    <row r="598" spans="1:30" ht="15.75" customHeight="1">
      <c r="A598" s="151"/>
      <c r="B598" s="31"/>
      <c r="C598" s="31"/>
      <c r="D598" s="31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7"/>
      <c r="X598" s="31"/>
      <c r="Y598" s="478"/>
      <c r="Z598" s="32"/>
      <c r="AA598" s="662"/>
      <c r="AB598" s="36"/>
      <c r="AC598" s="36"/>
      <c r="AD598" s="33"/>
    </row>
    <row r="599" spans="1:30" ht="15.75" customHeight="1">
      <c r="A599" s="151"/>
      <c r="B599" s="31"/>
      <c r="C599" s="31"/>
      <c r="D599" s="31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7"/>
      <c r="X599" s="31"/>
      <c r="Y599" s="478"/>
      <c r="Z599" s="32"/>
      <c r="AA599" s="662"/>
      <c r="AB599" s="36"/>
      <c r="AC599" s="36"/>
      <c r="AD599" s="33"/>
    </row>
    <row r="600" spans="1:30" ht="15.75" customHeight="1">
      <c r="A600" s="151"/>
      <c r="B600" s="31"/>
      <c r="C600" s="31"/>
      <c r="D600" s="31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7"/>
      <c r="X600" s="31"/>
      <c r="Y600" s="478"/>
      <c r="Z600" s="32"/>
      <c r="AA600" s="662"/>
      <c r="AB600" s="36"/>
      <c r="AC600" s="36"/>
      <c r="AD600" s="33"/>
    </row>
    <row r="601" spans="1:30" ht="15.75" customHeight="1">
      <c r="A601" s="151"/>
      <c r="B601" s="31"/>
      <c r="C601" s="31"/>
      <c r="D601" s="31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7"/>
      <c r="X601" s="31"/>
      <c r="Y601" s="478"/>
      <c r="Z601" s="32"/>
      <c r="AA601" s="662"/>
      <c r="AB601" s="36"/>
      <c r="AC601" s="36"/>
      <c r="AD601" s="33"/>
    </row>
    <row r="602" spans="1:30" ht="15.75" customHeight="1">
      <c r="A602" s="151"/>
      <c r="B602" s="31"/>
      <c r="C602" s="31"/>
      <c r="D602" s="31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7"/>
      <c r="X602" s="31"/>
      <c r="Y602" s="478"/>
      <c r="Z602" s="32"/>
      <c r="AA602" s="662"/>
      <c r="AB602" s="36"/>
      <c r="AC602" s="36"/>
      <c r="AD602" s="33"/>
    </row>
    <row r="603" spans="1:30" ht="15.75" customHeight="1">
      <c r="A603" s="151"/>
      <c r="B603" s="31"/>
      <c r="C603" s="31"/>
      <c r="D603" s="31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7"/>
      <c r="X603" s="31"/>
      <c r="Y603" s="478"/>
      <c r="Z603" s="32"/>
      <c r="AA603" s="662"/>
      <c r="AB603" s="36"/>
      <c r="AC603" s="36"/>
      <c r="AD603" s="33"/>
    </row>
    <row r="604" spans="1:30" ht="15.75" customHeight="1">
      <c r="A604" s="151"/>
      <c r="B604" s="31"/>
      <c r="C604" s="31"/>
      <c r="D604" s="31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7"/>
      <c r="X604" s="31"/>
      <c r="Y604" s="478"/>
      <c r="Z604" s="32"/>
      <c r="AA604" s="662"/>
      <c r="AB604" s="36"/>
      <c r="AC604" s="36"/>
      <c r="AD604" s="33"/>
    </row>
    <row r="605" spans="1:30" ht="15.75" customHeight="1">
      <c r="A605" s="151"/>
      <c r="B605" s="31"/>
      <c r="C605" s="31"/>
      <c r="D605" s="31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7"/>
      <c r="X605" s="31"/>
      <c r="Y605" s="478"/>
      <c r="Z605" s="32"/>
      <c r="AA605" s="662"/>
      <c r="AB605" s="36"/>
      <c r="AC605" s="36"/>
      <c r="AD605" s="33"/>
    </row>
    <row r="606" spans="1:30" ht="15.75" customHeight="1">
      <c r="A606" s="151"/>
      <c r="B606" s="31"/>
      <c r="C606" s="31"/>
      <c r="D606" s="31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7"/>
      <c r="X606" s="31"/>
      <c r="Y606" s="478"/>
      <c r="Z606" s="32"/>
      <c r="AA606" s="662"/>
      <c r="AB606" s="36"/>
      <c r="AC606" s="36"/>
      <c r="AD606" s="33"/>
    </row>
    <row r="607" spans="1:30" ht="15.75" customHeight="1">
      <c r="A607" s="151"/>
      <c r="B607" s="31"/>
      <c r="C607" s="31"/>
      <c r="D607" s="31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7"/>
      <c r="X607" s="31"/>
      <c r="Y607" s="478"/>
      <c r="Z607" s="32"/>
      <c r="AA607" s="662"/>
      <c r="AB607" s="36"/>
      <c r="AC607" s="36"/>
      <c r="AD607" s="33"/>
    </row>
    <row r="608" spans="1:30" ht="15.75" customHeight="1">
      <c r="A608" s="151"/>
      <c r="B608" s="31"/>
      <c r="C608" s="31"/>
      <c r="D608" s="31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7"/>
      <c r="X608" s="31"/>
      <c r="Y608" s="478"/>
      <c r="Z608" s="32"/>
      <c r="AA608" s="662"/>
      <c r="AB608" s="36"/>
      <c r="AC608" s="36"/>
      <c r="AD608" s="33"/>
    </row>
    <row r="609" spans="1:30" ht="15.75" customHeight="1">
      <c r="A609" s="151"/>
      <c r="B609" s="31"/>
      <c r="C609" s="31"/>
      <c r="D609" s="31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7"/>
      <c r="X609" s="31"/>
      <c r="Y609" s="478"/>
      <c r="Z609" s="32"/>
      <c r="AA609" s="662"/>
      <c r="AB609" s="36"/>
      <c r="AC609" s="36"/>
      <c r="AD609" s="33"/>
    </row>
    <row r="610" spans="1:30" ht="15.75" customHeight="1">
      <c r="A610" s="151"/>
      <c r="B610" s="31"/>
      <c r="C610" s="31"/>
      <c r="D610" s="31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7"/>
      <c r="X610" s="31"/>
      <c r="Y610" s="478"/>
      <c r="Z610" s="32"/>
      <c r="AA610" s="662"/>
      <c r="AB610" s="36"/>
      <c r="AC610" s="36"/>
      <c r="AD610" s="33"/>
    </row>
    <row r="611" spans="1:30" ht="15.75" customHeight="1">
      <c r="A611" s="151"/>
      <c r="B611" s="31"/>
      <c r="C611" s="31"/>
      <c r="D611" s="31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7"/>
      <c r="X611" s="31"/>
      <c r="Y611" s="478"/>
      <c r="Z611" s="32"/>
      <c r="AA611" s="662"/>
      <c r="AB611" s="36"/>
      <c r="AC611" s="36"/>
      <c r="AD611" s="33"/>
    </row>
    <row r="612" spans="1:30" ht="15.75" customHeight="1">
      <c r="A612" s="151"/>
      <c r="B612" s="31"/>
      <c r="C612" s="31"/>
      <c r="D612" s="31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7"/>
      <c r="X612" s="31"/>
      <c r="Y612" s="478"/>
      <c r="Z612" s="32"/>
      <c r="AA612" s="662"/>
      <c r="AB612" s="36"/>
      <c r="AC612" s="36"/>
      <c r="AD612" s="33"/>
    </row>
    <row r="613" spans="1:30" ht="15.75" customHeight="1">
      <c r="A613" s="151"/>
      <c r="B613" s="31"/>
      <c r="C613" s="31"/>
      <c r="D613" s="31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7"/>
      <c r="X613" s="31"/>
      <c r="Y613" s="478"/>
      <c r="Z613" s="32"/>
      <c r="AA613" s="662"/>
      <c r="AB613" s="36"/>
      <c r="AC613" s="36"/>
      <c r="AD613" s="33"/>
    </row>
    <row r="614" spans="1:30" ht="15.75" customHeight="1">
      <c r="A614" s="151"/>
      <c r="B614" s="31"/>
      <c r="C614" s="31"/>
      <c r="D614" s="31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7"/>
      <c r="X614" s="31"/>
      <c r="Y614" s="478"/>
      <c r="Z614" s="32"/>
      <c r="AA614" s="662"/>
      <c r="AB614" s="36"/>
      <c r="AC614" s="36"/>
      <c r="AD614" s="33"/>
    </row>
    <row r="615" spans="1:30" ht="15.75" customHeight="1">
      <c r="A615" s="151"/>
      <c r="B615" s="31"/>
      <c r="C615" s="31"/>
      <c r="D615" s="31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7"/>
      <c r="X615" s="31"/>
      <c r="Y615" s="478"/>
      <c r="Z615" s="32"/>
      <c r="AA615" s="662"/>
      <c r="AB615" s="36"/>
      <c r="AC615" s="36"/>
      <c r="AD615" s="33"/>
    </row>
    <row r="616" spans="1:30" ht="15.75" customHeight="1">
      <c r="A616" s="151"/>
      <c r="B616" s="31"/>
      <c r="C616" s="31"/>
      <c r="D616" s="31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7"/>
      <c r="X616" s="31"/>
      <c r="Y616" s="478"/>
      <c r="Z616" s="32"/>
      <c r="AA616" s="662"/>
      <c r="AB616" s="36"/>
      <c r="AC616" s="36"/>
      <c r="AD616" s="33"/>
    </row>
    <row r="617" spans="1:30" ht="15.75" customHeight="1">
      <c r="A617" s="151"/>
      <c r="B617" s="31"/>
      <c r="C617" s="31"/>
      <c r="D617" s="31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7"/>
      <c r="X617" s="31"/>
      <c r="Y617" s="478"/>
      <c r="Z617" s="32"/>
      <c r="AA617" s="662"/>
      <c r="AB617" s="36"/>
      <c r="AC617" s="36"/>
      <c r="AD617" s="33"/>
    </row>
    <row r="618" spans="1:30" ht="15.75" customHeight="1">
      <c r="A618" s="151"/>
      <c r="B618" s="31"/>
      <c r="C618" s="31"/>
      <c r="D618" s="31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7"/>
      <c r="X618" s="31"/>
      <c r="Y618" s="478"/>
      <c r="Z618" s="32"/>
      <c r="AA618" s="662"/>
      <c r="AB618" s="36"/>
      <c r="AC618" s="36"/>
      <c r="AD618" s="33"/>
    </row>
    <row r="619" spans="1:30" ht="15.75" customHeight="1">
      <c r="A619" s="151"/>
      <c r="B619" s="31"/>
      <c r="C619" s="31"/>
      <c r="D619" s="31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7"/>
      <c r="X619" s="31"/>
      <c r="Y619" s="478"/>
      <c r="Z619" s="32"/>
      <c r="AA619" s="662"/>
      <c r="AB619" s="36"/>
      <c r="AC619" s="36"/>
      <c r="AD619" s="33"/>
    </row>
    <row r="620" spans="1:30" ht="15.75" customHeight="1">
      <c r="A620" s="151"/>
      <c r="B620" s="31"/>
      <c r="C620" s="31"/>
      <c r="D620" s="31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7"/>
      <c r="X620" s="31"/>
      <c r="Y620" s="478"/>
      <c r="Z620" s="32"/>
      <c r="AA620" s="662"/>
      <c r="AB620" s="36"/>
      <c r="AC620" s="36"/>
      <c r="AD620" s="33"/>
    </row>
    <row r="621" spans="1:30" ht="15.75" customHeight="1">
      <c r="A621" s="151"/>
      <c r="B621" s="31"/>
      <c r="C621" s="31"/>
      <c r="D621" s="31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7"/>
      <c r="X621" s="31"/>
      <c r="Y621" s="478"/>
      <c r="Z621" s="32"/>
      <c r="AA621" s="662"/>
      <c r="AB621" s="36"/>
      <c r="AC621" s="36"/>
      <c r="AD621" s="33"/>
    </row>
    <row r="622" spans="1:30" ht="15.75" customHeight="1">
      <c r="A622" s="151"/>
      <c r="B622" s="31"/>
      <c r="C622" s="31"/>
      <c r="D622" s="31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7"/>
      <c r="X622" s="31"/>
      <c r="Y622" s="478"/>
      <c r="Z622" s="32"/>
      <c r="AA622" s="662"/>
      <c r="AB622" s="36"/>
      <c r="AC622" s="36"/>
      <c r="AD622" s="33"/>
    </row>
    <row r="623" spans="1:30" ht="15.75" customHeight="1">
      <c r="A623" s="151"/>
      <c r="B623" s="31"/>
      <c r="C623" s="31"/>
      <c r="D623" s="31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7"/>
      <c r="X623" s="31"/>
      <c r="Y623" s="478"/>
      <c r="Z623" s="32"/>
      <c r="AA623" s="662"/>
      <c r="AB623" s="36"/>
      <c r="AC623" s="36"/>
      <c r="AD623" s="33"/>
    </row>
    <row r="624" spans="1:30" ht="15.75" customHeight="1">
      <c r="A624" s="151"/>
      <c r="B624" s="31"/>
      <c r="C624" s="31"/>
      <c r="D624" s="31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7"/>
      <c r="X624" s="31"/>
      <c r="Y624" s="478"/>
      <c r="Z624" s="32"/>
      <c r="AA624" s="662"/>
      <c r="AB624" s="36"/>
      <c r="AC624" s="36"/>
      <c r="AD624" s="33"/>
    </row>
    <row r="625" spans="1:30" ht="15.75" customHeight="1">
      <c r="A625" s="151"/>
      <c r="B625" s="31"/>
      <c r="C625" s="31"/>
      <c r="D625" s="31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7"/>
      <c r="X625" s="31"/>
      <c r="Y625" s="478"/>
      <c r="Z625" s="32"/>
      <c r="AA625" s="662"/>
      <c r="AB625" s="36"/>
      <c r="AC625" s="36"/>
      <c r="AD625" s="33"/>
    </row>
    <row r="626" spans="1:30" ht="15.75" customHeight="1">
      <c r="A626" s="151"/>
      <c r="B626" s="31"/>
      <c r="C626" s="31"/>
      <c r="D626" s="31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7"/>
      <c r="X626" s="31"/>
      <c r="Y626" s="478"/>
      <c r="Z626" s="32"/>
      <c r="AA626" s="662"/>
      <c r="AB626" s="36"/>
      <c r="AC626" s="36"/>
      <c r="AD626" s="33"/>
    </row>
    <row r="627" spans="1:30" ht="15.75" customHeight="1">
      <c r="A627" s="151"/>
      <c r="B627" s="31"/>
      <c r="C627" s="31"/>
      <c r="D627" s="31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7"/>
      <c r="X627" s="31"/>
      <c r="Y627" s="478"/>
      <c r="Z627" s="32"/>
      <c r="AA627" s="662"/>
      <c r="AB627" s="36"/>
      <c r="AC627" s="36"/>
      <c r="AD627" s="33"/>
    </row>
    <row r="628" spans="1:30" ht="15.75" customHeight="1">
      <c r="A628" s="151"/>
      <c r="B628" s="31"/>
      <c r="C628" s="31"/>
      <c r="D628" s="31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7"/>
      <c r="X628" s="31"/>
      <c r="Y628" s="478"/>
      <c r="Z628" s="32"/>
      <c r="AA628" s="662"/>
      <c r="AB628" s="36"/>
      <c r="AC628" s="36"/>
      <c r="AD628" s="33"/>
    </row>
    <row r="629" spans="1:30" ht="15.75" customHeight="1">
      <c r="A629" s="151"/>
      <c r="B629" s="31"/>
      <c r="C629" s="31"/>
      <c r="D629" s="31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7"/>
      <c r="X629" s="31"/>
      <c r="Y629" s="478"/>
      <c r="Z629" s="32"/>
      <c r="AA629" s="662"/>
      <c r="AB629" s="36"/>
      <c r="AC629" s="36"/>
      <c r="AD629" s="33"/>
    </row>
    <row r="630" spans="1:30" ht="15.75" customHeight="1">
      <c r="A630" s="151"/>
      <c r="B630" s="31"/>
      <c r="C630" s="31"/>
      <c r="D630" s="31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7"/>
      <c r="X630" s="31"/>
      <c r="Y630" s="478"/>
      <c r="Z630" s="32"/>
      <c r="AA630" s="662"/>
      <c r="AB630" s="36"/>
      <c r="AC630" s="36"/>
      <c r="AD630" s="33"/>
    </row>
    <row r="631" spans="1:30" ht="15.75" customHeight="1">
      <c r="A631" s="151"/>
      <c r="B631" s="31"/>
      <c r="C631" s="31"/>
      <c r="D631" s="31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7"/>
      <c r="X631" s="31"/>
      <c r="Y631" s="478"/>
      <c r="Z631" s="32"/>
      <c r="AA631" s="662"/>
      <c r="AB631" s="36"/>
      <c r="AC631" s="36"/>
      <c r="AD631" s="33"/>
    </row>
    <row r="632" spans="1:30" ht="15.75" customHeight="1">
      <c r="A632" s="151"/>
      <c r="B632" s="31"/>
      <c r="C632" s="31"/>
      <c r="D632" s="31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7"/>
      <c r="X632" s="31"/>
      <c r="Y632" s="478"/>
      <c r="Z632" s="32"/>
      <c r="AA632" s="662"/>
      <c r="AB632" s="36"/>
      <c r="AC632" s="36"/>
      <c r="AD632" s="33"/>
    </row>
    <row r="633" spans="1:30" ht="15.75" customHeight="1">
      <c r="A633" s="151"/>
      <c r="B633" s="31"/>
      <c r="C633" s="31"/>
      <c r="D633" s="31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7"/>
      <c r="X633" s="31"/>
      <c r="Y633" s="478"/>
      <c r="Z633" s="32"/>
      <c r="AA633" s="662"/>
      <c r="AB633" s="36"/>
      <c r="AC633" s="36"/>
      <c r="AD633" s="33"/>
    </row>
    <row r="634" spans="1:30" ht="15.75" customHeight="1">
      <c r="A634" s="151"/>
      <c r="B634" s="31"/>
      <c r="C634" s="31"/>
      <c r="D634" s="31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7"/>
      <c r="X634" s="31"/>
      <c r="Y634" s="478"/>
      <c r="Z634" s="32"/>
      <c r="AA634" s="662"/>
      <c r="AB634" s="36"/>
      <c r="AC634" s="36"/>
      <c r="AD634" s="33"/>
    </row>
    <row r="635" spans="1:30" ht="15.75" customHeight="1">
      <c r="A635" s="151"/>
      <c r="B635" s="31"/>
      <c r="C635" s="31"/>
      <c r="D635" s="31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7"/>
      <c r="X635" s="31"/>
      <c r="Y635" s="478"/>
      <c r="Z635" s="32"/>
      <c r="AA635" s="662"/>
      <c r="AB635" s="36"/>
      <c r="AC635" s="36"/>
      <c r="AD635" s="33"/>
    </row>
    <row r="636" spans="1:30" ht="15.75" customHeight="1">
      <c r="A636" s="151"/>
      <c r="B636" s="31"/>
      <c r="C636" s="31"/>
      <c r="D636" s="31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7"/>
      <c r="X636" s="31"/>
      <c r="Y636" s="478"/>
      <c r="Z636" s="32"/>
      <c r="AA636" s="662"/>
      <c r="AB636" s="36"/>
      <c r="AC636" s="36"/>
      <c r="AD636" s="33"/>
    </row>
    <row r="637" spans="1:30" ht="15.75" customHeight="1">
      <c r="A637" s="151"/>
      <c r="B637" s="31"/>
      <c r="C637" s="31"/>
      <c r="D637" s="31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7"/>
      <c r="X637" s="31"/>
      <c r="Y637" s="478"/>
      <c r="Z637" s="32"/>
      <c r="AA637" s="662"/>
      <c r="AB637" s="36"/>
      <c r="AC637" s="36"/>
      <c r="AD637" s="33"/>
    </row>
    <row r="638" spans="1:30" ht="15.75" customHeight="1">
      <c r="A638" s="151"/>
      <c r="B638" s="31"/>
      <c r="C638" s="31"/>
      <c r="D638" s="31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7"/>
      <c r="X638" s="31"/>
      <c r="Y638" s="478"/>
      <c r="Z638" s="32"/>
      <c r="AA638" s="662"/>
      <c r="AB638" s="36"/>
      <c r="AC638" s="36"/>
      <c r="AD638" s="33"/>
    </row>
    <row r="639" spans="1:30" ht="15.75" customHeight="1">
      <c r="A639" s="151"/>
      <c r="B639" s="31"/>
      <c r="C639" s="31"/>
      <c r="D639" s="31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7"/>
      <c r="X639" s="31"/>
      <c r="Y639" s="478"/>
      <c r="Z639" s="32"/>
      <c r="AA639" s="662"/>
      <c r="AB639" s="36"/>
      <c r="AC639" s="36"/>
      <c r="AD639" s="33"/>
    </row>
    <row r="640" spans="1:30" ht="15.75" customHeight="1">
      <c r="A640" s="151"/>
      <c r="B640" s="31"/>
      <c r="C640" s="31"/>
      <c r="D640" s="31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7"/>
      <c r="X640" s="31"/>
      <c r="Y640" s="478"/>
      <c r="Z640" s="32"/>
      <c r="AA640" s="662"/>
      <c r="AB640" s="36"/>
      <c r="AC640" s="36"/>
      <c r="AD640" s="33"/>
    </row>
    <row r="641" spans="1:30" ht="15.75" customHeight="1">
      <c r="A641" s="151"/>
      <c r="B641" s="31"/>
      <c r="C641" s="31"/>
      <c r="D641" s="31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7"/>
      <c r="X641" s="31"/>
      <c r="Y641" s="478"/>
      <c r="Z641" s="32"/>
      <c r="AA641" s="662"/>
      <c r="AB641" s="36"/>
      <c r="AC641" s="36"/>
      <c r="AD641" s="33"/>
    </row>
    <row r="642" spans="1:30" ht="15.75" customHeight="1">
      <c r="A642" s="151"/>
      <c r="B642" s="31"/>
      <c r="C642" s="31"/>
      <c r="D642" s="31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7"/>
      <c r="X642" s="31"/>
      <c r="Y642" s="478"/>
      <c r="Z642" s="32"/>
      <c r="AA642" s="662"/>
      <c r="AB642" s="36"/>
      <c r="AC642" s="36"/>
      <c r="AD642" s="33"/>
    </row>
    <row r="643" spans="1:30" ht="15.75" customHeight="1">
      <c r="A643" s="151"/>
      <c r="B643" s="31"/>
      <c r="C643" s="31"/>
      <c r="D643" s="31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7"/>
      <c r="X643" s="31"/>
      <c r="Y643" s="478"/>
      <c r="Z643" s="32"/>
      <c r="AA643" s="662"/>
      <c r="AB643" s="36"/>
      <c r="AC643" s="36"/>
      <c r="AD643" s="33"/>
    </row>
    <row r="644" spans="1:30" ht="15.75" customHeight="1">
      <c r="A644" s="151"/>
      <c r="B644" s="31"/>
      <c r="C644" s="31"/>
      <c r="D644" s="31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7"/>
      <c r="X644" s="31"/>
      <c r="Y644" s="478"/>
      <c r="Z644" s="32"/>
      <c r="AA644" s="662"/>
      <c r="AB644" s="36"/>
      <c r="AC644" s="36"/>
      <c r="AD644" s="33"/>
    </row>
    <row r="645" spans="1:30" ht="15.75" customHeight="1">
      <c r="A645" s="151"/>
      <c r="B645" s="31"/>
      <c r="C645" s="31"/>
      <c r="D645" s="31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7"/>
      <c r="X645" s="31"/>
      <c r="Y645" s="478"/>
      <c r="Z645" s="32"/>
      <c r="AA645" s="662"/>
      <c r="AB645" s="36"/>
      <c r="AC645" s="36"/>
      <c r="AD645" s="33"/>
    </row>
    <row r="646" spans="1:30" ht="15.75" customHeight="1">
      <c r="A646" s="151"/>
      <c r="B646" s="31"/>
      <c r="C646" s="31"/>
      <c r="D646" s="31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7"/>
      <c r="X646" s="31"/>
      <c r="Y646" s="478"/>
      <c r="Z646" s="32"/>
      <c r="AA646" s="662"/>
      <c r="AB646" s="36"/>
      <c r="AC646" s="36"/>
      <c r="AD646" s="33"/>
    </row>
    <row r="647" spans="1:30" ht="15.75" customHeight="1">
      <c r="A647" s="151"/>
      <c r="B647" s="31"/>
      <c r="C647" s="31"/>
      <c r="D647" s="31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7"/>
      <c r="X647" s="31"/>
      <c r="Y647" s="478"/>
      <c r="Z647" s="32"/>
      <c r="AA647" s="662"/>
      <c r="AB647" s="36"/>
      <c r="AC647" s="36"/>
      <c r="AD647" s="33"/>
    </row>
    <row r="648" spans="1:30" ht="15.75" customHeight="1">
      <c r="A648" s="151"/>
      <c r="B648" s="31"/>
      <c r="C648" s="31"/>
      <c r="D648" s="31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7"/>
      <c r="X648" s="31"/>
      <c r="Y648" s="478"/>
      <c r="Z648" s="32"/>
      <c r="AA648" s="662"/>
      <c r="AB648" s="36"/>
      <c r="AC648" s="36"/>
      <c r="AD648" s="33"/>
    </row>
    <row r="649" spans="1:30" ht="15.75" customHeight="1">
      <c r="A649" s="151"/>
      <c r="B649" s="31"/>
      <c r="C649" s="31"/>
      <c r="D649" s="31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7"/>
      <c r="X649" s="31"/>
      <c r="Y649" s="478"/>
      <c r="Z649" s="32"/>
      <c r="AA649" s="662"/>
      <c r="AB649" s="36"/>
      <c r="AC649" s="36"/>
      <c r="AD649" s="33"/>
    </row>
    <row r="650" spans="1:30" ht="15.75" customHeight="1">
      <c r="A650" s="151"/>
      <c r="B650" s="31"/>
      <c r="C650" s="31"/>
      <c r="D650" s="31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7"/>
      <c r="X650" s="31"/>
      <c r="Y650" s="478"/>
      <c r="Z650" s="32"/>
      <c r="AA650" s="662"/>
      <c r="AB650" s="36"/>
      <c r="AC650" s="36"/>
      <c r="AD650" s="33"/>
    </row>
    <row r="651" spans="1:30" ht="15.75" customHeight="1">
      <c r="A651" s="151"/>
      <c r="B651" s="31"/>
      <c r="C651" s="31"/>
      <c r="D651" s="31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7"/>
      <c r="X651" s="31"/>
      <c r="Y651" s="478"/>
      <c r="Z651" s="32"/>
      <c r="AA651" s="662"/>
      <c r="AB651" s="36"/>
      <c r="AC651" s="36"/>
      <c r="AD651" s="33"/>
    </row>
    <row r="652" spans="1:30" ht="15.75" customHeight="1">
      <c r="A652" s="151"/>
      <c r="B652" s="31"/>
      <c r="C652" s="31"/>
      <c r="D652" s="31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7"/>
      <c r="X652" s="31"/>
      <c r="Y652" s="478"/>
      <c r="Z652" s="32"/>
      <c r="AA652" s="662"/>
      <c r="AB652" s="36"/>
      <c r="AC652" s="36"/>
      <c r="AD652" s="33"/>
    </row>
    <row r="653" spans="1:30" ht="15.75" customHeight="1">
      <c r="A653" s="151"/>
      <c r="B653" s="31"/>
      <c r="C653" s="31"/>
      <c r="D653" s="31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7"/>
      <c r="X653" s="31"/>
      <c r="Y653" s="478"/>
      <c r="Z653" s="32"/>
      <c r="AA653" s="662"/>
      <c r="AB653" s="36"/>
      <c r="AC653" s="36"/>
      <c r="AD653" s="33"/>
    </row>
    <row r="654" spans="1:30" ht="15.75" customHeight="1">
      <c r="A654" s="151"/>
      <c r="B654" s="31"/>
      <c r="C654" s="31"/>
      <c r="D654" s="31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7"/>
      <c r="X654" s="31"/>
      <c r="Y654" s="478"/>
      <c r="Z654" s="32"/>
      <c r="AA654" s="662"/>
      <c r="AB654" s="36"/>
      <c r="AC654" s="36"/>
      <c r="AD654" s="33"/>
    </row>
    <row r="655" spans="1:30" ht="15.75" customHeight="1">
      <c r="A655" s="151"/>
      <c r="B655" s="31"/>
      <c r="C655" s="31"/>
      <c r="D655" s="31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7"/>
      <c r="X655" s="31"/>
      <c r="Y655" s="478"/>
      <c r="Z655" s="32"/>
      <c r="AA655" s="662"/>
      <c r="AB655" s="36"/>
      <c r="AC655" s="36"/>
      <c r="AD655" s="33"/>
    </row>
    <row r="656" spans="1:30" ht="15.75" customHeight="1">
      <c r="A656" s="151"/>
      <c r="B656" s="31"/>
      <c r="C656" s="31"/>
      <c r="D656" s="31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7"/>
      <c r="X656" s="31"/>
      <c r="Y656" s="478"/>
      <c r="Z656" s="32"/>
      <c r="AA656" s="662"/>
      <c r="AB656" s="36"/>
      <c r="AC656" s="36"/>
      <c r="AD656" s="33"/>
    </row>
    <row r="657" spans="1:30" ht="15.75" customHeight="1">
      <c r="A657" s="151"/>
      <c r="B657" s="31"/>
      <c r="C657" s="31"/>
      <c r="D657" s="31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7"/>
      <c r="X657" s="31"/>
      <c r="Y657" s="478"/>
      <c r="Z657" s="32"/>
      <c r="AA657" s="662"/>
      <c r="AB657" s="36"/>
      <c r="AC657" s="36"/>
      <c r="AD657" s="33"/>
    </row>
    <row r="658" spans="1:30" ht="15.75" customHeight="1">
      <c r="A658" s="151"/>
      <c r="B658" s="31"/>
      <c r="C658" s="31"/>
      <c r="D658" s="31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7"/>
      <c r="X658" s="31"/>
      <c r="Y658" s="478"/>
      <c r="Z658" s="32"/>
      <c r="AA658" s="662"/>
      <c r="AB658" s="36"/>
      <c r="AC658" s="36"/>
      <c r="AD658" s="33"/>
    </row>
    <row r="659" spans="1:30" ht="15.75" customHeight="1">
      <c r="A659" s="151"/>
      <c r="B659" s="31"/>
      <c r="C659" s="31"/>
      <c r="D659" s="31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7"/>
      <c r="X659" s="31"/>
      <c r="Y659" s="478"/>
      <c r="Z659" s="32"/>
      <c r="AA659" s="662"/>
      <c r="AB659" s="36"/>
      <c r="AC659" s="36"/>
      <c r="AD659" s="33"/>
    </row>
    <row r="660" spans="1:30" ht="15.75" customHeight="1">
      <c r="A660" s="151"/>
      <c r="B660" s="31"/>
      <c r="C660" s="31"/>
      <c r="D660" s="31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7"/>
      <c r="X660" s="31"/>
      <c r="Y660" s="478"/>
      <c r="Z660" s="32"/>
      <c r="AA660" s="662"/>
      <c r="AB660" s="36"/>
      <c r="AC660" s="36"/>
      <c r="AD660" s="33"/>
    </row>
    <row r="661" spans="1:30" ht="15.75" customHeight="1">
      <c r="A661" s="151"/>
      <c r="B661" s="31"/>
      <c r="C661" s="31"/>
      <c r="D661" s="31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7"/>
      <c r="X661" s="31"/>
      <c r="Y661" s="478"/>
      <c r="Z661" s="32"/>
      <c r="AA661" s="662"/>
      <c r="AB661" s="36"/>
      <c r="AC661" s="36"/>
      <c r="AD661" s="33"/>
    </row>
    <row r="662" spans="1:30" ht="15.75" customHeight="1">
      <c r="A662" s="151"/>
      <c r="B662" s="31"/>
      <c r="C662" s="31"/>
      <c r="D662" s="31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7"/>
      <c r="X662" s="31"/>
      <c r="Y662" s="478"/>
      <c r="Z662" s="32"/>
      <c r="AA662" s="662"/>
      <c r="AB662" s="36"/>
      <c r="AC662" s="36"/>
      <c r="AD662" s="33"/>
    </row>
    <row r="663" spans="1:30" ht="15.75" customHeight="1">
      <c r="A663" s="151"/>
      <c r="B663" s="31"/>
      <c r="C663" s="31"/>
      <c r="D663" s="31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7"/>
      <c r="X663" s="31"/>
      <c r="Y663" s="478"/>
      <c r="Z663" s="32"/>
      <c r="AA663" s="662"/>
      <c r="AB663" s="36"/>
      <c r="AC663" s="36"/>
      <c r="AD663" s="33"/>
    </row>
    <row r="664" spans="1:30" ht="15.75" customHeight="1">
      <c r="A664" s="151"/>
      <c r="B664" s="31"/>
      <c r="C664" s="31"/>
      <c r="D664" s="31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7"/>
      <c r="X664" s="31"/>
      <c r="Y664" s="478"/>
      <c r="Z664" s="32"/>
      <c r="AA664" s="662"/>
      <c r="AB664" s="36"/>
      <c r="AC664" s="36"/>
      <c r="AD664" s="33"/>
    </row>
    <row r="665" spans="1:30" ht="15.75" customHeight="1">
      <c r="A665" s="151"/>
      <c r="B665" s="31"/>
      <c r="C665" s="31"/>
      <c r="D665" s="31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7"/>
      <c r="X665" s="31"/>
      <c r="Y665" s="478"/>
      <c r="Z665" s="32"/>
      <c r="AA665" s="662"/>
      <c r="AB665" s="36"/>
      <c r="AC665" s="36"/>
      <c r="AD665" s="33"/>
    </row>
    <row r="666" spans="1:30" ht="15.75" customHeight="1">
      <c r="A666" s="151"/>
      <c r="B666" s="31"/>
      <c r="C666" s="31"/>
      <c r="D666" s="31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7"/>
      <c r="X666" s="31"/>
      <c r="Y666" s="478"/>
      <c r="Z666" s="32"/>
      <c r="AA666" s="662"/>
      <c r="AB666" s="36"/>
      <c r="AC666" s="36"/>
      <c r="AD666" s="33"/>
    </row>
    <row r="667" spans="1:30" ht="15.75" customHeight="1">
      <c r="A667" s="151"/>
      <c r="B667" s="31"/>
      <c r="C667" s="31"/>
      <c r="D667" s="31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7"/>
      <c r="X667" s="31"/>
      <c r="Y667" s="478"/>
      <c r="Z667" s="32"/>
      <c r="AA667" s="662"/>
      <c r="AB667" s="36"/>
      <c r="AC667" s="36"/>
      <c r="AD667" s="33"/>
    </row>
    <row r="668" spans="1:30" ht="15.75" customHeight="1">
      <c r="A668" s="151"/>
      <c r="B668" s="31"/>
      <c r="C668" s="31"/>
      <c r="D668" s="31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7"/>
      <c r="X668" s="31"/>
      <c r="Y668" s="478"/>
      <c r="Z668" s="32"/>
      <c r="AA668" s="662"/>
      <c r="AB668" s="36"/>
      <c r="AC668" s="36"/>
      <c r="AD668" s="33"/>
    </row>
    <row r="669" spans="1:30" ht="15.75" customHeight="1">
      <c r="A669" s="151"/>
      <c r="B669" s="31"/>
      <c r="C669" s="31"/>
      <c r="D669" s="31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7"/>
      <c r="X669" s="31"/>
      <c r="Y669" s="478"/>
      <c r="Z669" s="32"/>
      <c r="AA669" s="662"/>
      <c r="AB669" s="36"/>
      <c r="AC669" s="36"/>
      <c r="AD669" s="33"/>
    </row>
    <row r="670" spans="1:30" ht="15.75" customHeight="1">
      <c r="A670" s="151"/>
      <c r="B670" s="31"/>
      <c r="C670" s="31"/>
      <c r="D670" s="31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7"/>
      <c r="X670" s="31"/>
      <c r="Y670" s="478"/>
      <c r="Z670" s="32"/>
      <c r="AA670" s="662"/>
      <c r="AB670" s="36"/>
      <c r="AC670" s="36"/>
      <c r="AD670" s="33"/>
    </row>
    <row r="671" spans="1:30" ht="15.75" customHeight="1">
      <c r="A671" s="151"/>
      <c r="B671" s="31"/>
      <c r="C671" s="31"/>
      <c r="D671" s="31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7"/>
      <c r="X671" s="31"/>
      <c r="Y671" s="478"/>
      <c r="Z671" s="32"/>
      <c r="AA671" s="662"/>
      <c r="AB671" s="36"/>
      <c r="AC671" s="36"/>
      <c r="AD671" s="33"/>
    </row>
    <row r="672" spans="1:30" ht="15.75" customHeight="1">
      <c r="A672" s="151"/>
      <c r="B672" s="31"/>
      <c r="C672" s="31"/>
      <c r="D672" s="31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7"/>
      <c r="X672" s="31"/>
      <c r="Y672" s="478"/>
      <c r="Z672" s="32"/>
      <c r="AA672" s="662"/>
      <c r="AB672" s="36"/>
      <c r="AC672" s="36"/>
      <c r="AD672" s="33"/>
    </row>
    <row r="673" spans="1:30" ht="15.75" customHeight="1">
      <c r="A673" s="151"/>
      <c r="B673" s="31"/>
      <c r="C673" s="31"/>
      <c r="D673" s="31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7"/>
      <c r="X673" s="31"/>
      <c r="Y673" s="478"/>
      <c r="Z673" s="32"/>
      <c r="AA673" s="662"/>
      <c r="AB673" s="36"/>
      <c r="AC673" s="36"/>
      <c r="AD673" s="33"/>
    </row>
    <row r="674" spans="1:30" ht="15.75" customHeight="1">
      <c r="A674" s="151"/>
      <c r="B674" s="31"/>
      <c r="C674" s="31"/>
      <c r="D674" s="31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7"/>
      <c r="X674" s="31"/>
      <c r="Y674" s="478"/>
      <c r="Z674" s="32"/>
      <c r="AA674" s="662"/>
      <c r="AB674" s="36"/>
      <c r="AC674" s="36"/>
      <c r="AD674" s="33"/>
    </row>
    <row r="675" spans="1:30" ht="15.75" customHeight="1">
      <c r="A675" s="151"/>
      <c r="B675" s="31"/>
      <c r="C675" s="31"/>
      <c r="D675" s="31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7"/>
      <c r="X675" s="31"/>
      <c r="Y675" s="478"/>
      <c r="Z675" s="32"/>
      <c r="AA675" s="662"/>
      <c r="AB675" s="36"/>
      <c r="AC675" s="36"/>
      <c r="AD675" s="33"/>
    </row>
    <row r="676" spans="1:30" ht="15.75" customHeight="1">
      <c r="A676" s="151"/>
      <c r="B676" s="31"/>
      <c r="C676" s="31"/>
      <c r="D676" s="31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7"/>
      <c r="X676" s="31"/>
      <c r="Y676" s="478"/>
      <c r="Z676" s="32"/>
      <c r="AA676" s="662"/>
      <c r="AB676" s="36"/>
      <c r="AC676" s="36"/>
      <c r="AD676" s="33"/>
    </row>
    <row r="677" spans="1:30" ht="15.75" customHeight="1">
      <c r="A677" s="151"/>
      <c r="B677" s="31"/>
      <c r="C677" s="31"/>
      <c r="D677" s="31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7"/>
      <c r="X677" s="31"/>
      <c r="Y677" s="478"/>
      <c r="Z677" s="32"/>
      <c r="AA677" s="662"/>
      <c r="AB677" s="36"/>
      <c r="AC677" s="36"/>
      <c r="AD677" s="33"/>
    </row>
    <row r="678" spans="1:30" ht="15.75" customHeight="1">
      <c r="A678" s="151"/>
      <c r="B678" s="31"/>
      <c r="C678" s="31"/>
      <c r="D678" s="31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7"/>
      <c r="X678" s="31"/>
      <c r="Y678" s="478"/>
      <c r="Z678" s="32"/>
      <c r="AA678" s="662"/>
      <c r="AB678" s="36"/>
      <c r="AC678" s="36"/>
      <c r="AD678" s="33"/>
    </row>
    <row r="679" spans="1:30" ht="15.75" customHeight="1">
      <c r="A679" s="151"/>
      <c r="B679" s="31"/>
      <c r="C679" s="31"/>
      <c r="D679" s="31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7"/>
      <c r="X679" s="31"/>
      <c r="Y679" s="478"/>
      <c r="Z679" s="32"/>
      <c r="AA679" s="662"/>
      <c r="AB679" s="36"/>
      <c r="AC679" s="36"/>
      <c r="AD679" s="33"/>
    </row>
    <row r="680" spans="1:30" ht="15.75" customHeight="1">
      <c r="A680" s="151"/>
      <c r="B680" s="31"/>
      <c r="C680" s="31"/>
      <c r="D680" s="31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7"/>
      <c r="X680" s="31"/>
      <c r="Y680" s="478"/>
      <c r="Z680" s="32"/>
      <c r="AA680" s="662"/>
      <c r="AB680" s="36"/>
      <c r="AC680" s="36"/>
      <c r="AD680" s="33"/>
    </row>
    <row r="681" spans="1:30" ht="15.75" customHeight="1">
      <c r="A681" s="151"/>
      <c r="B681" s="31"/>
      <c r="C681" s="31"/>
      <c r="D681" s="31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7"/>
      <c r="X681" s="31"/>
      <c r="Y681" s="478"/>
      <c r="Z681" s="32"/>
      <c r="AA681" s="662"/>
      <c r="AB681" s="36"/>
      <c r="AC681" s="36"/>
      <c r="AD681" s="33"/>
    </row>
    <row r="682" spans="1:30" ht="15.75" customHeight="1">
      <c r="A682" s="151"/>
      <c r="B682" s="31"/>
      <c r="C682" s="31"/>
      <c r="D682" s="31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7"/>
      <c r="X682" s="31"/>
      <c r="Y682" s="478"/>
      <c r="Z682" s="32"/>
      <c r="AA682" s="662"/>
      <c r="AB682" s="36"/>
      <c r="AC682" s="36"/>
      <c r="AD682" s="33"/>
    </row>
    <row r="683" spans="1:30" ht="15.75" customHeight="1">
      <c r="A683" s="151"/>
      <c r="B683" s="31"/>
      <c r="C683" s="31"/>
      <c r="D683" s="31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7"/>
      <c r="X683" s="31"/>
      <c r="Y683" s="478"/>
      <c r="Z683" s="32"/>
      <c r="AA683" s="662"/>
      <c r="AB683" s="36"/>
      <c r="AC683" s="36"/>
      <c r="AD683" s="33"/>
    </row>
    <row r="684" spans="1:30" ht="15.75" customHeight="1">
      <c r="A684" s="151"/>
      <c r="B684" s="31"/>
      <c r="C684" s="31"/>
      <c r="D684" s="31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7"/>
      <c r="X684" s="31"/>
      <c r="Y684" s="478"/>
      <c r="Z684" s="32"/>
      <c r="AA684" s="662"/>
      <c r="AB684" s="36"/>
      <c r="AC684" s="36"/>
      <c r="AD684" s="33"/>
    </row>
    <row r="685" spans="1:30" ht="15.75" customHeight="1">
      <c r="A685" s="151"/>
      <c r="B685" s="31"/>
      <c r="C685" s="31"/>
      <c r="D685" s="31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7"/>
      <c r="X685" s="31"/>
      <c r="Y685" s="478"/>
      <c r="Z685" s="32"/>
      <c r="AA685" s="662"/>
      <c r="AB685" s="36"/>
      <c r="AC685" s="36"/>
      <c r="AD685" s="33"/>
    </row>
    <row r="686" spans="1:30" ht="15.75" customHeight="1">
      <c r="A686" s="151"/>
      <c r="B686" s="31"/>
      <c r="C686" s="31"/>
      <c r="D686" s="31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7"/>
      <c r="X686" s="31"/>
      <c r="Y686" s="478"/>
      <c r="Z686" s="32"/>
      <c r="AA686" s="662"/>
      <c r="AB686" s="36"/>
      <c r="AC686" s="36"/>
      <c r="AD686" s="33"/>
    </row>
    <row r="687" spans="1:30" ht="15.75" customHeight="1">
      <c r="A687" s="151"/>
      <c r="B687" s="31"/>
      <c r="C687" s="31"/>
      <c r="D687" s="31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7"/>
      <c r="X687" s="31"/>
      <c r="Y687" s="478"/>
      <c r="Z687" s="32"/>
      <c r="AA687" s="662"/>
      <c r="AB687" s="36"/>
      <c r="AC687" s="36"/>
      <c r="AD687" s="33"/>
    </row>
    <row r="688" spans="1:30" ht="15.75" customHeight="1">
      <c r="A688" s="151"/>
      <c r="B688" s="31"/>
      <c r="C688" s="31"/>
      <c r="D688" s="31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7"/>
      <c r="X688" s="31"/>
      <c r="Y688" s="478"/>
      <c r="Z688" s="32"/>
      <c r="AA688" s="662"/>
      <c r="AB688" s="36"/>
      <c r="AC688" s="36"/>
      <c r="AD688" s="33"/>
    </row>
    <row r="689" spans="1:30" ht="15.75" customHeight="1">
      <c r="A689" s="151"/>
      <c r="B689" s="31"/>
      <c r="C689" s="31"/>
      <c r="D689" s="31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7"/>
      <c r="X689" s="31"/>
      <c r="Y689" s="478"/>
      <c r="Z689" s="32"/>
      <c r="AA689" s="662"/>
      <c r="AB689" s="36"/>
      <c r="AC689" s="36"/>
      <c r="AD689" s="33"/>
    </row>
    <row r="690" spans="1:30" ht="15.75" customHeight="1">
      <c r="A690" s="151"/>
      <c r="B690" s="31"/>
      <c r="C690" s="31"/>
      <c r="D690" s="31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7"/>
      <c r="X690" s="31"/>
      <c r="Y690" s="478"/>
      <c r="Z690" s="32"/>
      <c r="AA690" s="662"/>
      <c r="AB690" s="36"/>
      <c r="AC690" s="36"/>
      <c r="AD690" s="33"/>
    </row>
    <row r="691" spans="1:30" ht="15.75" customHeight="1">
      <c r="A691" s="151"/>
      <c r="B691" s="31"/>
      <c r="C691" s="31"/>
      <c r="D691" s="31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7"/>
      <c r="X691" s="31"/>
      <c r="Y691" s="478"/>
      <c r="Z691" s="32"/>
      <c r="AA691" s="662"/>
      <c r="AB691" s="36"/>
      <c r="AC691" s="36"/>
      <c r="AD691" s="33"/>
    </row>
    <row r="692" spans="1:30" ht="15.75" customHeight="1">
      <c r="A692" s="151"/>
      <c r="B692" s="31"/>
      <c r="C692" s="31"/>
      <c r="D692" s="31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7"/>
      <c r="X692" s="31"/>
      <c r="Y692" s="478"/>
      <c r="Z692" s="32"/>
      <c r="AA692" s="662"/>
      <c r="AB692" s="36"/>
      <c r="AC692" s="36"/>
      <c r="AD692" s="33"/>
    </row>
    <row r="693" spans="1:30" ht="15.75" customHeight="1">
      <c r="A693" s="151"/>
      <c r="B693" s="31"/>
      <c r="C693" s="31"/>
      <c r="D693" s="31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7"/>
      <c r="X693" s="31"/>
      <c r="Y693" s="478"/>
      <c r="Z693" s="32"/>
      <c r="AA693" s="662"/>
      <c r="AB693" s="36"/>
      <c r="AC693" s="36"/>
      <c r="AD693" s="33"/>
    </row>
    <row r="694" spans="1:30" ht="15.75" customHeight="1">
      <c r="A694" s="151"/>
      <c r="B694" s="31"/>
      <c r="C694" s="31"/>
      <c r="D694" s="31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7"/>
      <c r="X694" s="31"/>
      <c r="Y694" s="478"/>
      <c r="Z694" s="32"/>
      <c r="AA694" s="662"/>
      <c r="AB694" s="36"/>
      <c r="AC694" s="36"/>
      <c r="AD694" s="33"/>
    </row>
    <row r="695" spans="1:30" ht="15.75" customHeight="1">
      <c r="A695" s="151"/>
      <c r="B695" s="31"/>
      <c r="C695" s="31"/>
      <c r="D695" s="31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7"/>
      <c r="X695" s="31"/>
      <c r="Y695" s="478"/>
      <c r="Z695" s="32"/>
      <c r="AA695" s="662"/>
      <c r="AB695" s="36"/>
      <c r="AC695" s="36"/>
      <c r="AD695" s="33"/>
    </row>
    <row r="696" spans="1:30" ht="15.75" customHeight="1">
      <c r="A696" s="151"/>
      <c r="B696" s="31"/>
      <c r="C696" s="31"/>
      <c r="D696" s="31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7"/>
      <c r="X696" s="31"/>
      <c r="Y696" s="478"/>
      <c r="Z696" s="32"/>
      <c r="AA696" s="662"/>
      <c r="AB696" s="36"/>
      <c r="AC696" s="36"/>
      <c r="AD696" s="33"/>
    </row>
    <row r="697" spans="1:30" ht="15.75" customHeight="1">
      <c r="A697" s="151"/>
      <c r="B697" s="31"/>
      <c r="C697" s="31"/>
      <c r="D697" s="31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7"/>
      <c r="X697" s="31"/>
      <c r="Y697" s="478"/>
      <c r="Z697" s="32"/>
      <c r="AA697" s="662"/>
      <c r="AB697" s="36"/>
      <c r="AC697" s="36"/>
      <c r="AD697" s="33"/>
    </row>
    <row r="698" spans="1:30" ht="15.75" customHeight="1">
      <c r="A698" s="151"/>
      <c r="B698" s="31"/>
      <c r="C698" s="31"/>
      <c r="D698" s="31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7"/>
      <c r="X698" s="31"/>
      <c r="Y698" s="478"/>
      <c r="Z698" s="32"/>
      <c r="AA698" s="662"/>
      <c r="AB698" s="36"/>
      <c r="AC698" s="36"/>
      <c r="AD698" s="33"/>
    </row>
    <row r="699" spans="1:30" ht="15.75" customHeight="1">
      <c r="A699" s="151"/>
      <c r="B699" s="31"/>
      <c r="C699" s="31"/>
      <c r="D699" s="31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7"/>
      <c r="X699" s="31"/>
      <c r="Y699" s="478"/>
      <c r="Z699" s="32"/>
      <c r="AA699" s="662"/>
      <c r="AB699" s="36"/>
      <c r="AC699" s="36"/>
      <c r="AD699" s="33"/>
    </row>
    <row r="700" spans="1:30" ht="15.75" customHeight="1">
      <c r="A700" s="151"/>
      <c r="B700" s="31"/>
      <c r="C700" s="31"/>
      <c r="D700" s="31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7"/>
      <c r="X700" s="31"/>
      <c r="Y700" s="478"/>
      <c r="Z700" s="32"/>
      <c r="AA700" s="662"/>
      <c r="AB700" s="36"/>
      <c r="AC700" s="36"/>
      <c r="AD700" s="33"/>
    </row>
    <row r="701" spans="1:30" ht="15.75" customHeight="1">
      <c r="A701" s="151"/>
      <c r="B701" s="31"/>
      <c r="C701" s="31"/>
      <c r="D701" s="31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7"/>
      <c r="X701" s="31"/>
      <c r="Y701" s="478"/>
      <c r="Z701" s="32"/>
      <c r="AA701" s="662"/>
      <c r="AB701" s="36"/>
      <c r="AC701" s="36"/>
      <c r="AD701" s="33"/>
    </row>
    <row r="702" spans="1:30" ht="15.75" customHeight="1">
      <c r="A702" s="151"/>
      <c r="B702" s="31"/>
      <c r="C702" s="31"/>
      <c r="D702" s="31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7"/>
      <c r="X702" s="31"/>
      <c r="Y702" s="478"/>
      <c r="Z702" s="32"/>
      <c r="AA702" s="662"/>
      <c r="AB702" s="36"/>
      <c r="AC702" s="36"/>
      <c r="AD702" s="33"/>
    </row>
    <row r="703" spans="1:30" ht="15.75" customHeight="1">
      <c r="A703" s="151"/>
      <c r="B703" s="31"/>
      <c r="C703" s="31"/>
      <c r="D703" s="31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7"/>
      <c r="X703" s="31"/>
      <c r="Y703" s="478"/>
      <c r="Z703" s="32"/>
      <c r="AA703" s="662"/>
      <c r="AB703" s="36"/>
      <c r="AC703" s="36"/>
      <c r="AD703" s="33"/>
    </row>
    <row r="704" spans="1:30" ht="15.75" customHeight="1">
      <c r="A704" s="151"/>
      <c r="B704" s="31"/>
      <c r="C704" s="31"/>
      <c r="D704" s="31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7"/>
      <c r="X704" s="31"/>
      <c r="Y704" s="478"/>
      <c r="Z704" s="32"/>
      <c r="AA704" s="662"/>
      <c r="AB704" s="36"/>
      <c r="AC704" s="36"/>
      <c r="AD704" s="33"/>
    </row>
    <row r="705" spans="1:30" ht="15.75" customHeight="1">
      <c r="A705" s="151"/>
      <c r="B705" s="31"/>
      <c r="C705" s="31"/>
      <c r="D705" s="31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7"/>
      <c r="X705" s="31"/>
      <c r="Y705" s="478"/>
      <c r="Z705" s="32"/>
      <c r="AA705" s="662"/>
      <c r="AB705" s="36"/>
      <c r="AC705" s="36"/>
      <c r="AD705" s="33"/>
    </row>
    <row r="706" spans="1:30" ht="15.75" customHeight="1">
      <c r="A706" s="151"/>
      <c r="B706" s="31"/>
      <c r="C706" s="31"/>
      <c r="D706" s="31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7"/>
      <c r="X706" s="31"/>
      <c r="Y706" s="478"/>
      <c r="Z706" s="32"/>
      <c r="AA706" s="662"/>
      <c r="AB706" s="36"/>
      <c r="AC706" s="36"/>
      <c r="AD706" s="33"/>
    </row>
    <row r="707" spans="1:30" ht="15.75" customHeight="1">
      <c r="A707" s="151"/>
      <c r="B707" s="31"/>
      <c r="C707" s="31"/>
      <c r="D707" s="31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7"/>
      <c r="X707" s="31"/>
      <c r="Y707" s="478"/>
      <c r="Z707" s="32"/>
      <c r="AA707" s="662"/>
      <c r="AB707" s="36"/>
      <c r="AC707" s="36"/>
      <c r="AD707" s="33"/>
    </row>
    <row r="708" spans="1:30" ht="15.75" customHeight="1">
      <c r="A708" s="151"/>
      <c r="B708" s="31"/>
      <c r="C708" s="31"/>
      <c r="D708" s="31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7"/>
      <c r="X708" s="31"/>
      <c r="Y708" s="478"/>
      <c r="Z708" s="32"/>
      <c r="AA708" s="662"/>
      <c r="AB708" s="36"/>
      <c r="AC708" s="36"/>
      <c r="AD708" s="33"/>
    </row>
    <row r="709" spans="1:30" ht="15.75" customHeight="1">
      <c r="A709" s="151"/>
      <c r="B709" s="31"/>
      <c r="C709" s="31"/>
      <c r="D709" s="31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7"/>
      <c r="X709" s="31"/>
      <c r="Y709" s="478"/>
      <c r="Z709" s="32"/>
      <c r="AA709" s="662"/>
      <c r="AB709" s="36"/>
      <c r="AC709" s="36"/>
      <c r="AD709" s="33"/>
    </row>
    <row r="710" spans="1:30" ht="15.75" customHeight="1">
      <c r="A710" s="151"/>
      <c r="B710" s="31"/>
      <c r="C710" s="31"/>
      <c r="D710" s="31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7"/>
      <c r="X710" s="31"/>
      <c r="Y710" s="478"/>
      <c r="Z710" s="32"/>
      <c r="AA710" s="662"/>
      <c r="AB710" s="36"/>
      <c r="AC710" s="36"/>
      <c r="AD710" s="33"/>
    </row>
    <row r="711" spans="1:30" ht="15.75" customHeight="1">
      <c r="A711" s="151"/>
      <c r="B711" s="31"/>
      <c r="C711" s="31"/>
      <c r="D711" s="31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7"/>
      <c r="X711" s="31"/>
      <c r="Y711" s="478"/>
      <c r="Z711" s="32"/>
      <c r="AA711" s="662"/>
      <c r="AB711" s="36"/>
      <c r="AC711" s="36"/>
      <c r="AD711" s="33"/>
    </row>
    <row r="712" spans="1:30" ht="15.75" customHeight="1">
      <c r="A712" s="151"/>
      <c r="B712" s="31"/>
      <c r="C712" s="31"/>
      <c r="D712" s="31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7"/>
      <c r="X712" s="31"/>
      <c r="Y712" s="478"/>
      <c r="Z712" s="32"/>
      <c r="AA712" s="662"/>
      <c r="AB712" s="36"/>
      <c r="AC712" s="36"/>
      <c r="AD712" s="33"/>
    </row>
    <row r="713" spans="1:30" ht="15.75" customHeight="1">
      <c r="A713" s="151"/>
      <c r="B713" s="31"/>
      <c r="C713" s="31"/>
      <c r="D713" s="31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7"/>
      <c r="X713" s="31"/>
      <c r="Y713" s="478"/>
      <c r="Z713" s="32"/>
      <c r="AA713" s="662"/>
      <c r="AB713" s="36"/>
      <c r="AC713" s="36"/>
      <c r="AD713" s="33"/>
    </row>
    <row r="714" spans="1:30" ht="15.75" customHeight="1">
      <c r="A714" s="151"/>
      <c r="B714" s="31"/>
      <c r="C714" s="31"/>
      <c r="D714" s="31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7"/>
      <c r="X714" s="31"/>
      <c r="Y714" s="478"/>
      <c r="Z714" s="32"/>
      <c r="AA714" s="662"/>
      <c r="AB714" s="36"/>
      <c r="AC714" s="36"/>
      <c r="AD714" s="33"/>
    </row>
    <row r="715" spans="1:30" ht="15.75" customHeight="1">
      <c r="A715" s="151"/>
      <c r="B715" s="31"/>
      <c r="C715" s="31"/>
      <c r="D715" s="31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7"/>
      <c r="X715" s="31"/>
      <c r="Y715" s="478"/>
      <c r="Z715" s="32"/>
      <c r="AA715" s="662"/>
      <c r="AB715" s="36"/>
      <c r="AC715" s="36"/>
      <c r="AD715" s="33"/>
    </row>
    <row r="716" spans="1:30" ht="15.75" customHeight="1">
      <c r="A716" s="151"/>
      <c r="B716" s="31"/>
      <c r="C716" s="31"/>
      <c r="D716" s="31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7"/>
      <c r="X716" s="31"/>
      <c r="Y716" s="478"/>
      <c r="Z716" s="32"/>
      <c r="AA716" s="662"/>
      <c r="AB716" s="36"/>
      <c r="AC716" s="36"/>
      <c r="AD716" s="33"/>
    </row>
    <row r="717" spans="1:30" ht="15.75" customHeight="1">
      <c r="A717" s="151"/>
      <c r="B717" s="31"/>
      <c r="C717" s="31"/>
      <c r="D717" s="31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7"/>
      <c r="X717" s="31"/>
      <c r="Y717" s="478"/>
      <c r="Z717" s="32"/>
      <c r="AA717" s="662"/>
      <c r="AB717" s="36"/>
      <c r="AC717" s="36"/>
      <c r="AD717" s="33"/>
    </row>
    <row r="718" spans="1:30" ht="15.75" customHeight="1">
      <c r="A718" s="151"/>
      <c r="B718" s="31"/>
      <c r="C718" s="31"/>
      <c r="D718" s="31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7"/>
      <c r="X718" s="31"/>
      <c r="Y718" s="478"/>
      <c r="Z718" s="32"/>
      <c r="AA718" s="662"/>
      <c r="AB718" s="36"/>
      <c r="AC718" s="36"/>
      <c r="AD718" s="33"/>
    </row>
    <row r="719" spans="1:30" ht="15.75" customHeight="1">
      <c r="A719" s="151"/>
      <c r="B719" s="31"/>
      <c r="C719" s="31"/>
      <c r="D719" s="31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7"/>
      <c r="X719" s="31"/>
      <c r="Y719" s="478"/>
      <c r="Z719" s="32"/>
      <c r="AA719" s="662"/>
      <c r="AB719" s="36"/>
      <c r="AC719" s="36"/>
      <c r="AD719" s="33"/>
    </row>
    <row r="720" spans="1:30" ht="15.75" customHeight="1">
      <c r="A720" s="151"/>
      <c r="B720" s="31"/>
      <c r="C720" s="31"/>
      <c r="D720" s="31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7"/>
      <c r="X720" s="31"/>
      <c r="Y720" s="478"/>
      <c r="Z720" s="32"/>
      <c r="AA720" s="662"/>
      <c r="AB720" s="36"/>
      <c r="AC720" s="36"/>
      <c r="AD720" s="33"/>
    </row>
    <row r="721" spans="1:30" ht="15.75" customHeight="1">
      <c r="A721" s="151"/>
      <c r="B721" s="31"/>
      <c r="C721" s="31"/>
      <c r="D721" s="31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7"/>
      <c r="X721" s="31"/>
      <c r="Y721" s="478"/>
      <c r="Z721" s="32"/>
      <c r="AA721" s="662"/>
      <c r="AB721" s="36"/>
      <c r="AC721" s="36"/>
      <c r="AD721" s="33"/>
    </row>
    <row r="722" spans="1:30" ht="15.75" customHeight="1">
      <c r="A722" s="151"/>
      <c r="B722" s="31"/>
      <c r="C722" s="31"/>
      <c r="D722" s="31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7"/>
      <c r="X722" s="31"/>
      <c r="Y722" s="478"/>
      <c r="Z722" s="32"/>
      <c r="AA722" s="662"/>
      <c r="AB722" s="36"/>
      <c r="AC722" s="36"/>
      <c r="AD722" s="33"/>
    </row>
    <row r="723" spans="1:30" ht="15.75" customHeight="1">
      <c r="A723" s="151"/>
      <c r="B723" s="31"/>
      <c r="C723" s="31"/>
      <c r="D723" s="31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7"/>
      <c r="X723" s="31"/>
      <c r="Y723" s="478"/>
      <c r="Z723" s="32"/>
      <c r="AA723" s="662"/>
      <c r="AB723" s="36"/>
      <c r="AC723" s="36"/>
      <c r="AD723" s="33"/>
    </row>
    <row r="724" spans="1:30" ht="15.75" customHeight="1">
      <c r="A724" s="151"/>
      <c r="B724" s="31"/>
      <c r="C724" s="31"/>
      <c r="D724" s="31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7"/>
      <c r="X724" s="31"/>
      <c r="Y724" s="478"/>
      <c r="Z724" s="32"/>
      <c r="AA724" s="662"/>
      <c r="AB724" s="36"/>
      <c r="AC724" s="36"/>
      <c r="AD724" s="33"/>
    </row>
    <row r="725" spans="1:30" ht="15.75" customHeight="1">
      <c r="A725" s="151"/>
      <c r="B725" s="31"/>
      <c r="C725" s="31"/>
      <c r="D725" s="31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7"/>
      <c r="X725" s="31"/>
      <c r="Y725" s="478"/>
      <c r="Z725" s="32"/>
      <c r="AA725" s="662"/>
      <c r="AB725" s="36"/>
      <c r="AC725" s="36"/>
      <c r="AD725" s="33"/>
    </row>
    <row r="726" spans="1:30" ht="15.75" customHeight="1">
      <c r="A726" s="151"/>
      <c r="B726" s="31"/>
      <c r="C726" s="31"/>
      <c r="D726" s="31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7"/>
      <c r="X726" s="31"/>
      <c r="Y726" s="478"/>
      <c r="Z726" s="32"/>
      <c r="AA726" s="662"/>
      <c r="AB726" s="36"/>
      <c r="AC726" s="36"/>
      <c r="AD726" s="33"/>
    </row>
    <row r="727" spans="1:30" ht="15.75" customHeight="1">
      <c r="A727" s="151"/>
      <c r="B727" s="31"/>
      <c r="C727" s="31"/>
      <c r="D727" s="31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7"/>
      <c r="X727" s="31"/>
      <c r="Y727" s="478"/>
      <c r="Z727" s="32"/>
      <c r="AA727" s="662"/>
      <c r="AB727" s="36"/>
      <c r="AC727" s="36"/>
      <c r="AD727" s="33"/>
    </row>
    <row r="728" spans="1:30" ht="15.75" customHeight="1">
      <c r="A728" s="151"/>
      <c r="B728" s="31"/>
      <c r="C728" s="31"/>
      <c r="D728" s="31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7"/>
      <c r="X728" s="31"/>
      <c r="Y728" s="478"/>
      <c r="Z728" s="32"/>
      <c r="AA728" s="662"/>
      <c r="AB728" s="36"/>
      <c r="AC728" s="36"/>
      <c r="AD728" s="33"/>
    </row>
    <row r="729" spans="1:30" ht="15.75" customHeight="1">
      <c r="A729" s="151"/>
      <c r="B729" s="31"/>
      <c r="C729" s="31"/>
      <c r="D729" s="31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7"/>
      <c r="X729" s="31"/>
      <c r="Y729" s="478"/>
      <c r="Z729" s="32"/>
      <c r="AA729" s="662"/>
      <c r="AB729" s="36"/>
      <c r="AC729" s="36"/>
      <c r="AD729" s="33"/>
    </row>
    <row r="730" spans="1:30" ht="15.75" customHeight="1">
      <c r="A730" s="151"/>
      <c r="B730" s="31"/>
      <c r="C730" s="31"/>
      <c r="D730" s="31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7"/>
      <c r="X730" s="31"/>
      <c r="Y730" s="478"/>
      <c r="Z730" s="32"/>
      <c r="AA730" s="662"/>
      <c r="AB730" s="36"/>
      <c r="AC730" s="36"/>
      <c r="AD730" s="33"/>
    </row>
    <row r="731" spans="1:30" ht="15.75" customHeight="1">
      <c r="A731" s="151"/>
      <c r="B731" s="31"/>
      <c r="C731" s="31"/>
      <c r="D731" s="31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7"/>
      <c r="X731" s="31"/>
      <c r="Y731" s="478"/>
      <c r="Z731" s="32"/>
      <c r="AA731" s="662"/>
      <c r="AB731" s="36"/>
      <c r="AC731" s="36"/>
      <c r="AD731" s="33"/>
    </row>
    <row r="732" spans="1:30" ht="15.75" customHeight="1">
      <c r="A732" s="151"/>
      <c r="B732" s="31"/>
      <c r="C732" s="31"/>
      <c r="D732" s="31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7"/>
      <c r="X732" s="31"/>
      <c r="Y732" s="478"/>
      <c r="Z732" s="32"/>
      <c r="AA732" s="662"/>
      <c r="AB732" s="36"/>
      <c r="AC732" s="36"/>
      <c r="AD732" s="33"/>
    </row>
    <row r="733" spans="1:30" ht="15.75" customHeight="1">
      <c r="A733" s="151"/>
      <c r="B733" s="31"/>
      <c r="C733" s="31"/>
      <c r="D733" s="31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7"/>
      <c r="X733" s="31"/>
      <c r="Y733" s="478"/>
      <c r="Z733" s="32"/>
      <c r="AA733" s="662"/>
      <c r="AB733" s="36"/>
      <c r="AC733" s="36"/>
      <c r="AD733" s="33"/>
    </row>
    <row r="734" spans="1:30" ht="15.75" customHeight="1">
      <c r="A734" s="151"/>
      <c r="B734" s="31"/>
      <c r="C734" s="31"/>
      <c r="D734" s="31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7"/>
      <c r="X734" s="31"/>
      <c r="Y734" s="478"/>
      <c r="Z734" s="32"/>
      <c r="AA734" s="662"/>
      <c r="AB734" s="36"/>
      <c r="AC734" s="36"/>
      <c r="AD734" s="33"/>
    </row>
    <row r="735" spans="1:30" ht="15.75" customHeight="1">
      <c r="A735" s="151"/>
      <c r="B735" s="31"/>
      <c r="C735" s="31"/>
      <c r="D735" s="31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7"/>
      <c r="X735" s="31"/>
      <c r="Y735" s="478"/>
      <c r="Z735" s="32"/>
      <c r="AA735" s="662"/>
      <c r="AB735" s="36"/>
      <c r="AC735" s="36"/>
      <c r="AD735" s="33"/>
    </row>
    <row r="736" spans="1:30" ht="15.75" customHeight="1">
      <c r="A736" s="151"/>
      <c r="B736" s="31"/>
      <c r="C736" s="31"/>
      <c r="D736" s="31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7"/>
      <c r="X736" s="31"/>
      <c r="Y736" s="478"/>
      <c r="Z736" s="32"/>
      <c r="AA736" s="662"/>
      <c r="AB736" s="36"/>
      <c r="AC736" s="36"/>
      <c r="AD736" s="33"/>
    </row>
    <row r="737" spans="1:30" ht="15.75" customHeight="1">
      <c r="A737" s="151"/>
      <c r="B737" s="31"/>
      <c r="C737" s="31"/>
      <c r="D737" s="31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7"/>
      <c r="X737" s="31"/>
      <c r="Y737" s="478"/>
      <c r="Z737" s="32"/>
      <c r="AA737" s="662"/>
      <c r="AB737" s="36"/>
      <c r="AC737" s="36"/>
      <c r="AD737" s="33"/>
    </row>
    <row r="738" spans="1:30" ht="15.75" customHeight="1">
      <c r="A738" s="151"/>
      <c r="B738" s="31"/>
      <c r="C738" s="31"/>
      <c r="D738" s="31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7"/>
      <c r="X738" s="31"/>
      <c r="Y738" s="478"/>
      <c r="Z738" s="32"/>
      <c r="AA738" s="662"/>
      <c r="AB738" s="36"/>
      <c r="AC738" s="36"/>
      <c r="AD738" s="33"/>
    </row>
    <row r="739" spans="1:30" ht="15.75" customHeight="1">
      <c r="A739" s="151"/>
      <c r="B739" s="31"/>
      <c r="C739" s="31"/>
      <c r="D739" s="31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7"/>
      <c r="X739" s="31"/>
      <c r="Y739" s="478"/>
      <c r="Z739" s="32"/>
      <c r="AA739" s="662"/>
      <c r="AB739" s="36"/>
      <c r="AC739" s="36"/>
      <c r="AD739" s="33"/>
    </row>
    <row r="740" spans="1:30" ht="15.75" customHeight="1">
      <c r="A740" s="151"/>
      <c r="B740" s="31"/>
      <c r="C740" s="31"/>
      <c r="D740" s="31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7"/>
      <c r="X740" s="31"/>
      <c r="Y740" s="478"/>
      <c r="Z740" s="32"/>
      <c r="AA740" s="662"/>
      <c r="AB740" s="36"/>
      <c r="AC740" s="36"/>
      <c r="AD740" s="33"/>
    </row>
    <row r="741" spans="1:30" ht="15.75" customHeight="1">
      <c r="A741" s="151"/>
      <c r="B741" s="31"/>
      <c r="C741" s="31"/>
      <c r="D741" s="31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7"/>
      <c r="X741" s="31"/>
      <c r="Y741" s="478"/>
      <c r="Z741" s="32"/>
      <c r="AA741" s="662"/>
      <c r="AB741" s="36"/>
      <c r="AC741" s="36"/>
      <c r="AD741" s="33"/>
    </row>
    <row r="742" spans="1:30" ht="15.75" customHeight="1">
      <c r="A742" s="151"/>
      <c r="B742" s="31"/>
      <c r="C742" s="31"/>
      <c r="D742" s="31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7"/>
      <c r="X742" s="31"/>
      <c r="Y742" s="478"/>
      <c r="Z742" s="32"/>
      <c r="AA742" s="662"/>
      <c r="AB742" s="36"/>
      <c r="AC742" s="36"/>
      <c r="AD742" s="33"/>
    </row>
    <row r="743" spans="1:30" ht="15.75" customHeight="1">
      <c r="A743" s="151"/>
      <c r="B743" s="31"/>
      <c r="C743" s="31"/>
      <c r="D743" s="31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7"/>
      <c r="X743" s="31"/>
      <c r="Y743" s="478"/>
      <c r="Z743" s="32"/>
      <c r="AA743" s="662"/>
      <c r="AB743" s="36"/>
      <c r="AC743" s="36"/>
      <c r="AD743" s="33"/>
    </row>
    <row r="744" spans="1:30" ht="15.75" customHeight="1">
      <c r="A744" s="151"/>
      <c r="B744" s="31"/>
      <c r="C744" s="31"/>
      <c r="D744" s="31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7"/>
      <c r="X744" s="31"/>
      <c r="Y744" s="478"/>
      <c r="Z744" s="32"/>
      <c r="AA744" s="662"/>
      <c r="AB744" s="36"/>
      <c r="AC744" s="36"/>
      <c r="AD744" s="33"/>
    </row>
    <row r="745" spans="1:30" ht="15.75" customHeight="1">
      <c r="A745" s="151"/>
      <c r="B745" s="31"/>
      <c r="C745" s="31"/>
      <c r="D745" s="31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7"/>
      <c r="X745" s="31"/>
      <c r="Y745" s="478"/>
      <c r="Z745" s="32"/>
      <c r="AA745" s="662"/>
      <c r="AB745" s="36"/>
      <c r="AC745" s="36"/>
      <c r="AD745" s="33"/>
    </row>
    <row r="746" spans="1:30" ht="15.75" customHeight="1">
      <c r="A746" s="151"/>
      <c r="B746" s="31"/>
      <c r="C746" s="31"/>
      <c r="D746" s="31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7"/>
      <c r="X746" s="31"/>
      <c r="Y746" s="478"/>
      <c r="Z746" s="32"/>
      <c r="AA746" s="662"/>
      <c r="AB746" s="36"/>
      <c r="AC746" s="36"/>
      <c r="AD746" s="33"/>
    </row>
    <row r="747" spans="1:30" ht="15.75" customHeight="1">
      <c r="A747" s="151"/>
      <c r="B747" s="31"/>
      <c r="C747" s="31"/>
      <c r="D747" s="31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7"/>
      <c r="X747" s="31"/>
      <c r="Y747" s="478"/>
      <c r="Z747" s="32"/>
      <c r="AA747" s="662"/>
      <c r="AB747" s="36"/>
      <c r="AC747" s="36"/>
      <c r="AD747" s="33"/>
    </row>
    <row r="748" spans="1:30" ht="15.75" customHeight="1">
      <c r="A748" s="151"/>
      <c r="B748" s="31"/>
      <c r="C748" s="31"/>
      <c r="D748" s="31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7"/>
      <c r="X748" s="31"/>
      <c r="Y748" s="478"/>
      <c r="Z748" s="32"/>
      <c r="AA748" s="662"/>
      <c r="AB748" s="36"/>
      <c r="AC748" s="36"/>
      <c r="AD748" s="33"/>
    </row>
    <row r="749" spans="1:30" ht="15.75" customHeight="1">
      <c r="A749" s="151"/>
      <c r="B749" s="31"/>
      <c r="C749" s="31"/>
      <c r="D749" s="31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7"/>
      <c r="X749" s="31"/>
      <c r="Y749" s="478"/>
      <c r="Z749" s="32"/>
      <c r="AA749" s="662"/>
      <c r="AB749" s="36"/>
      <c r="AC749" s="36"/>
      <c r="AD749" s="33"/>
    </row>
    <row r="750" spans="1:30" ht="15.75" customHeight="1">
      <c r="A750" s="151"/>
      <c r="B750" s="31"/>
      <c r="C750" s="31"/>
      <c r="D750" s="31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7"/>
      <c r="X750" s="31"/>
      <c r="Y750" s="478"/>
      <c r="Z750" s="32"/>
      <c r="AA750" s="662"/>
      <c r="AB750" s="36"/>
      <c r="AC750" s="36"/>
      <c r="AD750" s="33"/>
    </row>
    <row r="751" spans="1:30" ht="15.75" customHeight="1">
      <c r="A751" s="151"/>
      <c r="B751" s="31"/>
      <c r="C751" s="31"/>
      <c r="D751" s="31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7"/>
      <c r="X751" s="31"/>
      <c r="Y751" s="478"/>
      <c r="Z751" s="32"/>
      <c r="AA751" s="662"/>
      <c r="AB751" s="36"/>
      <c r="AC751" s="36"/>
      <c r="AD751" s="33"/>
    </row>
    <row r="752" spans="1:30" ht="15.75" customHeight="1">
      <c r="A752" s="151"/>
      <c r="B752" s="31"/>
      <c r="C752" s="31"/>
      <c r="D752" s="31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7"/>
      <c r="X752" s="31"/>
      <c r="Y752" s="478"/>
      <c r="Z752" s="32"/>
      <c r="AA752" s="662"/>
      <c r="AB752" s="36"/>
      <c r="AC752" s="36"/>
      <c r="AD752" s="33"/>
    </row>
    <row r="753" spans="1:30" ht="15.75" customHeight="1">
      <c r="A753" s="151"/>
      <c r="B753" s="31"/>
      <c r="C753" s="31"/>
      <c r="D753" s="31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7"/>
      <c r="X753" s="31"/>
      <c r="Y753" s="478"/>
      <c r="Z753" s="32"/>
      <c r="AA753" s="662"/>
      <c r="AB753" s="36"/>
      <c r="AC753" s="36"/>
      <c r="AD753" s="33"/>
    </row>
    <row r="754" spans="1:30" ht="15.75" customHeight="1">
      <c r="A754" s="151"/>
      <c r="B754" s="31"/>
      <c r="C754" s="31"/>
      <c r="D754" s="31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7"/>
      <c r="X754" s="31"/>
      <c r="Y754" s="478"/>
      <c r="Z754" s="32"/>
      <c r="AA754" s="662"/>
      <c r="AB754" s="36"/>
      <c r="AC754" s="36"/>
      <c r="AD754" s="33"/>
    </row>
    <row r="755" spans="1:30" ht="15.75" customHeight="1">
      <c r="A755" s="151"/>
      <c r="B755" s="31"/>
      <c r="C755" s="31"/>
      <c r="D755" s="31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7"/>
      <c r="X755" s="31"/>
      <c r="Y755" s="478"/>
      <c r="Z755" s="32"/>
      <c r="AA755" s="662"/>
      <c r="AB755" s="36"/>
      <c r="AC755" s="36"/>
      <c r="AD755" s="33"/>
    </row>
    <row r="756" spans="1:30" ht="15.75" customHeight="1">
      <c r="A756" s="151"/>
      <c r="B756" s="31"/>
      <c r="C756" s="31"/>
      <c r="D756" s="31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7"/>
      <c r="X756" s="31"/>
      <c r="Y756" s="478"/>
      <c r="Z756" s="32"/>
      <c r="AA756" s="662"/>
      <c r="AB756" s="36"/>
      <c r="AC756" s="36"/>
      <c r="AD756" s="33"/>
    </row>
    <row r="757" spans="1:30" ht="15.75" customHeight="1">
      <c r="A757" s="151"/>
      <c r="B757" s="31"/>
      <c r="C757" s="31"/>
      <c r="D757" s="31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7"/>
      <c r="X757" s="31"/>
      <c r="Y757" s="478"/>
      <c r="Z757" s="32"/>
      <c r="AA757" s="662"/>
      <c r="AB757" s="36"/>
      <c r="AC757" s="36"/>
      <c r="AD757" s="33"/>
    </row>
    <row r="758" spans="1:30" ht="15.75" customHeight="1">
      <c r="A758" s="151"/>
      <c r="B758" s="31"/>
      <c r="C758" s="31"/>
      <c r="D758" s="31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7"/>
      <c r="X758" s="31"/>
      <c r="Y758" s="478"/>
      <c r="Z758" s="32"/>
      <c r="AA758" s="662"/>
      <c r="AB758" s="36"/>
      <c r="AC758" s="36"/>
      <c r="AD758" s="33"/>
    </row>
    <row r="759" spans="1:30" ht="15.75" customHeight="1">
      <c r="A759" s="151"/>
      <c r="B759" s="31"/>
      <c r="C759" s="31"/>
      <c r="D759" s="31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7"/>
      <c r="X759" s="31"/>
      <c r="Y759" s="478"/>
      <c r="Z759" s="32"/>
      <c r="AA759" s="662"/>
      <c r="AB759" s="36"/>
      <c r="AC759" s="36"/>
      <c r="AD759" s="33"/>
    </row>
    <row r="760" spans="1:30" ht="15.75" customHeight="1">
      <c r="A760" s="151"/>
      <c r="B760" s="31"/>
      <c r="C760" s="31"/>
      <c r="D760" s="31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7"/>
      <c r="X760" s="31"/>
      <c r="Y760" s="478"/>
      <c r="Z760" s="32"/>
      <c r="AA760" s="662"/>
      <c r="AB760" s="36"/>
      <c r="AC760" s="36"/>
      <c r="AD760" s="33"/>
    </row>
    <row r="761" spans="1:30" ht="15.75" customHeight="1">
      <c r="A761" s="151"/>
      <c r="B761" s="31"/>
      <c r="C761" s="31"/>
      <c r="D761" s="31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7"/>
      <c r="X761" s="31"/>
      <c r="Y761" s="478"/>
      <c r="Z761" s="32"/>
      <c r="AA761" s="662"/>
      <c r="AB761" s="36"/>
      <c r="AC761" s="36"/>
      <c r="AD761" s="33"/>
    </row>
    <row r="762" spans="1:30" ht="15.75" customHeight="1">
      <c r="A762" s="151"/>
      <c r="B762" s="31"/>
      <c r="C762" s="31"/>
      <c r="D762" s="31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7"/>
      <c r="X762" s="31"/>
      <c r="Y762" s="478"/>
      <c r="Z762" s="32"/>
      <c r="AA762" s="662"/>
      <c r="AB762" s="36"/>
      <c r="AC762" s="36"/>
      <c r="AD762" s="33"/>
    </row>
    <row r="763" spans="1:30" ht="15.75" customHeight="1">
      <c r="A763" s="151"/>
      <c r="B763" s="31"/>
      <c r="C763" s="31"/>
      <c r="D763" s="31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7"/>
      <c r="X763" s="31"/>
      <c r="Y763" s="478"/>
      <c r="Z763" s="32"/>
      <c r="AA763" s="662"/>
      <c r="AB763" s="36"/>
      <c r="AC763" s="36"/>
      <c r="AD763" s="33"/>
    </row>
    <row r="764" spans="1:30" ht="15.75" customHeight="1">
      <c r="A764" s="151"/>
      <c r="B764" s="31"/>
      <c r="C764" s="31"/>
      <c r="D764" s="31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7"/>
      <c r="X764" s="31"/>
      <c r="Y764" s="478"/>
      <c r="Z764" s="32"/>
      <c r="AA764" s="662"/>
      <c r="AB764" s="36"/>
      <c r="AC764" s="36"/>
      <c r="AD764" s="33"/>
    </row>
    <row r="765" spans="1:30" ht="15.75" customHeight="1">
      <c r="A765" s="151"/>
      <c r="B765" s="31"/>
      <c r="C765" s="31"/>
      <c r="D765" s="31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7"/>
      <c r="X765" s="31"/>
      <c r="Y765" s="478"/>
      <c r="Z765" s="32"/>
      <c r="AA765" s="662"/>
      <c r="AB765" s="36"/>
      <c r="AC765" s="36"/>
      <c r="AD765" s="33"/>
    </row>
    <row r="766" spans="1:30" ht="15.75" customHeight="1">
      <c r="A766" s="151"/>
      <c r="B766" s="31"/>
      <c r="C766" s="31"/>
      <c r="D766" s="31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7"/>
      <c r="X766" s="31"/>
      <c r="Y766" s="478"/>
      <c r="Z766" s="32"/>
      <c r="AA766" s="662"/>
      <c r="AB766" s="36"/>
      <c r="AC766" s="36"/>
      <c r="AD766" s="33"/>
    </row>
    <row r="767" spans="1:30" ht="15.75" customHeight="1">
      <c r="A767" s="151"/>
      <c r="B767" s="31"/>
      <c r="C767" s="31"/>
      <c r="D767" s="31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7"/>
      <c r="X767" s="31"/>
      <c r="Y767" s="478"/>
      <c r="Z767" s="32"/>
      <c r="AA767" s="662"/>
      <c r="AB767" s="36"/>
      <c r="AC767" s="36"/>
      <c r="AD767" s="33"/>
    </row>
    <row r="768" spans="1:30" ht="15.75" customHeight="1">
      <c r="A768" s="151"/>
      <c r="B768" s="31"/>
      <c r="C768" s="31"/>
      <c r="D768" s="31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7"/>
      <c r="X768" s="31"/>
      <c r="Y768" s="478"/>
      <c r="Z768" s="32"/>
      <c r="AA768" s="662"/>
      <c r="AB768" s="36"/>
      <c r="AC768" s="36"/>
      <c r="AD768" s="33"/>
    </row>
    <row r="769" spans="1:30" ht="15.75" customHeight="1">
      <c r="A769" s="151"/>
      <c r="B769" s="31"/>
      <c r="C769" s="31"/>
      <c r="D769" s="31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7"/>
      <c r="X769" s="31"/>
      <c r="Y769" s="478"/>
      <c r="Z769" s="32"/>
      <c r="AA769" s="662"/>
      <c r="AB769" s="36"/>
      <c r="AC769" s="36"/>
      <c r="AD769" s="33"/>
    </row>
    <row r="770" spans="1:30" ht="15.75" customHeight="1">
      <c r="A770" s="151"/>
      <c r="B770" s="31"/>
      <c r="C770" s="31"/>
      <c r="D770" s="31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7"/>
      <c r="X770" s="31"/>
      <c r="Y770" s="478"/>
      <c r="Z770" s="32"/>
      <c r="AA770" s="662"/>
      <c r="AB770" s="36"/>
      <c r="AC770" s="36"/>
      <c r="AD770" s="33"/>
    </row>
    <row r="771" spans="1:30" ht="15.75" customHeight="1">
      <c r="A771" s="151"/>
      <c r="B771" s="31"/>
      <c r="C771" s="31"/>
      <c r="D771" s="31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7"/>
      <c r="X771" s="31"/>
      <c r="Y771" s="478"/>
      <c r="Z771" s="32"/>
      <c r="AA771" s="662"/>
      <c r="AB771" s="36"/>
      <c r="AC771" s="36"/>
      <c r="AD771" s="33"/>
    </row>
    <row r="772" spans="1:30" ht="15.75" customHeight="1">
      <c r="A772" s="151"/>
      <c r="B772" s="31"/>
      <c r="C772" s="31"/>
      <c r="D772" s="31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7"/>
      <c r="X772" s="31"/>
      <c r="Y772" s="478"/>
      <c r="Z772" s="32"/>
      <c r="AA772" s="662"/>
      <c r="AB772" s="36"/>
      <c r="AC772" s="36"/>
      <c r="AD772" s="33"/>
    </row>
    <row r="773" spans="1:30" ht="15.75" customHeight="1">
      <c r="A773" s="151"/>
      <c r="B773" s="31"/>
      <c r="C773" s="31"/>
      <c r="D773" s="31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7"/>
      <c r="X773" s="31"/>
      <c r="Y773" s="478"/>
      <c r="Z773" s="32"/>
      <c r="AA773" s="662"/>
      <c r="AB773" s="36"/>
      <c r="AC773" s="36"/>
      <c r="AD773" s="33"/>
    </row>
    <row r="774" spans="1:30" ht="15.75" customHeight="1">
      <c r="A774" s="151"/>
      <c r="B774" s="31"/>
      <c r="C774" s="31"/>
      <c r="D774" s="31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7"/>
      <c r="X774" s="31"/>
      <c r="Y774" s="478"/>
      <c r="Z774" s="32"/>
      <c r="AA774" s="662"/>
      <c r="AB774" s="36"/>
      <c r="AC774" s="36"/>
      <c r="AD774" s="33"/>
    </row>
    <row r="775" spans="1:30" ht="15.75" customHeight="1">
      <c r="A775" s="151"/>
      <c r="B775" s="31"/>
      <c r="C775" s="31"/>
      <c r="D775" s="31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7"/>
      <c r="X775" s="31"/>
      <c r="Y775" s="478"/>
      <c r="Z775" s="32"/>
      <c r="AA775" s="662"/>
      <c r="AB775" s="36"/>
      <c r="AC775" s="36"/>
      <c r="AD775" s="33"/>
    </row>
    <row r="776" spans="1:30" ht="15.75" customHeight="1">
      <c r="A776" s="151"/>
      <c r="B776" s="31"/>
      <c r="C776" s="31"/>
      <c r="D776" s="31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7"/>
      <c r="X776" s="31"/>
      <c r="Y776" s="478"/>
      <c r="Z776" s="32"/>
      <c r="AA776" s="662"/>
      <c r="AB776" s="36"/>
      <c r="AC776" s="36"/>
      <c r="AD776" s="33"/>
    </row>
    <row r="777" spans="1:30" ht="15.75" customHeight="1">
      <c r="A777" s="151"/>
      <c r="B777" s="31"/>
      <c r="C777" s="31"/>
      <c r="D777" s="31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7"/>
      <c r="X777" s="31"/>
      <c r="Y777" s="478"/>
      <c r="Z777" s="32"/>
      <c r="AA777" s="662"/>
      <c r="AB777" s="36"/>
      <c r="AC777" s="36"/>
      <c r="AD777" s="33"/>
    </row>
    <row r="778" spans="1:30" ht="15.75" customHeight="1">
      <c r="A778" s="151"/>
      <c r="B778" s="31"/>
      <c r="C778" s="31"/>
      <c r="D778" s="31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7"/>
      <c r="X778" s="31"/>
      <c r="Y778" s="478"/>
      <c r="Z778" s="32"/>
      <c r="AA778" s="662"/>
      <c r="AB778" s="36"/>
      <c r="AC778" s="36"/>
      <c r="AD778" s="33"/>
    </row>
    <row r="779" spans="1:30" ht="15.75" customHeight="1">
      <c r="A779" s="151"/>
      <c r="B779" s="31"/>
      <c r="C779" s="31"/>
      <c r="D779" s="31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7"/>
      <c r="X779" s="31"/>
      <c r="Y779" s="478"/>
      <c r="Z779" s="32"/>
      <c r="AA779" s="662"/>
      <c r="AB779" s="36"/>
      <c r="AC779" s="36"/>
      <c r="AD779" s="33"/>
    </row>
    <row r="780" spans="1:30" ht="15.75" customHeight="1">
      <c r="A780" s="151"/>
      <c r="B780" s="31"/>
      <c r="C780" s="31"/>
      <c r="D780" s="31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7"/>
      <c r="X780" s="31"/>
      <c r="Y780" s="478"/>
      <c r="Z780" s="32"/>
      <c r="AA780" s="662"/>
      <c r="AB780" s="36"/>
      <c r="AC780" s="36"/>
      <c r="AD780" s="33"/>
    </row>
    <row r="781" spans="1:30" ht="15.75" customHeight="1">
      <c r="A781" s="151"/>
      <c r="B781" s="31"/>
      <c r="C781" s="31"/>
      <c r="D781" s="31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7"/>
      <c r="X781" s="31"/>
      <c r="Y781" s="478"/>
      <c r="Z781" s="32"/>
      <c r="AA781" s="662"/>
      <c r="AB781" s="36"/>
      <c r="AC781" s="36"/>
      <c r="AD781" s="33"/>
    </row>
    <row r="782" spans="1:30" ht="15.75" customHeight="1">
      <c r="A782" s="151"/>
      <c r="B782" s="31"/>
      <c r="C782" s="31"/>
      <c r="D782" s="31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7"/>
      <c r="X782" s="31"/>
      <c r="Y782" s="478"/>
      <c r="Z782" s="32"/>
      <c r="AA782" s="662"/>
      <c r="AB782" s="36"/>
      <c r="AC782" s="36"/>
      <c r="AD782" s="33"/>
    </row>
    <row r="783" spans="1:30" ht="15.75" customHeight="1">
      <c r="A783" s="151"/>
      <c r="B783" s="31"/>
      <c r="C783" s="31"/>
      <c r="D783" s="31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7"/>
      <c r="X783" s="31"/>
      <c r="Y783" s="478"/>
      <c r="Z783" s="32"/>
      <c r="AA783" s="662"/>
      <c r="AB783" s="36"/>
      <c r="AC783" s="36"/>
      <c r="AD783" s="33"/>
    </row>
    <row r="784" spans="1:30" ht="15.75" customHeight="1">
      <c r="A784" s="151"/>
      <c r="B784" s="31"/>
      <c r="C784" s="31"/>
      <c r="D784" s="31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7"/>
      <c r="X784" s="31"/>
      <c r="Y784" s="478"/>
      <c r="Z784" s="32"/>
      <c r="AA784" s="662"/>
      <c r="AB784" s="36"/>
      <c r="AC784" s="36"/>
      <c r="AD784" s="33"/>
    </row>
    <row r="785" spans="1:30" ht="15.75" customHeight="1">
      <c r="A785" s="151"/>
      <c r="B785" s="31"/>
      <c r="C785" s="31"/>
      <c r="D785" s="31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7"/>
      <c r="X785" s="31"/>
      <c r="Y785" s="478"/>
      <c r="Z785" s="32"/>
      <c r="AA785" s="662"/>
      <c r="AB785" s="36"/>
      <c r="AC785" s="36"/>
      <c r="AD785" s="33"/>
    </row>
    <row r="786" spans="1:30" ht="15.75" customHeight="1">
      <c r="A786" s="151"/>
      <c r="B786" s="31"/>
      <c r="C786" s="31"/>
      <c r="D786" s="31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7"/>
      <c r="X786" s="31"/>
      <c r="Y786" s="478"/>
      <c r="Z786" s="32"/>
      <c r="AA786" s="662"/>
      <c r="AB786" s="36"/>
      <c r="AC786" s="36"/>
      <c r="AD786" s="33"/>
    </row>
    <row r="787" spans="1:30" ht="15.75" customHeight="1">
      <c r="A787" s="151"/>
      <c r="B787" s="31"/>
      <c r="C787" s="31"/>
      <c r="D787" s="31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7"/>
      <c r="X787" s="31"/>
      <c r="Y787" s="478"/>
      <c r="Z787" s="32"/>
      <c r="AA787" s="662"/>
      <c r="AB787" s="36"/>
      <c r="AC787" s="36"/>
      <c r="AD787" s="33"/>
    </row>
    <row r="788" spans="1:30" ht="15.75" customHeight="1">
      <c r="A788" s="151"/>
      <c r="B788" s="31"/>
      <c r="C788" s="31"/>
      <c r="D788" s="31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7"/>
      <c r="X788" s="31"/>
      <c r="Y788" s="478"/>
      <c r="Z788" s="32"/>
      <c r="AA788" s="662"/>
      <c r="AB788" s="36"/>
      <c r="AC788" s="36"/>
      <c r="AD788" s="33"/>
    </row>
    <row r="789" spans="1:30" ht="15.75" customHeight="1">
      <c r="A789" s="151"/>
      <c r="B789" s="31"/>
      <c r="C789" s="31"/>
      <c r="D789" s="31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7"/>
      <c r="X789" s="31"/>
      <c r="Y789" s="478"/>
      <c r="Z789" s="32"/>
      <c r="AA789" s="662"/>
      <c r="AB789" s="36"/>
      <c r="AC789" s="36"/>
      <c r="AD789" s="33"/>
    </row>
    <row r="790" spans="1:30" ht="15.75" customHeight="1">
      <c r="A790" s="151"/>
      <c r="B790" s="31"/>
      <c r="C790" s="31"/>
      <c r="D790" s="31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7"/>
      <c r="X790" s="31"/>
      <c r="Y790" s="478"/>
      <c r="Z790" s="32"/>
      <c r="AA790" s="662"/>
      <c r="AB790" s="36"/>
      <c r="AC790" s="36"/>
      <c r="AD790" s="33"/>
    </row>
    <row r="791" spans="1:30" ht="15.75" customHeight="1">
      <c r="A791" s="151"/>
      <c r="B791" s="31"/>
      <c r="C791" s="31"/>
      <c r="D791" s="31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7"/>
      <c r="X791" s="31"/>
      <c r="Y791" s="478"/>
      <c r="Z791" s="32"/>
      <c r="AA791" s="662"/>
      <c r="AB791" s="36"/>
      <c r="AC791" s="36"/>
      <c r="AD791" s="33"/>
    </row>
    <row r="792" spans="1:30" ht="15.75" customHeight="1">
      <c r="A792" s="151"/>
      <c r="B792" s="31"/>
      <c r="C792" s="31"/>
      <c r="D792" s="31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7"/>
      <c r="X792" s="31"/>
      <c r="Y792" s="478"/>
      <c r="Z792" s="32"/>
      <c r="AA792" s="662"/>
      <c r="AB792" s="36"/>
      <c r="AC792" s="36"/>
      <c r="AD792" s="33"/>
    </row>
    <row r="793" spans="1:30" ht="15.75" customHeight="1">
      <c r="A793" s="151"/>
      <c r="B793" s="31"/>
      <c r="C793" s="31"/>
      <c r="D793" s="31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7"/>
      <c r="X793" s="31"/>
      <c r="Y793" s="478"/>
      <c r="Z793" s="32"/>
      <c r="AA793" s="662"/>
      <c r="AB793" s="36"/>
      <c r="AC793" s="36"/>
      <c r="AD793" s="33"/>
    </row>
    <row r="794" spans="1:30" ht="15.75" customHeight="1">
      <c r="A794" s="151"/>
      <c r="B794" s="31"/>
      <c r="C794" s="31"/>
      <c r="D794" s="31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7"/>
      <c r="X794" s="31"/>
      <c r="Y794" s="478"/>
      <c r="Z794" s="32"/>
      <c r="AA794" s="662"/>
      <c r="AB794" s="36"/>
      <c r="AC794" s="36"/>
      <c r="AD794" s="33"/>
    </row>
    <row r="795" spans="1:30" ht="15.75" customHeight="1">
      <c r="A795" s="151"/>
      <c r="B795" s="31"/>
      <c r="C795" s="31"/>
      <c r="D795" s="31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7"/>
      <c r="X795" s="31"/>
      <c r="Y795" s="478"/>
      <c r="Z795" s="32"/>
      <c r="AA795" s="662"/>
      <c r="AB795" s="36"/>
      <c r="AC795" s="36"/>
      <c r="AD795" s="33"/>
    </row>
    <row r="796" spans="1:30" ht="15.75" customHeight="1">
      <c r="A796" s="151"/>
      <c r="B796" s="31"/>
      <c r="C796" s="31"/>
      <c r="D796" s="31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7"/>
      <c r="X796" s="31"/>
      <c r="Y796" s="478"/>
      <c r="Z796" s="32"/>
      <c r="AA796" s="662"/>
      <c r="AB796" s="36"/>
      <c r="AC796" s="36"/>
      <c r="AD796" s="33"/>
    </row>
    <row r="797" spans="1:30" ht="15.75" customHeight="1">
      <c r="A797" s="151"/>
      <c r="B797" s="31"/>
      <c r="C797" s="31"/>
      <c r="D797" s="31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7"/>
      <c r="X797" s="31"/>
      <c r="Y797" s="478"/>
      <c r="Z797" s="32"/>
      <c r="AA797" s="662"/>
      <c r="AB797" s="36"/>
      <c r="AC797" s="36"/>
      <c r="AD797" s="33"/>
    </row>
    <row r="798" spans="1:30" ht="15.75" customHeight="1">
      <c r="A798" s="151"/>
      <c r="B798" s="31"/>
      <c r="C798" s="31"/>
      <c r="D798" s="31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7"/>
      <c r="X798" s="31"/>
      <c r="Y798" s="478"/>
      <c r="Z798" s="32"/>
      <c r="AA798" s="662"/>
      <c r="AB798" s="36"/>
      <c r="AC798" s="36"/>
      <c r="AD798" s="33"/>
    </row>
    <row r="799" spans="1:30" ht="15.75" customHeight="1">
      <c r="A799" s="151"/>
      <c r="B799" s="31"/>
      <c r="C799" s="31"/>
      <c r="D799" s="31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7"/>
      <c r="X799" s="31"/>
      <c r="Y799" s="478"/>
      <c r="Z799" s="32"/>
      <c r="AA799" s="662"/>
      <c r="AB799" s="36"/>
      <c r="AC799" s="36"/>
      <c r="AD799" s="33"/>
    </row>
    <row r="800" spans="1:30" ht="15.75" customHeight="1">
      <c r="A800" s="151"/>
      <c r="B800" s="31"/>
      <c r="C800" s="31"/>
      <c r="D800" s="31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7"/>
      <c r="X800" s="31"/>
      <c r="Y800" s="478"/>
      <c r="Z800" s="32"/>
      <c r="AA800" s="662"/>
      <c r="AB800" s="36"/>
      <c r="AC800" s="36"/>
      <c r="AD800" s="33"/>
    </row>
    <row r="801" spans="1:30" ht="15.75" customHeight="1">
      <c r="A801" s="151"/>
      <c r="B801" s="31"/>
      <c r="C801" s="31"/>
      <c r="D801" s="31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7"/>
      <c r="X801" s="31"/>
      <c r="Y801" s="478"/>
      <c r="Z801" s="32"/>
      <c r="AA801" s="662"/>
      <c r="AB801" s="36"/>
      <c r="AC801" s="36"/>
      <c r="AD801" s="33"/>
    </row>
    <row r="802" spans="1:30" ht="15.75" customHeight="1">
      <c r="A802" s="151"/>
      <c r="B802" s="31"/>
      <c r="C802" s="31"/>
      <c r="D802" s="31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7"/>
      <c r="X802" s="31"/>
      <c r="Y802" s="478"/>
      <c r="Z802" s="32"/>
      <c r="AA802" s="662"/>
      <c r="AB802" s="36"/>
      <c r="AC802" s="36"/>
      <c r="AD802" s="33"/>
    </row>
    <row r="803" spans="1:30" ht="15.75" customHeight="1">
      <c r="A803" s="151"/>
      <c r="B803" s="31"/>
      <c r="C803" s="31"/>
      <c r="D803" s="31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7"/>
      <c r="X803" s="31"/>
      <c r="Y803" s="478"/>
      <c r="Z803" s="32"/>
      <c r="AA803" s="662"/>
      <c r="AB803" s="36"/>
      <c r="AC803" s="36"/>
      <c r="AD803" s="33"/>
    </row>
    <row r="804" spans="1:30" ht="15.75" customHeight="1">
      <c r="A804" s="151"/>
      <c r="B804" s="31"/>
      <c r="C804" s="31"/>
      <c r="D804" s="31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7"/>
      <c r="X804" s="31"/>
      <c r="Y804" s="478"/>
      <c r="Z804" s="32"/>
      <c r="AA804" s="662"/>
      <c r="AB804" s="36"/>
      <c r="AC804" s="36"/>
      <c r="AD804" s="33"/>
    </row>
    <row r="805" spans="1:30" ht="15.75" customHeight="1">
      <c r="A805" s="151"/>
      <c r="B805" s="31"/>
      <c r="C805" s="31"/>
      <c r="D805" s="31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7"/>
      <c r="X805" s="31"/>
      <c r="Y805" s="478"/>
      <c r="Z805" s="32"/>
      <c r="AA805" s="662"/>
      <c r="AB805" s="36"/>
      <c r="AC805" s="36"/>
      <c r="AD805" s="33"/>
    </row>
    <row r="806" spans="1:30" ht="15.75" customHeight="1">
      <c r="A806" s="151"/>
      <c r="B806" s="31"/>
      <c r="C806" s="31"/>
      <c r="D806" s="31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7"/>
      <c r="X806" s="31"/>
      <c r="Y806" s="478"/>
      <c r="Z806" s="32"/>
      <c r="AA806" s="662"/>
      <c r="AB806" s="36"/>
      <c r="AC806" s="36"/>
      <c r="AD806" s="33"/>
    </row>
    <row r="807" spans="1:30" ht="15.75" customHeight="1">
      <c r="A807" s="151"/>
      <c r="B807" s="31"/>
      <c r="C807" s="31"/>
      <c r="D807" s="31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7"/>
      <c r="X807" s="31"/>
      <c r="Y807" s="478"/>
      <c r="Z807" s="32"/>
      <c r="AA807" s="662"/>
      <c r="AB807" s="36"/>
      <c r="AC807" s="36"/>
      <c r="AD807" s="33"/>
    </row>
    <row r="808" spans="1:30" ht="15.75" customHeight="1">
      <c r="A808" s="151"/>
      <c r="B808" s="31"/>
      <c r="C808" s="31"/>
      <c r="D808" s="31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7"/>
      <c r="X808" s="31"/>
      <c r="Y808" s="478"/>
      <c r="Z808" s="32"/>
      <c r="AA808" s="662"/>
      <c r="AB808" s="36"/>
      <c r="AC808" s="36"/>
      <c r="AD808" s="33"/>
    </row>
    <row r="809" spans="1:30" ht="15.75" customHeight="1">
      <c r="A809" s="151"/>
      <c r="B809" s="31"/>
      <c r="C809" s="31"/>
      <c r="D809" s="31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7"/>
      <c r="X809" s="31"/>
      <c r="Y809" s="478"/>
      <c r="Z809" s="32"/>
      <c r="AA809" s="662"/>
      <c r="AB809" s="36"/>
      <c r="AC809" s="36"/>
      <c r="AD809" s="33"/>
    </row>
    <row r="810" spans="1:30" ht="15.75" customHeight="1">
      <c r="A810" s="151"/>
      <c r="B810" s="31"/>
      <c r="C810" s="31"/>
      <c r="D810" s="31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7"/>
      <c r="X810" s="31"/>
      <c r="Y810" s="478"/>
      <c r="Z810" s="32"/>
      <c r="AA810" s="662"/>
      <c r="AB810" s="36"/>
      <c r="AC810" s="36"/>
      <c r="AD810" s="33"/>
    </row>
    <row r="811" spans="1:30" ht="15.75" customHeight="1">
      <c r="A811" s="151"/>
      <c r="B811" s="31"/>
      <c r="C811" s="31"/>
      <c r="D811" s="31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7"/>
      <c r="X811" s="31"/>
      <c r="Y811" s="478"/>
      <c r="Z811" s="32"/>
      <c r="AA811" s="662"/>
      <c r="AB811" s="36"/>
      <c r="AC811" s="36"/>
      <c r="AD811" s="33"/>
    </row>
    <row r="812" spans="1:30" ht="15.75" customHeight="1">
      <c r="A812" s="151"/>
      <c r="B812" s="31"/>
      <c r="C812" s="31"/>
      <c r="D812" s="31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7"/>
      <c r="X812" s="31"/>
      <c r="Y812" s="478"/>
      <c r="Z812" s="32"/>
      <c r="AA812" s="662"/>
      <c r="AB812" s="36"/>
      <c r="AC812" s="36"/>
      <c r="AD812" s="33"/>
    </row>
    <row r="813" spans="1:30" ht="15.75" customHeight="1">
      <c r="A813" s="151"/>
      <c r="B813" s="31"/>
      <c r="C813" s="31"/>
      <c r="D813" s="31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7"/>
      <c r="X813" s="31"/>
      <c r="Y813" s="478"/>
      <c r="Z813" s="32"/>
      <c r="AA813" s="662"/>
      <c r="AB813" s="36"/>
      <c r="AC813" s="36"/>
      <c r="AD813" s="33"/>
    </row>
    <row r="814" spans="1:30" ht="15.75" customHeight="1">
      <c r="A814" s="151"/>
      <c r="B814" s="31"/>
      <c r="C814" s="31"/>
      <c r="D814" s="31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7"/>
      <c r="X814" s="31"/>
      <c r="Y814" s="478"/>
      <c r="Z814" s="32"/>
      <c r="AA814" s="662"/>
      <c r="AB814" s="36"/>
      <c r="AC814" s="36"/>
      <c r="AD814" s="33"/>
    </row>
    <row r="815" spans="1:30" ht="15.75" customHeight="1">
      <c r="A815" s="151"/>
      <c r="B815" s="31"/>
      <c r="C815" s="31"/>
      <c r="D815" s="31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7"/>
      <c r="X815" s="31"/>
      <c r="Y815" s="478"/>
      <c r="Z815" s="32"/>
      <c r="AA815" s="662"/>
      <c r="AB815" s="36"/>
      <c r="AC815" s="36"/>
      <c r="AD815" s="33"/>
    </row>
    <row r="816" spans="1:30" ht="15.75" customHeight="1">
      <c r="A816" s="151"/>
      <c r="B816" s="31"/>
      <c r="C816" s="31"/>
      <c r="D816" s="31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7"/>
      <c r="X816" s="31"/>
      <c r="Y816" s="478"/>
      <c r="Z816" s="32"/>
      <c r="AA816" s="662"/>
      <c r="AB816" s="36"/>
      <c r="AC816" s="36"/>
      <c r="AD816" s="33"/>
    </row>
    <row r="817" spans="1:30" ht="15.75" customHeight="1">
      <c r="A817" s="151"/>
      <c r="B817" s="31"/>
      <c r="C817" s="31"/>
      <c r="D817" s="31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7"/>
      <c r="X817" s="31"/>
      <c r="Y817" s="478"/>
      <c r="Z817" s="32"/>
      <c r="AA817" s="662"/>
      <c r="AB817" s="36"/>
      <c r="AC817" s="36"/>
      <c r="AD817" s="33"/>
    </row>
    <row r="818" spans="1:30" ht="15.75" customHeight="1">
      <c r="A818" s="151"/>
      <c r="B818" s="31"/>
      <c r="C818" s="31"/>
      <c r="D818" s="31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7"/>
      <c r="X818" s="31"/>
      <c r="Y818" s="478"/>
      <c r="Z818" s="32"/>
      <c r="AA818" s="662"/>
      <c r="AB818" s="36"/>
      <c r="AC818" s="36"/>
      <c r="AD818" s="33"/>
    </row>
    <row r="819" spans="1:30" ht="15.75" customHeight="1">
      <c r="A819" s="151"/>
      <c r="B819" s="31"/>
      <c r="C819" s="31"/>
      <c r="D819" s="31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7"/>
      <c r="X819" s="31"/>
      <c r="Y819" s="478"/>
      <c r="Z819" s="32"/>
      <c r="AA819" s="662"/>
      <c r="AB819" s="36"/>
      <c r="AC819" s="36"/>
      <c r="AD819" s="33"/>
    </row>
    <row r="820" spans="1:30" ht="15.75" customHeight="1">
      <c r="A820" s="151"/>
      <c r="B820" s="31"/>
      <c r="C820" s="31"/>
      <c r="D820" s="31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7"/>
      <c r="X820" s="31"/>
      <c r="Y820" s="478"/>
      <c r="Z820" s="32"/>
      <c r="AA820" s="662"/>
      <c r="AB820" s="36"/>
      <c r="AC820" s="36"/>
      <c r="AD820" s="33"/>
    </row>
    <row r="821" spans="1:30" ht="15.75" customHeight="1">
      <c r="A821" s="151"/>
      <c r="B821" s="31"/>
      <c r="C821" s="31"/>
      <c r="D821" s="31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7"/>
      <c r="X821" s="31"/>
      <c r="Y821" s="478"/>
      <c r="Z821" s="32"/>
      <c r="AA821" s="662"/>
      <c r="AB821" s="36"/>
      <c r="AC821" s="36"/>
      <c r="AD821" s="33"/>
    </row>
    <row r="822" spans="1:30" ht="15.75" customHeight="1">
      <c r="A822" s="151"/>
      <c r="B822" s="31"/>
      <c r="C822" s="31"/>
      <c r="D822" s="31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7"/>
      <c r="X822" s="31"/>
      <c r="Y822" s="478"/>
      <c r="Z822" s="32"/>
      <c r="AA822" s="662"/>
      <c r="AB822" s="36"/>
      <c r="AC822" s="36"/>
      <c r="AD822" s="33"/>
    </row>
    <row r="823" spans="1:30" ht="15.75" customHeight="1">
      <c r="A823" s="151"/>
      <c r="B823" s="31"/>
      <c r="C823" s="31"/>
      <c r="D823" s="31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7"/>
      <c r="X823" s="31"/>
      <c r="Y823" s="478"/>
      <c r="Z823" s="32"/>
      <c r="AA823" s="662"/>
      <c r="AB823" s="36"/>
      <c r="AC823" s="36"/>
      <c r="AD823" s="33"/>
    </row>
    <row r="824" spans="1:30" ht="15.75" customHeight="1">
      <c r="A824" s="151"/>
      <c r="B824" s="31"/>
      <c r="C824" s="31"/>
      <c r="D824" s="31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7"/>
      <c r="X824" s="31"/>
      <c r="Y824" s="478"/>
      <c r="Z824" s="32"/>
      <c r="AA824" s="662"/>
      <c r="AB824" s="36"/>
      <c r="AC824" s="36"/>
      <c r="AD824" s="33"/>
    </row>
    <row r="825" spans="1:30" ht="15.75" customHeight="1">
      <c r="A825" s="151"/>
      <c r="B825" s="31"/>
      <c r="C825" s="31"/>
      <c r="D825" s="31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7"/>
      <c r="X825" s="31"/>
      <c r="Y825" s="478"/>
      <c r="Z825" s="32"/>
      <c r="AA825" s="662"/>
      <c r="AB825" s="36"/>
      <c r="AC825" s="36"/>
      <c r="AD825" s="33"/>
    </row>
    <row r="826" spans="1:30" ht="15.75" customHeight="1">
      <c r="A826" s="151"/>
      <c r="B826" s="31"/>
      <c r="C826" s="31"/>
      <c r="D826" s="31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7"/>
      <c r="X826" s="31"/>
      <c r="Y826" s="478"/>
      <c r="Z826" s="32"/>
      <c r="AA826" s="662"/>
      <c r="AB826" s="36"/>
      <c r="AC826" s="36"/>
      <c r="AD826" s="33"/>
    </row>
    <row r="827" spans="1:30" ht="15.75" customHeight="1">
      <c r="A827" s="151"/>
      <c r="B827" s="31"/>
      <c r="C827" s="31"/>
      <c r="D827" s="31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7"/>
      <c r="X827" s="31"/>
      <c r="Y827" s="478"/>
      <c r="Z827" s="32"/>
      <c r="AA827" s="662"/>
      <c r="AB827" s="36"/>
      <c r="AC827" s="36"/>
      <c r="AD827" s="33"/>
    </row>
    <row r="828" spans="1:30" ht="15.75" customHeight="1">
      <c r="A828" s="151"/>
      <c r="B828" s="31"/>
      <c r="C828" s="31"/>
      <c r="D828" s="31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7"/>
      <c r="X828" s="31"/>
      <c r="Y828" s="478"/>
      <c r="Z828" s="32"/>
      <c r="AA828" s="662"/>
      <c r="AB828" s="36"/>
      <c r="AC828" s="36"/>
      <c r="AD828" s="33"/>
    </row>
    <row r="829" spans="1:30" ht="15.75" customHeight="1">
      <c r="A829" s="151"/>
      <c r="B829" s="31"/>
      <c r="C829" s="31"/>
      <c r="D829" s="31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7"/>
      <c r="X829" s="31"/>
      <c r="Y829" s="478"/>
      <c r="Z829" s="32"/>
      <c r="AA829" s="662"/>
      <c r="AB829" s="36"/>
      <c r="AC829" s="36"/>
      <c r="AD829" s="33"/>
    </row>
    <row r="830" spans="1:30" ht="15.75" customHeight="1">
      <c r="A830" s="151"/>
      <c r="B830" s="31"/>
      <c r="C830" s="31"/>
      <c r="D830" s="31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7"/>
      <c r="X830" s="31"/>
      <c r="Y830" s="478"/>
      <c r="Z830" s="32"/>
      <c r="AA830" s="662"/>
      <c r="AB830" s="36"/>
      <c r="AC830" s="36"/>
      <c r="AD830" s="33"/>
    </row>
    <row r="831" spans="1:30" ht="15.75" customHeight="1">
      <c r="A831" s="151"/>
      <c r="B831" s="31"/>
      <c r="C831" s="31"/>
      <c r="D831" s="31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7"/>
      <c r="X831" s="31"/>
      <c r="Y831" s="478"/>
      <c r="Z831" s="32"/>
      <c r="AA831" s="662"/>
      <c r="AB831" s="36"/>
      <c r="AC831" s="36"/>
      <c r="AD831" s="33"/>
    </row>
    <row r="832" spans="1:30" ht="15.75" customHeight="1">
      <c r="A832" s="151"/>
      <c r="B832" s="31"/>
      <c r="C832" s="31"/>
      <c r="D832" s="31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7"/>
      <c r="X832" s="31"/>
      <c r="Y832" s="478"/>
      <c r="Z832" s="32"/>
      <c r="AA832" s="662"/>
      <c r="AB832" s="36"/>
      <c r="AC832" s="36"/>
      <c r="AD832" s="33"/>
    </row>
    <row r="833" spans="1:30" ht="15.75" customHeight="1">
      <c r="A833" s="151"/>
      <c r="B833" s="31"/>
      <c r="C833" s="31"/>
      <c r="D833" s="31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7"/>
      <c r="X833" s="31"/>
      <c r="Y833" s="478"/>
      <c r="Z833" s="32"/>
      <c r="AA833" s="662"/>
      <c r="AB833" s="36"/>
      <c r="AC833" s="36"/>
      <c r="AD833" s="33"/>
    </row>
    <row r="834" spans="1:30" ht="15.75" customHeight="1">
      <c r="A834" s="151"/>
      <c r="B834" s="31"/>
      <c r="C834" s="31"/>
      <c r="D834" s="31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7"/>
      <c r="X834" s="31"/>
      <c r="Y834" s="478"/>
      <c r="Z834" s="32"/>
      <c r="AA834" s="662"/>
      <c r="AB834" s="36"/>
      <c r="AC834" s="36"/>
      <c r="AD834" s="33"/>
    </row>
    <row r="835" spans="1:30" ht="15.75" customHeight="1">
      <c r="A835" s="151"/>
      <c r="B835" s="31"/>
      <c r="C835" s="31"/>
      <c r="D835" s="31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7"/>
      <c r="X835" s="31"/>
      <c r="Y835" s="478"/>
      <c r="Z835" s="32"/>
      <c r="AA835" s="662"/>
      <c r="AB835" s="36"/>
      <c r="AC835" s="36"/>
      <c r="AD835" s="33"/>
    </row>
    <row r="836" spans="1:30" ht="15.75" customHeight="1">
      <c r="A836" s="151"/>
      <c r="B836" s="31"/>
      <c r="C836" s="31"/>
      <c r="D836" s="31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7"/>
      <c r="X836" s="31"/>
      <c r="Y836" s="478"/>
      <c r="Z836" s="32"/>
      <c r="AA836" s="662"/>
      <c r="AB836" s="36"/>
      <c r="AC836" s="36"/>
      <c r="AD836" s="33"/>
    </row>
    <row r="837" spans="1:30" ht="15.75" customHeight="1">
      <c r="A837" s="151"/>
      <c r="B837" s="31"/>
      <c r="C837" s="31"/>
      <c r="D837" s="31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7"/>
      <c r="X837" s="31"/>
      <c r="Y837" s="478"/>
      <c r="Z837" s="32"/>
      <c r="AA837" s="662"/>
      <c r="AB837" s="36"/>
      <c r="AC837" s="36"/>
      <c r="AD837" s="33"/>
    </row>
    <row r="838" spans="1:30" ht="15.75" customHeight="1">
      <c r="A838" s="151"/>
      <c r="B838" s="31"/>
      <c r="C838" s="31"/>
      <c r="D838" s="31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7"/>
      <c r="X838" s="31"/>
      <c r="Y838" s="478"/>
      <c r="Z838" s="32"/>
      <c r="AA838" s="662"/>
      <c r="AB838" s="36"/>
      <c r="AC838" s="36"/>
      <c r="AD838" s="33"/>
    </row>
    <row r="839" spans="1:30" ht="15.75" customHeight="1">
      <c r="A839" s="151"/>
      <c r="B839" s="31"/>
      <c r="C839" s="31"/>
      <c r="D839" s="31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7"/>
      <c r="X839" s="31"/>
      <c r="Y839" s="478"/>
      <c r="Z839" s="32"/>
      <c r="AA839" s="662"/>
      <c r="AB839" s="36"/>
      <c r="AC839" s="36"/>
      <c r="AD839" s="33"/>
    </row>
    <row r="840" spans="1:30" ht="15.75" customHeight="1">
      <c r="A840" s="151"/>
      <c r="B840" s="31"/>
      <c r="C840" s="31"/>
      <c r="D840" s="31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7"/>
      <c r="X840" s="31"/>
      <c r="Y840" s="478"/>
      <c r="Z840" s="32"/>
      <c r="AA840" s="662"/>
      <c r="AB840" s="36"/>
      <c r="AC840" s="36"/>
      <c r="AD840" s="33"/>
    </row>
    <row r="841" spans="1:30" ht="15.75" customHeight="1">
      <c r="A841" s="151"/>
      <c r="B841" s="31"/>
      <c r="C841" s="31"/>
      <c r="D841" s="31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7"/>
      <c r="X841" s="31"/>
      <c r="Y841" s="478"/>
      <c r="Z841" s="32"/>
      <c r="AA841" s="662"/>
      <c r="AB841" s="36"/>
      <c r="AC841" s="36"/>
      <c r="AD841" s="33"/>
    </row>
    <row r="842" spans="1:30" ht="15.75" customHeight="1">
      <c r="A842" s="151"/>
      <c r="B842" s="31"/>
      <c r="C842" s="31"/>
      <c r="D842" s="31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7"/>
      <c r="X842" s="31"/>
      <c r="Y842" s="478"/>
      <c r="Z842" s="32"/>
      <c r="AA842" s="662"/>
      <c r="AB842" s="36"/>
      <c r="AC842" s="36"/>
      <c r="AD842" s="33"/>
    </row>
    <row r="843" spans="1:30" ht="15.75" customHeight="1">
      <c r="A843" s="151"/>
      <c r="B843" s="31"/>
      <c r="C843" s="31"/>
      <c r="D843" s="31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7"/>
      <c r="X843" s="31"/>
      <c r="Y843" s="478"/>
      <c r="Z843" s="32"/>
      <c r="AA843" s="662"/>
      <c r="AB843" s="36"/>
      <c r="AC843" s="36"/>
      <c r="AD843" s="33"/>
    </row>
    <row r="844" spans="1:30" ht="15.75" customHeight="1">
      <c r="A844" s="151"/>
      <c r="B844" s="31"/>
      <c r="C844" s="31"/>
      <c r="D844" s="31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7"/>
      <c r="X844" s="31"/>
      <c r="Y844" s="478"/>
      <c r="Z844" s="32"/>
      <c r="AA844" s="662"/>
      <c r="AB844" s="36"/>
      <c r="AC844" s="36"/>
      <c r="AD844" s="33"/>
    </row>
    <row r="845" spans="1:30" ht="15.75" customHeight="1">
      <c r="A845" s="151"/>
      <c r="B845" s="31"/>
      <c r="C845" s="31"/>
      <c r="D845" s="31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7"/>
      <c r="X845" s="31"/>
      <c r="Y845" s="478"/>
      <c r="Z845" s="32"/>
      <c r="AA845" s="662"/>
      <c r="AB845" s="36"/>
      <c r="AC845" s="36"/>
      <c r="AD845" s="33"/>
    </row>
    <row r="846" spans="1:30" ht="15.75" customHeight="1">
      <c r="A846" s="151"/>
      <c r="B846" s="31"/>
      <c r="C846" s="31"/>
      <c r="D846" s="31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7"/>
      <c r="X846" s="31"/>
      <c r="Y846" s="478"/>
      <c r="Z846" s="32"/>
      <c r="AA846" s="662"/>
      <c r="AB846" s="36"/>
      <c r="AC846" s="36"/>
      <c r="AD846" s="33"/>
    </row>
    <row r="847" spans="1:30" ht="15.75" customHeight="1">
      <c r="A847" s="151"/>
      <c r="B847" s="31"/>
      <c r="C847" s="31"/>
      <c r="D847" s="31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7"/>
      <c r="X847" s="31"/>
      <c r="Y847" s="478"/>
      <c r="Z847" s="32"/>
      <c r="AA847" s="662"/>
      <c r="AB847" s="36"/>
      <c r="AC847" s="36"/>
      <c r="AD847" s="33"/>
    </row>
    <row r="848" spans="1:30" ht="15.75" customHeight="1">
      <c r="A848" s="151"/>
      <c r="B848" s="31"/>
      <c r="C848" s="31"/>
      <c r="D848" s="31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7"/>
      <c r="X848" s="31"/>
      <c r="Y848" s="478"/>
      <c r="Z848" s="32"/>
      <c r="AA848" s="662"/>
      <c r="AB848" s="36"/>
      <c r="AC848" s="36"/>
      <c r="AD848" s="33"/>
    </row>
    <row r="849" spans="1:30" ht="15.75" customHeight="1">
      <c r="A849" s="151"/>
      <c r="B849" s="31"/>
      <c r="C849" s="31"/>
      <c r="D849" s="31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7"/>
      <c r="X849" s="31"/>
      <c r="Y849" s="478"/>
      <c r="Z849" s="32"/>
      <c r="AA849" s="662"/>
      <c r="AB849" s="36"/>
      <c r="AC849" s="36"/>
      <c r="AD849" s="33"/>
    </row>
    <row r="850" spans="1:30" ht="15.75" customHeight="1">
      <c r="A850" s="151"/>
      <c r="B850" s="31"/>
      <c r="C850" s="31"/>
      <c r="D850" s="31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7"/>
      <c r="X850" s="31"/>
      <c r="Y850" s="478"/>
      <c r="Z850" s="32"/>
      <c r="AA850" s="662"/>
      <c r="AB850" s="36"/>
      <c r="AC850" s="36"/>
      <c r="AD850" s="33"/>
    </row>
    <row r="851" spans="1:30" ht="15.75" customHeight="1">
      <c r="A851" s="151"/>
      <c r="B851" s="31"/>
      <c r="C851" s="31"/>
      <c r="D851" s="31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7"/>
      <c r="X851" s="31"/>
      <c r="Y851" s="478"/>
      <c r="Z851" s="32"/>
      <c r="AA851" s="662"/>
      <c r="AB851" s="36"/>
      <c r="AC851" s="36"/>
      <c r="AD851" s="33"/>
    </row>
    <row r="852" spans="1:30" ht="15.75" customHeight="1">
      <c r="A852" s="151"/>
      <c r="B852" s="31"/>
      <c r="C852" s="31"/>
      <c r="D852" s="31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7"/>
      <c r="X852" s="31"/>
      <c r="Y852" s="478"/>
      <c r="Z852" s="32"/>
      <c r="AA852" s="662"/>
      <c r="AB852" s="36"/>
      <c r="AC852" s="36"/>
      <c r="AD852" s="33"/>
    </row>
    <row r="853" spans="1:30" ht="15.75" customHeight="1">
      <c r="A853" s="151"/>
      <c r="B853" s="31"/>
      <c r="C853" s="31"/>
      <c r="D853" s="31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7"/>
      <c r="X853" s="31"/>
      <c r="Y853" s="478"/>
      <c r="Z853" s="32"/>
      <c r="AA853" s="662"/>
      <c r="AB853" s="36"/>
      <c r="AC853" s="36"/>
      <c r="AD853" s="33"/>
    </row>
    <row r="854" spans="1:30" ht="15.75" customHeight="1">
      <c r="A854" s="151"/>
      <c r="B854" s="31"/>
      <c r="C854" s="31"/>
      <c r="D854" s="31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7"/>
      <c r="X854" s="31"/>
      <c r="Y854" s="478"/>
      <c r="Z854" s="32"/>
      <c r="AA854" s="662"/>
      <c r="AB854" s="36"/>
      <c r="AC854" s="36"/>
      <c r="AD854" s="33"/>
    </row>
    <row r="855" spans="1:30" ht="15.75" customHeight="1">
      <c r="A855" s="151"/>
      <c r="B855" s="31"/>
      <c r="C855" s="31"/>
      <c r="D855" s="31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7"/>
      <c r="X855" s="31"/>
      <c r="Y855" s="478"/>
      <c r="Z855" s="32"/>
      <c r="AA855" s="662"/>
      <c r="AB855" s="36"/>
      <c r="AC855" s="36"/>
      <c r="AD855" s="33"/>
    </row>
    <row r="856" spans="1:30" ht="15.75" customHeight="1">
      <c r="A856" s="151"/>
      <c r="B856" s="31"/>
      <c r="C856" s="31"/>
      <c r="D856" s="31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7"/>
      <c r="X856" s="31"/>
      <c r="Y856" s="478"/>
      <c r="Z856" s="32"/>
      <c r="AA856" s="662"/>
      <c r="AB856" s="36"/>
      <c r="AC856" s="36"/>
      <c r="AD856" s="33"/>
    </row>
    <row r="857" spans="1:30" ht="15.75" customHeight="1">
      <c r="A857" s="151"/>
      <c r="B857" s="31"/>
      <c r="C857" s="31"/>
      <c r="D857" s="31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7"/>
      <c r="X857" s="31"/>
      <c r="Y857" s="478"/>
      <c r="Z857" s="32"/>
      <c r="AA857" s="662"/>
      <c r="AB857" s="36"/>
      <c r="AC857" s="36"/>
      <c r="AD857" s="33"/>
    </row>
    <row r="858" spans="1:30" ht="15.75" customHeight="1">
      <c r="A858" s="151"/>
      <c r="B858" s="31"/>
      <c r="C858" s="31"/>
      <c r="D858" s="31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7"/>
      <c r="X858" s="31"/>
      <c r="Y858" s="478"/>
      <c r="Z858" s="32"/>
      <c r="AA858" s="662"/>
      <c r="AB858" s="36"/>
      <c r="AC858" s="36"/>
      <c r="AD858" s="33"/>
    </row>
    <row r="859" spans="1:30" ht="15.75" customHeight="1">
      <c r="A859" s="151"/>
      <c r="B859" s="31"/>
      <c r="C859" s="31"/>
      <c r="D859" s="31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7"/>
      <c r="X859" s="31"/>
      <c r="Y859" s="478"/>
      <c r="Z859" s="32"/>
      <c r="AA859" s="662"/>
      <c r="AB859" s="36"/>
      <c r="AC859" s="36"/>
      <c r="AD859" s="33"/>
    </row>
    <row r="860" spans="1:30" ht="15.75" customHeight="1">
      <c r="A860" s="151"/>
      <c r="B860" s="31"/>
      <c r="C860" s="31"/>
      <c r="D860" s="31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7"/>
      <c r="X860" s="31"/>
      <c r="Y860" s="478"/>
      <c r="Z860" s="32"/>
      <c r="AA860" s="662"/>
      <c r="AB860" s="36"/>
      <c r="AC860" s="36"/>
      <c r="AD860" s="33"/>
    </row>
    <row r="861" spans="1:30" ht="15.75" customHeight="1">
      <c r="A861" s="151"/>
      <c r="B861" s="31"/>
      <c r="C861" s="31"/>
      <c r="D861" s="31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7"/>
      <c r="X861" s="31"/>
      <c r="Y861" s="478"/>
      <c r="Z861" s="32"/>
      <c r="AA861" s="662"/>
      <c r="AB861" s="36"/>
      <c r="AC861" s="36"/>
      <c r="AD861" s="33"/>
    </row>
    <row r="862" spans="1:30" ht="15.75" customHeight="1">
      <c r="A862" s="151"/>
      <c r="B862" s="31"/>
      <c r="C862" s="31"/>
      <c r="D862" s="31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7"/>
      <c r="X862" s="31"/>
      <c r="Y862" s="478"/>
      <c r="Z862" s="32"/>
      <c r="AA862" s="662"/>
      <c r="AB862" s="36"/>
      <c r="AC862" s="36"/>
      <c r="AD862" s="33"/>
    </row>
    <row r="863" spans="1:30" ht="15.75" customHeight="1">
      <c r="A863" s="151"/>
      <c r="B863" s="31"/>
      <c r="C863" s="31"/>
      <c r="D863" s="31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7"/>
      <c r="X863" s="31"/>
      <c r="Y863" s="478"/>
      <c r="Z863" s="32"/>
      <c r="AA863" s="662"/>
      <c r="AB863" s="36"/>
      <c r="AC863" s="36"/>
      <c r="AD863" s="33"/>
    </row>
    <row r="864" spans="1:30" ht="15.75" customHeight="1">
      <c r="A864" s="151"/>
      <c r="B864" s="31"/>
      <c r="C864" s="31"/>
      <c r="D864" s="31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7"/>
      <c r="X864" s="31"/>
      <c r="Y864" s="478"/>
      <c r="Z864" s="32"/>
      <c r="AA864" s="662"/>
      <c r="AB864" s="36"/>
      <c r="AC864" s="36"/>
      <c r="AD864" s="33"/>
    </row>
    <row r="865" spans="1:30" ht="15.75" customHeight="1">
      <c r="A865" s="151"/>
      <c r="B865" s="31"/>
      <c r="C865" s="31"/>
      <c r="D865" s="31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7"/>
      <c r="X865" s="31"/>
      <c r="Y865" s="478"/>
      <c r="Z865" s="32"/>
      <c r="AA865" s="662"/>
      <c r="AB865" s="36"/>
      <c r="AC865" s="36"/>
      <c r="AD865" s="33"/>
    </row>
    <row r="866" spans="1:30" ht="15.75" customHeight="1">
      <c r="A866" s="151"/>
      <c r="B866" s="31"/>
      <c r="C866" s="31"/>
      <c r="D866" s="31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7"/>
      <c r="X866" s="31"/>
      <c r="Y866" s="478"/>
      <c r="Z866" s="32"/>
      <c r="AA866" s="662"/>
      <c r="AB866" s="36"/>
      <c r="AC866" s="36"/>
      <c r="AD866" s="33"/>
    </row>
    <row r="867" spans="1:30" ht="15.75" customHeight="1">
      <c r="A867" s="151"/>
      <c r="B867" s="31"/>
      <c r="C867" s="31"/>
      <c r="D867" s="31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7"/>
      <c r="X867" s="31"/>
      <c r="Y867" s="478"/>
      <c r="Z867" s="32"/>
      <c r="AA867" s="662"/>
      <c r="AB867" s="36"/>
      <c r="AC867" s="36"/>
      <c r="AD867" s="33"/>
    </row>
    <row r="868" spans="1:30" ht="15.75" customHeight="1">
      <c r="A868" s="151"/>
      <c r="B868" s="31"/>
      <c r="C868" s="31"/>
      <c r="D868" s="31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7"/>
      <c r="X868" s="31"/>
      <c r="Y868" s="478"/>
      <c r="Z868" s="32"/>
      <c r="AA868" s="662"/>
      <c r="AB868" s="36"/>
      <c r="AC868" s="36"/>
      <c r="AD868" s="33"/>
    </row>
    <row r="869" spans="1:30" ht="15.75" customHeight="1">
      <c r="A869" s="151"/>
      <c r="B869" s="31"/>
      <c r="C869" s="31"/>
      <c r="D869" s="31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7"/>
      <c r="X869" s="31"/>
      <c r="Y869" s="478"/>
      <c r="Z869" s="32"/>
      <c r="AA869" s="662"/>
      <c r="AB869" s="36"/>
      <c r="AC869" s="36"/>
      <c r="AD869" s="33"/>
    </row>
    <row r="870" spans="1:30" ht="15.75" customHeight="1">
      <c r="A870" s="151"/>
      <c r="B870" s="31"/>
      <c r="C870" s="31"/>
      <c r="D870" s="31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7"/>
      <c r="X870" s="31"/>
      <c r="Y870" s="478"/>
      <c r="Z870" s="32"/>
      <c r="AA870" s="662"/>
      <c r="AB870" s="36"/>
      <c r="AC870" s="36"/>
      <c r="AD870" s="33"/>
    </row>
    <row r="871" spans="1:30" ht="15.75" customHeight="1">
      <c r="A871" s="151"/>
      <c r="B871" s="31"/>
      <c r="C871" s="31"/>
      <c r="D871" s="31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7"/>
      <c r="X871" s="31"/>
      <c r="Y871" s="478"/>
      <c r="Z871" s="32"/>
      <c r="AA871" s="662"/>
      <c r="AB871" s="36"/>
      <c r="AC871" s="36"/>
      <c r="AD871" s="33"/>
    </row>
    <row r="872" spans="1:30" ht="15.75" customHeight="1">
      <c r="A872" s="151"/>
      <c r="B872" s="31"/>
      <c r="C872" s="31"/>
      <c r="D872" s="31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7"/>
      <c r="X872" s="31"/>
      <c r="Y872" s="478"/>
      <c r="Z872" s="32"/>
      <c r="AA872" s="662"/>
      <c r="AB872" s="36"/>
      <c r="AC872" s="36"/>
      <c r="AD872" s="33"/>
    </row>
    <row r="873" spans="1:30" ht="15.75" customHeight="1">
      <c r="A873" s="151"/>
      <c r="B873" s="31"/>
      <c r="C873" s="31"/>
      <c r="D873" s="31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7"/>
      <c r="X873" s="31"/>
      <c r="Y873" s="478"/>
      <c r="Z873" s="32"/>
      <c r="AA873" s="662"/>
      <c r="AB873" s="36"/>
      <c r="AC873" s="36"/>
      <c r="AD873" s="33"/>
    </row>
    <row r="874" spans="1:30" ht="15.75" customHeight="1">
      <c r="A874" s="151"/>
      <c r="B874" s="31"/>
      <c r="C874" s="31"/>
      <c r="D874" s="31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7"/>
      <c r="X874" s="31"/>
      <c r="Y874" s="478"/>
      <c r="Z874" s="32"/>
      <c r="AA874" s="662"/>
      <c r="AB874" s="36"/>
      <c r="AC874" s="36"/>
      <c r="AD874" s="33"/>
    </row>
    <row r="875" spans="1:30" ht="15.75" customHeight="1">
      <c r="A875" s="151"/>
      <c r="B875" s="31"/>
      <c r="C875" s="31"/>
      <c r="D875" s="31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7"/>
      <c r="X875" s="31"/>
      <c r="Y875" s="478"/>
      <c r="Z875" s="32"/>
      <c r="AA875" s="662"/>
      <c r="AB875" s="36"/>
      <c r="AC875" s="36"/>
      <c r="AD875" s="33"/>
    </row>
    <row r="876" spans="1:30" ht="15.75" customHeight="1">
      <c r="A876" s="151"/>
      <c r="B876" s="31"/>
      <c r="C876" s="31"/>
      <c r="D876" s="31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7"/>
      <c r="X876" s="31"/>
      <c r="Y876" s="478"/>
      <c r="Z876" s="32"/>
      <c r="AA876" s="662"/>
      <c r="AB876" s="36"/>
      <c r="AC876" s="36"/>
      <c r="AD876" s="33"/>
    </row>
    <row r="877" spans="1:30" ht="15.75" customHeight="1">
      <c r="A877" s="151"/>
      <c r="B877" s="31"/>
      <c r="C877" s="31"/>
      <c r="D877" s="31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7"/>
      <c r="X877" s="31"/>
      <c r="Y877" s="478"/>
      <c r="Z877" s="32"/>
      <c r="AA877" s="662"/>
      <c r="AB877" s="36"/>
      <c r="AC877" s="36"/>
      <c r="AD877" s="33"/>
    </row>
    <row r="878" spans="1:30" ht="15.75" customHeight="1">
      <c r="A878" s="151"/>
      <c r="B878" s="31"/>
      <c r="C878" s="31"/>
      <c r="D878" s="31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7"/>
      <c r="X878" s="31"/>
      <c r="Y878" s="478"/>
      <c r="Z878" s="32"/>
      <c r="AA878" s="662"/>
      <c r="AB878" s="36"/>
      <c r="AC878" s="36"/>
      <c r="AD878" s="33"/>
    </row>
    <row r="879" spans="1:30" ht="15.75" customHeight="1">
      <c r="A879" s="151"/>
      <c r="B879" s="31"/>
      <c r="C879" s="31"/>
      <c r="D879" s="31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7"/>
      <c r="X879" s="31"/>
      <c r="Y879" s="478"/>
      <c r="Z879" s="32"/>
      <c r="AA879" s="662"/>
      <c r="AB879" s="36"/>
      <c r="AC879" s="36"/>
      <c r="AD879" s="33"/>
    </row>
    <row r="880" spans="1:30" ht="15.75" customHeight="1">
      <c r="A880" s="151"/>
      <c r="B880" s="31"/>
      <c r="C880" s="31"/>
      <c r="D880" s="31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7"/>
      <c r="X880" s="31"/>
      <c r="Y880" s="478"/>
      <c r="Z880" s="32"/>
      <c r="AA880" s="662"/>
      <c r="AB880" s="36"/>
      <c r="AC880" s="36"/>
      <c r="AD880" s="33"/>
    </row>
    <row r="881" spans="1:30" ht="15.75" customHeight="1">
      <c r="A881" s="151"/>
      <c r="B881" s="31"/>
      <c r="C881" s="31"/>
      <c r="D881" s="31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7"/>
      <c r="X881" s="31"/>
      <c r="Y881" s="478"/>
      <c r="Z881" s="32"/>
      <c r="AA881" s="662"/>
      <c r="AB881" s="36"/>
      <c r="AC881" s="36"/>
      <c r="AD881" s="33"/>
    </row>
    <row r="882" spans="1:30" ht="15.75" customHeight="1">
      <c r="A882" s="151"/>
      <c r="B882" s="31"/>
      <c r="C882" s="31"/>
      <c r="D882" s="31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7"/>
      <c r="X882" s="31"/>
      <c r="Y882" s="478"/>
      <c r="Z882" s="32"/>
      <c r="AA882" s="662"/>
      <c r="AB882" s="36"/>
      <c r="AC882" s="36"/>
      <c r="AD882" s="33"/>
    </row>
    <row r="883" spans="1:30" ht="15.75" customHeight="1">
      <c r="A883" s="151"/>
      <c r="B883" s="31"/>
      <c r="C883" s="31"/>
      <c r="D883" s="31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7"/>
      <c r="X883" s="31"/>
      <c r="Y883" s="478"/>
      <c r="Z883" s="32"/>
      <c r="AA883" s="662"/>
      <c r="AB883" s="36"/>
      <c r="AC883" s="36"/>
      <c r="AD883" s="33"/>
    </row>
    <row r="884" spans="1:30" ht="15.75" customHeight="1">
      <c r="A884" s="151"/>
      <c r="B884" s="31"/>
      <c r="C884" s="31"/>
      <c r="D884" s="31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7"/>
      <c r="X884" s="31"/>
      <c r="Y884" s="478"/>
      <c r="Z884" s="32"/>
      <c r="AA884" s="662"/>
      <c r="AB884" s="36"/>
      <c r="AC884" s="36"/>
      <c r="AD884" s="33"/>
    </row>
    <row r="885" spans="1:30" ht="15.75" customHeight="1">
      <c r="A885" s="151"/>
      <c r="B885" s="31"/>
      <c r="C885" s="31"/>
      <c r="D885" s="31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7"/>
      <c r="X885" s="31"/>
      <c r="Y885" s="478"/>
      <c r="Z885" s="32"/>
      <c r="AA885" s="662"/>
      <c r="AB885" s="36"/>
      <c r="AC885" s="36"/>
      <c r="AD885" s="33"/>
    </row>
    <row r="886" spans="1:30" ht="15.75" customHeight="1">
      <c r="A886" s="151"/>
      <c r="B886" s="31"/>
      <c r="C886" s="31"/>
      <c r="D886" s="31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7"/>
      <c r="X886" s="31"/>
      <c r="Y886" s="478"/>
      <c r="Z886" s="32"/>
      <c r="AA886" s="662"/>
      <c r="AB886" s="36"/>
      <c r="AC886" s="36"/>
      <c r="AD886" s="33"/>
    </row>
    <row r="887" spans="1:30" ht="15.75" customHeight="1">
      <c r="A887" s="151"/>
      <c r="B887" s="31"/>
      <c r="C887" s="31"/>
      <c r="D887" s="31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7"/>
      <c r="X887" s="31"/>
      <c r="Y887" s="478"/>
      <c r="Z887" s="32"/>
      <c r="AA887" s="662"/>
      <c r="AB887" s="36"/>
      <c r="AC887" s="36"/>
      <c r="AD887" s="33"/>
    </row>
    <row r="888" spans="1:30" ht="15.75" customHeight="1">
      <c r="A888" s="151"/>
      <c r="B888" s="31"/>
      <c r="C888" s="31"/>
      <c r="D888" s="31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7"/>
      <c r="X888" s="31"/>
      <c r="Y888" s="478"/>
      <c r="Z888" s="32"/>
      <c r="AA888" s="662"/>
      <c r="AB888" s="36"/>
      <c r="AC888" s="36"/>
      <c r="AD888" s="33"/>
    </row>
    <row r="889" spans="1:30" ht="15.75" customHeight="1">
      <c r="A889" s="151"/>
      <c r="B889" s="31"/>
      <c r="C889" s="31"/>
      <c r="D889" s="31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7"/>
      <c r="X889" s="31"/>
      <c r="Y889" s="478"/>
      <c r="Z889" s="32"/>
      <c r="AA889" s="662"/>
      <c r="AB889" s="36"/>
      <c r="AC889" s="36"/>
      <c r="AD889" s="33"/>
    </row>
    <row r="890" spans="1:30" ht="15.75" customHeight="1">
      <c r="A890" s="151"/>
      <c r="B890" s="31"/>
      <c r="C890" s="31"/>
      <c r="D890" s="31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7"/>
      <c r="X890" s="31"/>
      <c r="Y890" s="478"/>
      <c r="Z890" s="32"/>
      <c r="AA890" s="662"/>
      <c r="AB890" s="36"/>
      <c r="AC890" s="36"/>
      <c r="AD890" s="33"/>
    </row>
    <row r="891" spans="1:30" ht="15.75" customHeight="1">
      <c r="A891" s="151"/>
      <c r="B891" s="31"/>
      <c r="C891" s="31"/>
      <c r="D891" s="31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7"/>
      <c r="X891" s="31"/>
      <c r="Y891" s="478"/>
      <c r="Z891" s="32"/>
      <c r="AA891" s="662"/>
      <c r="AB891" s="36"/>
      <c r="AC891" s="36"/>
      <c r="AD891" s="33"/>
    </row>
    <row r="892" spans="1:30" ht="15.75" customHeight="1">
      <c r="A892" s="151"/>
      <c r="B892" s="31"/>
      <c r="C892" s="31"/>
      <c r="D892" s="31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7"/>
      <c r="X892" s="31"/>
      <c r="Y892" s="478"/>
      <c r="Z892" s="32"/>
      <c r="AA892" s="662"/>
      <c r="AB892" s="36"/>
      <c r="AC892" s="36"/>
      <c r="AD892" s="33"/>
    </row>
    <row r="893" spans="1:30" ht="15.75" customHeight="1">
      <c r="A893" s="151"/>
      <c r="B893" s="31"/>
      <c r="C893" s="31"/>
      <c r="D893" s="31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7"/>
      <c r="X893" s="31"/>
      <c r="Y893" s="478"/>
      <c r="Z893" s="32"/>
      <c r="AA893" s="662"/>
      <c r="AB893" s="36"/>
      <c r="AC893" s="36"/>
      <c r="AD893" s="33"/>
    </row>
    <row r="894" spans="1:30" ht="15.75" customHeight="1">
      <c r="A894" s="151"/>
      <c r="B894" s="31"/>
      <c r="C894" s="31"/>
      <c r="D894" s="31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7"/>
      <c r="X894" s="31"/>
      <c r="Y894" s="478"/>
      <c r="Z894" s="32"/>
      <c r="AA894" s="662"/>
      <c r="AB894" s="36"/>
      <c r="AC894" s="36"/>
      <c r="AD894" s="33"/>
    </row>
    <row r="895" spans="1:30" ht="15.75" customHeight="1">
      <c r="A895" s="151"/>
      <c r="B895" s="31"/>
      <c r="C895" s="31"/>
      <c r="D895" s="31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7"/>
      <c r="X895" s="31"/>
      <c r="Y895" s="478"/>
      <c r="Z895" s="32"/>
      <c r="AA895" s="662"/>
      <c r="AB895" s="36"/>
      <c r="AC895" s="36"/>
      <c r="AD895" s="33"/>
    </row>
    <row r="896" spans="1:30" ht="15.75" customHeight="1">
      <c r="A896" s="151"/>
      <c r="B896" s="31"/>
      <c r="C896" s="31"/>
      <c r="D896" s="31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7"/>
      <c r="X896" s="31"/>
      <c r="Y896" s="478"/>
      <c r="Z896" s="32"/>
      <c r="AA896" s="662"/>
      <c r="AB896" s="36"/>
      <c r="AC896" s="36"/>
      <c r="AD896" s="33"/>
    </row>
    <row r="897" spans="1:30" ht="15.75" customHeight="1">
      <c r="A897" s="151"/>
      <c r="B897" s="31"/>
      <c r="C897" s="31"/>
      <c r="D897" s="31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7"/>
      <c r="X897" s="31"/>
      <c r="Y897" s="478"/>
      <c r="Z897" s="32"/>
      <c r="AA897" s="662"/>
      <c r="AB897" s="36"/>
      <c r="AC897" s="36"/>
      <c r="AD897" s="33"/>
    </row>
    <row r="898" spans="1:30" ht="15.75" customHeight="1">
      <c r="A898" s="151"/>
      <c r="B898" s="31"/>
      <c r="C898" s="31"/>
      <c r="D898" s="31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7"/>
      <c r="X898" s="31"/>
      <c r="Y898" s="478"/>
      <c r="Z898" s="32"/>
      <c r="AA898" s="662"/>
      <c r="AB898" s="36"/>
      <c r="AC898" s="36"/>
      <c r="AD898" s="33"/>
    </row>
    <row r="899" spans="1:30" ht="15.75" customHeight="1">
      <c r="A899" s="151"/>
      <c r="B899" s="31"/>
      <c r="C899" s="31"/>
      <c r="D899" s="31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7"/>
      <c r="X899" s="31"/>
      <c r="Y899" s="478"/>
      <c r="Z899" s="32"/>
      <c r="AA899" s="662"/>
      <c r="AB899" s="36"/>
      <c r="AC899" s="36"/>
      <c r="AD899" s="33"/>
    </row>
    <row r="900" spans="1:30" ht="15.75" customHeight="1">
      <c r="A900" s="151"/>
      <c r="B900" s="31"/>
      <c r="C900" s="31"/>
      <c r="D900" s="31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7"/>
      <c r="X900" s="31"/>
      <c r="Y900" s="478"/>
      <c r="Z900" s="32"/>
      <c r="AA900" s="662"/>
      <c r="AB900" s="36"/>
      <c r="AC900" s="36"/>
      <c r="AD900" s="33"/>
    </row>
    <row r="901" spans="1:30" ht="15.75" customHeight="1">
      <c r="A901" s="151"/>
      <c r="B901" s="31"/>
      <c r="C901" s="31"/>
      <c r="D901" s="31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7"/>
      <c r="X901" s="31"/>
      <c r="Y901" s="478"/>
      <c r="Z901" s="32"/>
      <c r="AA901" s="662"/>
      <c r="AB901" s="36"/>
      <c r="AC901" s="36"/>
      <c r="AD901" s="33"/>
    </row>
    <row r="902" spans="1:30" ht="15.75" customHeight="1">
      <c r="A902" s="151"/>
      <c r="B902" s="31"/>
      <c r="C902" s="31"/>
      <c r="D902" s="31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7"/>
      <c r="X902" s="31"/>
      <c r="Y902" s="478"/>
      <c r="Z902" s="32"/>
      <c r="AA902" s="662"/>
      <c r="AB902" s="36"/>
      <c r="AC902" s="36"/>
      <c r="AD902" s="33"/>
    </row>
    <row r="903" spans="1:30" ht="15.75" customHeight="1">
      <c r="A903" s="151"/>
      <c r="B903" s="31"/>
      <c r="C903" s="31"/>
      <c r="D903" s="31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7"/>
      <c r="X903" s="31"/>
      <c r="Y903" s="478"/>
      <c r="Z903" s="32"/>
      <c r="AA903" s="662"/>
      <c r="AB903" s="36"/>
      <c r="AC903" s="36"/>
      <c r="AD903" s="33"/>
    </row>
    <row r="904" spans="1:30" ht="15.75" customHeight="1">
      <c r="A904" s="151"/>
      <c r="B904" s="31"/>
      <c r="C904" s="31"/>
      <c r="D904" s="31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7"/>
      <c r="X904" s="31"/>
      <c r="Y904" s="478"/>
      <c r="Z904" s="32"/>
      <c r="AA904" s="662"/>
      <c r="AB904" s="36"/>
      <c r="AC904" s="36"/>
      <c r="AD904" s="33"/>
    </row>
    <row r="905" spans="1:30" ht="15.75" customHeight="1">
      <c r="A905" s="151"/>
      <c r="B905" s="31"/>
      <c r="C905" s="31"/>
      <c r="D905" s="31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7"/>
      <c r="X905" s="31"/>
      <c r="Y905" s="478"/>
      <c r="Z905" s="32"/>
      <c r="AA905" s="662"/>
      <c r="AB905" s="36"/>
      <c r="AC905" s="36"/>
      <c r="AD905" s="33"/>
    </row>
    <row r="906" spans="1:30" ht="15.75" customHeight="1">
      <c r="A906" s="151"/>
      <c r="B906" s="31"/>
      <c r="C906" s="31"/>
      <c r="D906" s="31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7"/>
      <c r="X906" s="31"/>
      <c r="Y906" s="478"/>
      <c r="Z906" s="32"/>
      <c r="AA906" s="662"/>
      <c r="AB906" s="36"/>
      <c r="AC906" s="36"/>
      <c r="AD906" s="33"/>
    </row>
    <row r="907" spans="1:30" ht="15.75" customHeight="1">
      <c r="A907" s="151"/>
      <c r="B907" s="31"/>
      <c r="C907" s="31"/>
      <c r="D907" s="31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7"/>
      <c r="X907" s="31"/>
      <c r="Y907" s="478"/>
      <c r="Z907" s="32"/>
      <c r="AA907" s="662"/>
      <c r="AB907" s="36"/>
      <c r="AC907" s="36"/>
      <c r="AD907" s="33"/>
    </row>
    <row r="908" spans="1:30" ht="15.75" customHeight="1">
      <c r="A908" s="151"/>
      <c r="B908" s="31"/>
      <c r="C908" s="31"/>
      <c r="D908" s="31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7"/>
      <c r="X908" s="31"/>
      <c r="Y908" s="478"/>
      <c r="Z908" s="32"/>
      <c r="AA908" s="662"/>
      <c r="AB908" s="36"/>
      <c r="AC908" s="36"/>
      <c r="AD908" s="33"/>
    </row>
    <row r="909" spans="1:30" ht="15.75" customHeight="1">
      <c r="A909" s="151"/>
      <c r="B909" s="31"/>
      <c r="C909" s="31"/>
      <c r="D909" s="31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7"/>
      <c r="X909" s="31"/>
      <c r="Y909" s="478"/>
      <c r="Z909" s="32"/>
      <c r="AA909" s="662"/>
      <c r="AB909" s="36"/>
      <c r="AC909" s="36"/>
      <c r="AD909" s="33"/>
    </row>
    <row r="910" spans="1:30" ht="15.75" customHeight="1">
      <c r="A910" s="151"/>
      <c r="B910" s="31"/>
      <c r="C910" s="31"/>
      <c r="D910" s="31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7"/>
      <c r="X910" s="31"/>
      <c r="Y910" s="478"/>
      <c r="Z910" s="32"/>
      <c r="AA910" s="662"/>
      <c r="AB910" s="36"/>
      <c r="AC910" s="36"/>
      <c r="AD910" s="33"/>
    </row>
    <row r="911" spans="1:30" ht="15.75" customHeight="1">
      <c r="A911" s="151"/>
      <c r="B911" s="31"/>
      <c r="C911" s="31"/>
      <c r="D911" s="31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7"/>
      <c r="X911" s="31"/>
      <c r="Y911" s="478"/>
      <c r="Z911" s="32"/>
      <c r="AA911" s="662"/>
      <c r="AB911" s="36"/>
      <c r="AC911" s="36"/>
      <c r="AD911" s="33"/>
    </row>
    <row r="912" spans="1:30" ht="15.75" customHeight="1">
      <c r="A912" s="151"/>
      <c r="B912" s="31"/>
      <c r="C912" s="31"/>
      <c r="D912" s="31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7"/>
      <c r="X912" s="31"/>
      <c r="Y912" s="478"/>
      <c r="Z912" s="32"/>
      <c r="AA912" s="662"/>
      <c r="AB912" s="36"/>
      <c r="AC912" s="36"/>
      <c r="AD912" s="33"/>
    </row>
    <row r="913" spans="1:30" ht="15.75" customHeight="1">
      <c r="A913" s="151"/>
      <c r="B913" s="31"/>
      <c r="C913" s="31"/>
      <c r="D913" s="31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7"/>
      <c r="X913" s="31"/>
      <c r="Y913" s="478"/>
      <c r="Z913" s="32"/>
      <c r="AA913" s="662"/>
      <c r="AB913" s="36"/>
      <c r="AC913" s="36"/>
      <c r="AD913" s="33"/>
    </row>
    <row r="914" spans="1:30" ht="15.75" customHeight="1">
      <c r="A914" s="151"/>
      <c r="B914" s="31"/>
      <c r="C914" s="31"/>
      <c r="D914" s="31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7"/>
      <c r="X914" s="31"/>
      <c r="Y914" s="478"/>
      <c r="Z914" s="32"/>
      <c r="AA914" s="662"/>
      <c r="AB914" s="36"/>
      <c r="AC914" s="36"/>
      <c r="AD914" s="33"/>
    </row>
    <row r="915" spans="1:30" ht="15.75" customHeight="1">
      <c r="A915" s="151"/>
      <c r="B915" s="31"/>
      <c r="C915" s="31"/>
      <c r="D915" s="31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7"/>
      <c r="X915" s="31"/>
      <c r="Y915" s="478"/>
      <c r="Z915" s="32"/>
      <c r="AA915" s="662"/>
      <c r="AB915" s="36"/>
      <c r="AC915" s="36"/>
      <c r="AD915" s="33"/>
    </row>
    <row r="916" spans="1:30" ht="15.75" customHeight="1">
      <c r="A916" s="151"/>
      <c r="B916" s="31"/>
      <c r="C916" s="31"/>
      <c r="D916" s="31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7"/>
      <c r="X916" s="31"/>
      <c r="Y916" s="478"/>
      <c r="Z916" s="32"/>
      <c r="AA916" s="662"/>
      <c r="AB916" s="36"/>
      <c r="AC916" s="36"/>
      <c r="AD916" s="33"/>
    </row>
    <row r="917" spans="1:30" ht="15.75" customHeight="1">
      <c r="A917" s="151"/>
      <c r="B917" s="31"/>
      <c r="C917" s="31"/>
      <c r="D917" s="31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7"/>
      <c r="X917" s="31"/>
      <c r="Y917" s="478"/>
      <c r="Z917" s="32"/>
      <c r="AA917" s="662"/>
      <c r="AB917" s="36"/>
      <c r="AC917" s="36"/>
      <c r="AD917" s="33"/>
    </row>
    <row r="918" spans="1:30" ht="15.75" customHeight="1">
      <c r="A918" s="151"/>
      <c r="B918" s="31"/>
      <c r="C918" s="31"/>
      <c r="D918" s="31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7"/>
      <c r="X918" s="31"/>
      <c r="Y918" s="478"/>
      <c r="Z918" s="32"/>
      <c r="AA918" s="662"/>
      <c r="AB918" s="36"/>
      <c r="AC918" s="36"/>
      <c r="AD918" s="33"/>
    </row>
    <row r="919" spans="1:30" ht="15.75" customHeight="1">
      <c r="A919" s="151"/>
      <c r="B919" s="31"/>
      <c r="C919" s="31"/>
      <c r="D919" s="31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7"/>
      <c r="X919" s="31"/>
      <c r="Y919" s="478"/>
      <c r="Z919" s="32"/>
      <c r="AA919" s="662"/>
      <c r="AB919" s="36"/>
      <c r="AC919" s="36"/>
      <c r="AD919" s="33"/>
    </row>
    <row r="920" spans="1:30" ht="15.75" customHeight="1">
      <c r="A920" s="151"/>
      <c r="B920" s="31"/>
      <c r="C920" s="31"/>
      <c r="D920" s="31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7"/>
      <c r="X920" s="31"/>
      <c r="Y920" s="478"/>
      <c r="Z920" s="32"/>
      <c r="AA920" s="662"/>
      <c r="AB920" s="36"/>
      <c r="AC920" s="36"/>
      <c r="AD920" s="33"/>
    </row>
    <row r="921" spans="1:30" ht="15.75" customHeight="1">
      <c r="A921" s="151"/>
      <c r="B921" s="31"/>
      <c r="C921" s="31"/>
      <c r="D921" s="31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7"/>
      <c r="X921" s="31"/>
      <c r="Y921" s="478"/>
      <c r="Z921" s="32"/>
      <c r="AA921" s="662"/>
      <c r="AB921" s="36"/>
      <c r="AC921" s="36"/>
      <c r="AD921" s="33"/>
    </row>
    <row r="922" spans="1:30" ht="15.75" customHeight="1">
      <c r="A922" s="151"/>
      <c r="B922" s="31"/>
      <c r="C922" s="31"/>
      <c r="D922" s="31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7"/>
      <c r="X922" s="31"/>
      <c r="Y922" s="478"/>
      <c r="Z922" s="32"/>
      <c r="AA922" s="662"/>
      <c r="AB922" s="36"/>
      <c r="AC922" s="36"/>
      <c r="AD922" s="33"/>
    </row>
    <row r="923" spans="1:30" ht="15.75" customHeight="1">
      <c r="A923" s="151"/>
      <c r="B923" s="31"/>
      <c r="C923" s="31"/>
      <c r="D923" s="31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7"/>
      <c r="X923" s="31"/>
      <c r="Y923" s="478"/>
      <c r="Z923" s="32"/>
      <c r="AA923" s="662"/>
      <c r="AB923" s="36"/>
      <c r="AC923" s="36"/>
      <c r="AD923" s="33"/>
    </row>
    <row r="924" spans="1:30" ht="15.75" customHeight="1">
      <c r="A924" s="151"/>
      <c r="B924" s="31"/>
      <c r="C924" s="31"/>
      <c r="D924" s="31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7"/>
      <c r="X924" s="31"/>
      <c r="Y924" s="478"/>
      <c r="Z924" s="32"/>
      <c r="AA924" s="662"/>
      <c r="AB924" s="36"/>
      <c r="AC924" s="36"/>
      <c r="AD924" s="33"/>
    </row>
    <row r="925" spans="1:30" ht="15.75" customHeight="1">
      <c r="A925" s="151"/>
      <c r="B925" s="31"/>
      <c r="C925" s="31"/>
      <c r="D925" s="31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7"/>
      <c r="X925" s="31"/>
      <c r="Y925" s="478"/>
      <c r="Z925" s="32"/>
      <c r="AA925" s="662"/>
      <c r="AB925" s="36"/>
      <c r="AC925" s="36"/>
      <c r="AD925" s="33"/>
    </row>
    <row r="926" spans="1:30" ht="15.75" customHeight="1">
      <c r="A926" s="151"/>
      <c r="B926" s="31"/>
      <c r="C926" s="31"/>
      <c r="D926" s="31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7"/>
      <c r="X926" s="31"/>
      <c r="Y926" s="478"/>
      <c r="Z926" s="32"/>
      <c r="AA926" s="662"/>
      <c r="AB926" s="36"/>
      <c r="AC926" s="36"/>
      <c r="AD926" s="33"/>
    </row>
    <row r="927" spans="1:30" ht="15.75" customHeight="1">
      <c r="A927" s="151"/>
      <c r="B927" s="31"/>
      <c r="C927" s="31"/>
      <c r="D927" s="31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7"/>
      <c r="X927" s="31"/>
      <c r="Y927" s="478"/>
      <c r="Z927" s="32"/>
      <c r="AA927" s="662"/>
      <c r="AB927" s="36"/>
      <c r="AC927" s="36"/>
      <c r="AD927" s="33"/>
    </row>
    <row r="928" spans="1:30" ht="15.75" customHeight="1">
      <c r="A928" s="151"/>
      <c r="B928" s="31"/>
      <c r="C928" s="31"/>
      <c r="D928" s="31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7"/>
      <c r="X928" s="31"/>
      <c r="Y928" s="478"/>
      <c r="Z928" s="32"/>
      <c r="AA928" s="662"/>
      <c r="AB928" s="36"/>
      <c r="AC928" s="36"/>
      <c r="AD928" s="33"/>
    </row>
    <row r="929" spans="1:30" ht="15.75" customHeight="1">
      <c r="A929" s="151"/>
      <c r="B929" s="31"/>
      <c r="C929" s="31"/>
      <c r="D929" s="31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7"/>
      <c r="X929" s="31"/>
      <c r="Y929" s="478"/>
      <c r="Z929" s="32"/>
      <c r="AA929" s="662"/>
      <c r="AB929" s="36"/>
      <c r="AC929" s="36"/>
      <c r="AD929" s="33"/>
    </row>
    <row r="930" spans="1:30" ht="15.75" customHeight="1">
      <c r="A930" s="151"/>
      <c r="B930" s="31"/>
      <c r="C930" s="31"/>
      <c r="D930" s="31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7"/>
      <c r="X930" s="31"/>
      <c r="Y930" s="478"/>
      <c r="Z930" s="32"/>
      <c r="AA930" s="662"/>
      <c r="AB930" s="36"/>
      <c r="AC930" s="36"/>
      <c r="AD930" s="33"/>
    </row>
    <row r="931" spans="1:30" ht="15.75" customHeight="1">
      <c r="A931" s="151"/>
      <c r="B931" s="31"/>
      <c r="C931" s="31"/>
      <c r="D931" s="31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7"/>
      <c r="X931" s="31"/>
      <c r="Y931" s="478"/>
      <c r="Z931" s="32"/>
      <c r="AA931" s="662"/>
      <c r="AB931" s="36"/>
      <c r="AC931" s="36"/>
      <c r="AD931" s="33"/>
    </row>
    <row r="932" spans="1:30" ht="15.75" customHeight="1">
      <c r="A932" s="151"/>
      <c r="B932" s="31"/>
      <c r="C932" s="31"/>
      <c r="D932" s="31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7"/>
      <c r="X932" s="31"/>
      <c r="Y932" s="478"/>
      <c r="Z932" s="32"/>
      <c r="AA932" s="662"/>
      <c r="AB932" s="36"/>
      <c r="AC932" s="36"/>
      <c r="AD932" s="33"/>
    </row>
    <row r="933" spans="1:30" ht="15.75" customHeight="1">
      <c r="A933" s="151"/>
      <c r="B933" s="31"/>
      <c r="C933" s="31"/>
      <c r="D933" s="31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7"/>
      <c r="X933" s="31"/>
      <c r="Y933" s="478"/>
      <c r="Z933" s="32"/>
      <c r="AA933" s="662"/>
      <c r="AB933" s="36"/>
      <c r="AC933" s="36"/>
      <c r="AD933" s="33"/>
    </row>
    <row r="934" spans="1:30" ht="15.75" customHeight="1">
      <c r="A934" s="151"/>
      <c r="B934" s="31"/>
      <c r="C934" s="31"/>
      <c r="D934" s="31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7"/>
      <c r="X934" s="31"/>
      <c r="Y934" s="478"/>
      <c r="Z934" s="32"/>
      <c r="AA934" s="662"/>
      <c r="AB934" s="36"/>
      <c r="AC934" s="36"/>
      <c r="AD934" s="33"/>
    </row>
    <row r="935" spans="1:30" ht="15.75" customHeight="1">
      <c r="A935" s="151"/>
      <c r="B935" s="31"/>
      <c r="C935" s="31"/>
      <c r="D935" s="31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7"/>
      <c r="X935" s="31"/>
      <c r="Y935" s="478"/>
      <c r="Z935" s="32"/>
      <c r="AA935" s="662"/>
      <c r="AB935" s="36"/>
      <c r="AC935" s="36"/>
      <c r="AD935" s="33"/>
    </row>
    <row r="936" spans="1:30" ht="15.75" customHeight="1">
      <c r="A936" s="151"/>
      <c r="B936" s="31"/>
      <c r="C936" s="31"/>
      <c r="D936" s="31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7"/>
      <c r="X936" s="31"/>
      <c r="Y936" s="478"/>
      <c r="Z936" s="32"/>
      <c r="AA936" s="662"/>
      <c r="AB936" s="36"/>
      <c r="AC936" s="36"/>
      <c r="AD936" s="33"/>
    </row>
    <row r="937" spans="1:30" ht="15.75" customHeight="1">
      <c r="A937" s="151"/>
      <c r="B937" s="31"/>
      <c r="C937" s="31"/>
      <c r="D937" s="31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7"/>
      <c r="X937" s="31"/>
      <c r="Y937" s="478"/>
      <c r="Z937" s="32"/>
      <c r="AA937" s="662"/>
      <c r="AB937" s="36"/>
      <c r="AC937" s="36"/>
      <c r="AD937" s="33"/>
    </row>
    <row r="938" spans="1:30" ht="15.75" customHeight="1">
      <c r="A938" s="151"/>
      <c r="B938" s="31"/>
      <c r="C938" s="31"/>
      <c r="D938" s="31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7"/>
      <c r="X938" s="31"/>
      <c r="Y938" s="478"/>
      <c r="Z938" s="32"/>
      <c r="AA938" s="662"/>
      <c r="AB938" s="36"/>
      <c r="AC938" s="36"/>
      <c r="AD938" s="33"/>
    </row>
    <row r="939" spans="1:30" ht="15.75" customHeight="1">
      <c r="A939" s="151"/>
      <c r="B939" s="31"/>
      <c r="C939" s="31"/>
      <c r="D939" s="31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7"/>
      <c r="X939" s="31"/>
      <c r="Y939" s="478"/>
      <c r="Z939" s="32"/>
      <c r="AA939" s="662"/>
      <c r="AB939" s="36"/>
      <c r="AC939" s="36"/>
      <c r="AD939" s="33"/>
    </row>
    <row r="940" spans="1:30" ht="15.75" customHeight="1">
      <c r="A940" s="151"/>
      <c r="B940" s="31"/>
      <c r="C940" s="31"/>
      <c r="D940" s="31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7"/>
      <c r="X940" s="31"/>
      <c r="Y940" s="478"/>
      <c r="Z940" s="32"/>
      <c r="AA940" s="662"/>
      <c r="AB940" s="36"/>
      <c r="AC940" s="36"/>
      <c r="AD940" s="33"/>
    </row>
    <row r="941" spans="1:30" ht="15.75" customHeight="1">
      <c r="A941" s="151"/>
      <c r="B941" s="31"/>
      <c r="C941" s="31"/>
      <c r="D941" s="31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7"/>
      <c r="X941" s="31"/>
      <c r="Y941" s="478"/>
      <c r="Z941" s="32"/>
      <c r="AA941" s="662"/>
      <c r="AB941" s="36"/>
      <c r="AC941" s="36"/>
      <c r="AD941" s="33"/>
    </row>
    <row r="942" spans="1:30" ht="15.75" customHeight="1">
      <c r="A942" s="151"/>
      <c r="B942" s="31"/>
      <c r="C942" s="31"/>
      <c r="D942" s="31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7"/>
      <c r="X942" s="31"/>
      <c r="Y942" s="478"/>
      <c r="Z942" s="32"/>
      <c r="AA942" s="662"/>
      <c r="AB942" s="36"/>
      <c r="AC942" s="36"/>
      <c r="AD942" s="33"/>
    </row>
    <row r="943" spans="1:30" ht="15.75" customHeight="1">
      <c r="A943" s="151"/>
      <c r="B943" s="31"/>
      <c r="C943" s="31"/>
      <c r="D943" s="31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7"/>
      <c r="X943" s="31"/>
      <c r="Y943" s="478"/>
      <c r="Z943" s="32"/>
      <c r="AA943" s="662"/>
      <c r="AB943" s="36"/>
      <c r="AC943" s="36"/>
      <c r="AD943" s="33"/>
    </row>
    <row r="944" spans="1:30" ht="15.75" customHeight="1">
      <c r="A944" s="151"/>
      <c r="B944" s="31"/>
      <c r="C944" s="31"/>
      <c r="D944" s="31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7"/>
      <c r="X944" s="31"/>
      <c r="Y944" s="478"/>
      <c r="Z944" s="32"/>
      <c r="AA944" s="662"/>
      <c r="AB944" s="36"/>
      <c r="AC944" s="36"/>
      <c r="AD944" s="33"/>
    </row>
    <row r="945" spans="1:30" ht="15.75" customHeight="1">
      <c r="A945" s="151"/>
      <c r="B945" s="31"/>
      <c r="C945" s="31"/>
      <c r="D945" s="31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7"/>
      <c r="X945" s="31"/>
      <c r="Y945" s="478"/>
      <c r="Z945" s="32"/>
      <c r="AA945" s="662"/>
      <c r="AB945" s="36"/>
      <c r="AC945" s="36"/>
      <c r="AD945" s="33"/>
    </row>
    <row r="946" spans="1:30" ht="15.75" customHeight="1">
      <c r="A946" s="151"/>
      <c r="B946" s="31"/>
      <c r="C946" s="31"/>
      <c r="D946" s="31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7"/>
      <c r="X946" s="31"/>
      <c r="Y946" s="478"/>
      <c r="Z946" s="32"/>
      <c r="AA946" s="662"/>
      <c r="AB946" s="36"/>
      <c r="AC946" s="36"/>
      <c r="AD946" s="33"/>
    </row>
    <row r="947" spans="1:30" ht="15.75" customHeight="1">
      <c r="A947" s="151"/>
      <c r="B947" s="31"/>
      <c r="C947" s="31"/>
      <c r="D947" s="31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7"/>
      <c r="X947" s="31"/>
      <c r="Y947" s="478"/>
      <c r="Z947" s="32"/>
      <c r="AA947" s="662"/>
      <c r="AB947" s="36"/>
      <c r="AC947" s="36"/>
      <c r="AD947" s="33"/>
    </row>
    <row r="948" spans="1:30" ht="15.75" customHeight="1">
      <c r="A948" s="151"/>
      <c r="B948" s="31"/>
      <c r="C948" s="31"/>
      <c r="D948" s="31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7"/>
      <c r="X948" s="31"/>
      <c r="Y948" s="478"/>
      <c r="Z948" s="32"/>
      <c r="AA948" s="662"/>
      <c r="AB948" s="36"/>
      <c r="AC948" s="36"/>
      <c r="AD948" s="33"/>
    </row>
    <row r="949" spans="1:30" ht="15.75" customHeight="1">
      <c r="A949" s="151"/>
      <c r="B949" s="31"/>
      <c r="C949" s="31"/>
      <c r="D949" s="31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7"/>
      <c r="X949" s="31"/>
      <c r="Y949" s="478"/>
      <c r="Z949" s="32"/>
      <c r="AA949" s="662"/>
      <c r="AB949" s="36"/>
      <c r="AC949" s="36"/>
      <c r="AD949" s="33"/>
    </row>
    <row r="950" spans="1:30" ht="15.75" customHeight="1">
      <c r="A950" s="151"/>
      <c r="B950" s="31"/>
      <c r="C950" s="31"/>
      <c r="D950" s="31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7"/>
      <c r="X950" s="31"/>
      <c r="Y950" s="478"/>
      <c r="Z950" s="32"/>
      <c r="AA950" s="662"/>
      <c r="AB950" s="36"/>
      <c r="AC950" s="36"/>
      <c r="AD950" s="33"/>
    </row>
    <row r="951" spans="1:30" ht="15.75" customHeight="1">
      <c r="A951" s="151"/>
      <c r="B951" s="31"/>
      <c r="C951" s="31"/>
      <c r="D951" s="31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7"/>
      <c r="X951" s="31"/>
      <c r="Y951" s="478"/>
      <c r="Z951" s="32"/>
      <c r="AA951" s="662"/>
      <c r="AB951" s="36"/>
      <c r="AC951" s="36"/>
      <c r="AD951" s="33"/>
    </row>
    <row r="952" spans="1:30" ht="15.75" customHeight="1">
      <c r="A952" s="151"/>
      <c r="B952" s="31"/>
      <c r="C952" s="31"/>
      <c r="D952" s="31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7"/>
      <c r="X952" s="31"/>
      <c r="Y952" s="478"/>
      <c r="Z952" s="32"/>
      <c r="AA952" s="662"/>
      <c r="AB952" s="36"/>
      <c r="AC952" s="36"/>
      <c r="AD952" s="33"/>
    </row>
    <row r="953" spans="1:30" ht="15.75" customHeight="1">
      <c r="A953" s="151"/>
      <c r="B953" s="31"/>
      <c r="C953" s="31"/>
      <c r="D953" s="31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7"/>
      <c r="X953" s="31"/>
      <c r="Y953" s="478"/>
      <c r="Z953" s="32"/>
      <c r="AA953" s="662"/>
      <c r="AB953" s="36"/>
      <c r="AC953" s="36"/>
      <c r="AD953" s="33"/>
    </row>
    <row r="954" spans="1:30" ht="15.75" customHeight="1">
      <c r="A954" s="151"/>
      <c r="B954" s="31"/>
      <c r="C954" s="31"/>
      <c r="D954" s="31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7"/>
      <c r="X954" s="31"/>
      <c r="Y954" s="478"/>
      <c r="Z954" s="32"/>
      <c r="AA954" s="662"/>
      <c r="AB954" s="36"/>
      <c r="AC954" s="36"/>
      <c r="AD954" s="33"/>
    </row>
    <row r="955" spans="1:30" ht="15.75" customHeight="1">
      <c r="A955" s="151"/>
      <c r="B955" s="31"/>
      <c r="C955" s="31"/>
      <c r="D955" s="31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7"/>
      <c r="X955" s="31"/>
      <c r="Y955" s="478"/>
      <c r="Z955" s="32"/>
      <c r="AA955" s="662"/>
      <c r="AB955" s="36"/>
      <c r="AC955" s="36"/>
      <c r="AD955" s="33"/>
    </row>
    <row r="956" spans="1:30" ht="15.75" customHeight="1">
      <c r="A956" s="151"/>
      <c r="B956" s="31"/>
      <c r="C956" s="31"/>
      <c r="D956" s="31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7"/>
      <c r="X956" s="31"/>
      <c r="Y956" s="478"/>
      <c r="Z956" s="32"/>
      <c r="AA956" s="662"/>
      <c r="AB956" s="36"/>
      <c r="AC956" s="36"/>
      <c r="AD956" s="33"/>
    </row>
    <row r="957" spans="1:30" ht="15.75" customHeight="1">
      <c r="A957" s="151"/>
      <c r="B957" s="31"/>
      <c r="C957" s="31"/>
      <c r="D957" s="31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7"/>
      <c r="X957" s="31"/>
      <c r="Y957" s="478"/>
      <c r="Z957" s="32"/>
      <c r="AA957" s="662"/>
      <c r="AB957" s="36"/>
      <c r="AC957" s="36"/>
      <c r="AD957" s="33"/>
    </row>
    <row r="958" spans="1:30" ht="15.75" customHeight="1">
      <c r="A958" s="151"/>
      <c r="B958" s="31"/>
      <c r="C958" s="31"/>
      <c r="D958" s="31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7"/>
      <c r="X958" s="31"/>
      <c r="Y958" s="478"/>
      <c r="Z958" s="32"/>
      <c r="AA958" s="662"/>
      <c r="AB958" s="36"/>
      <c r="AC958" s="36"/>
      <c r="AD958" s="33"/>
    </row>
    <row r="959" spans="1:30" ht="15.75" customHeight="1">
      <c r="A959" s="151"/>
      <c r="B959" s="31"/>
      <c r="C959" s="31"/>
      <c r="D959" s="31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7"/>
      <c r="X959" s="31"/>
      <c r="Y959" s="478"/>
      <c r="Z959" s="32"/>
      <c r="AA959" s="662"/>
      <c r="AB959" s="36"/>
      <c r="AC959" s="36"/>
      <c r="AD959" s="33"/>
    </row>
    <row r="960" spans="1:30" ht="15.75" customHeight="1">
      <c r="A960" s="151"/>
      <c r="B960" s="31"/>
      <c r="C960" s="31"/>
      <c r="D960" s="31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7"/>
      <c r="X960" s="31"/>
      <c r="Y960" s="478"/>
      <c r="Z960" s="32"/>
      <c r="AA960" s="662"/>
      <c r="AB960" s="36"/>
      <c r="AC960" s="36"/>
      <c r="AD960" s="33"/>
    </row>
    <row r="961" spans="1:30" ht="15.75" customHeight="1">
      <c r="A961" s="151"/>
      <c r="B961" s="31"/>
      <c r="C961" s="31"/>
      <c r="D961" s="31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7"/>
      <c r="X961" s="31"/>
      <c r="Y961" s="478"/>
      <c r="Z961" s="32"/>
      <c r="AA961" s="662"/>
      <c r="AB961" s="36"/>
      <c r="AC961" s="36"/>
      <c r="AD961" s="33"/>
    </row>
    <row r="962" spans="1:30" ht="15.75" customHeight="1">
      <c r="A962" s="151"/>
      <c r="B962" s="31"/>
      <c r="C962" s="31"/>
      <c r="D962" s="31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7"/>
      <c r="X962" s="31"/>
      <c r="Y962" s="478"/>
      <c r="Z962" s="32"/>
      <c r="AA962" s="662"/>
      <c r="AB962" s="36"/>
      <c r="AC962" s="36"/>
      <c r="AD962" s="33"/>
    </row>
    <row r="963" spans="1:30" ht="15.75" customHeight="1">
      <c r="A963" s="151"/>
      <c r="B963" s="31"/>
      <c r="C963" s="31"/>
      <c r="D963" s="31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7"/>
      <c r="X963" s="31"/>
      <c r="Y963" s="478"/>
      <c r="Z963" s="32"/>
      <c r="AA963" s="662"/>
      <c r="AB963" s="36"/>
      <c r="AC963" s="36"/>
      <c r="AD963" s="33"/>
    </row>
    <row r="964" spans="1:30" ht="15.75" customHeight="1">
      <c r="A964" s="151"/>
      <c r="B964" s="31"/>
      <c r="C964" s="31"/>
      <c r="D964" s="31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7"/>
      <c r="X964" s="31"/>
      <c r="Y964" s="478"/>
      <c r="Z964" s="32"/>
      <c r="AA964" s="662"/>
      <c r="AB964" s="36"/>
      <c r="AC964" s="36"/>
      <c r="AD964" s="33"/>
    </row>
    <row r="965" spans="1:30" ht="15.75" customHeight="1">
      <c r="A965" s="151"/>
      <c r="B965" s="31"/>
      <c r="C965" s="31"/>
      <c r="D965" s="31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7"/>
      <c r="X965" s="31"/>
      <c r="Y965" s="478"/>
      <c r="Z965" s="32"/>
      <c r="AA965" s="662"/>
      <c r="AB965" s="36"/>
      <c r="AC965" s="36"/>
      <c r="AD965" s="33"/>
    </row>
    <row r="966" spans="1:30" ht="15.75" customHeight="1">
      <c r="A966" s="151"/>
      <c r="B966" s="31"/>
      <c r="C966" s="31"/>
      <c r="D966" s="31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7"/>
      <c r="X966" s="31"/>
      <c r="Y966" s="478"/>
      <c r="Z966" s="32"/>
      <c r="AA966" s="662"/>
      <c r="AB966" s="36"/>
      <c r="AC966" s="36"/>
      <c r="AD966" s="33"/>
    </row>
    <row r="967" spans="1:30" ht="15.75" customHeight="1">
      <c r="A967" s="151"/>
      <c r="B967" s="31"/>
      <c r="C967" s="31"/>
      <c r="D967" s="31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7"/>
      <c r="X967" s="31"/>
      <c r="Y967" s="478"/>
      <c r="Z967" s="32"/>
      <c r="AA967" s="662"/>
      <c r="AB967" s="36"/>
      <c r="AC967" s="36"/>
      <c r="AD967" s="33"/>
    </row>
    <row r="968" spans="1:30" ht="15.75" customHeight="1">
      <c r="A968" s="151"/>
      <c r="B968" s="31"/>
      <c r="C968" s="31"/>
      <c r="D968" s="31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7"/>
      <c r="X968" s="31"/>
      <c r="Y968" s="478"/>
      <c r="Z968" s="32"/>
      <c r="AA968" s="662"/>
      <c r="AB968" s="36"/>
      <c r="AC968" s="36"/>
      <c r="AD968" s="33"/>
    </row>
    <row r="969" spans="1:30" ht="15.75" customHeight="1">
      <c r="A969" s="151"/>
      <c r="B969" s="31"/>
      <c r="C969" s="31"/>
      <c r="D969" s="31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7"/>
      <c r="X969" s="31"/>
      <c r="Y969" s="478"/>
      <c r="Z969" s="32"/>
      <c r="AA969" s="662"/>
      <c r="AB969" s="36"/>
      <c r="AC969" s="36"/>
      <c r="AD969" s="33"/>
    </row>
    <row r="970" spans="1:30" ht="15.75" customHeight="1">
      <c r="A970" s="151"/>
      <c r="B970" s="31"/>
      <c r="C970" s="31"/>
      <c r="D970" s="31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7"/>
      <c r="X970" s="31"/>
      <c r="Y970" s="478"/>
      <c r="Z970" s="32"/>
      <c r="AA970" s="662"/>
      <c r="AB970" s="36"/>
      <c r="AC970" s="36"/>
      <c r="AD970" s="33"/>
    </row>
    <row r="971" spans="1:30" ht="15.75" customHeight="1">
      <c r="A971" s="151"/>
      <c r="B971" s="31"/>
      <c r="C971" s="31"/>
      <c r="D971" s="31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7"/>
      <c r="X971" s="31"/>
      <c r="Y971" s="478"/>
      <c r="Z971" s="32"/>
      <c r="AA971" s="662"/>
      <c r="AB971" s="36"/>
      <c r="AC971" s="36"/>
      <c r="AD971" s="33"/>
    </row>
    <row r="972" spans="1:30" ht="15.75" customHeight="1">
      <c r="A972" s="151"/>
      <c r="B972" s="31"/>
      <c r="C972" s="31"/>
      <c r="D972" s="31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7"/>
      <c r="X972" s="31"/>
      <c r="Y972" s="478"/>
      <c r="Z972" s="32"/>
      <c r="AA972" s="662"/>
      <c r="AB972" s="36"/>
      <c r="AC972" s="36"/>
      <c r="AD972" s="33"/>
    </row>
    <row r="973" spans="1:30" ht="15.75" customHeight="1">
      <c r="A973" s="151"/>
      <c r="B973" s="31"/>
      <c r="C973" s="31"/>
      <c r="D973" s="31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7"/>
      <c r="X973" s="31"/>
      <c r="Y973" s="478"/>
      <c r="Z973" s="32"/>
      <c r="AA973" s="662"/>
      <c r="AB973" s="36"/>
      <c r="AC973" s="36"/>
      <c r="AD973" s="33"/>
    </row>
    <row r="974" spans="1:30" ht="15.75" customHeight="1">
      <c r="A974" s="151"/>
      <c r="B974" s="31"/>
      <c r="C974" s="31"/>
      <c r="D974" s="31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7"/>
      <c r="X974" s="31"/>
      <c r="Y974" s="478"/>
      <c r="Z974" s="32"/>
      <c r="AA974" s="662"/>
      <c r="AB974" s="36"/>
      <c r="AC974" s="36"/>
      <c r="AD974" s="33"/>
    </row>
    <row r="975" spans="1:30" ht="15.75" customHeight="1">
      <c r="A975" s="151"/>
      <c r="B975" s="31"/>
      <c r="C975" s="31"/>
      <c r="D975" s="31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7"/>
      <c r="X975" s="31"/>
      <c r="Y975" s="478"/>
      <c r="Z975" s="32"/>
      <c r="AA975" s="662"/>
      <c r="AB975" s="36"/>
      <c r="AC975" s="36"/>
      <c r="AD975" s="33"/>
    </row>
    <row r="976" spans="1:30" ht="15.75" customHeight="1">
      <c r="A976" s="151"/>
      <c r="B976" s="31"/>
      <c r="C976" s="31"/>
      <c r="D976" s="31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7"/>
      <c r="X976" s="31"/>
      <c r="Y976" s="478"/>
      <c r="Z976" s="32"/>
      <c r="AA976" s="662"/>
      <c r="AB976" s="36"/>
      <c r="AC976" s="36"/>
      <c r="AD976" s="33"/>
    </row>
    <row r="977" spans="1:30" ht="15.75" customHeight="1">
      <c r="A977" s="151"/>
      <c r="B977" s="31"/>
      <c r="C977" s="31"/>
      <c r="D977" s="31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7"/>
      <c r="X977" s="31"/>
      <c r="Y977" s="478"/>
      <c r="Z977" s="32"/>
      <c r="AA977" s="662"/>
      <c r="AB977" s="36"/>
      <c r="AC977" s="36"/>
      <c r="AD977" s="33"/>
    </row>
    <row r="978" spans="1:30" ht="15.75" customHeight="1">
      <c r="A978" s="151"/>
      <c r="B978" s="31"/>
      <c r="C978" s="31"/>
      <c r="D978" s="31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7"/>
      <c r="X978" s="31"/>
      <c r="Y978" s="478"/>
      <c r="Z978" s="32"/>
      <c r="AA978" s="662"/>
      <c r="AB978" s="36"/>
      <c r="AC978" s="36"/>
      <c r="AD978" s="33"/>
    </row>
    <row r="979" spans="1:30" ht="15.75" customHeight="1">
      <c r="A979" s="151"/>
      <c r="B979" s="31"/>
      <c r="C979" s="31"/>
      <c r="D979" s="31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7"/>
      <c r="X979" s="31"/>
      <c r="Y979" s="478"/>
      <c r="Z979" s="32"/>
      <c r="AA979" s="662"/>
      <c r="AB979" s="36"/>
      <c r="AC979" s="36"/>
      <c r="AD979" s="33"/>
    </row>
    <row r="980" spans="1:30" ht="15.75" customHeight="1">
      <c r="A980" s="151"/>
      <c r="B980" s="31"/>
      <c r="C980" s="31"/>
      <c r="D980" s="31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7"/>
      <c r="X980" s="31"/>
      <c r="Y980" s="478"/>
      <c r="Z980" s="32"/>
      <c r="AA980" s="662"/>
      <c r="AB980" s="36"/>
      <c r="AC980" s="36"/>
      <c r="AD980" s="33"/>
    </row>
    <row r="981" spans="1:30" ht="15.75" customHeight="1">
      <c r="A981" s="151"/>
      <c r="B981" s="31"/>
      <c r="C981" s="31"/>
      <c r="D981" s="31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7"/>
      <c r="X981" s="31"/>
      <c r="Y981" s="478"/>
      <c r="Z981" s="32"/>
      <c r="AA981" s="662"/>
      <c r="AB981" s="36"/>
      <c r="AC981" s="36"/>
      <c r="AD981" s="33"/>
    </row>
    <row r="982" spans="1:30" ht="15.75" customHeight="1">
      <c r="A982" s="151"/>
      <c r="B982" s="31"/>
      <c r="C982" s="31"/>
      <c r="D982" s="31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7"/>
      <c r="X982" s="31"/>
      <c r="Y982" s="478"/>
      <c r="Z982" s="32"/>
      <c r="AA982" s="662"/>
      <c r="AB982" s="36"/>
      <c r="AC982" s="36"/>
      <c r="AD982" s="33"/>
    </row>
    <row r="983" spans="1:30" ht="15.75" customHeight="1">
      <c r="A983" s="151"/>
      <c r="B983" s="31"/>
      <c r="C983" s="31"/>
      <c r="D983" s="31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7"/>
      <c r="X983" s="31"/>
      <c r="Y983" s="478"/>
      <c r="Z983" s="32"/>
      <c r="AA983" s="662"/>
      <c r="AB983" s="36"/>
      <c r="AC983" s="36"/>
      <c r="AD983" s="33"/>
    </row>
    <row r="984" spans="1:30" ht="15.75" customHeight="1">
      <c r="A984" s="151"/>
      <c r="B984" s="31"/>
      <c r="C984" s="31"/>
      <c r="D984" s="31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7"/>
      <c r="X984" s="31"/>
      <c r="Y984" s="478"/>
      <c r="Z984" s="32"/>
      <c r="AA984" s="662"/>
      <c r="AB984" s="36"/>
      <c r="AC984" s="36"/>
      <c r="AD984" s="33"/>
    </row>
    <row r="985" spans="1:30" ht="15.75" customHeight="1">
      <c r="A985" s="151"/>
      <c r="B985" s="31"/>
      <c r="C985" s="31"/>
      <c r="D985" s="31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7"/>
      <c r="X985" s="31"/>
      <c r="Y985" s="478"/>
      <c r="Z985" s="32"/>
      <c r="AA985" s="662"/>
      <c r="AB985" s="36"/>
      <c r="AC985" s="36"/>
      <c r="AD985" s="33"/>
    </row>
    <row r="986" spans="1:30" ht="15.75" customHeight="1">
      <c r="A986" s="151"/>
      <c r="B986" s="31"/>
      <c r="C986" s="31"/>
      <c r="D986" s="31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7"/>
      <c r="X986" s="31"/>
      <c r="Y986" s="478"/>
      <c r="Z986" s="32"/>
      <c r="AA986" s="662"/>
      <c r="AB986" s="36"/>
      <c r="AC986" s="36"/>
      <c r="AD986" s="33"/>
    </row>
    <row r="987" spans="1:30" ht="15.75" customHeight="1">
      <c r="A987" s="151"/>
      <c r="B987" s="31"/>
      <c r="C987" s="31"/>
      <c r="D987" s="31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7"/>
      <c r="X987" s="31"/>
      <c r="Y987" s="478"/>
      <c r="Z987" s="32"/>
      <c r="AA987" s="662"/>
      <c r="AB987" s="36"/>
      <c r="AC987" s="36"/>
      <c r="AD987" s="33"/>
    </row>
    <row r="988" spans="1:30" ht="15.75" customHeight="1">
      <c r="A988" s="151"/>
      <c r="B988" s="31"/>
      <c r="C988" s="31"/>
      <c r="D988" s="31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7"/>
      <c r="X988" s="31"/>
      <c r="Y988" s="478"/>
      <c r="Z988" s="32"/>
      <c r="AA988" s="662"/>
      <c r="AB988" s="36"/>
      <c r="AC988" s="36"/>
      <c r="AD988" s="33"/>
    </row>
    <row r="989" spans="1:30" ht="15.75" customHeight="1">
      <c r="A989" s="151"/>
      <c r="B989" s="31"/>
      <c r="C989" s="31"/>
      <c r="D989" s="31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7"/>
      <c r="X989" s="31"/>
      <c r="Y989" s="478"/>
      <c r="Z989" s="32"/>
      <c r="AA989" s="662"/>
      <c r="AB989" s="36"/>
      <c r="AC989" s="36"/>
      <c r="AD989" s="33"/>
    </row>
    <row r="990" spans="1:30" ht="15.75" customHeight="1">
      <c r="A990" s="151"/>
      <c r="B990" s="31"/>
      <c r="C990" s="31"/>
      <c r="D990" s="31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7"/>
      <c r="X990" s="31"/>
      <c r="Y990" s="478"/>
      <c r="Z990" s="32"/>
      <c r="AA990" s="662"/>
      <c r="AB990" s="36"/>
      <c r="AC990" s="36"/>
      <c r="AD990" s="33"/>
    </row>
    <row r="991" spans="1:30" ht="15.75" customHeight="1">
      <c r="A991" s="151"/>
      <c r="B991" s="31"/>
      <c r="C991" s="31"/>
      <c r="D991" s="31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7"/>
      <c r="X991" s="31"/>
      <c r="Y991" s="478"/>
      <c r="Z991" s="32"/>
      <c r="AA991" s="662"/>
      <c r="AB991" s="36"/>
      <c r="AC991" s="36"/>
      <c r="AD991" s="33"/>
    </row>
    <row r="992" spans="1:30" ht="15.75" customHeight="1">
      <c r="A992" s="151"/>
      <c r="B992" s="31"/>
      <c r="C992" s="31"/>
      <c r="D992" s="31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7"/>
      <c r="X992" s="31"/>
      <c r="Y992" s="478"/>
      <c r="Z992" s="32"/>
      <c r="AA992" s="662"/>
      <c r="AB992" s="36"/>
      <c r="AC992" s="36"/>
      <c r="AD992" s="33"/>
    </row>
    <row r="993" spans="1:30" ht="15.75" customHeight="1">
      <c r="A993" s="151"/>
      <c r="B993" s="31"/>
      <c r="C993" s="31"/>
      <c r="D993" s="31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7"/>
      <c r="X993" s="31"/>
      <c r="Y993" s="478"/>
      <c r="Z993" s="32"/>
      <c r="AA993" s="662"/>
      <c r="AB993" s="36"/>
      <c r="AC993" s="36"/>
      <c r="AD993" s="33"/>
    </row>
    <row r="994" spans="1:30" ht="15.75" customHeight="1">
      <c r="A994" s="151"/>
      <c r="B994" s="31"/>
      <c r="C994" s="31"/>
      <c r="D994" s="31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7"/>
      <c r="X994" s="31"/>
      <c r="Y994" s="478"/>
      <c r="Z994" s="32"/>
      <c r="AA994" s="662"/>
      <c r="AB994" s="36"/>
      <c r="AC994" s="36"/>
      <c r="AD994" s="33"/>
    </row>
    <row r="995" spans="1:30" ht="15.75" customHeight="1">
      <c r="A995" s="151"/>
      <c r="B995" s="31"/>
      <c r="C995" s="31"/>
      <c r="D995" s="31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7"/>
      <c r="X995" s="31"/>
      <c r="Y995" s="478"/>
      <c r="Z995" s="32"/>
      <c r="AA995" s="662"/>
      <c r="AB995" s="36"/>
      <c r="AC995" s="36"/>
      <c r="AD995" s="33"/>
    </row>
    <row r="996" spans="1:30" ht="15.75" customHeight="1">
      <c r="A996" s="151"/>
      <c r="B996" s="31"/>
      <c r="C996" s="31"/>
      <c r="D996" s="31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7"/>
      <c r="X996" s="31"/>
      <c r="Y996" s="478"/>
      <c r="Z996" s="32"/>
      <c r="AA996" s="662"/>
      <c r="AB996" s="36"/>
      <c r="AC996" s="36"/>
      <c r="AD996" s="33"/>
    </row>
    <row r="997" spans="1:30" ht="15.75" customHeight="1">
      <c r="A997" s="151"/>
      <c r="B997" s="31"/>
      <c r="C997" s="31"/>
      <c r="D997" s="31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7"/>
      <c r="X997" s="31"/>
      <c r="Y997" s="478"/>
      <c r="Z997" s="32"/>
      <c r="AA997" s="662"/>
      <c r="AB997" s="36"/>
      <c r="AC997" s="36"/>
      <c r="AD997" s="33"/>
    </row>
    <row r="998" spans="1:30" ht="15.75" customHeight="1">
      <c r="A998" s="151"/>
      <c r="B998" s="31"/>
      <c r="C998" s="31"/>
      <c r="D998" s="31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7"/>
      <c r="X998" s="31"/>
      <c r="Y998" s="478"/>
      <c r="Z998" s="32"/>
      <c r="AA998" s="662"/>
      <c r="AB998" s="36"/>
      <c r="AC998" s="36"/>
      <c r="AD998" s="33"/>
    </row>
    <row r="999" spans="1:30" ht="15.75" customHeight="1">
      <c r="A999" s="151"/>
      <c r="B999" s="31"/>
      <c r="C999" s="31"/>
      <c r="D999" s="31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7"/>
      <c r="X999" s="31"/>
      <c r="Y999" s="478"/>
      <c r="Z999" s="32"/>
      <c r="AA999" s="662"/>
      <c r="AB999" s="36"/>
      <c r="AC999" s="36"/>
      <c r="AD999" s="33"/>
    </row>
    <row r="1000" spans="1:30" ht="15.75" customHeight="1">
      <c r="A1000" s="151"/>
      <c r="B1000" s="31"/>
      <c r="C1000" s="31"/>
      <c r="D1000" s="31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7"/>
      <c r="X1000" s="31"/>
      <c r="Y1000" s="478"/>
      <c r="Z1000" s="32"/>
      <c r="AA1000" s="662"/>
      <c r="AB1000" s="36"/>
      <c r="AC1000" s="36"/>
      <c r="AD1000" s="33"/>
    </row>
    <row r="1001" spans="1:30" ht="15.75" customHeight="1">
      <c r="A1001" s="151"/>
      <c r="B1001" s="31"/>
      <c r="C1001" s="31"/>
      <c r="D1001" s="31"/>
      <c r="E1001" s="34"/>
      <c r="F1001" s="34"/>
      <c r="G1001" s="34"/>
      <c r="H1001" s="34"/>
      <c r="I1001" s="34"/>
      <c r="J1001" s="34"/>
      <c r="K1001" s="34"/>
      <c r="L1001" s="34"/>
      <c r="M1001" s="34"/>
      <c r="N1001" s="34"/>
      <c r="O1001" s="34"/>
      <c r="P1001" s="34"/>
      <c r="Q1001" s="34"/>
      <c r="R1001" s="34"/>
      <c r="S1001" s="34"/>
      <c r="T1001" s="34"/>
      <c r="U1001" s="34"/>
      <c r="V1001" s="34"/>
      <c r="W1001" s="37"/>
      <c r="X1001" s="31"/>
      <c r="Y1001" s="478"/>
      <c r="Z1001" s="32"/>
      <c r="AA1001" s="662"/>
      <c r="AB1001" s="36"/>
      <c r="AC1001" s="36"/>
      <c r="AD1001" s="33"/>
    </row>
    <row r="1002" spans="1:30" ht="15.75" customHeight="1">
      <c r="A1002" s="151"/>
      <c r="B1002" s="31"/>
      <c r="C1002" s="31"/>
      <c r="D1002" s="31"/>
      <c r="E1002" s="34"/>
      <c r="F1002" s="34"/>
      <c r="G1002" s="34"/>
      <c r="H1002" s="34"/>
      <c r="I1002" s="34"/>
      <c r="J1002" s="34"/>
      <c r="K1002" s="34"/>
      <c r="L1002" s="34"/>
      <c r="M1002" s="34"/>
      <c r="N1002" s="34"/>
      <c r="O1002" s="34"/>
      <c r="P1002" s="34"/>
      <c r="Q1002" s="34"/>
      <c r="R1002" s="34"/>
      <c r="S1002" s="34"/>
      <c r="T1002" s="34"/>
      <c r="U1002" s="34"/>
      <c r="V1002" s="34"/>
      <c r="W1002" s="37"/>
      <c r="X1002" s="31"/>
      <c r="Y1002" s="478"/>
      <c r="Z1002" s="32"/>
      <c r="AA1002" s="662"/>
      <c r="AB1002" s="36"/>
      <c r="AC1002" s="36"/>
      <c r="AD1002" s="33"/>
    </row>
    <row r="1003" spans="1:30" ht="15.75" customHeight="1">
      <c r="A1003" s="151"/>
      <c r="B1003" s="31"/>
      <c r="C1003" s="31"/>
      <c r="D1003" s="31"/>
      <c r="E1003" s="34"/>
      <c r="F1003" s="34"/>
      <c r="G1003" s="34"/>
      <c r="H1003" s="34"/>
      <c r="I1003" s="34"/>
      <c r="J1003" s="34"/>
      <c r="K1003" s="34"/>
      <c r="L1003" s="34"/>
      <c r="M1003" s="34"/>
      <c r="N1003" s="34"/>
      <c r="O1003" s="34"/>
      <c r="P1003" s="34"/>
      <c r="Q1003" s="34"/>
      <c r="R1003" s="34"/>
      <c r="S1003" s="34"/>
      <c r="T1003" s="34"/>
      <c r="U1003" s="34"/>
      <c r="V1003" s="34"/>
      <c r="W1003" s="37"/>
      <c r="X1003" s="31"/>
      <c r="Y1003" s="478"/>
      <c r="Z1003" s="32"/>
      <c r="AA1003" s="662"/>
      <c r="AB1003" s="36"/>
      <c r="AC1003" s="36"/>
      <c r="AD1003" s="33"/>
    </row>
    <row r="1004" spans="1:30" ht="15.75" customHeight="1">
      <c r="A1004" s="151"/>
      <c r="B1004" s="31"/>
      <c r="C1004" s="31"/>
      <c r="D1004" s="31"/>
      <c r="E1004" s="34"/>
      <c r="F1004" s="34"/>
      <c r="G1004" s="34"/>
      <c r="H1004" s="34"/>
      <c r="I1004" s="34"/>
      <c r="J1004" s="34"/>
      <c r="K1004" s="34"/>
      <c r="L1004" s="34"/>
      <c r="M1004" s="34"/>
      <c r="N1004" s="34"/>
      <c r="O1004" s="34"/>
      <c r="P1004" s="34"/>
      <c r="Q1004" s="34"/>
      <c r="R1004" s="34"/>
      <c r="S1004" s="34"/>
      <c r="T1004" s="34"/>
      <c r="U1004" s="34"/>
      <c r="V1004" s="34"/>
      <c r="W1004" s="37"/>
      <c r="X1004" s="31"/>
      <c r="Y1004" s="478"/>
      <c r="Z1004" s="32"/>
      <c r="AA1004" s="662"/>
      <c r="AB1004" s="36"/>
      <c r="AC1004" s="36"/>
      <c r="AD1004" s="33"/>
    </row>
    <row r="1005" spans="1:30" ht="15.75" customHeight="1">
      <c r="A1005" s="151"/>
      <c r="B1005" s="31"/>
      <c r="C1005" s="31"/>
      <c r="D1005" s="31"/>
      <c r="E1005" s="34"/>
      <c r="F1005" s="34"/>
      <c r="G1005" s="34"/>
      <c r="H1005" s="34"/>
      <c r="I1005" s="34"/>
      <c r="J1005" s="34"/>
      <c r="K1005" s="34"/>
      <c r="L1005" s="34"/>
      <c r="M1005" s="34"/>
      <c r="N1005" s="34"/>
      <c r="O1005" s="34"/>
      <c r="P1005" s="34"/>
      <c r="Q1005" s="34"/>
      <c r="R1005" s="34"/>
      <c r="S1005" s="34"/>
      <c r="T1005" s="34"/>
      <c r="U1005" s="34"/>
      <c r="V1005" s="34"/>
      <c r="W1005" s="37"/>
      <c r="X1005" s="31"/>
      <c r="Y1005" s="478"/>
      <c r="Z1005" s="32"/>
      <c r="AA1005" s="662"/>
      <c r="AB1005" s="36"/>
      <c r="AC1005" s="36"/>
      <c r="AD1005" s="33"/>
    </row>
    <row r="1006" spans="1:30" ht="15.75" customHeight="1">
      <c r="A1006" s="151"/>
      <c r="B1006" s="31"/>
      <c r="C1006" s="31"/>
      <c r="D1006" s="31"/>
      <c r="E1006" s="34"/>
      <c r="F1006" s="34"/>
      <c r="G1006" s="34"/>
      <c r="H1006" s="34"/>
      <c r="I1006" s="34"/>
      <c r="J1006" s="34"/>
      <c r="K1006" s="34"/>
      <c r="L1006" s="34"/>
      <c r="M1006" s="34"/>
      <c r="N1006" s="34"/>
      <c r="O1006" s="34"/>
      <c r="P1006" s="34"/>
      <c r="Q1006" s="34"/>
      <c r="R1006" s="34"/>
      <c r="S1006" s="34"/>
      <c r="T1006" s="34"/>
      <c r="U1006" s="34"/>
      <c r="V1006" s="34"/>
      <c r="W1006" s="37"/>
      <c r="X1006" s="31"/>
      <c r="Y1006" s="478"/>
      <c r="Z1006" s="32"/>
      <c r="AA1006" s="662"/>
      <c r="AB1006" s="36"/>
      <c r="AC1006" s="36"/>
      <c r="AD1006" s="33"/>
    </row>
    <row r="1007" spans="1:30" ht="15.75" customHeight="1">
      <c r="A1007" s="151"/>
      <c r="B1007" s="31"/>
      <c r="C1007" s="31"/>
      <c r="D1007" s="31"/>
      <c r="E1007" s="34"/>
      <c r="F1007" s="34"/>
      <c r="G1007" s="34"/>
      <c r="H1007" s="34"/>
      <c r="I1007" s="34"/>
      <c r="J1007" s="34"/>
      <c r="K1007" s="34"/>
      <c r="L1007" s="34"/>
      <c r="M1007" s="34"/>
      <c r="N1007" s="34"/>
      <c r="O1007" s="34"/>
      <c r="P1007" s="34"/>
      <c r="Q1007" s="34"/>
      <c r="R1007" s="34"/>
      <c r="S1007" s="34"/>
      <c r="T1007" s="34"/>
      <c r="U1007" s="34"/>
      <c r="V1007" s="34"/>
      <c r="W1007" s="37"/>
      <c r="X1007" s="31"/>
      <c r="Y1007" s="478"/>
      <c r="Z1007" s="32"/>
      <c r="AA1007" s="662"/>
      <c r="AB1007" s="36"/>
      <c r="AC1007" s="36"/>
      <c r="AD1007" s="33"/>
    </row>
    <row r="1008" spans="1:30" ht="15.75" customHeight="1">
      <c r="A1008" s="151"/>
      <c r="B1008" s="31"/>
      <c r="C1008" s="31"/>
      <c r="D1008" s="31"/>
      <c r="E1008" s="34"/>
      <c r="F1008" s="34"/>
      <c r="G1008" s="34"/>
      <c r="H1008" s="34"/>
      <c r="I1008" s="34"/>
      <c r="J1008" s="34"/>
      <c r="K1008" s="34"/>
      <c r="L1008" s="34"/>
      <c r="M1008" s="34"/>
      <c r="N1008" s="34"/>
      <c r="O1008" s="34"/>
      <c r="P1008" s="34"/>
      <c r="Q1008" s="34"/>
      <c r="R1008" s="34"/>
      <c r="S1008" s="34"/>
      <c r="T1008" s="34"/>
      <c r="U1008" s="34"/>
      <c r="V1008" s="34"/>
      <c r="W1008" s="37"/>
      <c r="X1008" s="31"/>
      <c r="Y1008" s="478"/>
      <c r="Z1008" s="32"/>
      <c r="AA1008" s="662"/>
      <c r="AB1008" s="36"/>
      <c r="AC1008" s="36"/>
      <c r="AD1008" s="33"/>
    </row>
    <row r="1009" spans="1:30" ht="15.75" customHeight="1">
      <c r="A1009" s="151"/>
      <c r="B1009" s="31"/>
      <c r="C1009" s="31"/>
      <c r="D1009" s="31"/>
      <c r="E1009" s="34"/>
      <c r="F1009" s="34"/>
      <c r="G1009" s="34"/>
      <c r="H1009" s="34"/>
      <c r="I1009" s="34"/>
      <c r="J1009" s="34"/>
      <c r="K1009" s="34"/>
      <c r="L1009" s="34"/>
      <c r="M1009" s="34"/>
      <c r="N1009" s="34"/>
      <c r="O1009" s="34"/>
      <c r="P1009" s="34"/>
      <c r="Q1009" s="34"/>
      <c r="R1009" s="34"/>
      <c r="S1009" s="34"/>
      <c r="T1009" s="34"/>
      <c r="U1009" s="34"/>
      <c r="V1009" s="34"/>
      <c r="W1009" s="37"/>
      <c r="X1009" s="31"/>
      <c r="Y1009" s="478"/>
      <c r="Z1009" s="32"/>
      <c r="AA1009" s="662"/>
      <c r="AB1009" s="36"/>
      <c r="AC1009" s="36"/>
      <c r="AD1009" s="33"/>
    </row>
    <row r="1010" spans="1:30" ht="15.75" customHeight="1">
      <c r="A1010" s="151"/>
      <c r="B1010" s="31"/>
      <c r="C1010" s="31"/>
      <c r="D1010" s="31"/>
      <c r="E1010" s="34"/>
      <c r="F1010" s="34"/>
      <c r="G1010" s="34"/>
      <c r="H1010" s="34"/>
      <c r="I1010" s="34"/>
      <c r="J1010" s="34"/>
      <c r="K1010" s="34"/>
      <c r="L1010" s="34"/>
      <c r="M1010" s="34"/>
      <c r="N1010" s="34"/>
      <c r="O1010" s="34"/>
      <c r="P1010" s="34"/>
      <c r="Q1010" s="34"/>
      <c r="R1010" s="34"/>
      <c r="S1010" s="34"/>
      <c r="T1010" s="34"/>
      <c r="U1010" s="34"/>
      <c r="V1010" s="34"/>
      <c r="W1010" s="37"/>
      <c r="X1010" s="31"/>
      <c r="Y1010" s="478"/>
      <c r="Z1010" s="32"/>
      <c r="AA1010" s="662"/>
      <c r="AB1010" s="36"/>
      <c r="AC1010" s="36"/>
      <c r="AD1010" s="33"/>
    </row>
    <row r="1011" spans="1:30" ht="15.75" customHeight="1">
      <c r="A1011" s="151"/>
      <c r="B1011" s="31"/>
      <c r="C1011" s="31"/>
      <c r="D1011" s="31"/>
      <c r="E1011" s="34"/>
      <c r="F1011" s="34"/>
      <c r="G1011" s="34"/>
      <c r="H1011" s="34"/>
      <c r="I1011" s="34"/>
      <c r="J1011" s="34"/>
      <c r="K1011" s="34"/>
      <c r="L1011" s="34"/>
      <c r="M1011" s="34"/>
      <c r="N1011" s="34"/>
      <c r="O1011" s="34"/>
      <c r="P1011" s="34"/>
      <c r="Q1011" s="34"/>
      <c r="R1011" s="34"/>
      <c r="S1011" s="34"/>
      <c r="T1011" s="34"/>
      <c r="U1011" s="34"/>
      <c r="V1011" s="34"/>
      <c r="W1011" s="37"/>
      <c r="X1011" s="31"/>
      <c r="Y1011" s="478"/>
      <c r="Z1011" s="32"/>
      <c r="AA1011" s="662"/>
      <c r="AB1011" s="36"/>
      <c r="AC1011" s="36"/>
      <c r="AD1011" s="33"/>
    </row>
    <row r="1012" spans="1:30" ht="15.75" customHeight="1">
      <c r="A1012" s="151"/>
      <c r="B1012" s="31"/>
      <c r="C1012" s="31"/>
      <c r="D1012" s="31"/>
      <c r="E1012" s="34"/>
      <c r="F1012" s="34"/>
      <c r="G1012" s="34"/>
      <c r="H1012" s="34"/>
      <c r="I1012" s="34"/>
      <c r="J1012" s="34"/>
      <c r="K1012" s="34"/>
      <c r="L1012" s="34"/>
      <c r="M1012" s="34"/>
      <c r="N1012" s="34"/>
      <c r="O1012" s="34"/>
      <c r="P1012" s="34"/>
      <c r="Q1012" s="34"/>
      <c r="R1012" s="34"/>
      <c r="S1012" s="34"/>
      <c r="T1012" s="34"/>
      <c r="U1012" s="34"/>
      <c r="V1012" s="34"/>
      <c r="W1012" s="37"/>
      <c r="X1012" s="31"/>
      <c r="Y1012" s="478"/>
      <c r="Z1012" s="32"/>
      <c r="AA1012" s="662"/>
      <c r="AB1012" s="36"/>
      <c r="AC1012" s="36"/>
      <c r="AD1012" s="33"/>
    </row>
    <row r="1013" spans="1:30" ht="15.75" customHeight="1">
      <c r="A1013" s="151"/>
      <c r="B1013" s="31"/>
      <c r="C1013" s="31"/>
      <c r="D1013" s="31"/>
      <c r="E1013" s="34"/>
      <c r="F1013" s="34"/>
      <c r="G1013" s="34"/>
      <c r="H1013" s="34"/>
      <c r="I1013" s="34"/>
      <c r="J1013" s="34"/>
      <c r="K1013" s="34"/>
      <c r="L1013" s="34"/>
      <c r="M1013" s="34"/>
      <c r="N1013" s="34"/>
      <c r="O1013" s="34"/>
      <c r="P1013" s="34"/>
      <c r="Q1013" s="34"/>
      <c r="R1013" s="34"/>
      <c r="S1013" s="34"/>
      <c r="T1013" s="34"/>
      <c r="U1013" s="34"/>
      <c r="V1013" s="34"/>
      <c r="W1013" s="37"/>
      <c r="X1013" s="31"/>
      <c r="Y1013" s="478"/>
      <c r="Z1013" s="32"/>
      <c r="AA1013" s="662"/>
      <c r="AB1013" s="36"/>
      <c r="AC1013" s="36"/>
      <c r="AD1013" s="33"/>
    </row>
    <row r="1014" spans="1:30" ht="15.75" customHeight="1">
      <c r="A1014" s="151"/>
      <c r="B1014" s="31"/>
      <c r="C1014" s="31"/>
      <c r="D1014" s="31"/>
      <c r="E1014" s="34"/>
      <c r="F1014" s="34"/>
      <c r="G1014" s="34"/>
      <c r="H1014" s="34"/>
      <c r="I1014" s="34"/>
      <c r="J1014" s="34"/>
      <c r="K1014" s="34"/>
      <c r="L1014" s="34"/>
      <c r="M1014" s="34"/>
      <c r="N1014" s="34"/>
      <c r="O1014" s="34"/>
      <c r="P1014" s="34"/>
      <c r="Q1014" s="34"/>
      <c r="R1014" s="34"/>
      <c r="S1014" s="34"/>
      <c r="T1014" s="34"/>
      <c r="U1014" s="34"/>
      <c r="V1014" s="34"/>
      <c r="W1014" s="37"/>
      <c r="X1014" s="31"/>
      <c r="Y1014" s="478"/>
      <c r="Z1014" s="32"/>
      <c r="AA1014" s="662"/>
      <c r="AB1014" s="36"/>
      <c r="AC1014" s="36"/>
      <c r="AD1014" s="33"/>
    </row>
    <row r="1015" spans="1:30" ht="15.75" customHeight="1">
      <c r="A1015" s="151"/>
      <c r="B1015" s="31"/>
      <c r="C1015" s="31"/>
      <c r="D1015" s="31"/>
      <c r="E1015" s="34"/>
      <c r="F1015" s="34"/>
      <c r="G1015" s="34"/>
      <c r="H1015" s="34"/>
      <c r="I1015" s="34"/>
      <c r="J1015" s="34"/>
      <c r="K1015" s="34"/>
      <c r="L1015" s="34"/>
      <c r="M1015" s="34"/>
      <c r="N1015" s="34"/>
      <c r="O1015" s="34"/>
      <c r="P1015" s="34"/>
      <c r="Q1015" s="34"/>
      <c r="R1015" s="34"/>
      <c r="S1015" s="34"/>
      <c r="T1015" s="34"/>
      <c r="U1015" s="34"/>
      <c r="V1015" s="34"/>
      <c r="W1015" s="37"/>
      <c r="X1015" s="31"/>
      <c r="Y1015" s="478"/>
      <c r="Z1015" s="32"/>
      <c r="AA1015" s="662"/>
      <c r="AB1015" s="36"/>
      <c r="AC1015" s="36"/>
      <c r="AD1015" s="33"/>
    </row>
    <row r="1016" spans="1:30" ht="15.75" customHeight="1">
      <c r="A1016" s="151"/>
      <c r="B1016" s="31"/>
      <c r="C1016" s="31"/>
      <c r="D1016" s="31"/>
      <c r="E1016" s="34"/>
      <c r="F1016" s="34"/>
      <c r="G1016" s="34"/>
      <c r="H1016" s="34"/>
      <c r="I1016" s="34"/>
      <c r="J1016" s="34"/>
      <c r="K1016" s="34"/>
      <c r="L1016" s="34"/>
      <c r="M1016" s="34"/>
      <c r="N1016" s="34"/>
      <c r="O1016" s="34"/>
      <c r="P1016" s="34"/>
      <c r="Q1016" s="34"/>
      <c r="R1016" s="34"/>
      <c r="S1016" s="34"/>
      <c r="T1016" s="34"/>
      <c r="U1016" s="34"/>
      <c r="V1016" s="34"/>
      <c r="W1016" s="37"/>
      <c r="X1016" s="31"/>
      <c r="Y1016" s="478"/>
      <c r="Z1016" s="32"/>
      <c r="AA1016" s="662"/>
      <c r="AB1016" s="36"/>
      <c r="AC1016" s="36"/>
      <c r="AD1016" s="33"/>
    </row>
    <row r="1017" spans="1:30" ht="15.75" customHeight="1">
      <c r="A1017" s="151"/>
      <c r="B1017" s="31"/>
      <c r="C1017" s="31"/>
      <c r="D1017" s="31"/>
      <c r="E1017" s="34"/>
      <c r="F1017" s="34"/>
      <c r="G1017" s="34"/>
      <c r="H1017" s="34"/>
      <c r="I1017" s="34"/>
      <c r="J1017" s="34"/>
      <c r="K1017" s="34"/>
      <c r="L1017" s="34"/>
      <c r="M1017" s="34"/>
      <c r="N1017" s="34"/>
      <c r="O1017" s="34"/>
      <c r="P1017" s="34"/>
      <c r="Q1017" s="34"/>
      <c r="R1017" s="34"/>
      <c r="S1017" s="34"/>
      <c r="T1017" s="34"/>
      <c r="U1017" s="34"/>
      <c r="V1017" s="34"/>
      <c r="W1017" s="37"/>
      <c r="X1017" s="31"/>
      <c r="Y1017" s="478"/>
      <c r="Z1017" s="32"/>
      <c r="AA1017" s="662"/>
      <c r="AB1017" s="36"/>
      <c r="AC1017" s="36"/>
      <c r="AD1017" s="33"/>
    </row>
    <row r="1018" spans="1:30" ht="15.75" customHeight="1">
      <c r="A1018" s="151"/>
      <c r="B1018" s="31"/>
      <c r="C1018" s="31"/>
      <c r="D1018" s="31"/>
      <c r="E1018" s="34"/>
      <c r="F1018" s="34"/>
      <c r="G1018" s="34"/>
      <c r="H1018" s="34"/>
      <c r="I1018" s="34"/>
      <c r="J1018" s="34"/>
      <c r="K1018" s="34"/>
      <c r="L1018" s="34"/>
      <c r="M1018" s="34"/>
      <c r="N1018" s="34"/>
      <c r="O1018" s="34"/>
      <c r="P1018" s="34"/>
      <c r="Q1018" s="34"/>
      <c r="R1018" s="34"/>
      <c r="S1018" s="34"/>
      <c r="T1018" s="34"/>
      <c r="U1018" s="34"/>
      <c r="V1018" s="34"/>
      <c r="W1018" s="37"/>
      <c r="X1018" s="31"/>
      <c r="Y1018" s="478"/>
      <c r="Z1018" s="32"/>
      <c r="AA1018" s="662"/>
      <c r="AB1018" s="36"/>
      <c r="AC1018" s="36"/>
      <c r="AD1018" s="33"/>
    </row>
    <row r="1019" spans="1:30" ht="15.75" customHeight="1">
      <c r="A1019" s="151"/>
      <c r="B1019" s="31"/>
      <c r="C1019" s="31"/>
      <c r="D1019" s="31"/>
      <c r="E1019" s="34"/>
      <c r="F1019" s="34"/>
      <c r="G1019" s="34"/>
      <c r="H1019" s="34"/>
      <c r="I1019" s="34"/>
      <c r="J1019" s="34"/>
      <c r="K1019" s="34"/>
      <c r="L1019" s="34"/>
      <c r="M1019" s="34"/>
      <c r="N1019" s="34"/>
      <c r="O1019" s="34"/>
      <c r="P1019" s="34"/>
      <c r="Q1019" s="34"/>
      <c r="R1019" s="34"/>
      <c r="S1019" s="34"/>
      <c r="T1019" s="34"/>
      <c r="U1019" s="34"/>
      <c r="V1019" s="34"/>
      <c r="W1019" s="37"/>
      <c r="X1019" s="31"/>
      <c r="Y1019" s="478"/>
      <c r="Z1019" s="32"/>
      <c r="AA1019" s="662"/>
      <c r="AB1019" s="36"/>
      <c r="AC1019" s="36"/>
      <c r="AD1019" s="33"/>
    </row>
    <row r="1020" spans="1:30" ht="15.75" customHeight="1">
      <c r="A1020" s="151"/>
      <c r="B1020" s="31"/>
      <c r="C1020" s="31"/>
      <c r="D1020" s="31"/>
      <c r="E1020" s="34"/>
      <c r="F1020" s="34"/>
      <c r="G1020" s="34"/>
      <c r="H1020" s="34"/>
      <c r="I1020" s="34"/>
      <c r="J1020" s="34"/>
      <c r="K1020" s="34"/>
      <c r="L1020" s="34"/>
      <c r="M1020" s="34"/>
      <c r="N1020" s="34"/>
      <c r="O1020" s="34"/>
      <c r="P1020" s="34"/>
      <c r="Q1020" s="34"/>
      <c r="R1020" s="34"/>
      <c r="S1020" s="34"/>
      <c r="T1020" s="34"/>
      <c r="U1020" s="34"/>
      <c r="V1020" s="34"/>
      <c r="W1020" s="37"/>
      <c r="X1020" s="31"/>
      <c r="Y1020" s="478"/>
      <c r="Z1020" s="32"/>
      <c r="AA1020" s="662"/>
      <c r="AB1020" s="36"/>
      <c r="AC1020" s="36"/>
      <c r="AD1020" s="33"/>
    </row>
    <row r="1021" spans="1:30" ht="15.75" customHeight="1">
      <c r="A1021" s="151"/>
      <c r="B1021" s="31"/>
      <c r="C1021" s="31"/>
      <c r="D1021" s="31"/>
      <c r="E1021" s="34"/>
      <c r="F1021" s="34"/>
      <c r="G1021" s="34"/>
      <c r="H1021" s="34"/>
      <c r="I1021" s="34"/>
      <c r="J1021" s="34"/>
      <c r="K1021" s="34"/>
      <c r="L1021" s="34"/>
      <c r="M1021" s="34"/>
      <c r="N1021" s="34"/>
      <c r="O1021" s="34"/>
      <c r="P1021" s="34"/>
      <c r="Q1021" s="34"/>
      <c r="R1021" s="34"/>
      <c r="S1021" s="34"/>
      <c r="T1021" s="34"/>
      <c r="U1021" s="34"/>
      <c r="V1021" s="34"/>
      <c r="W1021" s="37"/>
      <c r="X1021" s="31"/>
      <c r="Y1021" s="478"/>
      <c r="Z1021" s="32"/>
      <c r="AA1021" s="662"/>
      <c r="AB1021" s="36"/>
      <c r="AC1021" s="36"/>
      <c r="AD1021" s="33"/>
    </row>
    <row r="1022" spans="1:30" ht="15.75" customHeight="1">
      <c r="A1022" s="151"/>
      <c r="B1022" s="31"/>
      <c r="C1022" s="31"/>
      <c r="D1022" s="31"/>
      <c r="E1022" s="34"/>
      <c r="F1022" s="34"/>
      <c r="G1022" s="34"/>
      <c r="H1022" s="34"/>
      <c r="I1022" s="34"/>
      <c r="J1022" s="34"/>
      <c r="K1022" s="34"/>
      <c r="L1022" s="34"/>
      <c r="M1022" s="34"/>
      <c r="N1022" s="34"/>
      <c r="O1022" s="34"/>
      <c r="P1022" s="34"/>
      <c r="Q1022" s="34"/>
      <c r="R1022" s="34"/>
      <c r="S1022" s="34"/>
      <c r="T1022" s="34"/>
      <c r="U1022" s="34"/>
      <c r="V1022" s="34"/>
      <c r="W1022" s="37"/>
      <c r="X1022" s="31"/>
      <c r="Y1022" s="478"/>
      <c r="Z1022" s="32"/>
      <c r="AA1022" s="662"/>
      <c r="AB1022" s="36"/>
      <c r="AC1022" s="36"/>
      <c r="AD1022" s="33"/>
    </row>
    <row r="1023" spans="1:30" ht="15.75" customHeight="1">
      <c r="A1023" s="151"/>
      <c r="B1023" s="31"/>
      <c r="C1023" s="31"/>
      <c r="D1023" s="31"/>
      <c r="E1023" s="34"/>
      <c r="F1023" s="34"/>
      <c r="G1023" s="34"/>
      <c r="H1023" s="34"/>
      <c r="I1023" s="34"/>
      <c r="J1023" s="34"/>
      <c r="K1023" s="34"/>
      <c r="L1023" s="34"/>
      <c r="M1023" s="34"/>
      <c r="N1023" s="34"/>
      <c r="O1023" s="34"/>
      <c r="P1023" s="34"/>
      <c r="Q1023" s="34"/>
      <c r="R1023" s="34"/>
      <c r="S1023" s="34"/>
      <c r="T1023" s="34"/>
      <c r="U1023" s="34"/>
      <c r="V1023" s="34"/>
      <c r="W1023" s="37"/>
      <c r="X1023" s="31"/>
      <c r="Y1023" s="478"/>
      <c r="Z1023" s="32"/>
      <c r="AA1023" s="662"/>
      <c r="AB1023" s="36"/>
      <c r="AC1023" s="36"/>
      <c r="AD1023" s="33"/>
    </row>
    <row r="1024" spans="1:30" ht="15.75" customHeight="1">
      <c r="A1024" s="151"/>
      <c r="B1024" s="31"/>
      <c r="C1024" s="31"/>
      <c r="D1024" s="31"/>
      <c r="E1024" s="34"/>
      <c r="F1024" s="34"/>
      <c r="G1024" s="34"/>
      <c r="H1024" s="34"/>
      <c r="I1024" s="34"/>
      <c r="J1024" s="34"/>
      <c r="K1024" s="34"/>
      <c r="L1024" s="34"/>
      <c r="M1024" s="34"/>
      <c r="N1024" s="34"/>
      <c r="O1024" s="34"/>
      <c r="P1024" s="34"/>
      <c r="Q1024" s="34"/>
      <c r="R1024" s="34"/>
      <c r="S1024" s="34"/>
      <c r="T1024" s="34"/>
      <c r="U1024" s="34"/>
      <c r="V1024" s="34"/>
      <c r="W1024" s="37"/>
      <c r="X1024" s="31"/>
      <c r="Y1024" s="478"/>
      <c r="Z1024" s="32"/>
      <c r="AA1024" s="662"/>
      <c r="AB1024" s="36"/>
      <c r="AC1024" s="36"/>
      <c r="AD1024" s="33"/>
    </row>
    <row r="1025" spans="1:30" ht="15.75" customHeight="1">
      <c r="A1025" s="151"/>
      <c r="B1025" s="31"/>
      <c r="C1025" s="31"/>
      <c r="D1025" s="31"/>
      <c r="E1025" s="34"/>
      <c r="F1025" s="34"/>
      <c r="G1025" s="34"/>
      <c r="H1025" s="34"/>
      <c r="I1025" s="34"/>
      <c r="J1025" s="34"/>
      <c r="K1025" s="34"/>
      <c r="L1025" s="34"/>
      <c r="M1025" s="34"/>
      <c r="N1025" s="34"/>
      <c r="O1025" s="34"/>
      <c r="P1025" s="34"/>
      <c r="Q1025" s="34"/>
      <c r="R1025" s="34"/>
      <c r="S1025" s="34"/>
      <c r="T1025" s="34"/>
      <c r="U1025" s="34"/>
      <c r="V1025" s="34"/>
      <c r="W1025" s="37"/>
      <c r="X1025" s="31"/>
      <c r="Y1025" s="478"/>
      <c r="Z1025" s="32"/>
      <c r="AA1025" s="662"/>
      <c r="AB1025" s="36"/>
      <c r="AC1025" s="36"/>
      <c r="AD1025" s="33"/>
    </row>
    <row r="1026" spans="1:30" ht="15.75" customHeight="1">
      <c r="A1026" s="151"/>
      <c r="B1026" s="31"/>
      <c r="C1026" s="31"/>
      <c r="D1026" s="31"/>
      <c r="E1026" s="34"/>
      <c r="F1026" s="34"/>
      <c r="G1026" s="34"/>
      <c r="H1026" s="34"/>
      <c r="I1026" s="34"/>
      <c r="J1026" s="34"/>
      <c r="K1026" s="34"/>
      <c r="L1026" s="34"/>
      <c r="M1026" s="34"/>
      <c r="N1026" s="34"/>
      <c r="O1026" s="34"/>
      <c r="P1026" s="34"/>
      <c r="Q1026" s="34"/>
      <c r="R1026" s="34"/>
      <c r="S1026" s="34"/>
      <c r="T1026" s="34"/>
      <c r="U1026" s="34"/>
      <c r="V1026" s="34"/>
      <c r="W1026" s="37"/>
      <c r="X1026" s="31"/>
      <c r="Y1026" s="478"/>
      <c r="Z1026" s="32"/>
      <c r="AA1026" s="662"/>
      <c r="AB1026" s="36"/>
      <c r="AC1026" s="36"/>
      <c r="AD1026" s="33"/>
    </row>
    <row r="1027" spans="1:30" ht="15.75" customHeight="1">
      <c r="A1027" s="151"/>
      <c r="B1027" s="31"/>
      <c r="C1027" s="31"/>
      <c r="D1027" s="31"/>
      <c r="E1027" s="34"/>
      <c r="F1027" s="34"/>
      <c r="G1027" s="34"/>
      <c r="H1027" s="34"/>
      <c r="I1027" s="34"/>
      <c r="J1027" s="34"/>
      <c r="K1027" s="34"/>
      <c r="L1027" s="34"/>
      <c r="M1027" s="34"/>
      <c r="N1027" s="34"/>
      <c r="O1027" s="34"/>
      <c r="P1027" s="34"/>
      <c r="Q1027" s="34"/>
      <c r="R1027" s="34"/>
      <c r="S1027" s="34"/>
      <c r="T1027" s="34"/>
      <c r="U1027" s="34"/>
      <c r="V1027" s="34"/>
      <c r="W1027" s="37"/>
      <c r="X1027" s="31"/>
      <c r="Y1027" s="478"/>
      <c r="Z1027" s="32"/>
      <c r="AA1027" s="662"/>
      <c r="AB1027" s="36"/>
      <c r="AC1027" s="36"/>
      <c r="AD1027" s="33"/>
    </row>
    <row r="1028" spans="1:30" ht="15.75" customHeight="1">
      <c r="A1028" s="151"/>
      <c r="B1028" s="31"/>
      <c r="C1028" s="31"/>
      <c r="D1028" s="31"/>
      <c r="E1028" s="34"/>
      <c r="F1028" s="34"/>
      <c r="G1028" s="34"/>
      <c r="H1028" s="34"/>
      <c r="I1028" s="34"/>
      <c r="J1028" s="34"/>
      <c r="K1028" s="34"/>
      <c r="L1028" s="34"/>
      <c r="M1028" s="34"/>
      <c r="N1028" s="34"/>
      <c r="O1028" s="34"/>
      <c r="P1028" s="34"/>
      <c r="Q1028" s="34"/>
      <c r="R1028" s="34"/>
      <c r="S1028" s="34"/>
      <c r="T1028" s="34"/>
      <c r="U1028" s="34"/>
      <c r="V1028" s="34"/>
      <c r="W1028" s="37"/>
      <c r="X1028" s="31"/>
      <c r="Y1028" s="478"/>
      <c r="Z1028" s="32"/>
      <c r="AA1028" s="662"/>
      <c r="AB1028" s="36"/>
      <c r="AC1028" s="36"/>
      <c r="AD1028" s="33"/>
    </row>
    <row r="1029" spans="1:30" ht="15.75" customHeight="1">
      <c r="A1029" s="151"/>
      <c r="B1029" s="31"/>
      <c r="C1029" s="31"/>
      <c r="D1029" s="31"/>
      <c r="E1029" s="34"/>
      <c r="F1029" s="34"/>
      <c r="G1029" s="34"/>
      <c r="H1029" s="34"/>
      <c r="I1029" s="34"/>
      <c r="J1029" s="34"/>
      <c r="K1029" s="34"/>
      <c r="L1029" s="34"/>
      <c r="M1029" s="34"/>
      <c r="N1029" s="34"/>
      <c r="O1029" s="34"/>
      <c r="P1029" s="34"/>
      <c r="Q1029" s="34"/>
      <c r="R1029" s="34"/>
      <c r="S1029" s="34"/>
      <c r="T1029" s="34"/>
      <c r="U1029" s="34"/>
      <c r="V1029" s="34"/>
      <c r="W1029" s="37"/>
      <c r="X1029" s="31"/>
      <c r="Y1029" s="478"/>
      <c r="Z1029" s="32"/>
      <c r="AA1029" s="662"/>
      <c r="AB1029" s="36"/>
      <c r="AC1029" s="36"/>
      <c r="AD1029" s="33"/>
    </row>
    <row r="1030" spans="1:30" ht="15.75" customHeight="1">
      <c r="A1030" s="151"/>
      <c r="B1030" s="31"/>
      <c r="C1030" s="31"/>
      <c r="D1030" s="31"/>
      <c r="E1030" s="34"/>
      <c r="F1030" s="34"/>
      <c r="G1030" s="34"/>
      <c r="H1030" s="34"/>
      <c r="I1030" s="34"/>
      <c r="J1030" s="34"/>
      <c r="K1030" s="34"/>
      <c r="L1030" s="34"/>
      <c r="M1030" s="34"/>
      <c r="N1030" s="34"/>
      <c r="O1030" s="34"/>
      <c r="P1030" s="34"/>
      <c r="Q1030" s="34"/>
      <c r="R1030" s="34"/>
      <c r="S1030" s="34"/>
      <c r="T1030" s="34"/>
      <c r="U1030" s="34"/>
      <c r="V1030" s="34"/>
      <c r="W1030" s="37"/>
      <c r="X1030" s="31"/>
      <c r="Y1030" s="478"/>
      <c r="Z1030" s="32"/>
      <c r="AA1030" s="662"/>
      <c r="AB1030" s="36"/>
      <c r="AC1030" s="36"/>
      <c r="AD1030" s="33"/>
    </row>
    <row r="1031" spans="1:30" ht="15.75" customHeight="1">
      <c r="A1031" s="151"/>
      <c r="B1031" s="31"/>
      <c r="C1031" s="31"/>
      <c r="D1031" s="31"/>
      <c r="E1031" s="34"/>
      <c r="F1031" s="34"/>
      <c r="G1031" s="34"/>
      <c r="H1031" s="34"/>
      <c r="I1031" s="34"/>
      <c r="J1031" s="34"/>
      <c r="K1031" s="34"/>
      <c r="L1031" s="34"/>
      <c r="M1031" s="34"/>
      <c r="N1031" s="34"/>
      <c r="O1031" s="34"/>
      <c r="P1031" s="34"/>
      <c r="Q1031" s="34"/>
      <c r="R1031" s="34"/>
      <c r="S1031" s="34"/>
      <c r="T1031" s="34"/>
      <c r="U1031" s="34"/>
      <c r="V1031" s="34"/>
      <c r="W1031" s="37"/>
      <c r="X1031" s="31"/>
      <c r="Y1031" s="478"/>
      <c r="Z1031" s="32"/>
      <c r="AA1031" s="662"/>
      <c r="AB1031" s="36"/>
      <c r="AC1031" s="36"/>
      <c r="AD1031" s="33"/>
    </row>
    <row r="1032" spans="1:30" ht="15.75" customHeight="1">
      <c r="A1032" s="151"/>
      <c r="B1032" s="31"/>
      <c r="C1032" s="31"/>
      <c r="D1032" s="31"/>
      <c r="E1032" s="34"/>
      <c r="F1032" s="34"/>
      <c r="G1032" s="34"/>
      <c r="H1032" s="34"/>
      <c r="I1032" s="34"/>
      <c r="J1032" s="34"/>
      <c r="K1032" s="34"/>
      <c r="L1032" s="34"/>
      <c r="M1032" s="34"/>
      <c r="N1032" s="34"/>
      <c r="O1032" s="34"/>
      <c r="P1032" s="34"/>
      <c r="Q1032" s="34"/>
      <c r="R1032" s="34"/>
      <c r="S1032" s="34"/>
      <c r="T1032" s="34"/>
      <c r="U1032" s="34"/>
      <c r="V1032" s="34"/>
      <c r="W1032" s="37"/>
      <c r="X1032" s="31"/>
      <c r="Y1032" s="478"/>
      <c r="Z1032" s="32"/>
      <c r="AA1032" s="662"/>
      <c r="AB1032" s="36"/>
      <c r="AC1032" s="36"/>
      <c r="AD1032" s="33"/>
    </row>
    <row r="1033" spans="1:30" ht="15.75" customHeight="1">
      <c r="A1033" s="151"/>
      <c r="B1033" s="31"/>
      <c r="C1033" s="31"/>
      <c r="D1033" s="31"/>
      <c r="E1033" s="34"/>
      <c r="F1033" s="34"/>
      <c r="G1033" s="34"/>
      <c r="H1033" s="34"/>
      <c r="I1033" s="34"/>
      <c r="J1033" s="34"/>
      <c r="K1033" s="34"/>
      <c r="L1033" s="34"/>
      <c r="M1033" s="34"/>
      <c r="N1033" s="34"/>
      <c r="O1033" s="34"/>
      <c r="P1033" s="34"/>
      <c r="Q1033" s="34"/>
      <c r="R1033" s="34"/>
      <c r="S1033" s="34"/>
      <c r="T1033" s="34"/>
      <c r="U1033" s="34"/>
      <c r="V1033" s="34"/>
      <c r="W1033" s="37"/>
      <c r="X1033" s="31"/>
      <c r="Y1033" s="478"/>
      <c r="Z1033" s="32"/>
      <c r="AA1033" s="662"/>
      <c r="AB1033" s="36"/>
      <c r="AC1033" s="36"/>
      <c r="AD1033" s="33"/>
    </row>
    <row r="1034" spans="1:30" ht="15.75" customHeight="1">
      <c r="A1034" s="151"/>
      <c r="B1034" s="31"/>
      <c r="C1034" s="31"/>
      <c r="D1034" s="31"/>
      <c r="E1034" s="34"/>
      <c r="F1034" s="34"/>
      <c r="G1034" s="34"/>
      <c r="H1034" s="34"/>
      <c r="I1034" s="34"/>
      <c r="J1034" s="34"/>
      <c r="K1034" s="34"/>
      <c r="L1034" s="34"/>
      <c r="M1034" s="34"/>
      <c r="N1034" s="34"/>
      <c r="O1034" s="34"/>
      <c r="P1034" s="34"/>
      <c r="Q1034" s="34"/>
      <c r="R1034" s="34"/>
      <c r="S1034" s="34"/>
      <c r="T1034" s="34"/>
      <c r="U1034" s="34"/>
      <c r="V1034" s="34"/>
      <c r="W1034" s="37"/>
      <c r="X1034" s="31"/>
      <c r="Y1034" s="478"/>
      <c r="Z1034" s="32"/>
      <c r="AA1034" s="662"/>
      <c r="AB1034" s="36"/>
      <c r="AC1034" s="36"/>
      <c r="AD1034" s="33"/>
    </row>
    <row r="1035" spans="1:30" ht="15.75" customHeight="1">
      <c r="A1035" s="151"/>
      <c r="B1035" s="31"/>
      <c r="C1035" s="31"/>
      <c r="D1035" s="31"/>
      <c r="E1035" s="34"/>
      <c r="F1035" s="34"/>
      <c r="G1035" s="34"/>
      <c r="H1035" s="34"/>
      <c r="I1035" s="34"/>
      <c r="J1035" s="34"/>
      <c r="K1035" s="34"/>
      <c r="L1035" s="34"/>
      <c r="M1035" s="34"/>
      <c r="N1035" s="34"/>
      <c r="O1035" s="34"/>
      <c r="P1035" s="34"/>
      <c r="Q1035" s="34"/>
      <c r="R1035" s="34"/>
      <c r="S1035" s="34"/>
      <c r="T1035" s="34"/>
      <c r="U1035" s="34"/>
      <c r="V1035" s="34"/>
      <c r="W1035" s="37"/>
      <c r="X1035" s="31"/>
      <c r="Y1035" s="478"/>
      <c r="Z1035" s="32"/>
      <c r="AA1035" s="662"/>
      <c r="AB1035" s="36"/>
      <c r="AC1035" s="36"/>
      <c r="AD1035" s="33"/>
    </row>
    <row r="1036" spans="1:30" ht="15.75" customHeight="1">
      <c r="A1036" s="151"/>
      <c r="B1036" s="31"/>
      <c r="C1036" s="31"/>
      <c r="D1036" s="31"/>
      <c r="E1036" s="34"/>
      <c r="F1036" s="34"/>
      <c r="G1036" s="34"/>
      <c r="H1036" s="34"/>
      <c r="I1036" s="34"/>
      <c r="J1036" s="34"/>
      <c r="K1036" s="34"/>
      <c r="L1036" s="34"/>
      <c r="M1036" s="34"/>
      <c r="N1036" s="34"/>
      <c r="O1036" s="34"/>
      <c r="P1036" s="34"/>
      <c r="Q1036" s="34"/>
      <c r="R1036" s="34"/>
      <c r="S1036" s="34"/>
      <c r="T1036" s="34"/>
      <c r="U1036" s="34"/>
      <c r="V1036" s="34"/>
      <c r="W1036" s="37"/>
      <c r="X1036" s="31"/>
      <c r="Y1036" s="478"/>
      <c r="Z1036" s="32"/>
      <c r="AA1036" s="662"/>
      <c r="AB1036" s="36"/>
      <c r="AC1036" s="36"/>
      <c r="AD1036" s="33"/>
    </row>
    <row r="1037" spans="1:30" ht="15.75" customHeight="1">
      <c r="A1037" s="151"/>
      <c r="B1037" s="31"/>
      <c r="C1037" s="31"/>
      <c r="D1037" s="31"/>
      <c r="E1037" s="34"/>
      <c r="F1037" s="34"/>
      <c r="G1037" s="34"/>
      <c r="H1037" s="34"/>
      <c r="I1037" s="34"/>
      <c r="J1037" s="34"/>
      <c r="K1037" s="34"/>
      <c r="L1037" s="34"/>
      <c r="M1037" s="34"/>
      <c r="N1037" s="34"/>
      <c r="O1037" s="34"/>
      <c r="P1037" s="34"/>
      <c r="Q1037" s="34"/>
      <c r="R1037" s="34"/>
      <c r="S1037" s="34"/>
      <c r="T1037" s="34"/>
      <c r="U1037" s="34"/>
      <c r="V1037" s="34"/>
      <c r="W1037" s="37"/>
      <c r="X1037" s="31"/>
      <c r="Y1037" s="478"/>
      <c r="Z1037" s="32"/>
      <c r="AA1037" s="662"/>
      <c r="AB1037" s="36"/>
      <c r="AC1037" s="36"/>
      <c r="AD1037" s="33"/>
    </row>
    <row r="1038" spans="1:30" ht="15.75" customHeight="1">
      <c r="A1038" s="151"/>
      <c r="B1038" s="31"/>
      <c r="C1038" s="31"/>
      <c r="D1038" s="31"/>
      <c r="E1038" s="34"/>
      <c r="F1038" s="34"/>
      <c r="G1038" s="34"/>
      <c r="H1038" s="34"/>
      <c r="I1038" s="34"/>
      <c r="J1038" s="34"/>
      <c r="K1038" s="34"/>
      <c r="L1038" s="34"/>
      <c r="M1038" s="34"/>
      <c r="N1038" s="34"/>
      <c r="O1038" s="34"/>
      <c r="P1038" s="34"/>
      <c r="Q1038" s="34"/>
      <c r="R1038" s="34"/>
      <c r="S1038" s="34"/>
      <c r="T1038" s="34"/>
      <c r="U1038" s="34"/>
      <c r="V1038" s="34"/>
      <c r="W1038" s="37"/>
      <c r="X1038" s="31"/>
      <c r="Y1038" s="478"/>
      <c r="Z1038" s="32"/>
      <c r="AA1038" s="662"/>
      <c r="AB1038" s="36"/>
      <c r="AC1038" s="36"/>
      <c r="AD1038" s="33"/>
    </row>
    <row r="1039" spans="1:30" ht="15.75" customHeight="1">
      <c r="A1039" s="151"/>
      <c r="B1039" s="31"/>
      <c r="C1039" s="31"/>
      <c r="D1039" s="31"/>
      <c r="E1039" s="34"/>
      <c r="F1039" s="34"/>
      <c r="G1039" s="34"/>
      <c r="H1039" s="34"/>
      <c r="I1039" s="34"/>
      <c r="J1039" s="34"/>
      <c r="K1039" s="34"/>
      <c r="L1039" s="34"/>
      <c r="M1039" s="34"/>
      <c r="N1039" s="34"/>
      <c r="O1039" s="34"/>
      <c r="P1039" s="34"/>
      <c r="Q1039" s="34"/>
      <c r="R1039" s="34"/>
      <c r="S1039" s="34"/>
      <c r="T1039" s="34"/>
      <c r="U1039" s="34"/>
      <c r="V1039" s="34"/>
      <c r="W1039" s="37"/>
      <c r="X1039" s="31"/>
      <c r="Y1039" s="478"/>
      <c r="Z1039" s="32"/>
      <c r="AA1039" s="662"/>
      <c r="AB1039" s="36"/>
      <c r="AC1039" s="36"/>
      <c r="AD1039" s="33"/>
    </row>
    <row r="1040" spans="1:30" ht="15.75" customHeight="1">
      <c r="A1040" s="151"/>
      <c r="B1040" s="31"/>
      <c r="C1040" s="31"/>
      <c r="D1040" s="31"/>
      <c r="E1040" s="34"/>
      <c r="F1040" s="34"/>
      <c r="G1040" s="34"/>
      <c r="H1040" s="34"/>
      <c r="I1040" s="34"/>
      <c r="J1040" s="34"/>
      <c r="K1040" s="34"/>
      <c r="L1040" s="34"/>
      <c r="M1040" s="34"/>
      <c r="N1040" s="34"/>
      <c r="O1040" s="34"/>
      <c r="P1040" s="34"/>
      <c r="Q1040" s="34"/>
      <c r="R1040" s="34"/>
      <c r="S1040" s="34"/>
      <c r="T1040" s="34"/>
      <c r="U1040" s="34"/>
      <c r="V1040" s="34"/>
      <c r="W1040" s="37"/>
      <c r="X1040" s="31"/>
      <c r="Y1040" s="478"/>
      <c r="Z1040" s="32"/>
      <c r="AA1040" s="662"/>
      <c r="AB1040" s="36"/>
      <c r="AC1040" s="36"/>
      <c r="AD1040" s="33"/>
    </row>
    <row r="1041" spans="1:30" ht="15.75" customHeight="1">
      <c r="A1041" s="151"/>
      <c r="B1041" s="31"/>
      <c r="C1041" s="31"/>
      <c r="D1041" s="31"/>
      <c r="E1041" s="34"/>
      <c r="F1041" s="34"/>
      <c r="G1041" s="34"/>
      <c r="H1041" s="34"/>
      <c r="I1041" s="34"/>
      <c r="J1041" s="34"/>
      <c r="K1041" s="34"/>
      <c r="L1041" s="34"/>
      <c r="M1041" s="34"/>
      <c r="N1041" s="34"/>
      <c r="O1041" s="34"/>
      <c r="P1041" s="34"/>
      <c r="Q1041" s="34"/>
      <c r="R1041" s="34"/>
      <c r="S1041" s="34"/>
      <c r="T1041" s="34"/>
      <c r="U1041" s="34"/>
      <c r="V1041" s="34"/>
      <c r="W1041" s="37"/>
      <c r="X1041" s="31"/>
      <c r="Y1041" s="478"/>
      <c r="Z1041" s="32"/>
      <c r="AA1041" s="662"/>
      <c r="AB1041" s="36"/>
      <c r="AC1041" s="36"/>
      <c r="AD1041" s="33"/>
    </row>
    <row r="1042" spans="1:30" ht="15.75" customHeight="1">
      <c r="A1042" s="151"/>
      <c r="B1042" s="31"/>
      <c r="C1042" s="31"/>
      <c r="D1042" s="31"/>
      <c r="E1042" s="34"/>
      <c r="F1042" s="34"/>
      <c r="G1042" s="34"/>
      <c r="H1042" s="34"/>
      <c r="I1042" s="34"/>
      <c r="J1042" s="34"/>
      <c r="K1042" s="34"/>
      <c r="L1042" s="34"/>
      <c r="M1042" s="34"/>
      <c r="N1042" s="34"/>
      <c r="O1042" s="34"/>
      <c r="P1042" s="34"/>
      <c r="Q1042" s="34"/>
      <c r="R1042" s="34"/>
      <c r="S1042" s="34"/>
      <c r="T1042" s="34"/>
      <c r="U1042" s="34"/>
      <c r="V1042" s="34"/>
      <c r="W1042" s="37"/>
      <c r="X1042" s="31"/>
      <c r="Y1042" s="478"/>
      <c r="Z1042" s="32"/>
      <c r="AA1042" s="662"/>
      <c r="AB1042" s="36"/>
      <c r="AC1042" s="36"/>
      <c r="AD1042" s="33"/>
    </row>
    <row r="1043" spans="1:30" ht="15.75" customHeight="1">
      <c r="A1043" s="151"/>
      <c r="B1043" s="31"/>
      <c r="C1043" s="31"/>
      <c r="D1043" s="31"/>
      <c r="E1043" s="34"/>
      <c r="F1043" s="34"/>
      <c r="G1043" s="34"/>
      <c r="H1043" s="34"/>
      <c r="I1043" s="34"/>
      <c r="J1043" s="34"/>
      <c r="K1043" s="34"/>
      <c r="L1043" s="34"/>
      <c r="M1043" s="34"/>
      <c r="N1043" s="34"/>
      <c r="O1043" s="34"/>
      <c r="P1043" s="34"/>
      <c r="Q1043" s="34"/>
      <c r="R1043" s="34"/>
      <c r="S1043" s="34"/>
      <c r="T1043" s="34"/>
      <c r="U1043" s="34"/>
      <c r="V1043" s="34"/>
      <c r="W1043" s="37"/>
      <c r="X1043" s="31"/>
      <c r="Y1043" s="478"/>
      <c r="Z1043" s="32"/>
      <c r="AA1043" s="662"/>
      <c r="AB1043" s="36"/>
      <c r="AC1043" s="36"/>
      <c r="AD1043" s="33"/>
    </row>
    <row r="1044" spans="1:30" ht="15.75" customHeight="1">
      <c r="A1044" s="151"/>
      <c r="B1044" s="31"/>
      <c r="C1044" s="31"/>
      <c r="D1044" s="31"/>
      <c r="E1044" s="34"/>
      <c r="F1044" s="34"/>
      <c r="G1044" s="34"/>
      <c r="H1044" s="34"/>
      <c r="I1044" s="34"/>
      <c r="J1044" s="34"/>
      <c r="K1044" s="34"/>
      <c r="L1044" s="34"/>
      <c r="M1044" s="34"/>
      <c r="N1044" s="34"/>
      <c r="O1044" s="34"/>
      <c r="P1044" s="34"/>
      <c r="Q1044" s="34"/>
      <c r="R1044" s="34"/>
      <c r="S1044" s="34"/>
      <c r="T1044" s="34"/>
      <c r="U1044" s="34"/>
      <c r="V1044" s="34"/>
      <c r="W1044" s="37"/>
      <c r="X1044" s="31"/>
      <c r="Y1044" s="478"/>
      <c r="Z1044" s="32"/>
      <c r="AA1044" s="662"/>
      <c r="AB1044" s="36"/>
      <c r="AC1044" s="36"/>
      <c r="AD1044" s="33"/>
    </row>
    <row r="1045" spans="1:30" ht="15.75" customHeight="1">
      <c r="A1045" s="151"/>
      <c r="B1045" s="31"/>
      <c r="C1045" s="31"/>
      <c r="D1045" s="31"/>
      <c r="E1045" s="34"/>
      <c r="F1045" s="34"/>
      <c r="G1045" s="34"/>
      <c r="H1045" s="34"/>
      <c r="I1045" s="34"/>
      <c r="J1045" s="34"/>
      <c r="K1045" s="34"/>
      <c r="L1045" s="34"/>
      <c r="M1045" s="34"/>
      <c r="N1045" s="34"/>
      <c r="O1045" s="34"/>
      <c r="P1045" s="34"/>
      <c r="Q1045" s="34"/>
      <c r="R1045" s="34"/>
      <c r="S1045" s="34"/>
      <c r="T1045" s="34"/>
      <c r="U1045" s="34"/>
      <c r="V1045" s="34"/>
      <c r="W1045" s="37"/>
      <c r="X1045" s="31"/>
      <c r="Y1045" s="478"/>
      <c r="Z1045" s="32"/>
      <c r="AA1045" s="662"/>
      <c r="AB1045" s="36"/>
      <c r="AC1045" s="36"/>
      <c r="AD1045" s="33"/>
    </row>
    <row r="1046" spans="1:30" ht="15.75" customHeight="1">
      <c r="A1046" s="151"/>
      <c r="B1046" s="31"/>
      <c r="C1046" s="31"/>
      <c r="D1046" s="31"/>
      <c r="E1046" s="34"/>
      <c r="F1046" s="34"/>
      <c r="G1046" s="34"/>
      <c r="H1046" s="34"/>
      <c r="I1046" s="34"/>
      <c r="J1046" s="34"/>
      <c r="K1046" s="34"/>
      <c r="L1046" s="34"/>
      <c r="M1046" s="34"/>
      <c r="N1046" s="34"/>
      <c r="O1046" s="34"/>
      <c r="P1046" s="34"/>
      <c r="Q1046" s="34"/>
      <c r="R1046" s="34"/>
      <c r="S1046" s="34"/>
      <c r="T1046" s="34"/>
      <c r="U1046" s="34"/>
      <c r="V1046" s="34"/>
      <c r="W1046" s="37"/>
      <c r="X1046" s="31"/>
      <c r="Y1046" s="478"/>
      <c r="Z1046" s="32"/>
      <c r="AA1046" s="662"/>
      <c r="AB1046" s="36"/>
      <c r="AC1046" s="36"/>
      <c r="AD1046" s="33"/>
    </row>
    <row r="1047" spans="1:30" ht="15.75" customHeight="1">
      <c r="A1047" s="151"/>
      <c r="B1047" s="31"/>
      <c r="C1047" s="31"/>
      <c r="D1047" s="31"/>
      <c r="E1047" s="34"/>
      <c r="F1047" s="34"/>
      <c r="G1047" s="34"/>
      <c r="H1047" s="34"/>
      <c r="I1047" s="34"/>
      <c r="J1047" s="34"/>
      <c r="K1047" s="34"/>
      <c r="L1047" s="34"/>
      <c r="M1047" s="34"/>
      <c r="N1047" s="34"/>
      <c r="O1047" s="34"/>
      <c r="P1047" s="34"/>
      <c r="Q1047" s="34"/>
      <c r="R1047" s="34"/>
      <c r="S1047" s="34"/>
      <c r="T1047" s="34"/>
      <c r="U1047" s="34"/>
      <c r="V1047" s="34"/>
      <c r="W1047" s="37"/>
      <c r="X1047" s="31"/>
      <c r="Y1047" s="478"/>
      <c r="Z1047" s="32"/>
      <c r="AA1047" s="662"/>
      <c r="AB1047" s="36"/>
      <c r="AC1047" s="36"/>
      <c r="AD1047" s="33"/>
    </row>
    <row r="1048" spans="1:30" ht="15.75" customHeight="1">
      <c r="A1048" s="151"/>
      <c r="B1048" s="31"/>
      <c r="C1048" s="31"/>
      <c r="D1048" s="31"/>
      <c r="E1048" s="34"/>
      <c r="F1048" s="34"/>
      <c r="G1048" s="34"/>
      <c r="H1048" s="34"/>
      <c r="I1048" s="34"/>
      <c r="J1048" s="34"/>
      <c r="K1048" s="34"/>
      <c r="L1048" s="34"/>
      <c r="M1048" s="34"/>
      <c r="N1048" s="34"/>
      <c r="O1048" s="34"/>
      <c r="P1048" s="34"/>
      <c r="Q1048" s="34"/>
      <c r="R1048" s="34"/>
      <c r="S1048" s="34"/>
      <c r="T1048" s="34"/>
      <c r="U1048" s="34"/>
      <c r="V1048" s="34"/>
      <c r="W1048" s="37"/>
      <c r="X1048" s="31"/>
      <c r="Y1048" s="478"/>
      <c r="Z1048" s="32"/>
      <c r="AA1048" s="662"/>
      <c r="AB1048" s="36"/>
      <c r="AC1048" s="36"/>
      <c r="AD1048" s="33"/>
    </row>
    <row r="1049" spans="1:30" ht="15.75" customHeight="1">
      <c r="A1049" s="151"/>
      <c r="B1049" s="31"/>
      <c r="C1049" s="31"/>
      <c r="D1049" s="31"/>
      <c r="E1049" s="34"/>
      <c r="F1049" s="34"/>
      <c r="G1049" s="34"/>
      <c r="H1049" s="34"/>
      <c r="I1049" s="34"/>
      <c r="J1049" s="34"/>
      <c r="K1049" s="34"/>
      <c r="L1049" s="34"/>
      <c r="M1049" s="34"/>
      <c r="N1049" s="34"/>
      <c r="O1049" s="34"/>
      <c r="P1049" s="34"/>
      <c r="Q1049" s="34"/>
      <c r="R1049" s="34"/>
      <c r="S1049" s="34"/>
      <c r="T1049" s="34"/>
      <c r="U1049" s="34"/>
      <c r="V1049" s="34"/>
      <c r="W1049" s="37"/>
      <c r="X1049" s="31"/>
      <c r="Y1049" s="478"/>
      <c r="Z1049" s="32"/>
      <c r="AA1049" s="662"/>
      <c r="AB1049" s="36"/>
      <c r="AC1049" s="36"/>
      <c r="AD1049" s="33"/>
    </row>
    <row r="1050" spans="1:30" ht="15.75" customHeight="1">
      <c r="A1050" s="151"/>
      <c r="B1050" s="31"/>
      <c r="C1050" s="31"/>
      <c r="D1050" s="31"/>
      <c r="E1050" s="34"/>
      <c r="F1050" s="34"/>
      <c r="G1050" s="34"/>
      <c r="H1050" s="34"/>
      <c r="I1050" s="34"/>
      <c r="J1050" s="34"/>
      <c r="K1050" s="34"/>
      <c r="L1050" s="34"/>
      <c r="M1050" s="34"/>
      <c r="N1050" s="34"/>
      <c r="O1050" s="34"/>
      <c r="P1050" s="34"/>
      <c r="Q1050" s="34"/>
      <c r="R1050" s="34"/>
      <c r="S1050" s="34"/>
      <c r="T1050" s="34"/>
      <c r="U1050" s="34"/>
      <c r="V1050" s="34"/>
      <c r="W1050" s="37"/>
      <c r="X1050" s="31"/>
      <c r="Y1050" s="478"/>
      <c r="Z1050" s="32"/>
      <c r="AA1050" s="662"/>
      <c r="AB1050" s="36"/>
      <c r="AC1050" s="36"/>
      <c r="AD1050" s="33"/>
    </row>
    <row r="1051" spans="1:30" ht="15.75" customHeight="1">
      <c r="A1051" s="151"/>
      <c r="B1051" s="31"/>
      <c r="C1051" s="31"/>
      <c r="D1051" s="31"/>
      <c r="E1051" s="34"/>
      <c r="F1051" s="34"/>
      <c r="G1051" s="34"/>
      <c r="H1051" s="34"/>
      <c r="I1051" s="34"/>
      <c r="J1051" s="34"/>
      <c r="K1051" s="34"/>
      <c r="L1051" s="34"/>
      <c r="M1051" s="34"/>
      <c r="N1051" s="34"/>
      <c r="O1051" s="34"/>
      <c r="P1051" s="34"/>
      <c r="Q1051" s="34"/>
      <c r="R1051" s="34"/>
      <c r="S1051" s="34"/>
      <c r="T1051" s="34"/>
      <c r="U1051" s="34"/>
      <c r="V1051" s="34"/>
      <c r="W1051" s="37"/>
      <c r="X1051" s="31"/>
      <c r="Y1051" s="478"/>
      <c r="Z1051" s="32"/>
      <c r="AA1051" s="662"/>
      <c r="AB1051" s="36"/>
      <c r="AC1051" s="36"/>
      <c r="AD1051" s="33"/>
    </row>
    <row r="1052" spans="1:30" ht="15.75" customHeight="1">
      <c r="A1052" s="151"/>
      <c r="B1052" s="31"/>
      <c r="C1052" s="31"/>
      <c r="D1052" s="31"/>
      <c r="E1052" s="34"/>
      <c r="F1052" s="34"/>
      <c r="G1052" s="34"/>
      <c r="H1052" s="34"/>
      <c r="I1052" s="34"/>
      <c r="J1052" s="34"/>
      <c r="K1052" s="34"/>
      <c r="L1052" s="34"/>
      <c r="M1052" s="34"/>
      <c r="N1052" s="34"/>
      <c r="O1052" s="34"/>
      <c r="P1052" s="34"/>
      <c r="Q1052" s="34"/>
      <c r="R1052" s="34"/>
      <c r="S1052" s="34"/>
      <c r="T1052" s="34"/>
      <c r="U1052" s="34"/>
      <c r="V1052" s="34"/>
      <c r="W1052" s="37"/>
      <c r="X1052" s="31"/>
      <c r="Y1052" s="478"/>
      <c r="Z1052" s="32"/>
      <c r="AA1052" s="662"/>
      <c r="AB1052" s="36"/>
      <c r="AC1052" s="36"/>
      <c r="AD1052" s="33"/>
    </row>
    <row r="1053" spans="1:30" ht="15.75" customHeight="1">
      <c r="A1053" s="151"/>
      <c r="B1053" s="31"/>
      <c r="C1053" s="31"/>
      <c r="D1053" s="31"/>
      <c r="E1053" s="34"/>
      <c r="F1053" s="34"/>
      <c r="G1053" s="34"/>
      <c r="H1053" s="34"/>
      <c r="I1053" s="34"/>
      <c r="J1053" s="34"/>
      <c r="K1053" s="34"/>
      <c r="L1053" s="34"/>
      <c r="M1053" s="34"/>
      <c r="N1053" s="34"/>
      <c r="O1053" s="34"/>
      <c r="P1053" s="34"/>
      <c r="Q1053" s="34"/>
      <c r="R1053" s="34"/>
      <c r="S1053" s="34"/>
      <c r="T1053" s="34"/>
      <c r="U1053" s="34"/>
      <c r="V1053" s="34"/>
      <c r="W1053" s="37"/>
      <c r="X1053" s="31"/>
      <c r="Y1053" s="478"/>
      <c r="Z1053" s="32"/>
      <c r="AA1053" s="662"/>
      <c r="AB1053" s="36"/>
      <c r="AC1053" s="36"/>
      <c r="AD1053" s="33"/>
    </row>
    <row r="1054" spans="1:30" ht="15.75" customHeight="1">
      <c r="A1054" s="151"/>
      <c r="B1054" s="31"/>
      <c r="C1054" s="31"/>
      <c r="D1054" s="31"/>
      <c r="E1054" s="34"/>
      <c r="F1054" s="34"/>
      <c r="G1054" s="34"/>
      <c r="H1054" s="34"/>
      <c r="I1054" s="34"/>
      <c r="J1054" s="34"/>
      <c r="K1054" s="34"/>
      <c r="L1054" s="34"/>
      <c r="M1054" s="34"/>
      <c r="N1054" s="34"/>
      <c r="O1054" s="34"/>
      <c r="P1054" s="34"/>
      <c r="Q1054" s="34"/>
      <c r="R1054" s="34"/>
      <c r="S1054" s="34"/>
      <c r="T1054" s="34"/>
      <c r="U1054" s="34"/>
      <c r="V1054" s="34"/>
      <c r="W1054" s="37"/>
      <c r="X1054" s="31"/>
      <c r="Y1054" s="478"/>
      <c r="Z1054" s="32"/>
      <c r="AA1054" s="662"/>
      <c r="AB1054" s="36"/>
      <c r="AC1054" s="36"/>
      <c r="AD1054" s="33"/>
    </row>
    <row r="1055" spans="1:30" ht="15.75" customHeight="1">
      <c r="A1055" s="151"/>
      <c r="B1055" s="31"/>
      <c r="C1055" s="31"/>
      <c r="D1055" s="31"/>
      <c r="E1055" s="34"/>
      <c r="F1055" s="34"/>
      <c r="G1055" s="34"/>
      <c r="H1055" s="34"/>
      <c r="I1055" s="34"/>
      <c r="J1055" s="34"/>
      <c r="K1055" s="34"/>
      <c r="L1055" s="34"/>
      <c r="M1055" s="34"/>
      <c r="N1055" s="34"/>
      <c r="O1055" s="34"/>
      <c r="P1055" s="34"/>
      <c r="Q1055" s="34"/>
      <c r="R1055" s="34"/>
      <c r="S1055" s="34"/>
      <c r="T1055" s="34"/>
      <c r="U1055" s="34"/>
      <c r="V1055" s="34"/>
      <c r="W1055" s="37"/>
      <c r="X1055" s="31"/>
      <c r="Y1055" s="478"/>
      <c r="Z1055" s="32"/>
      <c r="AA1055" s="662"/>
      <c r="AB1055" s="36"/>
      <c r="AC1055" s="36"/>
      <c r="AD1055" s="33"/>
    </row>
    <row r="1056" spans="1:30" ht="15.75" customHeight="1">
      <c r="A1056" s="151"/>
      <c r="B1056" s="31"/>
      <c r="C1056" s="31"/>
      <c r="D1056" s="31"/>
      <c r="E1056" s="34"/>
      <c r="F1056" s="34"/>
      <c r="G1056" s="34"/>
      <c r="H1056" s="34"/>
      <c r="I1056" s="34"/>
      <c r="J1056" s="34"/>
      <c r="K1056" s="34"/>
      <c r="L1056" s="34"/>
      <c r="M1056" s="34"/>
      <c r="N1056" s="34"/>
      <c r="O1056" s="34"/>
      <c r="P1056" s="34"/>
      <c r="Q1056" s="34"/>
      <c r="R1056" s="34"/>
      <c r="S1056" s="34"/>
      <c r="T1056" s="34"/>
      <c r="U1056" s="34"/>
      <c r="V1056" s="34"/>
      <c r="W1056" s="37"/>
      <c r="X1056" s="31"/>
      <c r="Y1056" s="478"/>
      <c r="Z1056" s="32"/>
      <c r="AA1056" s="662"/>
      <c r="AB1056" s="36"/>
      <c r="AC1056" s="36"/>
      <c r="AD1056" s="33"/>
    </row>
    <row r="1057" spans="1:30" ht="15.75" customHeight="1">
      <c r="A1057" s="151"/>
      <c r="B1057" s="31"/>
      <c r="C1057" s="31"/>
      <c r="D1057" s="31"/>
      <c r="E1057" s="34"/>
      <c r="F1057" s="34"/>
      <c r="G1057" s="34"/>
      <c r="H1057" s="34"/>
      <c r="I1057" s="34"/>
      <c r="J1057" s="34"/>
      <c r="K1057" s="34"/>
      <c r="L1057" s="34"/>
      <c r="M1057" s="34"/>
      <c r="N1057" s="34"/>
      <c r="O1057" s="34"/>
      <c r="P1057" s="34"/>
      <c r="Q1057" s="34"/>
      <c r="R1057" s="34"/>
      <c r="S1057" s="34"/>
      <c r="T1057" s="34"/>
      <c r="U1057" s="34"/>
      <c r="V1057" s="34"/>
      <c r="W1057" s="37"/>
      <c r="X1057" s="31"/>
      <c r="Y1057" s="478"/>
      <c r="Z1057" s="32"/>
      <c r="AA1057" s="662"/>
      <c r="AB1057" s="36"/>
      <c r="AC1057" s="36"/>
      <c r="AD1057" s="33"/>
    </row>
    <row r="1058" spans="1:30" ht="15.75" customHeight="1">
      <c r="A1058" s="151"/>
      <c r="B1058" s="31"/>
      <c r="C1058" s="31"/>
      <c r="D1058" s="31"/>
      <c r="E1058" s="34"/>
      <c r="F1058" s="34"/>
      <c r="G1058" s="34"/>
      <c r="H1058" s="34"/>
      <c r="I1058" s="34"/>
      <c r="J1058" s="34"/>
      <c r="K1058" s="34"/>
      <c r="L1058" s="34"/>
      <c r="M1058" s="34"/>
      <c r="N1058" s="34"/>
      <c r="O1058" s="34"/>
      <c r="P1058" s="34"/>
      <c r="Q1058" s="34"/>
      <c r="R1058" s="34"/>
      <c r="S1058" s="34"/>
      <c r="T1058" s="34"/>
      <c r="U1058" s="34"/>
      <c r="V1058" s="34"/>
      <c r="W1058" s="37"/>
      <c r="X1058" s="31"/>
      <c r="Y1058" s="478"/>
      <c r="Z1058" s="32"/>
      <c r="AA1058" s="662"/>
      <c r="AB1058" s="36"/>
      <c r="AC1058" s="36"/>
      <c r="AD1058" s="33"/>
    </row>
    <row r="1059" spans="1:30" ht="15.75" customHeight="1">
      <c r="A1059" s="151"/>
      <c r="B1059" s="31"/>
      <c r="C1059" s="31"/>
      <c r="D1059" s="31"/>
      <c r="E1059" s="34"/>
      <c r="F1059" s="34"/>
      <c r="G1059" s="34"/>
      <c r="H1059" s="34"/>
      <c r="I1059" s="34"/>
      <c r="J1059" s="34"/>
      <c r="K1059" s="34"/>
      <c r="L1059" s="34"/>
      <c r="M1059" s="34"/>
      <c r="N1059" s="34"/>
      <c r="O1059" s="34"/>
      <c r="P1059" s="34"/>
      <c r="Q1059" s="34"/>
      <c r="R1059" s="34"/>
      <c r="S1059" s="34"/>
      <c r="T1059" s="34"/>
      <c r="U1059" s="34"/>
      <c r="V1059" s="34"/>
      <c r="W1059" s="37"/>
      <c r="X1059" s="31"/>
      <c r="Y1059" s="478"/>
      <c r="Z1059" s="32"/>
      <c r="AA1059" s="662"/>
      <c r="AB1059" s="36"/>
      <c r="AC1059" s="36"/>
      <c r="AD1059" s="33"/>
    </row>
    <row r="1060" spans="1:30" ht="15.75" customHeight="1">
      <c r="A1060" s="151"/>
      <c r="B1060" s="31"/>
      <c r="C1060" s="31"/>
      <c r="D1060" s="31"/>
      <c r="E1060" s="34"/>
      <c r="F1060" s="34"/>
      <c r="G1060" s="34"/>
      <c r="H1060" s="34"/>
      <c r="I1060" s="34"/>
      <c r="J1060" s="34"/>
      <c r="K1060" s="34"/>
      <c r="L1060" s="34"/>
      <c r="M1060" s="34"/>
      <c r="N1060" s="34"/>
      <c r="O1060" s="34"/>
      <c r="P1060" s="34"/>
      <c r="Q1060" s="34"/>
      <c r="R1060" s="34"/>
      <c r="S1060" s="34"/>
      <c r="T1060" s="34"/>
      <c r="U1060" s="34"/>
      <c r="V1060" s="34"/>
      <c r="W1060" s="37"/>
      <c r="X1060" s="31"/>
      <c r="Y1060" s="478"/>
      <c r="Z1060" s="32"/>
      <c r="AA1060" s="662"/>
      <c r="AB1060" s="36"/>
      <c r="AC1060" s="36"/>
      <c r="AD1060" s="33"/>
    </row>
    <row r="1061" spans="1:30" ht="15.75" customHeight="1">
      <c r="A1061" s="151"/>
      <c r="B1061" s="31"/>
      <c r="C1061" s="31"/>
      <c r="D1061" s="31"/>
      <c r="E1061" s="34"/>
      <c r="F1061" s="34"/>
      <c r="G1061" s="34"/>
      <c r="H1061" s="34"/>
      <c r="I1061" s="34"/>
      <c r="J1061" s="34"/>
      <c r="K1061" s="34"/>
      <c r="L1061" s="34"/>
      <c r="M1061" s="34"/>
      <c r="N1061" s="34"/>
      <c r="O1061" s="34"/>
      <c r="P1061" s="34"/>
      <c r="Q1061" s="34"/>
      <c r="R1061" s="34"/>
      <c r="S1061" s="34"/>
      <c r="T1061" s="34"/>
      <c r="U1061" s="34"/>
      <c r="V1061" s="34"/>
      <c r="W1061" s="37"/>
      <c r="X1061" s="31"/>
      <c r="Y1061" s="478"/>
      <c r="Z1061" s="32"/>
      <c r="AA1061" s="662"/>
      <c r="AB1061" s="36"/>
      <c r="AC1061" s="36"/>
      <c r="AD1061" s="33"/>
    </row>
    <row r="1062" spans="1:30" ht="15.75" customHeight="1">
      <c r="A1062" s="151"/>
      <c r="B1062" s="31"/>
      <c r="C1062" s="31"/>
      <c r="D1062" s="31"/>
      <c r="E1062" s="34"/>
      <c r="F1062" s="34"/>
      <c r="G1062" s="34"/>
      <c r="H1062" s="34"/>
      <c r="I1062" s="34"/>
      <c r="J1062" s="34"/>
      <c r="K1062" s="34"/>
      <c r="L1062" s="34"/>
      <c r="M1062" s="34"/>
      <c r="N1062" s="34"/>
      <c r="O1062" s="34"/>
      <c r="P1062" s="34"/>
      <c r="Q1062" s="34"/>
      <c r="R1062" s="34"/>
      <c r="S1062" s="34"/>
      <c r="T1062" s="34"/>
      <c r="U1062" s="34"/>
      <c r="V1062" s="34"/>
      <c r="W1062" s="37"/>
      <c r="X1062" s="31"/>
      <c r="Y1062" s="478"/>
      <c r="Z1062" s="32"/>
      <c r="AA1062" s="662"/>
      <c r="AB1062" s="36"/>
      <c r="AC1062" s="36"/>
      <c r="AD1062" s="33"/>
    </row>
    <row r="1063" spans="1:30" ht="15.75" customHeight="1">
      <c r="A1063" s="151"/>
      <c r="B1063" s="31"/>
      <c r="C1063" s="31"/>
      <c r="D1063" s="31"/>
      <c r="E1063" s="34"/>
      <c r="F1063" s="34"/>
      <c r="G1063" s="34"/>
      <c r="H1063" s="34"/>
      <c r="I1063" s="34"/>
      <c r="J1063" s="34"/>
      <c r="K1063" s="34"/>
      <c r="L1063" s="34"/>
      <c r="M1063" s="34"/>
      <c r="N1063" s="34"/>
      <c r="O1063" s="34"/>
      <c r="P1063" s="34"/>
      <c r="Q1063" s="34"/>
      <c r="R1063" s="34"/>
      <c r="S1063" s="34"/>
      <c r="T1063" s="34"/>
      <c r="U1063" s="34"/>
      <c r="V1063" s="34"/>
      <c r="W1063" s="37"/>
      <c r="X1063" s="31"/>
      <c r="Y1063" s="478"/>
      <c r="Z1063" s="32"/>
      <c r="AA1063" s="662"/>
      <c r="AB1063" s="36"/>
      <c r="AC1063" s="36"/>
      <c r="AD1063" s="33"/>
    </row>
    <row r="1064" spans="1:30" ht="15.75" customHeight="1">
      <c r="A1064" s="151"/>
      <c r="B1064" s="31"/>
      <c r="C1064" s="31"/>
      <c r="D1064" s="31"/>
      <c r="E1064" s="34"/>
      <c r="F1064" s="34"/>
      <c r="G1064" s="34"/>
      <c r="H1064" s="34"/>
      <c r="I1064" s="34"/>
      <c r="J1064" s="34"/>
      <c r="K1064" s="34"/>
      <c r="L1064" s="34"/>
      <c r="M1064" s="34"/>
      <c r="N1064" s="34"/>
      <c r="O1064" s="34"/>
      <c r="P1064" s="34"/>
      <c r="Q1064" s="34"/>
      <c r="R1064" s="34"/>
      <c r="S1064" s="34"/>
      <c r="T1064" s="34"/>
      <c r="U1064" s="34"/>
      <c r="V1064" s="34"/>
      <c r="W1064" s="37"/>
      <c r="X1064" s="31"/>
      <c r="Y1064" s="478"/>
      <c r="Z1064" s="32"/>
      <c r="AA1064" s="662"/>
      <c r="AB1064" s="36"/>
      <c r="AC1064" s="36"/>
      <c r="AD1064" s="33"/>
    </row>
    <row r="1065" spans="1:30" ht="15.75" customHeight="1">
      <c r="A1065" s="151"/>
      <c r="B1065" s="31"/>
      <c r="C1065" s="31"/>
      <c r="D1065" s="31"/>
      <c r="E1065" s="34"/>
      <c r="F1065" s="34"/>
      <c r="G1065" s="34"/>
      <c r="H1065" s="34"/>
      <c r="I1065" s="34"/>
      <c r="J1065" s="34"/>
      <c r="K1065" s="34"/>
      <c r="L1065" s="34"/>
      <c r="M1065" s="34"/>
      <c r="N1065" s="34"/>
      <c r="O1065" s="34"/>
      <c r="P1065" s="34"/>
      <c r="Q1065" s="34"/>
      <c r="R1065" s="34"/>
      <c r="S1065" s="34"/>
      <c r="T1065" s="34"/>
      <c r="U1065" s="34"/>
      <c r="V1065" s="34"/>
      <c r="W1065" s="37"/>
      <c r="X1065" s="31"/>
      <c r="Y1065" s="478"/>
      <c r="Z1065" s="32"/>
      <c r="AA1065" s="662"/>
      <c r="AB1065" s="36"/>
      <c r="AC1065" s="36"/>
      <c r="AD1065" s="33"/>
    </row>
    <row r="1066" spans="1:30" ht="15.75" customHeight="1">
      <c r="A1066" s="151"/>
      <c r="B1066" s="31"/>
      <c r="C1066" s="31"/>
      <c r="D1066" s="31"/>
      <c r="E1066" s="34"/>
      <c r="F1066" s="34"/>
      <c r="G1066" s="34"/>
      <c r="H1066" s="34"/>
      <c r="I1066" s="34"/>
      <c r="J1066" s="34"/>
      <c r="K1066" s="34"/>
      <c r="L1066" s="34"/>
      <c r="M1066" s="34"/>
      <c r="N1066" s="34"/>
      <c r="O1066" s="34"/>
      <c r="P1066" s="34"/>
      <c r="Q1066" s="34"/>
      <c r="R1066" s="34"/>
      <c r="S1066" s="34"/>
      <c r="T1066" s="34"/>
      <c r="U1066" s="34"/>
      <c r="V1066" s="34"/>
      <c r="W1066" s="37"/>
      <c r="X1066" s="31"/>
      <c r="Y1066" s="478"/>
      <c r="Z1066" s="32"/>
      <c r="AA1066" s="662"/>
      <c r="AB1066" s="36"/>
      <c r="AC1066" s="36"/>
      <c r="AD1066" s="33"/>
    </row>
    <row r="1067" spans="1:30" ht="15.75" customHeight="1">
      <c r="A1067" s="151"/>
      <c r="B1067" s="31"/>
      <c r="C1067" s="31"/>
      <c r="D1067" s="31"/>
      <c r="E1067" s="34"/>
      <c r="F1067" s="34"/>
      <c r="G1067" s="34"/>
      <c r="H1067" s="34"/>
      <c r="I1067" s="34"/>
      <c r="J1067" s="34"/>
      <c r="K1067" s="34"/>
      <c r="L1067" s="34"/>
      <c r="M1067" s="34"/>
      <c r="N1067" s="34"/>
      <c r="O1067" s="34"/>
      <c r="P1067" s="34"/>
      <c r="Q1067" s="34"/>
      <c r="R1067" s="34"/>
      <c r="S1067" s="34"/>
      <c r="T1067" s="34"/>
      <c r="U1067" s="34"/>
      <c r="V1067" s="34"/>
      <c r="W1067" s="37"/>
      <c r="X1067" s="31"/>
      <c r="Y1067" s="478"/>
      <c r="Z1067" s="32"/>
      <c r="AA1067" s="662"/>
      <c r="AB1067" s="36"/>
      <c r="AC1067" s="36"/>
      <c r="AD1067" s="33"/>
    </row>
    <row r="1068" spans="1:30" ht="15.75" customHeight="1">
      <c r="A1068" s="151"/>
      <c r="B1068" s="31"/>
      <c r="C1068" s="31"/>
      <c r="D1068" s="31"/>
      <c r="E1068" s="34"/>
      <c r="F1068" s="34"/>
      <c r="G1068" s="34"/>
      <c r="H1068" s="34"/>
      <c r="I1068" s="34"/>
      <c r="J1068" s="34"/>
      <c r="K1068" s="34"/>
      <c r="L1068" s="34"/>
      <c r="M1068" s="34"/>
      <c r="N1068" s="34"/>
      <c r="O1068" s="34"/>
      <c r="P1068" s="34"/>
      <c r="Q1068" s="34"/>
      <c r="R1068" s="34"/>
      <c r="S1068" s="34"/>
      <c r="T1068" s="34"/>
      <c r="U1068" s="34"/>
      <c r="V1068" s="34"/>
      <c r="W1068" s="37"/>
      <c r="X1068" s="31"/>
      <c r="Y1068" s="478"/>
      <c r="Z1068" s="32"/>
      <c r="AA1068" s="662"/>
      <c r="AB1068" s="36"/>
      <c r="AC1068" s="36"/>
      <c r="AD1068" s="33"/>
    </row>
    <row r="1069" spans="1:30" ht="15.75" customHeight="1">
      <c r="A1069" s="151"/>
      <c r="B1069" s="31"/>
      <c r="C1069" s="31"/>
      <c r="D1069" s="31"/>
      <c r="E1069" s="34"/>
      <c r="F1069" s="34"/>
      <c r="G1069" s="34"/>
      <c r="H1069" s="34"/>
      <c r="I1069" s="34"/>
      <c r="J1069" s="34"/>
      <c r="K1069" s="34"/>
      <c r="L1069" s="34"/>
      <c r="M1069" s="34"/>
      <c r="N1069" s="34"/>
      <c r="O1069" s="34"/>
      <c r="P1069" s="34"/>
      <c r="Q1069" s="34"/>
      <c r="R1069" s="34"/>
      <c r="S1069" s="34"/>
      <c r="T1069" s="34"/>
      <c r="U1069" s="34"/>
      <c r="V1069" s="34"/>
      <c r="W1069" s="37"/>
      <c r="X1069" s="31"/>
      <c r="Y1069" s="478"/>
      <c r="Z1069" s="32"/>
      <c r="AA1069" s="662"/>
      <c r="AB1069" s="36"/>
      <c r="AC1069" s="36"/>
      <c r="AD1069" s="33"/>
    </row>
    <row r="1070" spans="1:30" ht="15.75" customHeight="1">
      <c r="A1070" s="151"/>
      <c r="B1070" s="31"/>
      <c r="C1070" s="31"/>
      <c r="D1070" s="31"/>
      <c r="E1070" s="34"/>
      <c r="F1070" s="34"/>
      <c r="G1070" s="34"/>
      <c r="H1070" s="34"/>
      <c r="I1070" s="34"/>
      <c r="J1070" s="34"/>
      <c r="K1070" s="34"/>
      <c r="L1070" s="34"/>
      <c r="M1070" s="34"/>
      <c r="N1070" s="34"/>
      <c r="O1070" s="34"/>
      <c r="P1070" s="34"/>
      <c r="Q1070" s="34"/>
      <c r="R1070" s="34"/>
      <c r="S1070" s="34"/>
      <c r="T1070" s="34"/>
      <c r="U1070" s="34"/>
      <c r="V1070" s="34"/>
      <c r="W1070" s="37"/>
      <c r="X1070" s="31"/>
      <c r="Y1070" s="478"/>
      <c r="Z1070" s="32"/>
      <c r="AA1070" s="662"/>
      <c r="AB1070" s="36"/>
      <c r="AC1070" s="36"/>
      <c r="AD1070" s="33"/>
    </row>
    <row r="1071" spans="1:30" ht="15.75" customHeight="1">
      <c r="A1071" s="151"/>
      <c r="B1071" s="31"/>
      <c r="C1071" s="31"/>
      <c r="D1071" s="31"/>
      <c r="E1071" s="34"/>
      <c r="F1071" s="34"/>
      <c r="G1071" s="34"/>
      <c r="H1071" s="34"/>
      <c r="I1071" s="34"/>
      <c r="J1071" s="34"/>
      <c r="K1071" s="34"/>
      <c r="L1071" s="34"/>
      <c r="M1071" s="34"/>
      <c r="N1071" s="34"/>
      <c r="O1071" s="34"/>
      <c r="P1071" s="34"/>
      <c r="Q1071" s="34"/>
      <c r="R1071" s="34"/>
      <c r="S1071" s="34"/>
      <c r="T1071" s="34"/>
      <c r="U1071" s="34"/>
      <c r="V1071" s="34"/>
      <c r="W1071" s="37"/>
      <c r="X1071" s="31"/>
      <c r="Y1071" s="478"/>
      <c r="Z1071" s="32"/>
      <c r="AA1071" s="662"/>
      <c r="AB1071" s="36"/>
      <c r="AC1071" s="36"/>
      <c r="AD1071" s="33"/>
    </row>
    <row r="1072" spans="1:30" ht="15.75" customHeight="1">
      <c r="A1072" s="151"/>
      <c r="B1072" s="31"/>
      <c r="C1072" s="31"/>
      <c r="D1072" s="31"/>
      <c r="E1072" s="34"/>
      <c r="F1072" s="34"/>
      <c r="G1072" s="34"/>
      <c r="H1072" s="34"/>
      <c r="I1072" s="34"/>
      <c r="J1072" s="34"/>
      <c r="K1072" s="34"/>
      <c r="L1072" s="34"/>
      <c r="M1072" s="34"/>
      <c r="N1072" s="34"/>
      <c r="O1072" s="34"/>
      <c r="P1072" s="34"/>
      <c r="Q1072" s="34"/>
      <c r="R1072" s="34"/>
      <c r="S1072" s="34"/>
      <c r="T1072" s="34"/>
      <c r="U1072" s="34"/>
      <c r="V1072" s="34"/>
      <c r="W1072" s="37"/>
      <c r="X1072" s="31"/>
      <c r="Y1072" s="478"/>
      <c r="Z1072" s="32"/>
      <c r="AA1072" s="662"/>
      <c r="AB1072" s="36"/>
      <c r="AC1072" s="36"/>
      <c r="AD1072" s="33"/>
    </row>
    <row r="1073" spans="1:30" ht="15.75" customHeight="1">
      <c r="A1073" s="151"/>
      <c r="B1073" s="31"/>
      <c r="C1073" s="31"/>
      <c r="D1073" s="31"/>
      <c r="E1073" s="34"/>
      <c r="F1073" s="34"/>
      <c r="G1073" s="34"/>
      <c r="H1073" s="34"/>
      <c r="I1073" s="34"/>
      <c r="J1073" s="34"/>
      <c r="K1073" s="34"/>
      <c r="L1073" s="34"/>
      <c r="M1073" s="34"/>
      <c r="N1073" s="34"/>
      <c r="O1073" s="34"/>
      <c r="P1073" s="34"/>
      <c r="Q1073" s="34"/>
      <c r="R1073" s="34"/>
      <c r="S1073" s="34"/>
      <c r="T1073" s="34"/>
      <c r="U1073" s="34"/>
      <c r="V1073" s="34"/>
      <c r="W1073" s="37"/>
      <c r="X1073" s="31"/>
      <c r="Y1073" s="478"/>
      <c r="Z1073" s="32"/>
      <c r="AA1073" s="662"/>
      <c r="AB1073" s="36"/>
      <c r="AC1073" s="36"/>
      <c r="AD1073" s="33"/>
    </row>
    <row r="1074" spans="1:30" ht="15.75" customHeight="1">
      <c r="A1074" s="151"/>
      <c r="B1074" s="31"/>
      <c r="C1074" s="31"/>
      <c r="D1074" s="31"/>
      <c r="E1074" s="34"/>
      <c r="F1074" s="34"/>
      <c r="G1074" s="34"/>
      <c r="H1074" s="34"/>
      <c r="I1074" s="34"/>
      <c r="J1074" s="34"/>
      <c r="K1074" s="34"/>
      <c r="L1074" s="34"/>
      <c r="M1074" s="34"/>
      <c r="N1074" s="34"/>
      <c r="O1074" s="34"/>
      <c r="P1074" s="34"/>
      <c r="Q1074" s="34"/>
      <c r="R1074" s="34"/>
      <c r="S1074" s="34"/>
      <c r="T1074" s="34"/>
      <c r="U1074" s="34"/>
      <c r="V1074" s="34"/>
      <c r="W1074" s="37"/>
      <c r="X1074" s="31"/>
      <c r="Y1074" s="478"/>
      <c r="Z1074" s="32"/>
      <c r="AA1074" s="662"/>
      <c r="AB1074" s="36"/>
      <c r="AC1074" s="36"/>
      <c r="AD1074" s="33"/>
    </row>
    <row r="1075" spans="1:30" ht="15.75" customHeight="1">
      <c r="A1075" s="151"/>
      <c r="B1075" s="31"/>
      <c r="C1075" s="31"/>
      <c r="D1075" s="31"/>
      <c r="E1075" s="34"/>
      <c r="F1075" s="34"/>
      <c r="G1075" s="34"/>
      <c r="H1075" s="34"/>
      <c r="I1075" s="34"/>
      <c r="J1075" s="34"/>
      <c r="K1075" s="34"/>
      <c r="L1075" s="34"/>
      <c r="M1075" s="34"/>
      <c r="N1075" s="34"/>
      <c r="O1075" s="34"/>
      <c r="P1075" s="34"/>
      <c r="Q1075" s="34"/>
      <c r="R1075" s="34"/>
      <c r="S1075" s="34"/>
      <c r="T1075" s="34"/>
      <c r="U1075" s="34"/>
      <c r="V1075" s="34"/>
      <c r="W1075" s="37"/>
      <c r="X1075" s="31"/>
      <c r="Y1075" s="478"/>
      <c r="Z1075" s="32"/>
      <c r="AA1075" s="662"/>
      <c r="AB1075" s="36"/>
      <c r="AC1075" s="36"/>
      <c r="AD1075" s="33"/>
    </row>
    <row r="1076" spans="1:30" ht="15.75" customHeight="1">
      <c r="A1076" s="151"/>
      <c r="B1076" s="31"/>
      <c r="C1076" s="31"/>
      <c r="D1076" s="31"/>
      <c r="E1076" s="34"/>
      <c r="F1076" s="34"/>
      <c r="G1076" s="34"/>
      <c r="H1076" s="34"/>
      <c r="I1076" s="34"/>
      <c r="J1076" s="34"/>
      <c r="K1076" s="34"/>
      <c r="L1076" s="34"/>
      <c r="M1076" s="34"/>
      <c r="N1076" s="34"/>
      <c r="O1076" s="34"/>
      <c r="P1076" s="34"/>
      <c r="Q1076" s="34"/>
      <c r="R1076" s="34"/>
      <c r="S1076" s="34"/>
      <c r="T1076" s="34"/>
      <c r="U1076" s="34"/>
      <c r="V1076" s="34"/>
      <c r="W1076" s="37"/>
      <c r="X1076" s="31"/>
      <c r="Y1076" s="478"/>
      <c r="Z1076" s="32"/>
      <c r="AA1076" s="662"/>
      <c r="AB1076" s="36"/>
      <c r="AC1076" s="36"/>
      <c r="AD1076" s="33"/>
    </row>
    <row r="1077" spans="1:30" ht="15.75" customHeight="1">
      <c r="A1077" s="151"/>
      <c r="B1077" s="31"/>
      <c r="C1077" s="31"/>
      <c r="D1077" s="31"/>
      <c r="E1077" s="34"/>
      <c r="F1077" s="34"/>
      <c r="G1077" s="34"/>
      <c r="H1077" s="34"/>
      <c r="I1077" s="34"/>
      <c r="J1077" s="34"/>
      <c r="K1077" s="34"/>
      <c r="L1077" s="34"/>
      <c r="M1077" s="34"/>
      <c r="N1077" s="34"/>
      <c r="O1077" s="34"/>
      <c r="P1077" s="34"/>
      <c r="Q1077" s="34"/>
      <c r="R1077" s="34"/>
      <c r="S1077" s="34"/>
      <c r="T1077" s="34"/>
      <c r="U1077" s="34"/>
      <c r="V1077" s="34"/>
      <c r="W1077" s="37"/>
      <c r="X1077" s="31"/>
      <c r="Y1077" s="478"/>
      <c r="Z1077" s="32"/>
      <c r="AA1077" s="662"/>
      <c r="AB1077" s="36"/>
      <c r="AC1077" s="36"/>
      <c r="AD1077" s="33"/>
    </row>
    <row r="1078" spans="1:30" ht="15.75" customHeight="1">
      <c r="A1078" s="151"/>
      <c r="B1078" s="31"/>
      <c r="C1078" s="31"/>
      <c r="D1078" s="31"/>
      <c r="E1078" s="34"/>
      <c r="F1078" s="34"/>
      <c r="G1078" s="34"/>
      <c r="H1078" s="34"/>
      <c r="I1078" s="34"/>
      <c r="J1078" s="34"/>
      <c r="K1078" s="34"/>
      <c r="L1078" s="34"/>
      <c r="M1078" s="34"/>
      <c r="N1078" s="34"/>
      <c r="O1078" s="34"/>
      <c r="P1078" s="34"/>
      <c r="Q1078" s="34"/>
      <c r="R1078" s="34"/>
      <c r="S1078" s="34"/>
      <c r="T1078" s="34"/>
      <c r="U1078" s="34"/>
      <c r="V1078" s="34"/>
      <c r="W1078" s="37"/>
      <c r="X1078" s="31"/>
      <c r="Y1078" s="478"/>
      <c r="Z1078" s="32"/>
      <c r="AA1078" s="662"/>
      <c r="AB1078" s="36"/>
      <c r="AC1078" s="36"/>
      <c r="AD1078" s="33"/>
    </row>
    <row r="1079" spans="1:30" ht="15.75" customHeight="1">
      <c r="A1079" s="151"/>
      <c r="B1079" s="31"/>
      <c r="C1079" s="31"/>
      <c r="D1079" s="31"/>
      <c r="E1079" s="34"/>
      <c r="F1079" s="34"/>
      <c r="G1079" s="34"/>
      <c r="H1079" s="34"/>
      <c r="I1079" s="34"/>
      <c r="J1079" s="34"/>
      <c r="K1079" s="34"/>
      <c r="L1079" s="34"/>
      <c r="M1079" s="34"/>
      <c r="N1079" s="34"/>
      <c r="O1079" s="34"/>
      <c r="P1079" s="34"/>
      <c r="Q1079" s="34"/>
      <c r="R1079" s="34"/>
      <c r="S1079" s="34"/>
      <c r="T1079" s="34"/>
      <c r="U1079" s="34"/>
      <c r="V1079" s="34"/>
      <c r="W1079" s="37"/>
      <c r="X1079" s="31"/>
      <c r="Y1079" s="478"/>
      <c r="Z1079" s="32"/>
      <c r="AA1079" s="662"/>
      <c r="AB1079" s="36"/>
      <c r="AC1079" s="36"/>
      <c r="AD1079" s="33"/>
    </row>
    <row r="1080" spans="1:30" ht="15.75" customHeight="1">
      <c r="A1080" s="151"/>
      <c r="B1080" s="31"/>
      <c r="C1080" s="31"/>
      <c r="D1080" s="31"/>
      <c r="E1080" s="34"/>
      <c r="F1080" s="34"/>
      <c r="G1080" s="34"/>
      <c r="H1080" s="34"/>
      <c r="I1080" s="34"/>
      <c r="J1080" s="34"/>
      <c r="K1080" s="34"/>
      <c r="L1080" s="34"/>
      <c r="M1080" s="34"/>
      <c r="N1080" s="34"/>
      <c r="O1080" s="34"/>
      <c r="P1080" s="34"/>
      <c r="Q1080" s="34"/>
      <c r="R1080" s="34"/>
      <c r="S1080" s="34"/>
      <c r="T1080" s="34"/>
      <c r="U1080" s="34"/>
      <c r="V1080" s="34"/>
      <c r="W1080" s="37"/>
      <c r="X1080" s="31"/>
      <c r="Y1080" s="478"/>
      <c r="Z1080" s="32"/>
      <c r="AA1080" s="662"/>
      <c r="AB1080" s="36"/>
      <c r="AC1080" s="36"/>
      <c r="AD1080" s="33"/>
    </row>
    <row r="1081" spans="1:30" ht="15.75" customHeight="1">
      <c r="A1081" s="151"/>
      <c r="B1081" s="31"/>
      <c r="C1081" s="31"/>
      <c r="D1081" s="31"/>
      <c r="E1081" s="34"/>
      <c r="F1081" s="34"/>
      <c r="G1081" s="34"/>
      <c r="H1081" s="34"/>
      <c r="I1081" s="34"/>
      <c r="J1081" s="34"/>
      <c r="K1081" s="34"/>
      <c r="L1081" s="34"/>
      <c r="M1081" s="34"/>
      <c r="N1081" s="34"/>
      <c r="O1081" s="34"/>
      <c r="P1081" s="34"/>
      <c r="Q1081" s="34"/>
      <c r="R1081" s="34"/>
      <c r="S1081" s="34"/>
      <c r="T1081" s="34"/>
      <c r="U1081" s="34"/>
      <c r="V1081" s="34"/>
      <c r="W1081" s="37"/>
      <c r="X1081" s="31"/>
      <c r="Y1081" s="478"/>
      <c r="Z1081" s="32"/>
      <c r="AA1081" s="662"/>
      <c r="AB1081" s="36"/>
      <c r="AC1081" s="36"/>
      <c r="AD1081" s="33"/>
    </row>
    <row r="1082" spans="1:30" ht="15.75" customHeight="1">
      <c r="A1082" s="151"/>
      <c r="B1082" s="31"/>
      <c r="C1082" s="31"/>
      <c r="D1082" s="31"/>
      <c r="E1082" s="34"/>
      <c r="F1082" s="34"/>
      <c r="G1082" s="34"/>
      <c r="H1082" s="34"/>
      <c r="I1082" s="34"/>
      <c r="J1082" s="34"/>
      <c r="K1082" s="34"/>
      <c r="L1082" s="34"/>
      <c r="M1082" s="34"/>
      <c r="N1082" s="34"/>
      <c r="O1082" s="34"/>
      <c r="P1082" s="34"/>
      <c r="Q1082" s="34"/>
      <c r="R1082" s="34"/>
      <c r="S1082" s="34"/>
      <c r="T1082" s="34"/>
      <c r="U1082" s="34"/>
      <c r="V1082" s="34"/>
      <c r="W1082" s="37"/>
      <c r="X1082" s="31"/>
      <c r="Y1082" s="478"/>
      <c r="Z1082" s="32"/>
      <c r="AA1082" s="662"/>
      <c r="AB1082" s="36"/>
      <c r="AC1082" s="36"/>
      <c r="AD1082" s="33"/>
    </row>
    <row r="1083" spans="1:30" ht="15.75" customHeight="1">
      <c r="A1083" s="151"/>
      <c r="B1083" s="31"/>
      <c r="C1083" s="31"/>
      <c r="D1083" s="31"/>
      <c r="E1083" s="34"/>
      <c r="F1083" s="34"/>
      <c r="G1083" s="34"/>
      <c r="H1083" s="34"/>
      <c r="I1083" s="34"/>
      <c r="J1083" s="34"/>
      <c r="K1083" s="34"/>
      <c r="L1083" s="34"/>
      <c r="M1083" s="34"/>
      <c r="N1083" s="34"/>
      <c r="O1083" s="34"/>
      <c r="P1083" s="34"/>
      <c r="Q1083" s="34"/>
      <c r="R1083" s="34"/>
      <c r="S1083" s="34"/>
      <c r="T1083" s="34"/>
      <c r="U1083" s="34"/>
      <c r="V1083" s="34"/>
      <c r="W1083" s="37"/>
      <c r="X1083" s="31"/>
      <c r="Y1083" s="478"/>
      <c r="Z1083" s="32"/>
      <c r="AA1083" s="662"/>
      <c r="AB1083" s="36"/>
      <c r="AC1083" s="36"/>
      <c r="AD1083" s="33"/>
    </row>
    <row r="1084" spans="1:30" ht="15.75" customHeight="1">
      <c r="A1084" s="151"/>
      <c r="B1084" s="31"/>
      <c r="C1084" s="31"/>
      <c r="D1084" s="31"/>
      <c r="E1084" s="34"/>
      <c r="F1084" s="34"/>
      <c r="G1084" s="34"/>
      <c r="H1084" s="34"/>
      <c r="I1084" s="34"/>
      <c r="J1084" s="34"/>
      <c r="K1084" s="34"/>
      <c r="L1084" s="34"/>
      <c r="M1084" s="34"/>
      <c r="N1084" s="34"/>
      <c r="O1084" s="34"/>
      <c r="P1084" s="34"/>
      <c r="Q1084" s="34"/>
      <c r="R1084" s="34"/>
      <c r="S1084" s="34"/>
      <c r="T1084" s="34"/>
      <c r="U1084" s="34"/>
      <c r="V1084" s="34"/>
      <c r="W1084" s="37"/>
      <c r="X1084" s="31"/>
      <c r="Y1084" s="478"/>
      <c r="Z1084" s="32"/>
      <c r="AA1084" s="662"/>
      <c r="AB1084" s="36"/>
      <c r="AC1084" s="36"/>
      <c r="AD1084" s="33"/>
    </row>
    <row r="1085" spans="1:30" ht="15.75" customHeight="1">
      <c r="A1085" s="151"/>
      <c r="B1085" s="31"/>
      <c r="C1085" s="31"/>
      <c r="D1085" s="31"/>
      <c r="E1085" s="34"/>
      <c r="F1085" s="34"/>
      <c r="G1085" s="34"/>
      <c r="H1085" s="34"/>
      <c r="I1085" s="34"/>
      <c r="J1085" s="34"/>
      <c r="K1085" s="34"/>
      <c r="L1085" s="34"/>
      <c r="M1085" s="34"/>
      <c r="N1085" s="34"/>
      <c r="O1085" s="34"/>
      <c r="P1085" s="34"/>
      <c r="Q1085" s="34"/>
      <c r="R1085" s="34"/>
      <c r="S1085" s="34"/>
      <c r="T1085" s="34"/>
      <c r="U1085" s="34"/>
      <c r="V1085" s="34"/>
      <c r="W1085" s="37"/>
      <c r="X1085" s="31"/>
      <c r="Y1085" s="478"/>
      <c r="Z1085" s="32"/>
      <c r="AA1085" s="662"/>
      <c r="AB1085" s="36"/>
      <c r="AC1085" s="36"/>
      <c r="AD1085" s="33"/>
    </row>
    <row r="1086" spans="1:30" ht="15.75" customHeight="1">
      <c r="A1086" s="151"/>
      <c r="B1086" s="31"/>
      <c r="C1086" s="31"/>
      <c r="D1086" s="31"/>
      <c r="E1086" s="34"/>
      <c r="F1086" s="34"/>
      <c r="G1086" s="34"/>
      <c r="H1086" s="34"/>
      <c r="I1086" s="34"/>
      <c r="J1086" s="34"/>
      <c r="K1086" s="34"/>
      <c r="L1086" s="34"/>
      <c r="M1086" s="34"/>
      <c r="N1086" s="34"/>
      <c r="O1086" s="34"/>
      <c r="P1086" s="34"/>
      <c r="Q1086" s="34"/>
      <c r="R1086" s="34"/>
      <c r="S1086" s="34"/>
      <c r="T1086" s="34"/>
      <c r="U1086" s="34"/>
      <c r="V1086" s="34"/>
      <c r="W1086" s="37"/>
      <c r="X1086" s="31"/>
      <c r="Y1086" s="478"/>
      <c r="Z1086" s="32"/>
      <c r="AA1086" s="662"/>
      <c r="AB1086" s="36"/>
      <c r="AC1086" s="36"/>
      <c r="AD1086" s="33"/>
    </row>
    <row r="1087" spans="1:30" ht="15.75" customHeight="1">
      <c r="A1087" s="151"/>
      <c r="B1087" s="31"/>
      <c r="C1087" s="31"/>
      <c r="D1087" s="31"/>
      <c r="E1087" s="34"/>
      <c r="F1087" s="34"/>
      <c r="G1087" s="34"/>
      <c r="H1087" s="34"/>
      <c r="I1087" s="34"/>
      <c r="J1087" s="34"/>
      <c r="K1087" s="34"/>
      <c r="L1087" s="34"/>
      <c r="M1087" s="34"/>
      <c r="N1087" s="34"/>
      <c r="O1087" s="34"/>
      <c r="P1087" s="34"/>
      <c r="Q1087" s="34"/>
      <c r="R1087" s="34"/>
      <c r="S1087" s="34"/>
      <c r="T1087" s="34"/>
      <c r="U1087" s="34"/>
      <c r="V1087" s="34"/>
      <c r="W1087" s="37"/>
      <c r="X1087" s="31"/>
      <c r="Y1087" s="478"/>
      <c r="Z1087" s="32"/>
      <c r="AA1087" s="662"/>
      <c r="AB1087" s="36"/>
      <c r="AC1087" s="36"/>
      <c r="AD1087" s="33"/>
    </row>
    <row r="1088" spans="1:30" ht="15.75" customHeight="1">
      <c r="A1088" s="151"/>
      <c r="B1088" s="31"/>
      <c r="C1088" s="31"/>
      <c r="D1088" s="31"/>
      <c r="E1088" s="34"/>
      <c r="F1088" s="34"/>
      <c r="G1088" s="34"/>
      <c r="H1088" s="34"/>
      <c r="I1088" s="34"/>
      <c r="J1088" s="34"/>
      <c r="K1088" s="34"/>
      <c r="L1088" s="34"/>
      <c r="M1088" s="34"/>
      <c r="N1088" s="34"/>
      <c r="O1088" s="34"/>
      <c r="P1088" s="34"/>
      <c r="Q1088" s="34"/>
      <c r="R1088" s="34"/>
      <c r="S1088" s="34"/>
      <c r="T1088" s="34"/>
      <c r="U1088" s="34"/>
      <c r="V1088" s="34"/>
      <c r="W1088" s="37"/>
      <c r="X1088" s="31"/>
      <c r="Y1088" s="478"/>
      <c r="Z1088" s="32"/>
      <c r="AA1088" s="662"/>
      <c r="AB1088" s="36"/>
      <c r="AC1088" s="36"/>
      <c r="AD1088" s="33"/>
    </row>
    <row r="1089" spans="1:30" ht="15.75" customHeight="1">
      <c r="A1089" s="151"/>
      <c r="B1089" s="31"/>
      <c r="C1089" s="31"/>
      <c r="D1089" s="31"/>
      <c r="E1089" s="34"/>
      <c r="F1089" s="34"/>
      <c r="G1089" s="34"/>
      <c r="H1089" s="34"/>
      <c r="I1089" s="34"/>
      <c r="J1089" s="34"/>
      <c r="K1089" s="34"/>
      <c r="L1089" s="34"/>
      <c r="M1089" s="34"/>
      <c r="N1089" s="34"/>
      <c r="O1089" s="34"/>
      <c r="P1089" s="34"/>
      <c r="Q1089" s="34"/>
      <c r="R1089" s="34"/>
      <c r="S1089" s="34"/>
      <c r="T1089" s="34"/>
      <c r="U1089" s="34"/>
      <c r="V1089" s="34"/>
      <c r="W1089" s="37"/>
      <c r="X1089" s="31"/>
      <c r="Y1089" s="478"/>
      <c r="Z1089" s="32"/>
      <c r="AA1089" s="662"/>
      <c r="AB1089" s="36"/>
      <c r="AC1089" s="36"/>
      <c r="AD1089" s="33"/>
    </row>
    <row r="1090" spans="1:30" ht="15.75" customHeight="1">
      <c r="A1090" s="151"/>
      <c r="B1090" s="31"/>
      <c r="C1090" s="31"/>
      <c r="D1090" s="31"/>
      <c r="E1090" s="34"/>
      <c r="F1090" s="34"/>
      <c r="G1090" s="34"/>
      <c r="H1090" s="34"/>
      <c r="I1090" s="34"/>
      <c r="J1090" s="34"/>
      <c r="K1090" s="34"/>
      <c r="L1090" s="34"/>
      <c r="M1090" s="34"/>
      <c r="N1090" s="34"/>
      <c r="O1090" s="34"/>
      <c r="P1090" s="34"/>
      <c r="Q1090" s="34"/>
      <c r="R1090" s="34"/>
      <c r="S1090" s="34"/>
      <c r="T1090" s="34"/>
      <c r="U1090" s="34"/>
      <c r="V1090" s="34"/>
      <c r="W1090" s="37"/>
      <c r="X1090" s="31"/>
      <c r="Y1090" s="478"/>
      <c r="Z1090" s="32"/>
      <c r="AA1090" s="662"/>
      <c r="AB1090" s="36"/>
      <c r="AC1090" s="36"/>
      <c r="AD1090" s="33"/>
    </row>
    <row r="1091" spans="1:30" ht="15.75" customHeight="1">
      <c r="A1091" s="151"/>
      <c r="B1091" s="31"/>
      <c r="C1091" s="31"/>
      <c r="D1091" s="31"/>
      <c r="E1091" s="34"/>
      <c r="F1091" s="34"/>
      <c r="G1091" s="34"/>
      <c r="H1091" s="34"/>
      <c r="I1091" s="34"/>
      <c r="J1091" s="34"/>
      <c r="K1091" s="34"/>
      <c r="L1091" s="34"/>
      <c r="M1091" s="34"/>
      <c r="N1091" s="34"/>
      <c r="O1091" s="34"/>
      <c r="P1091" s="34"/>
      <c r="Q1091" s="34"/>
      <c r="R1091" s="34"/>
      <c r="S1091" s="34"/>
      <c r="T1091" s="34"/>
      <c r="U1091" s="34"/>
      <c r="V1091" s="34"/>
      <c r="W1091" s="37"/>
      <c r="X1091" s="31"/>
      <c r="Y1091" s="478"/>
      <c r="Z1091" s="32"/>
      <c r="AA1091" s="662"/>
      <c r="AB1091" s="36"/>
      <c r="AC1091" s="36"/>
      <c r="AD1091" s="33"/>
    </row>
    <row r="1092" spans="1:30" ht="15.75" customHeight="1">
      <c r="A1092" s="151"/>
      <c r="B1092" s="31"/>
      <c r="C1092" s="31"/>
      <c r="D1092" s="31"/>
      <c r="E1092" s="34"/>
      <c r="F1092" s="34"/>
      <c r="G1092" s="34"/>
      <c r="H1092" s="34"/>
      <c r="I1092" s="34"/>
      <c r="J1092" s="34"/>
      <c r="K1092" s="34"/>
      <c r="L1092" s="34"/>
      <c r="M1092" s="34"/>
      <c r="N1092" s="34"/>
      <c r="O1092" s="34"/>
      <c r="P1092" s="34"/>
      <c r="Q1092" s="34"/>
      <c r="R1092" s="34"/>
      <c r="S1092" s="34"/>
      <c r="T1092" s="34"/>
      <c r="U1092" s="34"/>
      <c r="V1092" s="34"/>
      <c r="W1092" s="37"/>
      <c r="X1092" s="31"/>
      <c r="Y1092" s="478"/>
      <c r="Z1092" s="32"/>
      <c r="AA1092" s="662"/>
      <c r="AB1092" s="36"/>
      <c r="AC1092" s="36"/>
      <c r="AD1092" s="33"/>
    </row>
    <row r="1093" spans="1:30" ht="15.75" customHeight="1">
      <c r="A1093" s="151"/>
      <c r="B1093" s="31"/>
      <c r="C1093" s="31"/>
      <c r="D1093" s="31"/>
      <c r="E1093" s="34"/>
      <c r="F1093" s="34"/>
      <c r="G1093" s="34"/>
      <c r="H1093" s="34"/>
      <c r="I1093" s="34"/>
      <c r="J1093" s="34"/>
      <c r="K1093" s="34"/>
      <c r="L1093" s="34"/>
      <c r="M1093" s="34"/>
      <c r="N1093" s="34"/>
      <c r="O1093" s="34"/>
      <c r="P1093" s="34"/>
      <c r="Q1093" s="34"/>
      <c r="R1093" s="34"/>
      <c r="S1093" s="34"/>
      <c r="T1093" s="34"/>
      <c r="U1093" s="34"/>
      <c r="V1093" s="34"/>
      <c r="W1093" s="37"/>
      <c r="X1093" s="31"/>
      <c r="Y1093" s="478"/>
      <c r="Z1093" s="32"/>
      <c r="AA1093" s="662"/>
      <c r="AB1093" s="36"/>
      <c r="AC1093" s="36"/>
      <c r="AD1093" s="33"/>
    </row>
    <row r="1094" spans="1:30" ht="15.75" customHeight="1">
      <c r="A1094" s="151"/>
      <c r="B1094" s="31"/>
      <c r="C1094" s="31"/>
      <c r="D1094" s="31"/>
      <c r="E1094" s="34"/>
      <c r="F1094" s="34"/>
      <c r="G1094" s="34"/>
      <c r="H1094" s="34"/>
      <c r="I1094" s="34"/>
      <c r="J1094" s="34"/>
      <c r="K1094" s="34"/>
      <c r="L1094" s="34"/>
      <c r="M1094" s="34"/>
      <c r="N1094" s="34"/>
      <c r="O1094" s="34"/>
      <c r="P1094" s="34"/>
      <c r="Q1094" s="34"/>
      <c r="R1094" s="34"/>
      <c r="S1094" s="34"/>
      <c r="T1094" s="34"/>
      <c r="U1094" s="34"/>
      <c r="V1094" s="34"/>
      <c r="W1094" s="37"/>
      <c r="X1094" s="31"/>
      <c r="Y1094" s="478"/>
      <c r="Z1094" s="32"/>
      <c r="AA1094" s="662"/>
      <c r="AB1094" s="36"/>
      <c r="AC1094" s="36"/>
      <c r="AD1094" s="33"/>
    </row>
    <row r="1095" spans="1:30" ht="15.75" customHeight="1">
      <c r="A1095" s="151"/>
      <c r="B1095" s="31"/>
      <c r="C1095" s="31"/>
      <c r="D1095" s="31"/>
      <c r="E1095" s="34"/>
      <c r="F1095" s="34"/>
      <c r="G1095" s="34"/>
      <c r="H1095" s="34"/>
      <c r="I1095" s="34"/>
      <c r="J1095" s="34"/>
      <c r="K1095" s="34"/>
      <c r="L1095" s="34"/>
      <c r="M1095" s="34"/>
      <c r="N1095" s="34"/>
      <c r="O1095" s="34"/>
      <c r="P1095" s="34"/>
      <c r="Q1095" s="34"/>
      <c r="R1095" s="34"/>
      <c r="S1095" s="34"/>
      <c r="T1095" s="34"/>
      <c r="U1095" s="34"/>
      <c r="V1095" s="34"/>
      <c r="W1095" s="37"/>
      <c r="X1095" s="31"/>
      <c r="Y1095" s="478"/>
      <c r="Z1095" s="32"/>
      <c r="AA1095" s="662"/>
      <c r="AB1095" s="36"/>
      <c r="AC1095" s="36"/>
      <c r="AD1095" s="33"/>
    </row>
    <row r="1096" spans="1:30" ht="15" customHeight="1">
      <c r="A1096" s="151"/>
      <c r="B1096" s="32"/>
      <c r="C1096" s="32"/>
      <c r="D1096" s="32"/>
      <c r="E1096" s="36"/>
      <c r="F1096" s="36"/>
      <c r="G1096" s="36"/>
      <c r="H1096" s="36"/>
      <c r="I1096" s="36"/>
      <c r="J1096" s="36"/>
      <c r="K1096" s="36"/>
      <c r="L1096" s="36"/>
      <c r="M1096" s="36"/>
      <c r="N1096" s="36"/>
      <c r="O1096" s="36"/>
      <c r="P1096" s="36"/>
      <c r="Q1096" s="36"/>
      <c r="R1096" s="36"/>
      <c r="S1096" s="34"/>
      <c r="T1096" s="34"/>
      <c r="U1096" s="34"/>
      <c r="V1096" s="34"/>
      <c r="W1096" s="478"/>
      <c r="X1096" s="32"/>
      <c r="Y1096" s="478"/>
      <c r="Z1096" s="32"/>
      <c r="AA1096" s="662"/>
      <c r="AB1096" s="36"/>
      <c r="AC1096" s="36"/>
      <c r="AD1096" s="33"/>
    </row>
    <row r="1097" spans="1:30" ht="15" customHeight="1">
      <c r="A1097" s="36"/>
      <c r="B1097" s="32"/>
      <c r="C1097" s="32"/>
      <c r="D1097" s="32"/>
      <c r="E1097" s="36"/>
      <c r="F1097" s="36"/>
      <c r="G1097" s="36"/>
      <c r="H1097" s="36"/>
      <c r="I1097" s="36"/>
      <c r="J1097" s="36"/>
      <c r="K1097" s="36"/>
      <c r="L1097" s="36"/>
      <c r="M1097" s="36"/>
      <c r="N1097" s="36"/>
      <c r="O1097" s="36"/>
      <c r="P1097" s="36"/>
      <c r="Q1097" s="36"/>
      <c r="R1097" s="36"/>
      <c r="S1097" s="34"/>
      <c r="T1097" s="34"/>
      <c r="U1097" s="34"/>
      <c r="V1097" s="34"/>
      <c r="W1097" s="478"/>
      <c r="X1097" s="32"/>
      <c r="Y1097" s="478"/>
      <c r="Z1097" s="32"/>
      <c r="AA1097" s="662"/>
      <c r="AB1097" s="36"/>
      <c r="AC1097" s="36"/>
      <c r="AD1097" s="33"/>
    </row>
    <row r="1098" spans="1:30" ht="15" customHeight="1">
      <c r="A1098" s="36"/>
      <c r="B1098" s="32"/>
      <c r="C1098" s="32"/>
      <c r="D1098" s="32"/>
      <c r="E1098" s="36"/>
      <c r="F1098" s="36"/>
      <c r="G1098" s="36"/>
      <c r="H1098" s="36"/>
      <c r="I1098" s="36"/>
      <c r="J1098" s="36"/>
      <c r="K1098" s="36"/>
      <c r="L1098" s="36"/>
      <c r="M1098" s="36"/>
      <c r="N1098" s="36"/>
      <c r="O1098" s="36"/>
      <c r="P1098" s="36"/>
      <c r="Q1098" s="36"/>
      <c r="R1098" s="36"/>
      <c r="S1098" s="34"/>
      <c r="T1098" s="34"/>
      <c r="U1098" s="34"/>
      <c r="V1098" s="34"/>
      <c r="W1098" s="478"/>
      <c r="X1098" s="32"/>
      <c r="Y1098" s="478"/>
      <c r="Z1098" s="32"/>
      <c r="AA1098" s="662"/>
      <c r="AB1098" s="36"/>
      <c r="AC1098" s="36"/>
      <c r="AD1098" s="33"/>
    </row>
    <row r="1099" spans="1:30" ht="15" customHeight="1">
      <c r="A1099" s="36"/>
      <c r="B1099" s="32"/>
      <c r="C1099" s="32"/>
      <c r="D1099" s="32"/>
      <c r="E1099" s="36"/>
      <c r="F1099" s="36"/>
      <c r="G1099" s="36"/>
      <c r="H1099" s="36"/>
      <c r="I1099" s="36"/>
      <c r="J1099" s="36"/>
      <c r="K1099" s="36"/>
      <c r="L1099" s="36"/>
      <c r="M1099" s="36"/>
      <c r="N1099" s="36"/>
      <c r="O1099" s="36"/>
      <c r="P1099" s="36"/>
      <c r="Q1099" s="36"/>
      <c r="R1099" s="36"/>
      <c r="S1099" s="34"/>
      <c r="T1099" s="34"/>
      <c r="U1099" s="34"/>
      <c r="V1099" s="34"/>
      <c r="W1099" s="478"/>
      <c r="X1099" s="32"/>
      <c r="Y1099" s="478"/>
      <c r="Z1099" s="32"/>
      <c r="AA1099" s="662"/>
      <c r="AB1099" s="36"/>
      <c r="AC1099" s="36"/>
      <c r="AD1099" s="33"/>
    </row>
    <row r="1100" spans="1:30" ht="15" customHeight="1">
      <c r="A1100" s="36"/>
      <c r="B1100" s="32"/>
      <c r="C1100" s="32"/>
      <c r="D1100" s="32"/>
      <c r="E1100" s="36"/>
      <c r="F1100" s="36"/>
      <c r="G1100" s="36"/>
      <c r="H1100" s="36"/>
      <c r="I1100" s="36"/>
      <c r="J1100" s="36"/>
      <c r="K1100" s="36"/>
      <c r="L1100" s="36"/>
      <c r="M1100" s="36"/>
      <c r="N1100" s="36"/>
      <c r="O1100" s="36"/>
      <c r="P1100" s="36"/>
      <c r="Q1100" s="36"/>
      <c r="R1100" s="36"/>
      <c r="S1100" s="34"/>
      <c r="T1100" s="34"/>
      <c r="U1100" s="34"/>
      <c r="V1100" s="34"/>
      <c r="W1100" s="478"/>
      <c r="X1100" s="32"/>
      <c r="Y1100" s="478"/>
      <c r="Z1100" s="32"/>
      <c r="AA1100" s="662"/>
      <c r="AB1100" s="36"/>
      <c r="AC1100" s="36"/>
      <c r="AD1100" s="33"/>
    </row>
    <row r="1101" spans="1:30" ht="15" customHeight="1">
      <c r="A1101" s="36"/>
      <c r="B1101" s="32"/>
      <c r="C1101" s="32"/>
      <c r="D1101" s="32"/>
      <c r="E1101" s="36"/>
      <c r="F1101" s="36"/>
      <c r="G1101" s="36"/>
      <c r="H1101" s="36"/>
      <c r="I1101" s="36"/>
      <c r="J1101" s="36"/>
      <c r="K1101" s="36"/>
      <c r="L1101" s="36"/>
      <c r="M1101" s="36"/>
      <c r="N1101" s="36"/>
      <c r="O1101" s="36"/>
      <c r="P1101" s="36"/>
      <c r="Q1101" s="36"/>
      <c r="R1101" s="36"/>
      <c r="S1101" s="34"/>
      <c r="T1101" s="34"/>
      <c r="U1101" s="34"/>
      <c r="V1101" s="34"/>
      <c r="W1101" s="478"/>
      <c r="X1101" s="32"/>
      <c r="Y1101" s="478"/>
      <c r="Z1101" s="32"/>
      <c r="AA1101" s="662"/>
      <c r="AB1101" s="36"/>
      <c r="AC1101" s="36"/>
      <c r="AD1101" s="33"/>
    </row>
    <row r="1102" spans="1:30" ht="15" customHeight="1">
      <c r="A1102" s="36"/>
      <c r="B1102" s="32"/>
      <c r="C1102" s="32"/>
      <c r="D1102" s="32"/>
      <c r="E1102" s="36"/>
      <c r="F1102" s="36"/>
      <c r="G1102" s="36"/>
      <c r="H1102" s="36"/>
      <c r="I1102" s="36"/>
      <c r="J1102" s="36"/>
      <c r="K1102" s="36"/>
      <c r="L1102" s="36"/>
      <c r="M1102" s="36"/>
      <c r="N1102" s="36"/>
      <c r="O1102" s="36"/>
      <c r="P1102" s="36"/>
      <c r="Q1102" s="36"/>
      <c r="R1102" s="36"/>
      <c r="S1102" s="34"/>
      <c r="T1102" s="34"/>
      <c r="U1102" s="34"/>
      <c r="V1102" s="34"/>
      <c r="W1102" s="478"/>
      <c r="X1102" s="32"/>
      <c r="Y1102" s="478"/>
      <c r="Z1102" s="32"/>
      <c r="AA1102" s="662"/>
      <c r="AB1102" s="36"/>
      <c r="AC1102" s="36"/>
      <c r="AD1102" s="33"/>
    </row>
    <row r="1103" spans="1:30" ht="15" customHeight="1">
      <c r="A1103" s="36"/>
      <c r="B1103" s="32"/>
      <c r="C1103" s="32"/>
      <c r="D1103" s="32"/>
      <c r="E1103" s="36"/>
      <c r="F1103" s="36"/>
      <c r="G1103" s="36"/>
      <c r="H1103" s="36"/>
      <c r="I1103" s="36"/>
      <c r="J1103" s="36"/>
      <c r="K1103" s="36"/>
      <c r="L1103" s="36"/>
      <c r="M1103" s="36"/>
      <c r="N1103" s="36"/>
      <c r="O1103" s="36"/>
      <c r="P1103" s="36"/>
      <c r="Q1103" s="36"/>
      <c r="R1103" s="36"/>
      <c r="S1103" s="34"/>
      <c r="T1103" s="34"/>
      <c r="U1103" s="34"/>
      <c r="V1103" s="34"/>
      <c r="W1103" s="478"/>
      <c r="X1103" s="32"/>
      <c r="Y1103" s="478"/>
      <c r="Z1103" s="32"/>
      <c r="AA1103" s="662"/>
      <c r="AB1103" s="36"/>
      <c r="AC1103" s="36"/>
      <c r="AD1103" s="33"/>
    </row>
    <row r="1104" spans="1:30" ht="15" customHeight="1">
      <c r="A1104" s="36"/>
      <c r="B1104" s="32"/>
      <c r="C1104" s="32"/>
      <c r="D1104" s="32"/>
      <c r="E1104" s="36"/>
      <c r="F1104" s="36"/>
      <c r="G1104" s="36"/>
      <c r="H1104" s="36"/>
      <c r="I1104" s="36"/>
      <c r="J1104" s="36"/>
      <c r="K1104" s="36"/>
      <c r="L1104" s="36"/>
      <c r="M1104" s="36"/>
      <c r="N1104" s="36"/>
      <c r="O1104" s="36"/>
      <c r="P1104" s="36"/>
      <c r="Q1104" s="36"/>
      <c r="R1104" s="36"/>
      <c r="S1104" s="34"/>
      <c r="T1104" s="34"/>
      <c r="U1104" s="34"/>
      <c r="V1104" s="34"/>
      <c r="W1104" s="478"/>
      <c r="X1104" s="32"/>
      <c r="Y1104" s="478"/>
      <c r="Z1104" s="32"/>
      <c r="AA1104" s="662"/>
      <c r="AB1104" s="36"/>
      <c r="AC1104" s="36"/>
      <c r="AD1104" s="33"/>
    </row>
    <row r="1105" spans="1:30" ht="15" customHeight="1">
      <c r="A1105" s="36"/>
      <c r="B1105" s="32"/>
      <c r="C1105" s="32"/>
      <c r="D1105" s="32"/>
      <c r="E1105" s="36"/>
      <c r="F1105" s="36"/>
      <c r="G1105" s="36"/>
      <c r="H1105" s="36"/>
      <c r="I1105" s="36"/>
      <c r="J1105" s="36"/>
      <c r="K1105" s="36"/>
      <c r="L1105" s="36"/>
      <c r="M1105" s="36"/>
      <c r="N1105" s="36"/>
      <c r="O1105" s="36"/>
      <c r="P1105" s="36"/>
      <c r="Q1105" s="36"/>
      <c r="R1105" s="36"/>
      <c r="S1105" s="34"/>
      <c r="T1105" s="34"/>
      <c r="U1105" s="34"/>
      <c r="V1105" s="34"/>
      <c r="W1105" s="478"/>
      <c r="X1105" s="32"/>
      <c r="Y1105" s="478"/>
      <c r="Z1105" s="32"/>
      <c r="AA1105" s="662"/>
      <c r="AB1105" s="36"/>
      <c r="AC1105" s="36"/>
      <c r="AD1105" s="33"/>
    </row>
    <row r="1106" spans="1:30" ht="15" customHeight="1">
      <c r="A1106" s="36"/>
      <c r="B1106" s="32"/>
      <c r="C1106" s="32"/>
      <c r="D1106" s="32"/>
      <c r="E1106" s="36"/>
      <c r="F1106" s="36"/>
      <c r="G1106" s="36"/>
      <c r="H1106" s="36"/>
      <c r="I1106" s="36"/>
      <c r="J1106" s="36"/>
      <c r="K1106" s="36"/>
      <c r="L1106" s="36"/>
      <c r="M1106" s="36"/>
      <c r="N1106" s="36"/>
      <c r="O1106" s="36"/>
      <c r="P1106" s="36"/>
      <c r="Q1106" s="36"/>
      <c r="R1106" s="36"/>
      <c r="S1106" s="34"/>
      <c r="T1106" s="34"/>
      <c r="U1106" s="34"/>
      <c r="V1106" s="34"/>
      <c r="W1106" s="478"/>
      <c r="X1106" s="32"/>
      <c r="Y1106" s="478"/>
      <c r="Z1106" s="32"/>
      <c r="AA1106" s="662"/>
      <c r="AB1106" s="36"/>
      <c r="AC1106" s="36"/>
      <c r="AD1106" s="33"/>
    </row>
    <row r="1107" spans="1:30" ht="15" customHeight="1">
      <c r="A1107" s="36"/>
      <c r="B1107" s="32"/>
      <c r="C1107" s="32"/>
      <c r="D1107" s="32"/>
      <c r="E1107" s="36"/>
      <c r="F1107" s="36"/>
      <c r="G1107" s="36"/>
      <c r="H1107" s="36"/>
      <c r="I1107" s="36"/>
      <c r="J1107" s="36"/>
      <c r="K1107" s="36"/>
      <c r="L1107" s="36"/>
      <c r="M1107" s="36"/>
      <c r="N1107" s="36"/>
      <c r="O1107" s="36"/>
      <c r="P1107" s="36"/>
      <c r="Q1107" s="36"/>
      <c r="R1107" s="36"/>
      <c r="S1107" s="34"/>
      <c r="T1107" s="34"/>
      <c r="U1107" s="34"/>
      <c r="V1107" s="34"/>
      <c r="W1107" s="478"/>
      <c r="X1107" s="32"/>
      <c r="Y1107" s="478"/>
      <c r="Z1107" s="32"/>
      <c r="AA1107" s="662"/>
      <c r="AB1107" s="36"/>
      <c r="AC1107" s="36"/>
      <c r="AD1107" s="33"/>
    </row>
    <row r="1108" spans="1:30" ht="15" customHeight="1">
      <c r="A1108" s="36"/>
      <c r="B1108" s="32"/>
      <c r="C1108" s="32"/>
      <c r="D1108" s="32"/>
      <c r="E1108" s="36"/>
      <c r="F1108" s="36"/>
      <c r="G1108" s="36"/>
      <c r="H1108" s="36"/>
      <c r="I1108" s="36"/>
      <c r="J1108" s="36"/>
      <c r="K1108" s="36"/>
      <c r="L1108" s="36"/>
      <c r="M1108" s="36"/>
      <c r="N1108" s="36"/>
      <c r="O1108" s="36"/>
      <c r="P1108" s="36"/>
      <c r="Q1108" s="36"/>
      <c r="R1108" s="36"/>
      <c r="S1108" s="34"/>
      <c r="T1108" s="34"/>
      <c r="U1108" s="34"/>
      <c r="V1108" s="34"/>
      <c r="W1108" s="478"/>
      <c r="X1108" s="32"/>
      <c r="Y1108" s="478"/>
      <c r="Z1108" s="32"/>
      <c r="AA1108" s="662"/>
      <c r="AB1108" s="36"/>
      <c r="AC1108" s="36"/>
      <c r="AD1108" s="33"/>
    </row>
    <row r="1109" spans="1:30" ht="15" customHeight="1">
      <c r="A1109" s="36"/>
      <c r="B1109" s="32"/>
      <c r="C1109" s="32"/>
      <c r="D1109" s="32"/>
      <c r="E1109" s="36"/>
      <c r="F1109" s="36"/>
      <c r="G1109" s="36"/>
      <c r="H1109" s="36"/>
      <c r="I1109" s="36"/>
      <c r="J1109" s="36"/>
      <c r="K1109" s="36"/>
      <c r="L1109" s="36"/>
      <c r="M1109" s="36"/>
      <c r="N1109" s="36"/>
      <c r="O1109" s="36"/>
      <c r="P1109" s="36"/>
      <c r="Q1109" s="36"/>
      <c r="R1109" s="36"/>
      <c r="S1109" s="34"/>
      <c r="T1109" s="34"/>
      <c r="U1109" s="34"/>
      <c r="V1109" s="34"/>
      <c r="W1109" s="478"/>
      <c r="X1109" s="32"/>
      <c r="Y1109" s="478"/>
      <c r="Z1109" s="32"/>
      <c r="AA1109" s="662"/>
      <c r="AB1109" s="36"/>
      <c r="AC1109" s="36"/>
      <c r="AD1109" s="33"/>
    </row>
    <row r="1110" spans="1:30" ht="15" customHeight="1">
      <c r="A1110" s="36"/>
      <c r="B1110" s="32"/>
      <c r="C1110" s="32"/>
      <c r="D1110" s="32"/>
      <c r="E1110" s="36"/>
      <c r="F1110" s="36"/>
      <c r="G1110" s="36"/>
      <c r="H1110" s="36"/>
      <c r="I1110" s="36"/>
      <c r="J1110" s="36"/>
      <c r="K1110" s="36"/>
      <c r="L1110" s="36"/>
      <c r="M1110" s="36"/>
      <c r="N1110" s="36"/>
      <c r="O1110" s="36"/>
      <c r="P1110" s="36"/>
      <c r="Q1110" s="36"/>
      <c r="R1110" s="36"/>
      <c r="S1110" s="34"/>
      <c r="T1110" s="34"/>
      <c r="U1110" s="34"/>
      <c r="V1110" s="34"/>
      <c r="W1110" s="478"/>
      <c r="X1110" s="32"/>
      <c r="Y1110" s="478"/>
      <c r="Z1110" s="32"/>
      <c r="AA1110" s="662"/>
      <c r="AB1110" s="36"/>
      <c r="AC1110" s="36"/>
      <c r="AD1110" s="33"/>
    </row>
    <row r="1111" spans="1:30" ht="15" customHeight="1">
      <c r="A1111" s="36"/>
      <c r="B1111" s="32"/>
      <c r="C1111" s="32"/>
      <c r="D1111" s="32"/>
      <c r="E1111" s="36"/>
      <c r="F1111" s="36"/>
      <c r="G1111" s="36"/>
      <c r="H1111" s="36"/>
      <c r="I1111" s="36"/>
      <c r="J1111" s="36"/>
      <c r="K1111" s="36"/>
      <c r="L1111" s="36"/>
      <c r="M1111" s="36"/>
      <c r="N1111" s="36"/>
      <c r="O1111" s="36"/>
      <c r="P1111" s="36"/>
      <c r="Q1111" s="36"/>
      <c r="R1111" s="36"/>
      <c r="S1111" s="34"/>
      <c r="T1111" s="34"/>
      <c r="U1111" s="34"/>
      <c r="V1111" s="34"/>
      <c r="W1111" s="478"/>
      <c r="X1111" s="32"/>
      <c r="Y1111" s="478"/>
      <c r="Z1111" s="32"/>
      <c r="AA1111" s="662"/>
      <c r="AB1111" s="36"/>
      <c r="AC1111" s="36"/>
      <c r="AD1111" s="33"/>
    </row>
    <row r="1112" spans="1:30" ht="15" customHeight="1">
      <c r="A1112" s="36"/>
      <c r="B1112" s="32"/>
      <c r="C1112" s="32"/>
      <c r="D1112" s="32"/>
      <c r="E1112" s="36"/>
      <c r="F1112" s="36"/>
      <c r="G1112" s="36"/>
      <c r="H1112" s="36"/>
      <c r="I1112" s="36"/>
      <c r="J1112" s="36"/>
      <c r="K1112" s="36"/>
      <c r="L1112" s="36"/>
      <c r="M1112" s="36"/>
      <c r="N1112" s="36"/>
      <c r="O1112" s="36"/>
      <c r="P1112" s="36"/>
      <c r="Q1112" s="36"/>
      <c r="R1112" s="36"/>
      <c r="S1112" s="34"/>
      <c r="T1112" s="34"/>
      <c r="U1112" s="34"/>
      <c r="V1112" s="34"/>
      <c r="W1112" s="478"/>
      <c r="X1112" s="32"/>
      <c r="Y1112" s="478"/>
      <c r="Z1112" s="32"/>
      <c r="AA1112" s="662"/>
      <c r="AB1112" s="36"/>
      <c r="AC1112" s="36"/>
      <c r="AD1112" s="33"/>
    </row>
    <row r="1113" spans="1:30" ht="15" customHeight="1">
      <c r="A1113" s="36"/>
      <c r="B1113" s="32"/>
      <c r="C1113" s="32"/>
      <c r="D1113" s="32"/>
      <c r="E1113" s="36"/>
      <c r="F1113" s="36"/>
      <c r="G1113" s="36"/>
      <c r="H1113" s="36"/>
      <c r="I1113" s="36"/>
      <c r="J1113" s="36"/>
      <c r="K1113" s="36"/>
      <c r="L1113" s="36"/>
      <c r="M1113" s="36"/>
      <c r="N1113" s="36"/>
      <c r="O1113" s="36"/>
      <c r="P1113" s="36"/>
      <c r="Q1113" s="36"/>
      <c r="R1113" s="36"/>
      <c r="S1113" s="34"/>
      <c r="T1113" s="34"/>
      <c r="U1113" s="34"/>
      <c r="V1113" s="34"/>
      <c r="W1113" s="478"/>
      <c r="X1113" s="32"/>
      <c r="Y1113" s="478"/>
      <c r="Z1113" s="32"/>
      <c r="AA1113" s="662"/>
      <c r="AB1113" s="36"/>
      <c r="AC1113" s="36"/>
      <c r="AD1113" s="33"/>
    </row>
    <row r="1114" spans="1:30" ht="15" customHeight="1">
      <c r="A1114" s="36"/>
      <c r="B1114" s="32"/>
      <c r="C1114" s="32"/>
      <c r="D1114" s="32"/>
      <c r="E1114" s="36"/>
      <c r="F1114" s="36"/>
      <c r="G1114" s="36"/>
      <c r="H1114" s="36"/>
      <c r="I1114" s="36"/>
      <c r="J1114" s="36"/>
      <c r="K1114" s="36"/>
      <c r="L1114" s="36"/>
      <c r="M1114" s="36"/>
      <c r="N1114" s="36"/>
      <c r="O1114" s="36"/>
      <c r="P1114" s="36"/>
      <c r="Q1114" s="36"/>
      <c r="R1114" s="36"/>
      <c r="S1114" s="34"/>
      <c r="T1114" s="34"/>
      <c r="U1114" s="34"/>
      <c r="V1114" s="34"/>
      <c r="W1114" s="478"/>
      <c r="X1114" s="32"/>
      <c r="Y1114" s="478"/>
      <c r="Z1114" s="32"/>
      <c r="AA1114" s="662"/>
      <c r="AB1114" s="36"/>
      <c r="AC1114" s="36"/>
      <c r="AD1114" s="33"/>
    </row>
    <row r="1115" spans="1:30" ht="15" customHeight="1">
      <c r="A1115" s="36"/>
      <c r="B1115" s="32"/>
      <c r="C1115" s="32"/>
      <c r="D1115" s="32"/>
      <c r="E1115" s="36"/>
      <c r="F1115" s="36"/>
      <c r="G1115" s="36"/>
      <c r="H1115" s="36"/>
      <c r="I1115" s="36"/>
      <c r="J1115" s="36"/>
      <c r="K1115" s="36"/>
      <c r="L1115" s="36"/>
      <c r="M1115" s="36"/>
      <c r="N1115" s="36"/>
      <c r="O1115" s="36"/>
      <c r="P1115" s="36"/>
      <c r="Q1115" s="36"/>
      <c r="R1115" s="36"/>
      <c r="S1115" s="34"/>
      <c r="T1115" s="34"/>
      <c r="U1115" s="34"/>
      <c r="V1115" s="34"/>
      <c r="W1115" s="478"/>
      <c r="X1115" s="32"/>
      <c r="Y1115" s="478"/>
      <c r="Z1115" s="32"/>
      <c r="AA1115" s="662"/>
      <c r="AB1115" s="36"/>
      <c r="AC1115" s="36"/>
      <c r="AD1115" s="33"/>
    </row>
    <row r="1116" spans="1:30" ht="15" customHeight="1">
      <c r="A1116" s="36"/>
      <c r="B1116" s="32"/>
      <c r="C1116" s="32"/>
      <c r="D1116" s="32"/>
      <c r="E1116" s="36"/>
      <c r="F1116" s="36"/>
      <c r="G1116" s="36"/>
      <c r="H1116" s="36"/>
      <c r="I1116" s="36"/>
      <c r="J1116" s="36"/>
      <c r="K1116" s="36"/>
      <c r="L1116" s="36"/>
      <c r="M1116" s="36"/>
      <c r="N1116" s="36"/>
      <c r="O1116" s="36"/>
      <c r="P1116" s="36"/>
      <c r="Q1116" s="36"/>
      <c r="R1116" s="36"/>
      <c r="S1116" s="34"/>
      <c r="T1116" s="34"/>
      <c r="U1116" s="34"/>
      <c r="V1116" s="34"/>
      <c r="W1116" s="478"/>
      <c r="X1116" s="32"/>
      <c r="Y1116" s="478"/>
      <c r="Z1116" s="32"/>
      <c r="AA1116" s="662"/>
      <c r="AB1116" s="36"/>
      <c r="AC1116" s="36"/>
      <c r="AD1116" s="33"/>
    </row>
    <row r="1117" spans="1:30" ht="15" customHeight="1">
      <c r="A1117" s="36"/>
      <c r="B1117" s="32"/>
      <c r="C1117" s="32"/>
      <c r="D1117" s="32"/>
      <c r="E1117" s="36"/>
      <c r="F1117" s="36"/>
      <c r="G1117" s="36"/>
      <c r="H1117" s="36"/>
      <c r="I1117" s="36"/>
      <c r="J1117" s="36"/>
      <c r="K1117" s="36"/>
      <c r="L1117" s="36"/>
      <c r="M1117" s="36"/>
      <c r="N1117" s="36"/>
      <c r="O1117" s="36"/>
      <c r="P1117" s="36"/>
      <c r="Q1117" s="36"/>
      <c r="R1117" s="36"/>
      <c r="S1117" s="34"/>
      <c r="T1117" s="34"/>
      <c r="U1117" s="34"/>
      <c r="V1117" s="34"/>
      <c r="W1117" s="478"/>
      <c r="X1117" s="32"/>
      <c r="Y1117" s="478"/>
      <c r="Z1117" s="32"/>
      <c r="AA1117" s="662"/>
      <c r="AB1117" s="36"/>
      <c r="AC1117" s="36"/>
      <c r="AD1117" s="33"/>
    </row>
    <row r="1118" spans="1:30" ht="15" customHeight="1">
      <c r="A1118" s="36"/>
      <c r="B1118" s="32"/>
      <c r="C1118" s="32"/>
      <c r="D1118" s="32"/>
      <c r="E1118" s="36"/>
      <c r="F1118" s="36"/>
      <c r="G1118" s="36"/>
      <c r="H1118" s="36"/>
      <c r="I1118" s="36"/>
      <c r="J1118" s="36"/>
      <c r="K1118" s="36"/>
      <c r="L1118" s="36"/>
      <c r="M1118" s="36"/>
      <c r="N1118" s="36"/>
      <c r="O1118" s="36"/>
      <c r="P1118" s="36"/>
      <c r="Q1118" s="36"/>
      <c r="R1118" s="36"/>
      <c r="S1118" s="34"/>
      <c r="T1118" s="34"/>
      <c r="U1118" s="34"/>
      <c r="V1118" s="34"/>
      <c r="W1118" s="478"/>
      <c r="X1118" s="32"/>
      <c r="Y1118" s="478"/>
      <c r="Z1118" s="32"/>
      <c r="AA1118" s="662"/>
      <c r="AB1118" s="36"/>
      <c r="AC1118" s="36"/>
      <c r="AD1118" s="33"/>
    </row>
    <row r="1119" spans="1:30" ht="15" customHeight="1">
      <c r="A1119" s="36"/>
      <c r="B1119" s="32"/>
      <c r="C1119" s="32"/>
      <c r="D1119" s="32"/>
      <c r="E1119" s="36"/>
      <c r="F1119" s="36"/>
      <c r="G1119" s="36"/>
      <c r="H1119" s="36"/>
      <c r="I1119" s="36"/>
      <c r="J1119" s="36"/>
      <c r="K1119" s="36"/>
      <c r="L1119" s="36"/>
      <c r="M1119" s="36"/>
      <c r="N1119" s="36"/>
      <c r="O1119" s="36"/>
      <c r="P1119" s="36"/>
      <c r="Q1119" s="36"/>
      <c r="R1119" s="36"/>
      <c r="S1119" s="34"/>
      <c r="T1119" s="34"/>
      <c r="U1119" s="34"/>
      <c r="V1119" s="34"/>
      <c r="W1119" s="478"/>
      <c r="X1119" s="32"/>
      <c r="Y1119" s="478"/>
      <c r="Z1119" s="32"/>
      <c r="AA1119" s="662"/>
      <c r="AB1119" s="36"/>
      <c r="AC1119" s="36"/>
      <c r="AD1119" s="33"/>
    </row>
    <row r="1120" spans="1:30" ht="15" customHeight="1">
      <c r="A1120" s="36"/>
      <c r="B1120" s="32"/>
      <c r="C1120" s="32"/>
      <c r="D1120" s="32"/>
      <c r="E1120" s="36"/>
      <c r="F1120" s="36"/>
      <c r="G1120" s="36"/>
      <c r="H1120" s="36"/>
      <c r="I1120" s="36"/>
      <c r="J1120" s="36"/>
      <c r="K1120" s="36"/>
      <c r="L1120" s="36"/>
      <c r="M1120" s="36"/>
      <c r="N1120" s="36"/>
      <c r="O1120" s="36"/>
      <c r="P1120" s="36"/>
      <c r="Q1120" s="36"/>
      <c r="R1120" s="36"/>
      <c r="S1120" s="34"/>
      <c r="T1120" s="34"/>
      <c r="U1120" s="34"/>
      <c r="V1120" s="34"/>
      <c r="W1120" s="478"/>
      <c r="X1120" s="32"/>
      <c r="Y1120" s="478"/>
      <c r="Z1120" s="32"/>
      <c r="AA1120" s="662"/>
      <c r="AB1120" s="36"/>
      <c r="AC1120" s="36"/>
      <c r="AD1120" s="33"/>
    </row>
    <row r="1121" spans="1:30" ht="15" customHeight="1">
      <c r="A1121" s="36"/>
      <c r="B1121" s="32"/>
      <c r="C1121" s="32"/>
      <c r="D1121" s="32"/>
      <c r="E1121" s="36"/>
      <c r="F1121" s="36"/>
      <c r="G1121" s="36"/>
      <c r="H1121" s="36"/>
      <c r="I1121" s="36"/>
      <c r="J1121" s="36"/>
      <c r="K1121" s="36"/>
      <c r="L1121" s="36"/>
      <c r="M1121" s="36"/>
      <c r="N1121" s="36"/>
      <c r="O1121" s="36"/>
      <c r="P1121" s="36"/>
      <c r="Q1121" s="36"/>
      <c r="R1121" s="36"/>
      <c r="S1121" s="34"/>
      <c r="T1121" s="34"/>
      <c r="U1121" s="34"/>
      <c r="V1121" s="34"/>
      <c r="W1121" s="478"/>
      <c r="X1121" s="32"/>
      <c r="Y1121" s="478"/>
      <c r="Z1121" s="32"/>
      <c r="AA1121" s="662"/>
      <c r="AB1121" s="36"/>
      <c r="AC1121" s="36"/>
      <c r="AD1121" s="33"/>
    </row>
    <row r="1122" spans="1:30" ht="15" customHeight="1">
      <c r="A1122" s="36"/>
      <c r="B1122" s="32"/>
      <c r="C1122" s="32"/>
      <c r="D1122" s="32"/>
      <c r="E1122" s="36"/>
      <c r="F1122" s="36"/>
      <c r="G1122" s="36"/>
      <c r="H1122" s="36"/>
      <c r="I1122" s="36"/>
      <c r="J1122" s="36"/>
      <c r="K1122" s="36"/>
      <c r="L1122" s="36"/>
      <c r="M1122" s="36"/>
      <c r="N1122" s="36"/>
      <c r="O1122" s="36"/>
      <c r="P1122" s="36"/>
      <c r="Q1122" s="36"/>
      <c r="R1122" s="36"/>
      <c r="S1122" s="34"/>
      <c r="T1122" s="34"/>
      <c r="U1122" s="34"/>
      <c r="V1122" s="34"/>
      <c r="W1122" s="478"/>
      <c r="X1122" s="32"/>
      <c r="Y1122" s="478"/>
      <c r="Z1122" s="32"/>
      <c r="AA1122" s="662"/>
      <c r="AB1122" s="36"/>
      <c r="AC1122" s="36"/>
      <c r="AD1122" s="33"/>
    </row>
    <row r="1123" spans="1:30" ht="15" customHeight="1">
      <c r="A1123" s="36"/>
      <c r="B1123" s="32"/>
      <c r="C1123" s="32"/>
      <c r="D1123" s="32"/>
      <c r="E1123" s="36"/>
      <c r="F1123" s="36"/>
      <c r="G1123" s="36"/>
      <c r="H1123" s="36"/>
      <c r="I1123" s="36"/>
      <c r="J1123" s="36"/>
      <c r="K1123" s="36"/>
      <c r="L1123" s="36"/>
      <c r="M1123" s="36"/>
      <c r="N1123" s="36"/>
      <c r="O1123" s="36"/>
      <c r="P1123" s="36"/>
      <c r="Q1123" s="36"/>
      <c r="R1123" s="36"/>
      <c r="S1123" s="34"/>
      <c r="T1123" s="34"/>
      <c r="U1123" s="34"/>
      <c r="V1123" s="34"/>
      <c r="W1123" s="478"/>
      <c r="X1123" s="32"/>
      <c r="Y1123" s="478"/>
      <c r="Z1123" s="32"/>
      <c r="AA1123" s="662"/>
      <c r="AB1123" s="36"/>
      <c r="AC1123" s="36"/>
      <c r="AD1123" s="33"/>
    </row>
    <row r="1124" spans="1:30" ht="15" customHeight="1">
      <c r="A1124" s="36"/>
      <c r="B1124" s="32"/>
      <c r="C1124" s="32"/>
      <c r="D1124" s="32"/>
      <c r="E1124" s="36"/>
      <c r="F1124" s="36"/>
      <c r="G1124" s="36"/>
      <c r="H1124" s="36"/>
      <c r="I1124" s="36"/>
      <c r="J1124" s="36"/>
      <c r="K1124" s="36"/>
      <c r="L1124" s="36"/>
      <c r="M1124" s="36"/>
      <c r="N1124" s="36"/>
      <c r="O1124" s="36"/>
      <c r="P1124" s="36"/>
      <c r="Q1124" s="36"/>
      <c r="R1124" s="36"/>
      <c r="S1124" s="34"/>
      <c r="T1124" s="34"/>
      <c r="U1124" s="34"/>
      <c r="V1124" s="34"/>
      <c r="W1124" s="478"/>
      <c r="X1124" s="32"/>
      <c r="Y1124" s="478"/>
      <c r="Z1124" s="32"/>
      <c r="AA1124" s="662"/>
      <c r="AB1124" s="36"/>
      <c r="AC1124" s="36"/>
      <c r="AD1124" s="33"/>
    </row>
    <row r="1125" spans="1:30" ht="15" customHeight="1">
      <c r="A1125" s="36"/>
      <c r="B1125" s="32"/>
      <c r="C1125" s="32"/>
      <c r="D1125" s="32"/>
      <c r="E1125" s="36"/>
      <c r="F1125" s="36"/>
      <c r="G1125" s="36"/>
      <c r="H1125" s="36"/>
      <c r="I1125" s="36"/>
      <c r="J1125" s="36"/>
      <c r="K1125" s="36"/>
      <c r="L1125" s="36"/>
      <c r="M1125" s="36"/>
      <c r="N1125" s="36"/>
      <c r="O1125" s="36"/>
      <c r="P1125" s="36"/>
      <c r="Q1125" s="36"/>
      <c r="R1125" s="36"/>
      <c r="S1125" s="34"/>
      <c r="T1125" s="34"/>
      <c r="U1125" s="34"/>
      <c r="V1125" s="34"/>
      <c r="W1125" s="478"/>
      <c r="X1125" s="32"/>
      <c r="Y1125" s="478"/>
      <c r="Z1125" s="32"/>
      <c r="AA1125" s="662"/>
      <c r="AB1125" s="36"/>
      <c r="AC1125" s="36"/>
      <c r="AD1125" s="33"/>
    </row>
    <row r="1126" spans="1:30" ht="15" customHeight="1">
      <c r="A1126" s="36"/>
      <c r="B1126" s="32"/>
      <c r="C1126" s="32"/>
      <c r="D1126" s="32"/>
      <c r="E1126" s="36"/>
      <c r="F1126" s="36"/>
      <c r="G1126" s="36"/>
      <c r="H1126" s="36"/>
      <c r="I1126" s="36"/>
      <c r="J1126" s="36"/>
      <c r="K1126" s="36"/>
      <c r="L1126" s="36"/>
      <c r="M1126" s="36"/>
      <c r="N1126" s="36"/>
      <c r="O1126" s="36"/>
      <c r="P1126" s="36"/>
      <c r="Q1126" s="36"/>
      <c r="R1126" s="36"/>
      <c r="S1126" s="34"/>
      <c r="T1126" s="34"/>
      <c r="U1126" s="34"/>
      <c r="V1126" s="34"/>
      <c r="W1126" s="478"/>
      <c r="X1126" s="32"/>
      <c r="Y1126" s="478"/>
      <c r="Z1126" s="32"/>
      <c r="AA1126" s="662"/>
      <c r="AB1126" s="36"/>
      <c r="AC1126" s="36"/>
      <c r="AD1126" s="33"/>
    </row>
    <row r="1127" spans="1:30" ht="15" customHeight="1">
      <c r="A1127" s="36"/>
      <c r="B1127" s="32"/>
      <c r="C1127" s="32"/>
      <c r="D1127" s="32"/>
      <c r="E1127" s="36"/>
      <c r="F1127" s="36"/>
      <c r="G1127" s="36"/>
      <c r="H1127" s="36"/>
      <c r="I1127" s="36"/>
      <c r="J1127" s="36"/>
      <c r="K1127" s="36"/>
      <c r="L1127" s="36"/>
      <c r="M1127" s="36"/>
      <c r="N1127" s="36"/>
      <c r="O1127" s="36"/>
      <c r="P1127" s="36"/>
      <c r="Q1127" s="36"/>
      <c r="R1127" s="36"/>
      <c r="S1127" s="34"/>
      <c r="T1127" s="34"/>
      <c r="U1127" s="34"/>
      <c r="V1127" s="34"/>
      <c r="W1127" s="478"/>
      <c r="X1127" s="32"/>
      <c r="Y1127" s="478"/>
      <c r="Z1127" s="32"/>
      <c r="AA1127" s="662"/>
      <c r="AB1127" s="36"/>
      <c r="AC1127" s="36"/>
      <c r="AD1127" s="33"/>
    </row>
    <row r="1128" spans="1:30" ht="15" customHeight="1">
      <c r="A1128" s="36"/>
      <c r="B1128" s="32"/>
      <c r="C1128" s="32"/>
      <c r="D1128" s="32"/>
      <c r="E1128" s="36"/>
      <c r="F1128" s="36"/>
      <c r="G1128" s="36"/>
      <c r="H1128" s="36"/>
      <c r="I1128" s="36"/>
      <c r="J1128" s="36"/>
      <c r="K1128" s="36"/>
      <c r="L1128" s="36"/>
      <c r="M1128" s="36"/>
      <c r="N1128" s="36"/>
      <c r="O1128" s="36"/>
      <c r="P1128" s="36"/>
      <c r="Q1128" s="36"/>
      <c r="R1128" s="36"/>
      <c r="S1128" s="34"/>
      <c r="T1128" s="34"/>
      <c r="U1128" s="34"/>
      <c r="V1128" s="34"/>
      <c r="W1128" s="478"/>
      <c r="X1128" s="32"/>
      <c r="Y1128" s="478"/>
      <c r="Z1128" s="32"/>
      <c r="AA1128" s="662"/>
      <c r="AB1128" s="36"/>
      <c r="AC1128" s="36"/>
      <c r="AD1128" s="33"/>
    </row>
    <row r="1129" spans="1:30" ht="15" customHeight="1">
      <c r="A1129" s="36"/>
      <c r="B1129" s="32"/>
      <c r="C1129" s="32"/>
      <c r="D1129" s="32"/>
      <c r="E1129" s="36"/>
      <c r="F1129" s="36"/>
      <c r="G1129" s="36"/>
      <c r="H1129" s="36"/>
      <c r="I1129" s="36"/>
      <c r="J1129" s="36"/>
      <c r="K1129" s="36"/>
      <c r="L1129" s="36"/>
      <c r="M1129" s="36"/>
      <c r="N1129" s="36"/>
      <c r="O1129" s="36"/>
      <c r="P1129" s="36"/>
      <c r="Q1129" s="36"/>
      <c r="R1129" s="36"/>
      <c r="S1129" s="34"/>
      <c r="T1129" s="34"/>
      <c r="U1129" s="34"/>
      <c r="V1129" s="34"/>
      <c r="W1129" s="478"/>
      <c r="X1129" s="32"/>
      <c r="Y1129" s="478"/>
      <c r="Z1129" s="32"/>
      <c r="AA1129" s="662"/>
      <c r="AB1129" s="36"/>
      <c r="AC1129" s="36"/>
      <c r="AD1129" s="33"/>
    </row>
    <row r="1130" spans="1:30" ht="15" customHeight="1">
      <c r="A1130" s="36"/>
      <c r="B1130" s="32"/>
      <c r="C1130" s="32"/>
      <c r="D1130" s="32"/>
      <c r="E1130" s="36"/>
      <c r="F1130" s="36"/>
      <c r="G1130" s="36"/>
      <c r="H1130" s="36"/>
      <c r="I1130" s="36"/>
      <c r="J1130" s="36"/>
      <c r="K1130" s="36"/>
      <c r="L1130" s="36"/>
      <c r="M1130" s="36"/>
      <c r="N1130" s="36"/>
      <c r="O1130" s="36"/>
      <c r="P1130" s="36"/>
      <c r="Q1130" s="36"/>
      <c r="R1130" s="36"/>
      <c r="S1130" s="34"/>
      <c r="T1130" s="34"/>
      <c r="U1130" s="34"/>
      <c r="V1130" s="34"/>
      <c r="W1130" s="478"/>
      <c r="X1130" s="32"/>
      <c r="Y1130" s="478"/>
      <c r="Z1130" s="32"/>
      <c r="AA1130" s="662"/>
      <c r="AB1130" s="36"/>
      <c r="AC1130" s="36"/>
      <c r="AD1130" s="33"/>
    </row>
    <row r="1131" spans="1:30" ht="15" customHeight="1">
      <c r="A1131" s="36"/>
      <c r="B1131" s="32"/>
      <c r="C1131" s="32"/>
      <c r="D1131" s="32"/>
      <c r="E1131" s="36"/>
      <c r="F1131" s="36"/>
      <c r="G1131" s="36"/>
      <c r="H1131" s="36"/>
      <c r="I1131" s="36"/>
      <c r="J1131" s="36"/>
      <c r="K1131" s="36"/>
      <c r="L1131" s="36"/>
      <c r="M1131" s="36"/>
      <c r="N1131" s="36"/>
      <c r="O1131" s="36"/>
      <c r="P1131" s="36"/>
      <c r="Q1131" s="36"/>
      <c r="R1131" s="36"/>
      <c r="S1131" s="34"/>
      <c r="T1131" s="34"/>
      <c r="U1131" s="34"/>
      <c r="V1131" s="34"/>
      <c r="W1131" s="478"/>
      <c r="X1131" s="32"/>
      <c r="Y1131" s="478"/>
      <c r="Z1131" s="32"/>
      <c r="AA1131" s="662"/>
      <c r="AB1131" s="36"/>
      <c r="AC1131" s="36"/>
      <c r="AD1131" s="33"/>
    </row>
    <row r="1132" spans="1:30" ht="15" customHeight="1">
      <c r="A1132" s="36"/>
      <c r="B1132" s="32"/>
      <c r="C1132" s="32"/>
      <c r="D1132" s="32"/>
      <c r="E1132" s="36"/>
      <c r="F1132" s="36"/>
      <c r="G1132" s="36"/>
      <c r="H1132" s="36"/>
      <c r="I1132" s="36"/>
      <c r="J1132" s="36"/>
      <c r="K1132" s="36"/>
      <c r="L1132" s="36"/>
      <c r="M1132" s="36"/>
      <c r="N1132" s="36"/>
      <c r="O1132" s="36"/>
      <c r="P1132" s="36"/>
      <c r="Q1132" s="36"/>
      <c r="R1132" s="36"/>
      <c r="S1132" s="34"/>
      <c r="T1132" s="34"/>
      <c r="U1132" s="34"/>
      <c r="V1132" s="34"/>
      <c r="W1132" s="478"/>
      <c r="X1132" s="32"/>
      <c r="Y1132" s="478"/>
      <c r="Z1132" s="32"/>
      <c r="AA1132" s="662"/>
      <c r="AB1132" s="36"/>
      <c r="AC1132" s="36"/>
      <c r="AD1132" s="33"/>
    </row>
    <row r="1133" spans="1:30" ht="15" customHeight="1">
      <c r="A1133" s="36"/>
      <c r="B1133" s="32"/>
      <c r="C1133" s="32"/>
      <c r="D1133" s="32"/>
      <c r="E1133" s="36"/>
      <c r="F1133" s="36"/>
      <c r="G1133" s="36"/>
      <c r="H1133" s="36"/>
      <c r="I1133" s="36"/>
      <c r="J1133" s="36"/>
      <c r="K1133" s="36"/>
      <c r="L1133" s="36"/>
      <c r="M1133" s="36"/>
      <c r="N1133" s="36"/>
      <c r="O1133" s="36"/>
      <c r="P1133" s="36"/>
      <c r="Q1133" s="36"/>
      <c r="R1133" s="36"/>
      <c r="S1133" s="34"/>
      <c r="T1133" s="34"/>
      <c r="U1133" s="34"/>
      <c r="V1133" s="34"/>
      <c r="W1133" s="478"/>
      <c r="X1133" s="32"/>
      <c r="Y1133" s="478"/>
      <c r="Z1133" s="32"/>
      <c r="AA1133" s="662"/>
      <c r="AB1133" s="36"/>
      <c r="AC1133" s="36"/>
      <c r="AD1133" s="33"/>
    </row>
    <row r="1134" spans="1:30" ht="15" customHeight="1">
      <c r="A1134" s="36"/>
      <c r="B1134" s="32"/>
      <c r="C1134" s="32"/>
      <c r="D1134" s="32"/>
      <c r="E1134" s="36"/>
      <c r="F1134" s="36"/>
      <c r="G1134" s="36"/>
      <c r="H1134" s="36"/>
      <c r="I1134" s="36"/>
      <c r="J1134" s="36"/>
      <c r="K1134" s="36"/>
      <c r="L1134" s="36"/>
      <c r="M1134" s="36"/>
      <c r="N1134" s="36"/>
      <c r="O1134" s="36"/>
      <c r="P1134" s="36"/>
      <c r="Q1134" s="36"/>
      <c r="R1134" s="36"/>
      <c r="S1134" s="34"/>
      <c r="T1134" s="34"/>
      <c r="U1134" s="34"/>
      <c r="V1134" s="34"/>
      <c r="W1134" s="478"/>
      <c r="X1134" s="32"/>
      <c r="Y1134" s="478"/>
      <c r="Z1134" s="32"/>
      <c r="AA1134" s="662"/>
      <c r="AB1134" s="36"/>
      <c r="AC1134" s="36"/>
      <c r="AD1134" s="33"/>
    </row>
    <row r="1135" spans="1:30" ht="15" customHeight="1">
      <c r="A1135" s="36"/>
      <c r="B1135" s="32"/>
      <c r="C1135" s="32"/>
      <c r="D1135" s="32"/>
      <c r="E1135" s="36"/>
      <c r="F1135" s="36"/>
      <c r="G1135" s="36"/>
      <c r="H1135" s="36"/>
      <c r="I1135" s="36"/>
      <c r="J1135" s="36"/>
      <c r="K1135" s="36"/>
      <c r="L1135" s="36"/>
      <c r="M1135" s="36"/>
      <c r="N1135" s="36"/>
      <c r="O1135" s="36"/>
      <c r="P1135" s="36"/>
      <c r="Q1135" s="36"/>
      <c r="R1135" s="36"/>
      <c r="S1135" s="34"/>
      <c r="T1135" s="34"/>
      <c r="U1135" s="34"/>
      <c r="V1135" s="34"/>
      <c r="W1135" s="478"/>
      <c r="X1135" s="32"/>
      <c r="Y1135" s="478"/>
      <c r="Z1135" s="32"/>
      <c r="AA1135" s="662"/>
      <c r="AB1135" s="36"/>
      <c r="AC1135" s="36"/>
      <c r="AD1135" s="33"/>
    </row>
    <row r="1136" spans="1:30" ht="15" customHeight="1">
      <c r="A1136" s="36"/>
      <c r="B1136" s="32"/>
      <c r="C1136" s="32"/>
      <c r="D1136" s="32"/>
      <c r="E1136" s="36"/>
      <c r="F1136" s="36"/>
      <c r="G1136" s="36"/>
      <c r="H1136" s="36"/>
      <c r="I1136" s="36"/>
      <c r="J1136" s="36"/>
      <c r="K1136" s="36"/>
      <c r="L1136" s="36"/>
      <c r="M1136" s="36"/>
      <c r="N1136" s="36"/>
      <c r="O1136" s="36"/>
      <c r="P1136" s="36"/>
      <c r="Q1136" s="36"/>
      <c r="R1136" s="36"/>
      <c r="S1136" s="34"/>
      <c r="T1136" s="34"/>
      <c r="U1136" s="34"/>
      <c r="V1136" s="34"/>
      <c r="W1136" s="478"/>
      <c r="X1136" s="32"/>
      <c r="Y1136" s="478"/>
      <c r="Z1136" s="32"/>
      <c r="AA1136" s="662"/>
      <c r="AB1136" s="36"/>
      <c r="AC1136" s="36"/>
      <c r="AD1136" s="33"/>
    </row>
    <row r="1137" spans="1:30" ht="15" customHeight="1">
      <c r="A1137" s="36"/>
      <c r="B1137" s="32"/>
      <c r="C1137" s="32"/>
      <c r="D1137" s="32"/>
      <c r="E1137" s="36"/>
      <c r="F1137" s="36"/>
      <c r="G1137" s="36"/>
      <c r="H1137" s="36"/>
      <c r="I1137" s="36"/>
      <c r="J1137" s="36"/>
      <c r="K1137" s="36"/>
      <c r="L1137" s="36"/>
      <c r="M1137" s="36"/>
      <c r="N1137" s="36"/>
      <c r="O1137" s="36"/>
      <c r="P1137" s="36"/>
      <c r="Q1137" s="36"/>
      <c r="R1137" s="36"/>
      <c r="S1137" s="34"/>
      <c r="T1137" s="34"/>
      <c r="U1137" s="34"/>
      <c r="V1137" s="34"/>
      <c r="W1137" s="478"/>
      <c r="X1137" s="32"/>
      <c r="Y1137" s="478"/>
      <c r="Z1137" s="32"/>
      <c r="AA1137" s="662"/>
      <c r="AB1137" s="36"/>
      <c r="AC1137" s="36"/>
      <c r="AD1137" s="33"/>
    </row>
    <row r="1138" spans="1:30" ht="15" customHeight="1">
      <c r="A1138" s="36"/>
      <c r="B1138" s="32"/>
      <c r="C1138" s="32"/>
      <c r="D1138" s="32"/>
      <c r="E1138" s="36"/>
      <c r="F1138" s="36"/>
      <c r="G1138" s="36"/>
      <c r="H1138" s="36"/>
      <c r="I1138" s="36"/>
      <c r="J1138" s="36"/>
      <c r="K1138" s="36"/>
      <c r="L1138" s="36"/>
      <c r="M1138" s="36"/>
      <c r="N1138" s="36"/>
      <c r="O1138" s="36"/>
      <c r="P1138" s="36"/>
      <c r="Q1138" s="36"/>
      <c r="R1138" s="36"/>
      <c r="S1138" s="34"/>
      <c r="T1138" s="34"/>
      <c r="U1138" s="34"/>
      <c r="V1138" s="34"/>
      <c r="W1138" s="478"/>
      <c r="X1138" s="32"/>
      <c r="Y1138" s="478"/>
      <c r="Z1138" s="32"/>
      <c r="AA1138" s="662"/>
      <c r="AB1138" s="36"/>
      <c r="AC1138" s="36"/>
      <c r="AD1138" s="33"/>
    </row>
    <row r="1139" spans="1:30" ht="15" customHeight="1">
      <c r="A1139" s="36"/>
      <c r="B1139" s="32"/>
      <c r="C1139" s="32"/>
      <c r="D1139" s="32"/>
      <c r="E1139" s="36"/>
      <c r="F1139" s="36"/>
      <c r="G1139" s="36"/>
      <c r="H1139" s="36"/>
      <c r="I1139" s="36"/>
      <c r="J1139" s="36"/>
      <c r="K1139" s="36"/>
      <c r="L1139" s="36"/>
      <c r="M1139" s="36"/>
      <c r="N1139" s="36"/>
      <c r="O1139" s="36"/>
      <c r="P1139" s="36"/>
      <c r="Q1139" s="36"/>
      <c r="R1139" s="36"/>
      <c r="S1139" s="34"/>
      <c r="T1139" s="34"/>
      <c r="U1139" s="34"/>
      <c r="V1139" s="34"/>
      <c r="W1139" s="478"/>
      <c r="X1139" s="32"/>
      <c r="Y1139" s="478"/>
      <c r="Z1139" s="32"/>
      <c r="AA1139" s="662"/>
      <c r="AB1139" s="36"/>
      <c r="AC1139" s="36"/>
      <c r="AD1139" s="33"/>
    </row>
    <row r="1140" spans="1:30" ht="15" customHeight="1">
      <c r="A1140" s="36"/>
      <c r="B1140" s="32"/>
      <c r="C1140" s="32"/>
      <c r="D1140" s="32"/>
      <c r="E1140" s="36"/>
      <c r="F1140" s="36"/>
      <c r="G1140" s="36"/>
      <c r="H1140" s="36"/>
      <c r="I1140" s="36"/>
      <c r="J1140" s="36"/>
      <c r="K1140" s="36"/>
      <c r="L1140" s="36"/>
      <c r="M1140" s="36"/>
      <c r="N1140" s="36"/>
      <c r="O1140" s="36"/>
      <c r="P1140" s="36"/>
      <c r="Q1140" s="36"/>
      <c r="R1140" s="36"/>
      <c r="S1140" s="34"/>
      <c r="T1140" s="34"/>
      <c r="U1140" s="34"/>
      <c r="V1140" s="34"/>
      <c r="W1140" s="478"/>
      <c r="X1140" s="32"/>
      <c r="Y1140" s="478"/>
      <c r="Z1140" s="32"/>
      <c r="AA1140" s="662"/>
      <c r="AB1140" s="36"/>
      <c r="AC1140" s="36"/>
      <c r="AD1140" s="33"/>
    </row>
    <row r="1141" spans="1:30" ht="15" customHeight="1">
      <c r="A1141" s="36"/>
      <c r="B1141" s="32"/>
      <c r="C1141" s="32"/>
      <c r="D1141" s="32"/>
      <c r="E1141" s="36"/>
      <c r="F1141" s="36"/>
      <c r="G1141" s="36"/>
      <c r="H1141" s="36"/>
      <c r="I1141" s="36"/>
      <c r="J1141" s="36"/>
      <c r="K1141" s="36"/>
      <c r="L1141" s="36"/>
      <c r="M1141" s="36"/>
      <c r="N1141" s="36"/>
      <c r="O1141" s="36"/>
      <c r="P1141" s="36"/>
      <c r="Q1141" s="36"/>
      <c r="R1141" s="36"/>
      <c r="S1141" s="34"/>
      <c r="T1141" s="34"/>
      <c r="U1141" s="34"/>
      <c r="V1141" s="34"/>
      <c r="W1141" s="478"/>
      <c r="X1141" s="32"/>
      <c r="Y1141" s="478"/>
      <c r="Z1141" s="32"/>
      <c r="AA1141" s="662"/>
      <c r="AB1141" s="36"/>
      <c r="AC1141" s="36"/>
      <c r="AD1141" s="33"/>
    </row>
    <row r="1142" spans="1:30" ht="15" customHeight="1">
      <c r="A1142" s="36"/>
      <c r="B1142" s="32"/>
      <c r="C1142" s="32"/>
      <c r="D1142" s="32"/>
      <c r="E1142" s="36"/>
      <c r="F1142" s="36"/>
      <c r="G1142" s="36"/>
      <c r="H1142" s="36"/>
      <c r="I1142" s="36"/>
      <c r="J1142" s="36"/>
      <c r="K1142" s="36"/>
      <c r="L1142" s="36"/>
      <c r="M1142" s="36"/>
      <c r="N1142" s="36"/>
      <c r="O1142" s="36"/>
      <c r="P1142" s="36"/>
      <c r="Q1142" s="36"/>
      <c r="R1142" s="36"/>
      <c r="S1142" s="34"/>
      <c r="T1142" s="34"/>
      <c r="U1142" s="34"/>
      <c r="V1142" s="34"/>
      <c r="W1142" s="478"/>
      <c r="X1142" s="32"/>
      <c r="Y1142" s="478"/>
      <c r="Z1142" s="32"/>
      <c r="AA1142" s="662"/>
      <c r="AB1142" s="36"/>
      <c r="AC1142" s="36"/>
      <c r="AD1142" s="33"/>
    </row>
    <row r="1143" spans="1:30" ht="15" customHeight="1">
      <c r="A1143" s="36"/>
      <c r="B1143" s="32"/>
      <c r="C1143" s="32"/>
      <c r="D1143" s="32"/>
      <c r="E1143" s="36"/>
      <c r="F1143" s="36"/>
      <c r="G1143" s="36"/>
      <c r="H1143" s="36"/>
      <c r="I1143" s="36"/>
      <c r="J1143" s="36"/>
      <c r="K1143" s="36"/>
      <c r="L1143" s="36"/>
      <c r="M1143" s="36"/>
      <c r="N1143" s="36"/>
      <c r="O1143" s="36"/>
      <c r="P1143" s="36"/>
      <c r="Q1143" s="36"/>
      <c r="R1143" s="36"/>
      <c r="S1143" s="34"/>
      <c r="T1143" s="34"/>
      <c r="U1143" s="34"/>
      <c r="V1143" s="34"/>
      <c r="W1143" s="478"/>
      <c r="X1143" s="32"/>
      <c r="Y1143" s="478"/>
      <c r="Z1143" s="32"/>
      <c r="AA1143" s="662"/>
      <c r="AB1143" s="36"/>
      <c r="AC1143" s="36"/>
      <c r="AD1143" s="33"/>
    </row>
    <row r="1144" spans="1:30" ht="15" customHeight="1">
      <c r="A1144" s="36"/>
      <c r="B1144" s="32"/>
      <c r="C1144" s="32"/>
      <c r="D1144" s="32"/>
      <c r="E1144" s="36"/>
      <c r="F1144" s="36"/>
      <c r="G1144" s="36"/>
      <c r="H1144" s="36"/>
      <c r="I1144" s="36"/>
      <c r="J1144" s="36"/>
      <c r="K1144" s="36"/>
      <c r="L1144" s="36"/>
      <c r="M1144" s="36"/>
      <c r="N1144" s="36"/>
      <c r="O1144" s="36"/>
      <c r="P1144" s="36"/>
      <c r="Q1144" s="36"/>
      <c r="R1144" s="36"/>
      <c r="S1144" s="34"/>
      <c r="T1144" s="34"/>
      <c r="U1144" s="34"/>
      <c r="V1144" s="34"/>
      <c r="W1144" s="478"/>
      <c r="X1144" s="32"/>
      <c r="Y1144" s="478"/>
      <c r="Z1144" s="32"/>
      <c r="AA1144" s="662"/>
      <c r="AB1144" s="36"/>
      <c r="AC1144" s="36"/>
      <c r="AD1144" s="33"/>
    </row>
    <row r="1145" spans="1:30" ht="15" customHeight="1">
      <c r="A1145" s="36"/>
      <c r="B1145" s="32"/>
      <c r="C1145" s="32"/>
      <c r="D1145" s="32"/>
      <c r="E1145" s="36"/>
      <c r="F1145" s="36"/>
      <c r="G1145" s="36"/>
      <c r="H1145" s="36"/>
      <c r="I1145" s="36"/>
      <c r="J1145" s="36"/>
      <c r="K1145" s="36"/>
      <c r="L1145" s="36"/>
      <c r="M1145" s="36"/>
      <c r="N1145" s="36"/>
      <c r="O1145" s="36"/>
      <c r="P1145" s="36"/>
      <c r="Q1145" s="36"/>
      <c r="R1145" s="36"/>
      <c r="S1145" s="34"/>
      <c r="T1145" s="34"/>
      <c r="U1145" s="34"/>
      <c r="V1145" s="34"/>
      <c r="W1145" s="478"/>
      <c r="X1145" s="32"/>
      <c r="Y1145" s="478"/>
      <c r="Z1145" s="32"/>
      <c r="AA1145" s="662"/>
      <c r="AB1145" s="36"/>
      <c r="AC1145" s="36"/>
      <c r="AD1145" s="33"/>
    </row>
    <row r="1146" spans="1:30" ht="15" customHeight="1">
      <c r="A1146" s="36"/>
      <c r="B1146" s="32"/>
      <c r="C1146" s="32"/>
      <c r="D1146" s="32"/>
      <c r="E1146" s="36"/>
      <c r="F1146" s="36"/>
      <c r="G1146" s="36"/>
      <c r="H1146" s="36"/>
      <c r="I1146" s="36"/>
      <c r="J1146" s="36"/>
      <c r="K1146" s="36"/>
      <c r="L1146" s="36"/>
      <c r="M1146" s="36"/>
      <c r="N1146" s="36"/>
      <c r="O1146" s="36"/>
      <c r="P1146" s="36"/>
      <c r="Q1146" s="36"/>
      <c r="R1146" s="36"/>
      <c r="S1146" s="34"/>
      <c r="T1146" s="34"/>
      <c r="U1146" s="34"/>
      <c r="V1146" s="34"/>
      <c r="W1146" s="478"/>
      <c r="X1146" s="32"/>
      <c r="Y1146" s="478"/>
      <c r="Z1146" s="32"/>
      <c r="AA1146" s="662"/>
      <c r="AB1146" s="36"/>
      <c r="AC1146" s="36"/>
      <c r="AD1146" s="33"/>
    </row>
    <row r="1147" spans="1:30" ht="15" customHeight="1">
      <c r="A1147" s="36"/>
      <c r="B1147" s="32"/>
      <c r="C1147" s="32"/>
      <c r="D1147" s="32"/>
      <c r="E1147" s="36"/>
      <c r="F1147" s="36"/>
      <c r="G1147" s="36"/>
      <c r="H1147" s="36"/>
      <c r="I1147" s="36"/>
      <c r="J1147" s="36"/>
      <c r="K1147" s="36"/>
      <c r="L1147" s="36"/>
      <c r="M1147" s="36"/>
      <c r="N1147" s="36"/>
      <c r="O1147" s="36"/>
      <c r="P1147" s="36"/>
      <c r="Q1147" s="36"/>
      <c r="R1147" s="36"/>
      <c r="S1147" s="34"/>
      <c r="T1147" s="34"/>
      <c r="U1147" s="34"/>
      <c r="V1147" s="34"/>
      <c r="W1147" s="478"/>
      <c r="X1147" s="32"/>
      <c r="Y1147" s="478"/>
      <c r="Z1147" s="32"/>
      <c r="AA1147" s="662"/>
      <c r="AB1147" s="36"/>
      <c r="AC1147" s="36"/>
      <c r="AD1147" s="33"/>
    </row>
    <row r="1148" spans="1:30" ht="15" customHeight="1">
      <c r="A1148" s="36"/>
      <c r="B1148" s="32"/>
      <c r="C1148" s="32"/>
      <c r="D1148" s="32"/>
      <c r="E1148" s="36"/>
      <c r="F1148" s="36"/>
      <c r="G1148" s="36"/>
      <c r="H1148" s="36"/>
      <c r="I1148" s="36"/>
      <c r="J1148" s="36"/>
      <c r="K1148" s="36"/>
      <c r="L1148" s="36"/>
      <c r="M1148" s="36"/>
      <c r="N1148" s="36"/>
      <c r="O1148" s="36"/>
      <c r="P1148" s="36"/>
      <c r="Q1148" s="36"/>
      <c r="R1148" s="36"/>
      <c r="S1148" s="34"/>
      <c r="T1148" s="34"/>
      <c r="U1148" s="34"/>
      <c r="V1148" s="34"/>
      <c r="W1148" s="478"/>
      <c r="X1148" s="32"/>
      <c r="Y1148" s="478"/>
      <c r="Z1148" s="32"/>
      <c r="AA1148" s="662"/>
      <c r="AB1148" s="36"/>
      <c r="AC1148" s="36"/>
      <c r="AD1148" s="33"/>
    </row>
    <row r="1149" spans="1:30" ht="15" customHeight="1">
      <c r="A1149" s="36"/>
      <c r="B1149" s="32"/>
      <c r="C1149" s="32"/>
      <c r="D1149" s="32"/>
      <c r="E1149" s="36"/>
      <c r="F1149" s="36"/>
      <c r="G1149" s="36"/>
      <c r="H1149" s="36"/>
      <c r="I1149" s="36"/>
      <c r="J1149" s="36"/>
      <c r="K1149" s="36"/>
      <c r="L1149" s="36"/>
      <c r="M1149" s="36"/>
      <c r="N1149" s="36"/>
      <c r="O1149" s="36"/>
      <c r="P1149" s="36"/>
      <c r="Q1149" s="36"/>
      <c r="R1149" s="36"/>
      <c r="S1149" s="34"/>
      <c r="T1149" s="34"/>
      <c r="U1149" s="34"/>
      <c r="V1149" s="34"/>
      <c r="W1149" s="478"/>
      <c r="X1149" s="32"/>
      <c r="Y1149" s="478"/>
      <c r="Z1149" s="32"/>
      <c r="AA1149" s="662"/>
      <c r="AB1149" s="36"/>
      <c r="AC1149" s="36"/>
      <c r="AD1149" s="33"/>
    </row>
    <row r="1150" spans="1:30" ht="15" customHeight="1">
      <c r="A1150" s="36"/>
      <c r="B1150" s="32"/>
      <c r="C1150" s="32"/>
      <c r="D1150" s="32"/>
      <c r="E1150" s="36"/>
      <c r="F1150" s="36"/>
      <c r="G1150" s="36"/>
      <c r="H1150" s="36"/>
      <c r="I1150" s="36"/>
      <c r="J1150" s="36"/>
      <c r="K1150" s="36"/>
      <c r="L1150" s="36"/>
      <c r="M1150" s="36"/>
      <c r="N1150" s="36"/>
      <c r="O1150" s="36"/>
      <c r="P1150" s="36"/>
      <c r="Q1150" s="36"/>
      <c r="R1150" s="36"/>
      <c r="S1150" s="34"/>
      <c r="T1150" s="34"/>
      <c r="U1150" s="34"/>
      <c r="V1150" s="34"/>
      <c r="W1150" s="478"/>
      <c r="X1150" s="32"/>
      <c r="Y1150" s="478"/>
      <c r="Z1150" s="32"/>
      <c r="AA1150" s="662"/>
      <c r="AB1150" s="36"/>
      <c r="AC1150" s="36"/>
      <c r="AD1150" s="33"/>
    </row>
    <row r="1151" spans="1:30" ht="15" customHeight="1">
      <c r="A1151" s="36"/>
      <c r="B1151" s="32"/>
      <c r="C1151" s="32"/>
      <c r="D1151" s="32"/>
      <c r="E1151" s="36"/>
      <c r="F1151" s="36"/>
      <c r="G1151" s="36"/>
      <c r="H1151" s="36"/>
      <c r="I1151" s="36"/>
      <c r="J1151" s="36"/>
      <c r="K1151" s="36"/>
      <c r="L1151" s="36"/>
      <c r="M1151" s="36"/>
      <c r="N1151" s="36"/>
      <c r="O1151" s="36"/>
      <c r="P1151" s="36"/>
      <c r="Q1151" s="36"/>
      <c r="R1151" s="36"/>
      <c r="S1151" s="34"/>
      <c r="T1151" s="34"/>
      <c r="U1151" s="34"/>
      <c r="V1151" s="34"/>
      <c r="W1151" s="478"/>
      <c r="X1151" s="32"/>
      <c r="Y1151" s="478"/>
      <c r="Z1151" s="32"/>
      <c r="AA1151" s="662"/>
      <c r="AB1151" s="36"/>
      <c r="AC1151" s="36"/>
      <c r="AD1151" s="33"/>
    </row>
    <row r="1152" spans="1:30" ht="15" customHeight="1">
      <c r="A1152" s="36"/>
      <c r="B1152" s="32"/>
      <c r="C1152" s="32"/>
      <c r="D1152" s="32"/>
      <c r="E1152" s="36"/>
      <c r="F1152" s="36"/>
      <c r="G1152" s="36"/>
      <c r="H1152" s="36"/>
      <c r="I1152" s="36"/>
      <c r="J1152" s="36"/>
      <c r="K1152" s="36"/>
      <c r="L1152" s="36"/>
      <c r="M1152" s="36"/>
      <c r="N1152" s="36"/>
      <c r="O1152" s="36"/>
      <c r="P1152" s="36"/>
      <c r="Q1152" s="36"/>
      <c r="R1152" s="36"/>
      <c r="S1152" s="34"/>
      <c r="T1152" s="34"/>
      <c r="U1152" s="34"/>
      <c r="V1152" s="34"/>
      <c r="W1152" s="478"/>
      <c r="X1152" s="32"/>
      <c r="Y1152" s="478"/>
      <c r="Z1152" s="32"/>
      <c r="AA1152" s="662"/>
      <c r="AB1152" s="36"/>
      <c r="AC1152" s="36"/>
      <c r="AD1152" s="33"/>
    </row>
    <row r="1153" spans="1:30" ht="15" customHeight="1">
      <c r="A1153" s="36"/>
      <c r="B1153" s="32"/>
      <c r="C1153" s="32"/>
      <c r="D1153" s="32"/>
      <c r="E1153" s="36"/>
      <c r="F1153" s="36"/>
      <c r="G1153" s="36"/>
      <c r="H1153" s="36"/>
      <c r="I1153" s="36"/>
      <c r="J1153" s="36"/>
      <c r="K1153" s="36"/>
      <c r="L1153" s="36"/>
      <c r="M1153" s="36"/>
      <c r="N1153" s="36"/>
      <c r="O1153" s="36"/>
      <c r="P1153" s="36"/>
      <c r="Q1153" s="36"/>
      <c r="R1153" s="36"/>
      <c r="S1153" s="34"/>
      <c r="T1153" s="34"/>
      <c r="U1153" s="34"/>
      <c r="V1153" s="34"/>
      <c r="W1153" s="478"/>
      <c r="X1153" s="32"/>
      <c r="Y1153" s="478"/>
      <c r="Z1153" s="32"/>
      <c r="AA1153" s="662"/>
      <c r="AB1153" s="36"/>
      <c r="AC1153" s="36"/>
      <c r="AD1153" s="33"/>
    </row>
    <row r="1154" spans="1:30" ht="15" customHeight="1">
      <c r="A1154" s="36"/>
      <c r="B1154" s="32"/>
      <c r="C1154" s="32"/>
      <c r="D1154" s="32"/>
      <c r="E1154" s="36"/>
      <c r="F1154" s="36"/>
      <c r="G1154" s="36"/>
      <c r="H1154" s="36"/>
      <c r="I1154" s="36"/>
      <c r="J1154" s="36"/>
      <c r="K1154" s="36"/>
      <c r="L1154" s="36"/>
      <c r="M1154" s="36"/>
      <c r="N1154" s="36"/>
      <c r="O1154" s="36"/>
      <c r="P1154" s="36"/>
      <c r="Q1154" s="36"/>
      <c r="R1154" s="36"/>
      <c r="S1154" s="34"/>
      <c r="T1154" s="34"/>
      <c r="U1154" s="34"/>
      <c r="V1154" s="34"/>
      <c r="W1154" s="478"/>
      <c r="X1154" s="32"/>
      <c r="Y1154" s="478"/>
      <c r="Z1154" s="32"/>
      <c r="AA1154" s="662"/>
      <c r="AB1154" s="36"/>
      <c r="AC1154" s="36"/>
      <c r="AD1154" s="33"/>
    </row>
    <row r="1155" spans="1:30" ht="15" customHeight="1">
      <c r="A1155" s="36"/>
      <c r="B1155" s="32"/>
      <c r="C1155" s="32"/>
      <c r="D1155" s="32"/>
      <c r="E1155" s="36"/>
      <c r="F1155" s="36"/>
      <c r="G1155" s="36"/>
      <c r="H1155" s="36"/>
      <c r="I1155" s="36"/>
      <c r="J1155" s="36"/>
      <c r="K1155" s="36"/>
      <c r="L1155" s="36"/>
      <c r="M1155" s="36"/>
      <c r="N1155" s="36"/>
      <c r="O1155" s="36"/>
      <c r="P1155" s="36"/>
      <c r="Q1155" s="36"/>
      <c r="R1155" s="36"/>
      <c r="S1155" s="34"/>
      <c r="T1155" s="34"/>
      <c r="U1155" s="34"/>
      <c r="V1155" s="34"/>
      <c r="W1155" s="478"/>
      <c r="X1155" s="32"/>
      <c r="Y1155" s="478"/>
      <c r="Z1155" s="32"/>
      <c r="AA1155" s="662"/>
      <c r="AB1155" s="36"/>
      <c r="AC1155" s="36"/>
      <c r="AD1155" s="33"/>
    </row>
    <row r="1156" spans="1:30" ht="15" customHeight="1">
      <c r="A1156" s="36"/>
      <c r="B1156" s="32"/>
      <c r="C1156" s="32"/>
      <c r="D1156" s="32"/>
      <c r="E1156" s="36"/>
      <c r="F1156" s="36"/>
      <c r="G1156" s="36"/>
      <c r="H1156" s="36"/>
      <c r="I1156" s="36"/>
      <c r="J1156" s="36"/>
      <c r="K1156" s="36"/>
      <c r="L1156" s="36"/>
      <c r="M1156" s="36"/>
      <c r="N1156" s="36"/>
      <c r="O1156" s="36"/>
      <c r="P1156" s="36"/>
      <c r="Q1156" s="36"/>
      <c r="R1156" s="36"/>
      <c r="S1156" s="34"/>
      <c r="T1156" s="34"/>
      <c r="U1156" s="34"/>
      <c r="V1156" s="34"/>
      <c r="W1156" s="478"/>
      <c r="X1156" s="32"/>
      <c r="Y1156" s="478"/>
      <c r="Z1156" s="32"/>
      <c r="AA1156" s="662"/>
      <c r="AB1156" s="36"/>
      <c r="AC1156" s="36"/>
      <c r="AD1156" s="33"/>
    </row>
    <row r="1157" spans="1:30" ht="15" customHeight="1">
      <c r="A1157" s="36"/>
      <c r="B1157" s="32"/>
      <c r="C1157" s="32"/>
      <c r="D1157" s="32"/>
      <c r="E1157" s="36"/>
      <c r="F1157" s="36"/>
      <c r="G1157" s="36"/>
      <c r="H1157" s="36"/>
      <c r="I1157" s="36"/>
      <c r="J1157" s="36"/>
      <c r="K1157" s="36"/>
      <c r="L1157" s="36"/>
      <c r="M1157" s="36"/>
      <c r="N1157" s="36"/>
      <c r="O1157" s="36"/>
      <c r="P1157" s="36"/>
      <c r="Q1157" s="36"/>
      <c r="R1157" s="36"/>
      <c r="S1157" s="34"/>
      <c r="T1157" s="34"/>
      <c r="U1157" s="34"/>
      <c r="V1157" s="34"/>
      <c r="W1157" s="478"/>
      <c r="X1157" s="32"/>
      <c r="Y1157" s="478"/>
      <c r="Z1157" s="32"/>
      <c r="AA1157" s="662"/>
      <c r="AB1157" s="36"/>
      <c r="AC1157" s="36"/>
      <c r="AD1157" s="33"/>
    </row>
    <row r="1158" spans="1:30" ht="15" customHeight="1">
      <c r="A1158" s="36"/>
      <c r="B1158" s="32"/>
      <c r="C1158" s="32"/>
      <c r="D1158" s="32"/>
      <c r="E1158" s="36"/>
      <c r="F1158" s="36"/>
      <c r="G1158" s="36"/>
      <c r="H1158" s="36"/>
      <c r="I1158" s="36"/>
      <c r="J1158" s="36"/>
      <c r="K1158" s="36"/>
      <c r="L1158" s="36"/>
      <c r="M1158" s="36"/>
      <c r="N1158" s="36"/>
      <c r="O1158" s="36"/>
      <c r="P1158" s="36"/>
      <c r="Q1158" s="36"/>
      <c r="R1158" s="36"/>
      <c r="S1158" s="34"/>
      <c r="T1158" s="34"/>
      <c r="U1158" s="34"/>
      <c r="V1158" s="34"/>
      <c r="W1158" s="478"/>
      <c r="X1158" s="32"/>
      <c r="Y1158" s="478"/>
      <c r="Z1158" s="32"/>
      <c r="AA1158" s="662"/>
      <c r="AB1158" s="36"/>
      <c r="AC1158" s="36"/>
      <c r="AD1158" s="33"/>
    </row>
    <row r="1159" spans="1:30" ht="15" customHeight="1">
      <c r="A1159" s="36"/>
      <c r="B1159" s="32"/>
      <c r="C1159" s="32"/>
      <c r="D1159" s="32"/>
      <c r="E1159" s="36"/>
      <c r="F1159" s="36"/>
      <c r="G1159" s="36"/>
      <c r="H1159" s="36"/>
      <c r="I1159" s="36"/>
      <c r="J1159" s="36"/>
      <c r="K1159" s="36"/>
      <c r="L1159" s="36"/>
      <c r="M1159" s="36"/>
      <c r="N1159" s="36"/>
      <c r="O1159" s="36"/>
      <c r="P1159" s="36"/>
      <c r="Q1159" s="36"/>
      <c r="R1159" s="36"/>
      <c r="S1159" s="34"/>
      <c r="T1159" s="34"/>
      <c r="U1159" s="34"/>
      <c r="V1159" s="34"/>
      <c r="W1159" s="478"/>
      <c r="X1159" s="32"/>
      <c r="Y1159" s="478"/>
      <c r="Z1159" s="32"/>
      <c r="AA1159" s="662"/>
      <c r="AB1159" s="36"/>
      <c r="AC1159" s="36"/>
      <c r="AD1159" s="33"/>
    </row>
    <row r="1160" spans="1:30" ht="15" customHeight="1">
      <c r="A1160" s="36"/>
      <c r="B1160" s="32"/>
      <c r="C1160" s="32"/>
      <c r="D1160" s="32"/>
      <c r="E1160" s="36"/>
      <c r="F1160" s="36"/>
      <c r="G1160" s="36"/>
      <c r="H1160" s="36"/>
      <c r="I1160" s="36"/>
      <c r="J1160" s="36"/>
      <c r="K1160" s="36"/>
      <c r="L1160" s="36"/>
      <c r="M1160" s="36"/>
      <c r="N1160" s="36"/>
      <c r="O1160" s="36"/>
      <c r="P1160" s="36"/>
      <c r="Q1160" s="36"/>
      <c r="R1160" s="36"/>
      <c r="S1160" s="34"/>
      <c r="T1160" s="34"/>
      <c r="U1160" s="34"/>
      <c r="V1160" s="34"/>
      <c r="W1160" s="478"/>
      <c r="X1160" s="32"/>
      <c r="Y1160" s="478"/>
      <c r="Z1160" s="32"/>
      <c r="AA1160" s="662"/>
      <c r="AB1160" s="36"/>
      <c r="AC1160" s="36"/>
      <c r="AD1160" s="33"/>
    </row>
    <row r="1161" spans="1:30" ht="15" customHeight="1">
      <c r="A1161" s="36"/>
      <c r="B1161" s="32"/>
      <c r="C1161" s="32"/>
      <c r="D1161" s="32"/>
      <c r="E1161" s="36"/>
      <c r="F1161" s="36"/>
      <c r="G1161" s="36"/>
      <c r="H1161" s="36"/>
      <c r="I1161" s="36"/>
      <c r="J1161" s="36"/>
      <c r="K1161" s="36"/>
      <c r="L1161" s="36"/>
      <c r="M1161" s="36"/>
      <c r="N1161" s="36"/>
      <c r="O1161" s="36"/>
      <c r="P1161" s="36"/>
      <c r="Q1161" s="36"/>
      <c r="R1161" s="36"/>
      <c r="S1161" s="34"/>
      <c r="T1161" s="34"/>
      <c r="U1161" s="34"/>
      <c r="V1161" s="34"/>
      <c r="W1161" s="478"/>
      <c r="X1161" s="32"/>
      <c r="Y1161" s="478"/>
      <c r="Z1161" s="32"/>
      <c r="AA1161" s="662"/>
      <c r="AB1161" s="36"/>
      <c r="AC1161" s="36"/>
      <c r="AD1161" s="33"/>
    </row>
    <row r="1162" spans="1:30" ht="15" customHeight="1">
      <c r="A1162" s="36"/>
      <c r="B1162" s="32"/>
      <c r="C1162" s="32"/>
      <c r="D1162" s="32"/>
      <c r="E1162" s="36"/>
      <c r="F1162" s="36"/>
      <c r="G1162" s="36"/>
      <c r="H1162" s="36"/>
      <c r="I1162" s="36"/>
      <c r="J1162" s="36"/>
      <c r="K1162" s="36"/>
      <c r="L1162" s="36"/>
      <c r="M1162" s="36"/>
      <c r="N1162" s="36"/>
      <c r="O1162" s="36"/>
      <c r="P1162" s="36"/>
      <c r="Q1162" s="36"/>
      <c r="R1162" s="36"/>
      <c r="S1162" s="34"/>
      <c r="T1162" s="34"/>
      <c r="U1162" s="34"/>
      <c r="V1162" s="34"/>
      <c r="W1162" s="478"/>
      <c r="X1162" s="32"/>
      <c r="Y1162" s="478"/>
      <c r="Z1162" s="32"/>
      <c r="AA1162" s="662"/>
      <c r="AB1162" s="36"/>
      <c r="AC1162" s="36"/>
      <c r="AD1162" s="33"/>
    </row>
    <row r="1163" spans="1:30" ht="15" customHeight="1">
      <c r="A1163" s="36"/>
      <c r="B1163" s="32"/>
      <c r="C1163" s="32"/>
      <c r="D1163" s="32"/>
      <c r="E1163" s="36"/>
      <c r="F1163" s="36"/>
      <c r="G1163" s="36"/>
      <c r="H1163" s="36"/>
      <c r="I1163" s="36"/>
      <c r="J1163" s="36"/>
      <c r="K1163" s="36"/>
      <c r="L1163" s="36"/>
      <c r="M1163" s="36"/>
      <c r="N1163" s="36"/>
      <c r="O1163" s="36"/>
      <c r="P1163" s="36"/>
      <c r="Q1163" s="36"/>
      <c r="R1163" s="36"/>
      <c r="S1163" s="34"/>
      <c r="T1163" s="34"/>
      <c r="U1163" s="34"/>
      <c r="V1163" s="34"/>
      <c r="W1163" s="478"/>
      <c r="X1163" s="32"/>
      <c r="Y1163" s="478"/>
      <c r="Z1163" s="32"/>
      <c r="AA1163" s="662"/>
      <c r="AB1163" s="36"/>
      <c r="AC1163" s="36"/>
      <c r="AD1163" s="33"/>
    </row>
    <row r="1164" spans="1:30" ht="15" customHeight="1">
      <c r="A1164" s="36"/>
      <c r="B1164" s="32"/>
      <c r="C1164" s="32"/>
      <c r="D1164" s="32"/>
      <c r="E1164" s="36"/>
      <c r="F1164" s="36"/>
      <c r="G1164" s="36"/>
      <c r="H1164" s="36"/>
      <c r="I1164" s="36"/>
      <c r="J1164" s="36"/>
      <c r="K1164" s="36"/>
      <c r="L1164" s="36"/>
      <c r="M1164" s="36"/>
      <c r="N1164" s="36"/>
      <c r="O1164" s="36"/>
      <c r="P1164" s="36"/>
      <c r="Q1164" s="36"/>
      <c r="R1164" s="36"/>
      <c r="S1164" s="34"/>
      <c r="T1164" s="34"/>
      <c r="U1164" s="34"/>
      <c r="V1164" s="34"/>
      <c r="W1164" s="478"/>
      <c r="X1164" s="32"/>
      <c r="Y1164" s="478"/>
      <c r="Z1164" s="32"/>
      <c r="AA1164" s="662"/>
      <c r="AB1164" s="36"/>
      <c r="AC1164" s="36"/>
      <c r="AD1164" s="33"/>
    </row>
    <row r="1165" spans="1:30" ht="15" customHeight="1">
      <c r="A1165" s="36"/>
      <c r="B1165" s="32"/>
      <c r="C1165" s="32"/>
      <c r="D1165" s="32"/>
      <c r="E1165" s="36"/>
      <c r="F1165" s="36"/>
      <c r="G1165" s="36"/>
      <c r="H1165" s="36"/>
      <c r="I1165" s="36"/>
      <c r="J1165" s="36"/>
      <c r="K1165" s="36"/>
      <c r="L1165" s="36"/>
      <c r="M1165" s="36"/>
      <c r="N1165" s="36"/>
      <c r="O1165" s="36"/>
      <c r="P1165" s="36"/>
      <c r="Q1165" s="36"/>
      <c r="R1165" s="36"/>
      <c r="S1165" s="34"/>
      <c r="T1165" s="34"/>
      <c r="U1165" s="34"/>
      <c r="V1165" s="34"/>
      <c r="W1165" s="478"/>
      <c r="X1165" s="32"/>
      <c r="Y1165" s="478"/>
      <c r="Z1165" s="32"/>
      <c r="AA1165" s="662"/>
      <c r="AB1165" s="36"/>
      <c r="AC1165" s="36"/>
      <c r="AD1165" s="33"/>
    </row>
    <row r="1166" spans="1:30" ht="15" customHeight="1">
      <c r="A1166" s="36"/>
      <c r="B1166" s="32"/>
      <c r="C1166" s="32"/>
      <c r="D1166" s="32"/>
      <c r="E1166" s="36"/>
      <c r="F1166" s="36"/>
      <c r="G1166" s="36"/>
      <c r="H1166" s="36"/>
      <c r="I1166" s="36"/>
      <c r="J1166" s="36"/>
      <c r="K1166" s="36"/>
      <c r="L1166" s="36"/>
      <c r="M1166" s="36"/>
      <c r="N1166" s="36"/>
      <c r="O1166" s="36"/>
      <c r="P1166" s="36"/>
      <c r="Q1166" s="36"/>
      <c r="R1166" s="36"/>
      <c r="S1166" s="34"/>
      <c r="T1166" s="34"/>
      <c r="U1166" s="34"/>
      <c r="V1166" s="34"/>
      <c r="W1166" s="478"/>
      <c r="X1166" s="32"/>
      <c r="Y1166" s="478"/>
      <c r="Z1166" s="32"/>
      <c r="AA1166" s="662"/>
      <c r="AB1166" s="36"/>
      <c r="AC1166" s="36"/>
      <c r="AD1166" s="33"/>
    </row>
    <row r="1167" spans="1:30" ht="15" customHeight="1">
      <c r="A1167" s="36"/>
      <c r="B1167" s="32"/>
      <c r="C1167" s="32"/>
      <c r="D1167" s="32"/>
      <c r="E1167" s="36"/>
      <c r="F1167" s="36"/>
      <c r="G1167" s="36"/>
      <c r="H1167" s="36"/>
      <c r="I1167" s="36"/>
      <c r="J1167" s="36"/>
      <c r="K1167" s="36"/>
      <c r="L1167" s="36"/>
      <c r="M1167" s="36"/>
      <c r="N1167" s="36"/>
      <c r="O1167" s="36"/>
      <c r="P1167" s="36"/>
      <c r="Q1167" s="36"/>
      <c r="R1167" s="36"/>
      <c r="S1167" s="34"/>
      <c r="T1167" s="34"/>
      <c r="U1167" s="34"/>
      <c r="V1167" s="34"/>
      <c r="W1167" s="478"/>
      <c r="X1167" s="32"/>
      <c r="Y1167" s="478"/>
      <c r="Z1167" s="32"/>
      <c r="AA1167" s="662"/>
      <c r="AB1167" s="36"/>
      <c r="AC1167" s="36"/>
      <c r="AD1167" s="33"/>
    </row>
    <row r="1168" spans="1:30" ht="15" customHeight="1">
      <c r="A1168" s="36"/>
      <c r="B1168" s="32"/>
      <c r="C1168" s="32"/>
      <c r="D1168" s="32"/>
      <c r="E1168" s="36"/>
      <c r="F1168" s="36"/>
      <c r="G1168" s="36"/>
      <c r="H1168" s="36"/>
      <c r="I1168" s="36"/>
      <c r="J1168" s="36"/>
      <c r="K1168" s="36"/>
      <c r="L1168" s="36"/>
      <c r="M1168" s="36"/>
      <c r="N1168" s="36"/>
      <c r="O1168" s="36"/>
      <c r="P1168" s="36"/>
      <c r="Q1168" s="36"/>
      <c r="R1168" s="36"/>
      <c r="S1168" s="34"/>
      <c r="T1168" s="34"/>
      <c r="U1168" s="34"/>
      <c r="V1168" s="34"/>
      <c r="W1168" s="478"/>
      <c r="X1168" s="32"/>
      <c r="Y1168" s="478"/>
      <c r="Z1168" s="32"/>
      <c r="AA1168" s="662"/>
      <c r="AB1168" s="36"/>
      <c r="AC1168" s="36"/>
      <c r="AD1168" s="33"/>
    </row>
    <row r="1169" spans="1:30" ht="15" customHeight="1">
      <c r="A1169" s="36"/>
      <c r="B1169" s="32"/>
      <c r="C1169" s="32"/>
      <c r="D1169" s="32"/>
      <c r="E1169" s="36"/>
      <c r="F1169" s="36"/>
      <c r="G1169" s="36"/>
      <c r="H1169" s="36"/>
      <c r="I1169" s="36"/>
      <c r="J1169" s="36"/>
      <c r="K1169" s="36"/>
      <c r="L1169" s="36"/>
      <c r="M1169" s="36"/>
      <c r="N1169" s="36"/>
      <c r="O1169" s="36"/>
      <c r="P1169" s="36"/>
      <c r="Q1169" s="36"/>
      <c r="R1169" s="36"/>
      <c r="S1169" s="34"/>
      <c r="T1169" s="34"/>
      <c r="U1169" s="34"/>
      <c r="V1169" s="34"/>
      <c r="W1169" s="478"/>
      <c r="X1169" s="32"/>
      <c r="Y1169" s="478"/>
      <c r="Z1169" s="32"/>
      <c r="AA1169" s="662"/>
      <c r="AB1169" s="36"/>
      <c r="AC1169" s="36"/>
      <c r="AD1169" s="33"/>
    </row>
    <row r="1170" spans="1:30" ht="15" customHeight="1">
      <c r="A1170" s="36"/>
      <c r="B1170" s="32"/>
      <c r="C1170" s="32"/>
      <c r="D1170" s="32"/>
      <c r="E1170" s="36"/>
      <c r="F1170" s="36"/>
      <c r="G1170" s="36"/>
      <c r="H1170" s="36"/>
      <c r="I1170" s="36"/>
      <c r="J1170" s="36"/>
      <c r="K1170" s="36"/>
      <c r="L1170" s="36"/>
      <c r="M1170" s="36"/>
      <c r="N1170" s="36"/>
      <c r="O1170" s="36"/>
      <c r="P1170" s="36"/>
      <c r="Q1170" s="36"/>
      <c r="R1170" s="36"/>
      <c r="S1170" s="34"/>
      <c r="T1170" s="34"/>
      <c r="U1170" s="34"/>
      <c r="V1170" s="34"/>
      <c r="W1170" s="478"/>
      <c r="X1170" s="32"/>
      <c r="Y1170" s="478"/>
      <c r="Z1170" s="32"/>
      <c r="AA1170" s="662"/>
      <c r="AB1170" s="36"/>
      <c r="AC1170" s="36"/>
      <c r="AD1170" s="33"/>
    </row>
    <row r="1171" spans="1:30" ht="15" customHeight="1">
      <c r="A1171" s="36"/>
      <c r="B1171" s="32"/>
      <c r="C1171" s="32"/>
      <c r="D1171" s="32"/>
      <c r="E1171" s="36"/>
      <c r="F1171" s="36"/>
      <c r="G1171" s="36"/>
      <c r="H1171" s="36"/>
      <c r="I1171" s="36"/>
      <c r="J1171" s="36"/>
      <c r="K1171" s="36"/>
      <c r="L1171" s="36"/>
      <c r="M1171" s="36"/>
      <c r="N1171" s="36"/>
      <c r="O1171" s="36"/>
      <c r="P1171" s="36"/>
      <c r="Q1171" s="36"/>
      <c r="R1171" s="36"/>
      <c r="S1171" s="34"/>
      <c r="T1171" s="34"/>
      <c r="U1171" s="34"/>
      <c r="V1171" s="34"/>
      <c r="W1171" s="478"/>
      <c r="X1171" s="32"/>
      <c r="Y1171" s="478"/>
      <c r="Z1171" s="32"/>
      <c r="AA1171" s="662"/>
      <c r="AB1171" s="36"/>
      <c r="AC1171" s="36"/>
      <c r="AD1171" s="33"/>
    </row>
    <row r="1172" spans="1:30" ht="15" customHeight="1">
      <c r="A1172" s="36"/>
      <c r="B1172" s="32"/>
      <c r="C1172" s="32"/>
      <c r="D1172" s="32"/>
      <c r="E1172" s="36"/>
      <c r="F1172" s="36"/>
      <c r="G1172" s="36"/>
      <c r="H1172" s="36"/>
      <c r="I1172" s="36"/>
      <c r="J1172" s="36"/>
      <c r="K1172" s="36"/>
      <c r="L1172" s="36"/>
      <c r="M1172" s="36"/>
      <c r="N1172" s="36"/>
      <c r="O1172" s="36"/>
      <c r="P1172" s="36"/>
      <c r="Q1172" s="36"/>
      <c r="R1172" s="36"/>
      <c r="S1172" s="34"/>
      <c r="T1172" s="34"/>
      <c r="U1172" s="34"/>
      <c r="V1172" s="34"/>
      <c r="W1172" s="478"/>
      <c r="X1172" s="32"/>
      <c r="Y1172" s="478"/>
      <c r="Z1172" s="32"/>
      <c r="AA1172" s="662"/>
      <c r="AB1172" s="36"/>
      <c r="AC1172" s="36"/>
      <c r="AD1172" s="33"/>
    </row>
    <row r="1173" spans="1:30" ht="15" customHeight="1">
      <c r="A1173" s="36"/>
      <c r="B1173" s="32"/>
      <c r="C1173" s="32"/>
      <c r="D1173" s="32"/>
      <c r="E1173" s="36"/>
      <c r="F1173" s="36"/>
      <c r="G1173" s="36"/>
      <c r="H1173" s="36"/>
      <c r="I1173" s="36"/>
      <c r="J1173" s="36"/>
      <c r="K1173" s="36"/>
      <c r="L1173" s="36"/>
      <c r="M1173" s="36"/>
      <c r="N1173" s="36"/>
      <c r="O1173" s="36"/>
      <c r="P1173" s="36"/>
      <c r="Q1173" s="36"/>
      <c r="R1173" s="36"/>
      <c r="S1173" s="34"/>
      <c r="T1173" s="34"/>
      <c r="U1173" s="34"/>
      <c r="V1173" s="34"/>
      <c r="W1173" s="478"/>
      <c r="X1173" s="32"/>
      <c r="Y1173" s="478"/>
      <c r="Z1173" s="32"/>
      <c r="AA1173" s="662"/>
      <c r="AB1173" s="36"/>
      <c r="AC1173" s="36"/>
      <c r="AD1173" s="33"/>
    </row>
    <row r="1174" spans="1:30" ht="15" customHeight="1">
      <c r="A1174" s="36"/>
      <c r="B1174" s="32"/>
      <c r="C1174" s="32"/>
      <c r="D1174" s="32"/>
      <c r="E1174" s="36"/>
      <c r="F1174" s="36"/>
      <c r="G1174" s="36"/>
      <c r="H1174" s="36"/>
      <c r="I1174" s="36"/>
      <c r="J1174" s="36"/>
      <c r="K1174" s="36"/>
      <c r="L1174" s="36"/>
      <c r="M1174" s="36"/>
      <c r="N1174" s="36"/>
      <c r="O1174" s="36"/>
      <c r="P1174" s="36"/>
      <c r="Q1174" s="36"/>
      <c r="R1174" s="36"/>
      <c r="S1174" s="34"/>
      <c r="T1174" s="34"/>
      <c r="U1174" s="34"/>
      <c r="V1174" s="34"/>
      <c r="W1174" s="478"/>
      <c r="X1174" s="32"/>
      <c r="Y1174" s="478"/>
      <c r="Z1174" s="32"/>
      <c r="AA1174" s="662"/>
      <c r="AB1174" s="36"/>
      <c r="AC1174" s="36"/>
      <c r="AD1174" s="33"/>
    </row>
    <row r="1175" spans="1:30" ht="15" customHeight="1">
      <c r="A1175" s="36"/>
      <c r="B1175" s="32"/>
      <c r="C1175" s="32"/>
      <c r="D1175" s="32"/>
      <c r="E1175" s="36"/>
      <c r="F1175" s="36"/>
      <c r="G1175" s="36"/>
      <c r="H1175" s="36"/>
      <c r="I1175" s="36"/>
      <c r="J1175" s="36"/>
      <c r="K1175" s="36"/>
      <c r="L1175" s="36"/>
      <c r="M1175" s="36"/>
      <c r="N1175" s="36"/>
      <c r="O1175" s="36"/>
      <c r="P1175" s="36"/>
      <c r="Q1175" s="36"/>
      <c r="R1175" s="36"/>
      <c r="S1175" s="34"/>
      <c r="T1175" s="34"/>
      <c r="U1175" s="34"/>
      <c r="V1175" s="34"/>
      <c r="W1175" s="478"/>
      <c r="X1175" s="32"/>
      <c r="Y1175" s="478"/>
      <c r="Z1175" s="32"/>
      <c r="AA1175" s="662"/>
      <c r="AB1175" s="36"/>
      <c r="AC1175" s="36"/>
      <c r="AD1175" s="33"/>
    </row>
    <row r="1176" spans="1:30" ht="15" customHeight="1">
      <c r="A1176" s="36"/>
      <c r="B1176" s="32"/>
      <c r="C1176" s="32"/>
      <c r="D1176" s="32"/>
      <c r="E1176" s="36"/>
      <c r="F1176" s="36"/>
      <c r="G1176" s="36"/>
      <c r="H1176" s="36"/>
      <c r="I1176" s="36"/>
      <c r="J1176" s="36"/>
      <c r="K1176" s="36"/>
      <c r="L1176" s="36"/>
      <c r="M1176" s="36"/>
      <c r="N1176" s="36"/>
      <c r="O1176" s="36"/>
      <c r="P1176" s="36"/>
      <c r="Q1176" s="36"/>
      <c r="R1176" s="36"/>
      <c r="S1176" s="34"/>
      <c r="T1176" s="34"/>
      <c r="U1176" s="34"/>
      <c r="V1176" s="34"/>
      <c r="W1176" s="478"/>
      <c r="X1176" s="32"/>
      <c r="Y1176" s="478"/>
      <c r="Z1176" s="32"/>
      <c r="AA1176" s="662"/>
      <c r="AB1176" s="36"/>
      <c r="AC1176" s="36"/>
      <c r="AD1176" s="33"/>
    </row>
    <row r="1177" spans="1:30" ht="15" customHeight="1">
      <c r="A1177" s="36"/>
      <c r="B1177" s="32"/>
      <c r="C1177" s="32"/>
      <c r="D1177" s="32"/>
      <c r="E1177" s="36"/>
      <c r="F1177" s="36"/>
      <c r="G1177" s="36"/>
      <c r="H1177" s="36"/>
      <c r="I1177" s="36"/>
      <c r="J1177" s="36"/>
      <c r="K1177" s="36"/>
      <c r="L1177" s="36"/>
      <c r="M1177" s="36"/>
      <c r="N1177" s="36"/>
      <c r="O1177" s="36"/>
      <c r="P1177" s="36"/>
      <c r="Q1177" s="36"/>
      <c r="R1177" s="36"/>
      <c r="S1177" s="34"/>
      <c r="T1177" s="34"/>
      <c r="U1177" s="34"/>
      <c r="V1177" s="34"/>
      <c r="W1177" s="478"/>
      <c r="X1177" s="32"/>
      <c r="Y1177" s="478"/>
      <c r="Z1177" s="32"/>
      <c r="AA1177" s="662"/>
      <c r="AB1177" s="36"/>
      <c r="AC1177" s="36"/>
      <c r="AD1177" s="33"/>
    </row>
    <row r="1178" spans="1:30" ht="15" customHeight="1">
      <c r="A1178" s="36"/>
      <c r="B1178" s="32"/>
      <c r="C1178" s="32"/>
      <c r="D1178" s="32"/>
      <c r="E1178" s="36"/>
      <c r="F1178" s="36"/>
      <c r="G1178" s="36"/>
      <c r="H1178" s="36"/>
      <c r="I1178" s="36"/>
      <c r="J1178" s="36"/>
      <c r="K1178" s="36"/>
      <c r="L1178" s="36"/>
      <c r="M1178" s="36"/>
      <c r="N1178" s="36"/>
      <c r="O1178" s="36"/>
      <c r="P1178" s="36"/>
      <c r="Q1178" s="36"/>
      <c r="R1178" s="36"/>
      <c r="S1178" s="34"/>
      <c r="T1178" s="34"/>
      <c r="U1178" s="34"/>
      <c r="V1178" s="34"/>
      <c r="W1178" s="478"/>
      <c r="X1178" s="32"/>
      <c r="Y1178" s="478"/>
      <c r="Z1178" s="32"/>
      <c r="AA1178" s="662"/>
      <c r="AB1178" s="36"/>
      <c r="AC1178" s="36"/>
      <c r="AD1178" s="33"/>
    </row>
    <row r="1179" spans="1:30" ht="15" customHeight="1">
      <c r="A1179" s="36"/>
      <c r="B1179" s="32"/>
      <c r="C1179" s="32"/>
      <c r="D1179" s="32"/>
      <c r="E1179" s="36"/>
      <c r="F1179" s="36"/>
      <c r="G1179" s="36"/>
      <c r="H1179" s="36"/>
      <c r="I1179" s="36"/>
      <c r="J1179" s="36"/>
      <c r="K1179" s="36"/>
      <c r="L1179" s="36"/>
      <c r="M1179" s="36"/>
      <c r="N1179" s="36"/>
      <c r="O1179" s="36"/>
      <c r="P1179" s="36"/>
      <c r="Q1179" s="36"/>
      <c r="R1179" s="36"/>
      <c r="S1179" s="34"/>
      <c r="T1179" s="34"/>
      <c r="U1179" s="34"/>
      <c r="V1179" s="34"/>
      <c r="W1179" s="478"/>
      <c r="X1179" s="32"/>
      <c r="Y1179" s="478"/>
      <c r="Z1179" s="32"/>
      <c r="AA1179" s="662"/>
      <c r="AB1179" s="36"/>
      <c r="AC1179" s="36"/>
      <c r="AD1179" s="33"/>
    </row>
    <row r="1180" spans="1:30" ht="15" customHeight="1">
      <c r="A1180" s="36"/>
      <c r="B1180" s="32"/>
      <c r="C1180" s="32"/>
      <c r="D1180" s="32"/>
      <c r="E1180" s="36"/>
      <c r="F1180" s="36"/>
      <c r="G1180" s="36"/>
      <c r="H1180" s="36"/>
      <c r="I1180" s="36"/>
      <c r="J1180" s="36"/>
      <c r="K1180" s="36"/>
      <c r="L1180" s="36"/>
      <c r="M1180" s="36"/>
      <c r="N1180" s="36"/>
      <c r="O1180" s="36"/>
      <c r="P1180" s="36"/>
      <c r="Q1180" s="36"/>
      <c r="R1180" s="36"/>
      <c r="S1180" s="34"/>
      <c r="T1180" s="34"/>
      <c r="U1180" s="34"/>
      <c r="V1180" s="34"/>
      <c r="W1180" s="478"/>
      <c r="X1180" s="32"/>
      <c r="Y1180" s="478"/>
      <c r="Z1180" s="32"/>
      <c r="AA1180" s="662"/>
      <c r="AB1180" s="36"/>
      <c r="AC1180" s="36"/>
      <c r="AD1180" s="33"/>
    </row>
    <row r="1181" spans="1:30" ht="15" customHeight="1">
      <c r="A1181" s="36"/>
      <c r="B1181" s="32"/>
      <c r="C1181" s="32"/>
      <c r="D1181" s="32"/>
      <c r="E1181" s="36"/>
      <c r="F1181" s="36"/>
      <c r="G1181" s="36"/>
      <c r="H1181" s="36"/>
      <c r="I1181" s="36"/>
      <c r="J1181" s="36"/>
      <c r="K1181" s="36"/>
      <c r="L1181" s="36"/>
      <c r="M1181" s="36"/>
      <c r="N1181" s="36"/>
      <c r="O1181" s="36"/>
      <c r="P1181" s="36"/>
      <c r="Q1181" s="36"/>
      <c r="R1181" s="36"/>
      <c r="S1181" s="34"/>
      <c r="T1181" s="34"/>
      <c r="U1181" s="34"/>
      <c r="V1181" s="34"/>
      <c r="W1181" s="478"/>
      <c r="X1181" s="32"/>
      <c r="Y1181" s="478"/>
      <c r="Z1181" s="32"/>
      <c r="AA1181" s="662"/>
      <c r="AB1181" s="36"/>
      <c r="AC1181" s="36"/>
      <c r="AD1181" s="33"/>
    </row>
    <row r="1182" spans="1:30" ht="15" customHeight="1">
      <c r="A1182" s="36"/>
      <c r="B1182" s="32"/>
      <c r="C1182" s="32"/>
      <c r="D1182" s="32"/>
      <c r="E1182" s="36"/>
      <c r="F1182" s="36"/>
      <c r="G1182" s="36"/>
      <c r="H1182" s="36"/>
      <c r="I1182" s="36"/>
      <c r="J1182" s="36"/>
      <c r="K1182" s="36"/>
      <c r="L1182" s="36"/>
      <c r="M1182" s="36"/>
      <c r="N1182" s="36"/>
      <c r="O1182" s="36"/>
      <c r="P1182" s="36"/>
      <c r="Q1182" s="36"/>
      <c r="R1182" s="36"/>
      <c r="S1182" s="34"/>
      <c r="T1182" s="34"/>
      <c r="U1182" s="34"/>
      <c r="V1182" s="34"/>
      <c r="W1182" s="478"/>
      <c r="X1182" s="32"/>
      <c r="Y1182" s="478"/>
      <c r="Z1182" s="32"/>
      <c r="AA1182" s="662"/>
      <c r="AB1182" s="36"/>
      <c r="AC1182" s="36"/>
      <c r="AD1182" s="33"/>
    </row>
    <row r="1183" spans="1:30" ht="15" customHeight="1">
      <c r="A1183" s="36"/>
      <c r="B1183" s="32"/>
      <c r="C1183" s="32"/>
      <c r="D1183" s="32"/>
      <c r="E1183" s="36"/>
      <c r="F1183" s="36"/>
      <c r="G1183" s="36"/>
      <c r="H1183" s="36"/>
      <c r="I1183" s="36"/>
      <c r="J1183" s="36"/>
      <c r="K1183" s="36"/>
      <c r="L1183" s="36"/>
      <c r="M1183" s="36"/>
      <c r="N1183" s="36"/>
      <c r="O1183" s="36"/>
      <c r="P1183" s="36"/>
      <c r="Q1183" s="36"/>
      <c r="R1183" s="36"/>
      <c r="S1183" s="34"/>
      <c r="T1183" s="34"/>
      <c r="U1183" s="34"/>
      <c r="V1183" s="34"/>
      <c r="W1183" s="478"/>
      <c r="X1183" s="32"/>
      <c r="Y1183" s="478"/>
      <c r="Z1183" s="32"/>
      <c r="AA1183" s="662"/>
      <c r="AB1183" s="36"/>
      <c r="AC1183" s="36"/>
      <c r="AD1183" s="33"/>
    </row>
    <row r="1184" spans="1:30" ht="15" customHeight="1">
      <c r="A1184" s="36"/>
      <c r="B1184" s="32"/>
      <c r="C1184" s="32"/>
      <c r="D1184" s="32"/>
      <c r="E1184" s="36"/>
      <c r="F1184" s="36"/>
      <c r="G1184" s="36"/>
      <c r="H1184" s="36"/>
      <c r="I1184" s="36"/>
      <c r="J1184" s="36"/>
      <c r="K1184" s="36"/>
      <c r="L1184" s="36"/>
      <c r="M1184" s="36"/>
      <c r="N1184" s="36"/>
      <c r="O1184" s="36"/>
      <c r="P1184" s="36"/>
      <c r="Q1184" s="36"/>
      <c r="R1184" s="36"/>
      <c r="S1184" s="34"/>
      <c r="T1184" s="34"/>
      <c r="U1184" s="34"/>
      <c r="V1184" s="34"/>
      <c r="W1184" s="478"/>
      <c r="X1184" s="32"/>
      <c r="Y1184" s="478"/>
      <c r="Z1184" s="32"/>
      <c r="AA1184" s="662"/>
      <c r="AB1184" s="36"/>
      <c r="AC1184" s="36"/>
      <c r="AD1184" s="33"/>
    </row>
    <row r="1185" spans="1:30" ht="15" customHeight="1">
      <c r="A1185" s="36"/>
      <c r="B1185" s="32"/>
      <c r="C1185" s="32"/>
      <c r="D1185" s="32"/>
      <c r="E1185" s="36"/>
      <c r="F1185" s="36"/>
      <c r="G1185" s="36"/>
      <c r="H1185" s="36"/>
      <c r="I1185" s="36"/>
      <c r="J1185" s="36"/>
      <c r="K1185" s="36"/>
      <c r="L1185" s="36"/>
      <c r="M1185" s="36"/>
      <c r="N1185" s="36"/>
      <c r="O1185" s="36"/>
      <c r="P1185" s="36"/>
      <c r="Q1185" s="36"/>
      <c r="R1185" s="36"/>
      <c r="S1185" s="34"/>
      <c r="T1185" s="34"/>
      <c r="U1185" s="34"/>
      <c r="V1185" s="34"/>
      <c r="W1185" s="478"/>
      <c r="X1185" s="32"/>
      <c r="Y1185" s="478"/>
      <c r="Z1185" s="32"/>
      <c r="AA1185" s="662"/>
      <c r="AB1185" s="36"/>
      <c r="AC1185" s="36"/>
      <c r="AD1185" s="33"/>
    </row>
    <row r="1186" spans="1:30" ht="15" customHeight="1">
      <c r="A1186" s="36"/>
      <c r="B1186" s="32"/>
      <c r="C1186" s="32"/>
      <c r="D1186" s="32"/>
      <c r="E1186" s="36"/>
      <c r="F1186" s="36"/>
      <c r="G1186" s="36"/>
      <c r="H1186" s="36"/>
      <c r="I1186" s="36"/>
      <c r="J1186" s="36"/>
      <c r="K1186" s="36"/>
      <c r="L1186" s="36"/>
      <c r="M1186" s="36"/>
      <c r="N1186" s="36"/>
      <c r="O1186" s="36"/>
      <c r="P1186" s="36"/>
      <c r="Q1186" s="36"/>
      <c r="R1186" s="36"/>
      <c r="S1186" s="34"/>
      <c r="T1186" s="34"/>
      <c r="U1186" s="34"/>
      <c r="V1186" s="34"/>
      <c r="W1186" s="478"/>
      <c r="X1186" s="32"/>
      <c r="Y1186" s="478"/>
      <c r="Z1186" s="32"/>
      <c r="AA1186" s="662"/>
      <c r="AB1186" s="36"/>
      <c r="AC1186" s="36"/>
      <c r="AD1186" s="33"/>
    </row>
    <row r="1187" spans="1:30" ht="15" customHeight="1">
      <c r="A1187" s="36"/>
      <c r="B1187" s="32"/>
      <c r="C1187" s="32"/>
      <c r="D1187" s="32"/>
      <c r="E1187" s="36"/>
      <c r="F1187" s="36"/>
      <c r="G1187" s="36"/>
      <c r="H1187" s="36"/>
      <c r="I1187" s="36"/>
      <c r="J1187" s="36"/>
      <c r="K1187" s="36"/>
      <c r="L1187" s="36"/>
      <c r="M1187" s="36"/>
      <c r="N1187" s="36"/>
      <c r="O1187" s="36"/>
      <c r="P1187" s="36"/>
      <c r="Q1187" s="36"/>
      <c r="R1187" s="36"/>
      <c r="S1187" s="34"/>
      <c r="T1187" s="34"/>
      <c r="U1187" s="34"/>
      <c r="V1187" s="34"/>
      <c r="W1187" s="478"/>
      <c r="X1187" s="32"/>
      <c r="Y1187" s="478"/>
      <c r="Z1187" s="32"/>
      <c r="AA1187" s="662"/>
      <c r="AB1187" s="36"/>
      <c r="AC1187" s="36"/>
      <c r="AD1187" s="33"/>
    </row>
    <row r="1188" spans="1:30" ht="15" customHeight="1">
      <c r="A1188" s="36"/>
      <c r="B1188" s="32"/>
      <c r="C1188" s="32"/>
      <c r="D1188" s="32"/>
      <c r="E1188" s="36"/>
      <c r="F1188" s="36"/>
      <c r="G1188" s="36"/>
      <c r="H1188" s="36"/>
      <c r="I1188" s="36"/>
      <c r="J1188" s="36"/>
      <c r="K1188" s="36"/>
      <c r="L1188" s="36"/>
      <c r="M1188" s="36"/>
      <c r="N1188" s="36"/>
      <c r="O1188" s="36"/>
      <c r="P1188" s="36"/>
      <c r="Q1188" s="36"/>
      <c r="R1188" s="36"/>
      <c r="S1188" s="34"/>
      <c r="T1188" s="34"/>
      <c r="U1188" s="34"/>
      <c r="V1188" s="34"/>
      <c r="W1188" s="478"/>
      <c r="X1188" s="32"/>
      <c r="Y1188" s="478"/>
      <c r="Z1188" s="32"/>
      <c r="AA1188" s="662"/>
      <c r="AB1188" s="36"/>
      <c r="AC1188" s="36"/>
      <c r="AD1188" s="33"/>
    </row>
    <row r="1189" spans="1:30" ht="15" customHeight="1">
      <c r="A1189" s="36"/>
      <c r="B1189" s="32"/>
      <c r="C1189" s="32"/>
      <c r="D1189" s="32"/>
      <c r="E1189" s="36"/>
      <c r="F1189" s="36"/>
      <c r="G1189" s="36"/>
      <c r="H1189" s="36"/>
      <c r="I1189" s="36"/>
      <c r="J1189" s="36"/>
      <c r="K1189" s="36"/>
      <c r="L1189" s="36"/>
      <c r="M1189" s="36"/>
      <c r="N1189" s="36"/>
      <c r="O1189" s="36"/>
      <c r="P1189" s="36"/>
      <c r="Q1189" s="36"/>
      <c r="R1189" s="36"/>
      <c r="S1189" s="34"/>
      <c r="T1189" s="34"/>
      <c r="U1189" s="34"/>
      <c r="V1189" s="34"/>
      <c r="W1189" s="478"/>
      <c r="X1189" s="32"/>
      <c r="Y1189" s="478"/>
      <c r="Z1189" s="32"/>
      <c r="AA1189" s="662"/>
      <c r="AB1189" s="36"/>
      <c r="AC1189" s="36"/>
      <c r="AD1189" s="33"/>
    </row>
    <row r="1190" spans="1:30" ht="15" customHeight="1">
      <c r="A1190" s="36"/>
      <c r="B1190" s="32"/>
      <c r="C1190" s="32"/>
      <c r="D1190" s="32"/>
      <c r="E1190" s="36"/>
      <c r="F1190" s="36"/>
      <c r="G1190" s="36"/>
      <c r="H1190" s="36"/>
      <c r="I1190" s="36"/>
      <c r="J1190" s="36"/>
      <c r="K1190" s="36"/>
      <c r="L1190" s="36"/>
      <c r="M1190" s="36"/>
      <c r="N1190" s="36"/>
      <c r="O1190" s="36"/>
      <c r="P1190" s="36"/>
      <c r="Q1190" s="36"/>
      <c r="R1190" s="36"/>
      <c r="S1190" s="34"/>
      <c r="T1190" s="34"/>
      <c r="U1190" s="34"/>
      <c r="V1190" s="34"/>
      <c r="W1190" s="478"/>
      <c r="X1190" s="32"/>
      <c r="Y1190" s="478"/>
      <c r="Z1190" s="32"/>
      <c r="AA1190" s="662"/>
      <c r="AB1190" s="36"/>
      <c r="AC1190" s="36"/>
      <c r="AD1190" s="33"/>
    </row>
    <row r="1191" spans="1:30" ht="15" customHeight="1">
      <c r="A1191" s="36"/>
      <c r="B1191" s="32"/>
      <c r="C1191" s="32"/>
      <c r="D1191" s="32"/>
      <c r="E1191" s="36"/>
      <c r="F1191" s="36"/>
      <c r="G1191" s="36"/>
      <c r="H1191" s="36"/>
      <c r="I1191" s="36"/>
      <c r="J1191" s="36"/>
      <c r="K1191" s="36"/>
      <c r="L1191" s="36"/>
      <c r="M1191" s="36"/>
      <c r="N1191" s="36"/>
      <c r="O1191" s="36"/>
      <c r="P1191" s="36"/>
      <c r="Q1191" s="36"/>
      <c r="R1191" s="36"/>
      <c r="S1191" s="34"/>
      <c r="T1191" s="34"/>
      <c r="U1191" s="34"/>
      <c r="V1191" s="34"/>
      <c r="W1191" s="478"/>
      <c r="X1191" s="32"/>
      <c r="Y1191" s="478"/>
      <c r="Z1191" s="32"/>
      <c r="AA1191" s="662"/>
      <c r="AB1191" s="36"/>
      <c r="AC1191" s="36"/>
      <c r="AD1191" s="33"/>
    </row>
    <row r="1192" spans="1:30" ht="15" customHeight="1">
      <c r="A1192" s="36"/>
      <c r="B1192" s="32"/>
      <c r="C1192" s="32"/>
      <c r="D1192" s="32"/>
      <c r="E1192" s="36"/>
      <c r="F1192" s="36"/>
      <c r="G1192" s="36"/>
      <c r="H1192" s="36"/>
      <c r="I1192" s="36"/>
      <c r="J1192" s="36"/>
      <c r="K1192" s="36"/>
      <c r="L1192" s="36"/>
      <c r="M1192" s="36"/>
      <c r="N1192" s="36"/>
      <c r="O1192" s="36"/>
      <c r="P1192" s="36"/>
      <c r="Q1192" s="36"/>
      <c r="R1192" s="36"/>
      <c r="S1192" s="34"/>
      <c r="T1192" s="34"/>
      <c r="U1192" s="34"/>
      <c r="V1192" s="34"/>
      <c r="W1192" s="478"/>
      <c r="X1192" s="32"/>
      <c r="Y1192" s="478"/>
      <c r="Z1192" s="32"/>
      <c r="AA1192" s="662"/>
      <c r="AB1192" s="36"/>
      <c r="AC1192" s="36"/>
      <c r="AD1192" s="33"/>
    </row>
    <row r="1193" spans="1:30" ht="15" customHeight="1">
      <c r="A1193" s="36"/>
      <c r="B1193" s="32"/>
      <c r="C1193" s="32"/>
      <c r="D1193" s="32"/>
      <c r="E1193" s="36"/>
      <c r="F1193" s="36"/>
      <c r="G1193" s="36"/>
      <c r="H1193" s="36"/>
      <c r="I1193" s="36"/>
      <c r="J1193" s="36"/>
      <c r="K1193" s="36"/>
      <c r="L1193" s="36"/>
      <c r="M1193" s="36"/>
      <c r="N1193" s="36"/>
      <c r="O1193" s="36"/>
      <c r="P1193" s="36"/>
      <c r="Q1193" s="36"/>
      <c r="R1193" s="36"/>
      <c r="S1193" s="34"/>
      <c r="T1193" s="34"/>
      <c r="U1193" s="34"/>
      <c r="V1193" s="34"/>
      <c r="W1193" s="478"/>
      <c r="X1193" s="32"/>
      <c r="Y1193" s="478"/>
      <c r="Z1193" s="32"/>
      <c r="AA1193" s="662"/>
      <c r="AB1193" s="36"/>
      <c r="AC1193" s="36"/>
      <c r="AD1193" s="33"/>
    </row>
    <row r="1194" spans="1:30" ht="15" customHeight="1">
      <c r="A1194" s="36"/>
      <c r="B1194" s="32"/>
      <c r="C1194" s="32"/>
      <c r="D1194" s="32"/>
      <c r="E1194" s="36"/>
      <c r="F1194" s="36"/>
      <c r="G1194" s="36"/>
      <c r="H1194" s="36"/>
      <c r="I1194" s="36"/>
      <c r="J1194" s="36"/>
      <c r="K1194" s="36"/>
      <c r="L1194" s="36"/>
      <c r="M1194" s="36"/>
      <c r="N1194" s="36"/>
      <c r="O1194" s="36"/>
      <c r="P1194" s="36"/>
      <c r="Q1194" s="36"/>
      <c r="R1194" s="36"/>
      <c r="S1194" s="34"/>
      <c r="T1194" s="34"/>
      <c r="U1194" s="34"/>
      <c r="V1194" s="34"/>
      <c r="W1194" s="478"/>
      <c r="X1194" s="32"/>
      <c r="Y1194" s="478"/>
      <c r="Z1194" s="32"/>
      <c r="AA1194" s="662"/>
      <c r="AB1194" s="36"/>
      <c r="AC1194" s="36"/>
      <c r="AD1194" s="33"/>
    </row>
    <row r="1195" spans="1:30" ht="15" customHeight="1">
      <c r="A1195" s="36"/>
      <c r="B1195" s="32"/>
      <c r="C1195" s="32"/>
      <c r="D1195" s="32"/>
      <c r="E1195" s="36"/>
      <c r="F1195" s="36"/>
      <c r="G1195" s="36"/>
      <c r="H1195" s="36"/>
      <c r="I1195" s="36"/>
      <c r="J1195" s="36"/>
      <c r="K1195" s="36"/>
      <c r="L1195" s="36"/>
      <c r="M1195" s="36"/>
      <c r="N1195" s="36"/>
      <c r="O1195" s="36"/>
      <c r="P1195" s="36"/>
      <c r="Q1195" s="36"/>
      <c r="R1195" s="36"/>
      <c r="S1195" s="34"/>
      <c r="T1195" s="34"/>
      <c r="U1195" s="34"/>
      <c r="V1195" s="34"/>
      <c r="W1195" s="478"/>
      <c r="X1195" s="32"/>
      <c r="Y1195" s="478"/>
      <c r="Z1195" s="32"/>
      <c r="AA1195" s="662"/>
      <c r="AB1195" s="36"/>
      <c r="AC1195" s="36"/>
      <c r="AD1195" s="33"/>
    </row>
    <row r="1196" spans="1:30" ht="15" customHeight="1">
      <c r="A1196" s="36"/>
      <c r="B1196" s="32"/>
      <c r="C1196" s="32"/>
      <c r="D1196" s="32"/>
      <c r="E1196" s="36"/>
      <c r="F1196" s="36"/>
      <c r="G1196" s="36"/>
      <c r="H1196" s="36"/>
      <c r="I1196" s="36"/>
      <c r="J1196" s="36"/>
      <c r="K1196" s="36"/>
      <c r="L1196" s="36"/>
      <c r="M1196" s="36"/>
      <c r="N1196" s="36"/>
      <c r="O1196" s="36"/>
      <c r="P1196" s="36"/>
      <c r="Q1196" s="36"/>
      <c r="R1196" s="36"/>
      <c r="S1196" s="34"/>
      <c r="T1196" s="34"/>
      <c r="U1196" s="34"/>
      <c r="V1196" s="34"/>
      <c r="W1196" s="478"/>
      <c r="X1196" s="32"/>
      <c r="Y1196" s="478"/>
      <c r="Z1196" s="32"/>
      <c r="AA1196" s="662"/>
      <c r="AB1196" s="36"/>
      <c r="AC1196" s="36"/>
      <c r="AD1196" s="33"/>
    </row>
    <row r="1197" spans="1:30" ht="15" customHeight="1">
      <c r="A1197" s="36"/>
      <c r="B1197" s="32"/>
      <c r="C1197" s="32"/>
      <c r="D1197" s="32"/>
      <c r="E1197" s="36"/>
      <c r="F1197" s="36"/>
      <c r="G1197" s="36"/>
      <c r="H1197" s="36"/>
      <c r="I1197" s="36"/>
      <c r="J1197" s="36"/>
      <c r="K1197" s="36"/>
      <c r="L1197" s="36"/>
      <c r="M1197" s="36"/>
      <c r="N1197" s="36"/>
      <c r="O1197" s="36"/>
      <c r="P1197" s="36"/>
      <c r="Q1197" s="36"/>
      <c r="R1197" s="36"/>
      <c r="S1197" s="34"/>
      <c r="T1197" s="34"/>
      <c r="U1197" s="34"/>
      <c r="V1197" s="34"/>
      <c r="W1197" s="478"/>
      <c r="X1197" s="32"/>
      <c r="Y1197" s="478"/>
      <c r="Z1197" s="32"/>
      <c r="AA1197" s="662"/>
      <c r="AB1197" s="36"/>
      <c r="AC1197" s="36"/>
      <c r="AD1197" s="33"/>
    </row>
    <row r="1198" spans="1:30" ht="15" customHeight="1">
      <c r="A1198" s="36"/>
      <c r="B1198" s="32"/>
      <c r="C1198" s="32"/>
      <c r="D1198" s="32"/>
      <c r="E1198" s="36"/>
      <c r="F1198" s="36"/>
      <c r="G1198" s="36"/>
      <c r="H1198" s="36"/>
      <c r="I1198" s="36"/>
      <c r="J1198" s="36"/>
      <c r="K1198" s="36"/>
      <c r="L1198" s="36"/>
      <c r="M1198" s="36"/>
      <c r="N1198" s="36"/>
      <c r="O1198" s="36"/>
      <c r="P1198" s="36"/>
      <c r="Q1198" s="36"/>
      <c r="R1198" s="36"/>
      <c r="S1198" s="34"/>
      <c r="T1198" s="34"/>
      <c r="U1198" s="34"/>
      <c r="V1198" s="34"/>
      <c r="W1198" s="478"/>
      <c r="X1198" s="32"/>
      <c r="Y1198" s="478"/>
      <c r="Z1198" s="32"/>
      <c r="AA1198" s="662"/>
      <c r="AB1198" s="36"/>
      <c r="AC1198" s="36"/>
      <c r="AD1198" s="33"/>
    </row>
    <row r="1199" spans="1:30" ht="15" customHeight="1">
      <c r="A1199" s="36"/>
      <c r="B1199" s="32"/>
      <c r="C1199" s="32"/>
      <c r="D1199" s="32"/>
      <c r="E1199" s="36"/>
      <c r="F1199" s="36"/>
      <c r="G1199" s="36"/>
      <c r="H1199" s="36"/>
      <c r="I1199" s="36"/>
      <c r="J1199" s="36"/>
      <c r="K1199" s="36"/>
      <c r="L1199" s="36"/>
      <c r="M1199" s="36"/>
      <c r="N1199" s="36"/>
      <c r="O1199" s="36"/>
      <c r="P1199" s="36"/>
      <c r="Q1199" s="36"/>
      <c r="R1199" s="36"/>
      <c r="S1199" s="34"/>
      <c r="T1199" s="34"/>
      <c r="U1199" s="34"/>
      <c r="V1199" s="34"/>
      <c r="W1199" s="478"/>
      <c r="X1199" s="32"/>
      <c r="Y1199" s="478"/>
      <c r="Z1199" s="32"/>
      <c r="AA1199" s="662"/>
      <c r="AB1199" s="36"/>
      <c r="AC1199" s="36"/>
      <c r="AD1199" s="33"/>
    </row>
    <row r="1200" spans="1:30" ht="15" customHeight="1">
      <c r="A1200" s="36"/>
      <c r="B1200" s="32"/>
      <c r="C1200" s="32"/>
      <c r="D1200" s="32"/>
      <c r="E1200" s="36"/>
      <c r="F1200" s="36"/>
      <c r="G1200" s="36"/>
      <c r="H1200" s="36"/>
      <c r="I1200" s="36"/>
      <c r="J1200" s="36"/>
      <c r="K1200" s="36"/>
      <c r="L1200" s="36"/>
      <c r="M1200" s="36"/>
      <c r="N1200" s="36"/>
      <c r="O1200" s="36"/>
      <c r="P1200" s="36"/>
      <c r="Q1200" s="36"/>
      <c r="R1200" s="36"/>
      <c r="S1200" s="34"/>
      <c r="T1200" s="34"/>
      <c r="U1200" s="34"/>
      <c r="V1200" s="34"/>
      <c r="W1200" s="478"/>
      <c r="X1200" s="32"/>
      <c r="Y1200" s="478"/>
      <c r="Z1200" s="32"/>
      <c r="AA1200" s="662"/>
      <c r="AB1200" s="36"/>
      <c r="AC1200" s="36"/>
      <c r="AD1200" s="33"/>
    </row>
    <row r="1201" spans="1:30" ht="15" customHeight="1">
      <c r="A1201" s="36"/>
      <c r="B1201" s="32"/>
      <c r="C1201" s="32"/>
      <c r="D1201" s="32"/>
      <c r="E1201" s="36"/>
      <c r="F1201" s="36"/>
      <c r="G1201" s="36"/>
      <c r="H1201" s="36"/>
      <c r="I1201" s="36"/>
      <c r="J1201" s="36"/>
      <c r="K1201" s="36"/>
      <c r="L1201" s="36"/>
      <c r="M1201" s="36"/>
      <c r="N1201" s="36"/>
      <c r="O1201" s="36"/>
      <c r="P1201" s="36"/>
      <c r="Q1201" s="36"/>
      <c r="R1201" s="36"/>
      <c r="S1201" s="34"/>
      <c r="T1201" s="34"/>
      <c r="U1201" s="34"/>
      <c r="V1201" s="34"/>
      <c r="W1201" s="478"/>
      <c r="X1201" s="32"/>
      <c r="Y1201" s="478"/>
      <c r="Z1201" s="32"/>
      <c r="AA1201" s="662"/>
      <c r="AB1201" s="36"/>
      <c r="AC1201" s="36"/>
      <c r="AD1201" s="33"/>
    </row>
    <row r="1202" spans="1:30" ht="15" customHeight="1">
      <c r="A1202" s="36"/>
      <c r="B1202" s="32"/>
      <c r="C1202" s="32"/>
      <c r="D1202" s="32"/>
      <c r="E1202" s="36"/>
      <c r="F1202" s="36"/>
      <c r="G1202" s="36"/>
      <c r="H1202" s="36"/>
      <c r="I1202" s="36"/>
      <c r="J1202" s="36"/>
      <c r="K1202" s="36"/>
      <c r="L1202" s="36"/>
      <c r="M1202" s="36"/>
      <c r="N1202" s="36"/>
      <c r="O1202" s="36"/>
      <c r="P1202" s="36"/>
      <c r="Q1202" s="36"/>
      <c r="R1202" s="36"/>
      <c r="S1202" s="34"/>
      <c r="T1202" s="34"/>
      <c r="U1202" s="34"/>
      <c r="V1202" s="34"/>
      <c r="W1202" s="478"/>
      <c r="X1202" s="32"/>
      <c r="Y1202" s="478"/>
      <c r="Z1202" s="32"/>
      <c r="AA1202" s="662"/>
      <c r="AB1202" s="36"/>
      <c r="AC1202" s="36"/>
      <c r="AD1202" s="33"/>
    </row>
    <row r="1203" spans="1:30" ht="15" customHeight="1">
      <c r="A1203" s="36"/>
      <c r="B1203" s="32"/>
      <c r="C1203" s="32"/>
      <c r="D1203" s="32"/>
      <c r="E1203" s="36"/>
      <c r="F1203" s="36"/>
      <c r="G1203" s="36"/>
      <c r="H1203" s="36"/>
      <c r="I1203" s="36"/>
      <c r="J1203" s="36"/>
      <c r="K1203" s="36"/>
      <c r="L1203" s="36"/>
      <c r="M1203" s="36"/>
      <c r="N1203" s="36"/>
      <c r="O1203" s="36"/>
      <c r="P1203" s="36"/>
      <c r="Q1203" s="36"/>
      <c r="R1203" s="36"/>
      <c r="S1203" s="34"/>
      <c r="T1203" s="34"/>
      <c r="U1203" s="34"/>
      <c r="V1203" s="34"/>
      <c r="W1203" s="478"/>
      <c r="X1203" s="32"/>
      <c r="Y1203" s="478"/>
      <c r="Z1203" s="32"/>
      <c r="AA1203" s="662"/>
      <c r="AB1203" s="36"/>
      <c r="AC1203" s="36"/>
      <c r="AD1203" s="33"/>
    </row>
    <row r="1204" spans="1:30" ht="15" customHeight="1">
      <c r="A1204" s="36"/>
      <c r="B1204" s="32"/>
      <c r="C1204" s="32"/>
      <c r="D1204" s="32"/>
      <c r="E1204" s="36"/>
      <c r="F1204" s="36"/>
      <c r="G1204" s="36"/>
      <c r="H1204" s="36"/>
      <c r="I1204" s="36"/>
      <c r="J1204" s="36"/>
      <c r="K1204" s="36"/>
      <c r="L1204" s="36"/>
      <c r="M1204" s="36"/>
      <c r="N1204" s="36"/>
      <c r="O1204" s="36"/>
      <c r="P1204" s="36"/>
      <c r="Q1204" s="36"/>
      <c r="R1204" s="36"/>
      <c r="S1204" s="34"/>
      <c r="T1204" s="34"/>
      <c r="U1204" s="34"/>
      <c r="V1204" s="34"/>
      <c r="W1204" s="478"/>
      <c r="X1204" s="32"/>
      <c r="Y1204" s="478"/>
      <c r="Z1204" s="32"/>
      <c r="AA1204" s="662"/>
      <c r="AB1204" s="36"/>
      <c r="AC1204" s="36"/>
      <c r="AD1204" s="33"/>
    </row>
    <row r="1205" spans="1:30" ht="15" customHeight="1">
      <c r="A1205" s="36"/>
      <c r="B1205" s="32"/>
      <c r="C1205" s="32"/>
      <c r="D1205" s="32"/>
      <c r="E1205" s="36"/>
      <c r="F1205" s="36"/>
      <c r="G1205" s="36"/>
      <c r="H1205" s="36"/>
      <c r="I1205" s="36"/>
      <c r="J1205" s="36"/>
      <c r="K1205" s="36"/>
      <c r="L1205" s="36"/>
      <c r="M1205" s="36"/>
      <c r="N1205" s="36"/>
      <c r="O1205" s="36"/>
      <c r="P1205" s="36"/>
      <c r="Q1205" s="36"/>
      <c r="R1205" s="36"/>
      <c r="S1205" s="34"/>
      <c r="T1205" s="34"/>
      <c r="U1205" s="34"/>
      <c r="V1205" s="34"/>
      <c r="W1205" s="478"/>
      <c r="X1205" s="32"/>
      <c r="Y1205" s="478"/>
      <c r="Z1205" s="32"/>
      <c r="AA1205" s="662"/>
      <c r="AB1205" s="36"/>
      <c r="AC1205" s="36"/>
      <c r="AD1205" s="33"/>
    </row>
    <row r="1206" spans="1:30" ht="15" customHeight="1">
      <c r="A1206" s="36"/>
      <c r="B1206" s="32"/>
      <c r="C1206" s="32"/>
      <c r="D1206" s="32"/>
      <c r="E1206" s="36"/>
      <c r="F1206" s="36"/>
      <c r="G1206" s="36"/>
      <c r="H1206" s="36"/>
      <c r="I1206" s="36"/>
      <c r="J1206" s="36"/>
      <c r="K1206" s="36"/>
      <c r="L1206" s="36"/>
      <c r="M1206" s="36"/>
      <c r="N1206" s="36"/>
      <c r="O1206" s="36"/>
      <c r="P1206" s="36"/>
      <c r="Q1206" s="36"/>
      <c r="R1206" s="36"/>
      <c r="S1206" s="34"/>
      <c r="T1206" s="34"/>
      <c r="U1206" s="34"/>
      <c r="V1206" s="34"/>
      <c r="W1206" s="478"/>
      <c r="X1206" s="32"/>
      <c r="Y1206" s="478"/>
      <c r="Z1206" s="32"/>
      <c r="AA1206" s="662"/>
      <c r="AB1206" s="36"/>
      <c r="AC1206" s="36"/>
      <c r="AD1206" s="33"/>
    </row>
    <row r="1207" spans="1:30" ht="15" customHeight="1">
      <c r="A1207" s="36"/>
      <c r="B1207" s="32"/>
      <c r="C1207" s="32"/>
      <c r="D1207" s="32"/>
      <c r="E1207" s="36"/>
      <c r="F1207" s="36"/>
      <c r="G1207" s="36"/>
      <c r="H1207" s="36"/>
      <c r="I1207" s="36"/>
      <c r="J1207" s="36"/>
      <c r="K1207" s="36"/>
      <c r="L1207" s="36"/>
      <c r="M1207" s="36"/>
      <c r="N1207" s="36"/>
      <c r="O1207" s="36"/>
      <c r="P1207" s="36"/>
      <c r="Q1207" s="36"/>
      <c r="R1207" s="36"/>
      <c r="S1207" s="34"/>
      <c r="T1207" s="34"/>
      <c r="U1207" s="34"/>
      <c r="V1207" s="34"/>
      <c r="W1207" s="478"/>
      <c r="X1207" s="32"/>
      <c r="Y1207" s="478"/>
      <c r="Z1207" s="32"/>
      <c r="AA1207" s="662"/>
      <c r="AB1207" s="36"/>
      <c r="AC1207" s="36"/>
      <c r="AD1207" s="33"/>
    </row>
    <row r="1208" spans="1:30" ht="15" customHeight="1">
      <c r="A1208" s="36"/>
      <c r="B1208" s="32"/>
      <c r="C1208" s="32"/>
      <c r="D1208" s="32"/>
      <c r="E1208" s="36"/>
      <c r="F1208" s="36"/>
      <c r="G1208" s="36"/>
      <c r="H1208" s="36"/>
      <c r="I1208" s="36"/>
      <c r="J1208" s="36"/>
      <c r="K1208" s="36"/>
      <c r="L1208" s="36"/>
      <c r="M1208" s="36"/>
      <c r="N1208" s="36"/>
      <c r="O1208" s="36"/>
      <c r="P1208" s="36"/>
      <c r="Q1208" s="36"/>
      <c r="R1208" s="36"/>
      <c r="S1208" s="34"/>
      <c r="T1208" s="34"/>
      <c r="U1208" s="34"/>
      <c r="V1208" s="34"/>
      <c r="W1208" s="478"/>
      <c r="X1208" s="32"/>
      <c r="Y1208" s="478"/>
      <c r="Z1208" s="32"/>
      <c r="AA1208" s="662"/>
      <c r="AB1208" s="36"/>
      <c r="AC1208" s="36"/>
      <c r="AD1208" s="33"/>
    </row>
    <row r="1209" spans="1:30" ht="15" customHeight="1">
      <c r="A1209" s="36"/>
      <c r="B1209" s="32"/>
      <c r="C1209" s="32"/>
      <c r="D1209" s="32"/>
      <c r="E1209" s="36"/>
      <c r="F1209" s="36"/>
      <c r="G1209" s="36"/>
      <c r="H1209" s="36"/>
      <c r="I1209" s="36"/>
      <c r="J1209" s="36"/>
      <c r="K1209" s="36"/>
      <c r="L1209" s="36"/>
      <c r="M1209" s="36"/>
      <c r="N1209" s="36"/>
      <c r="O1209" s="36"/>
      <c r="P1209" s="36"/>
      <c r="Q1209" s="36"/>
      <c r="R1209" s="36"/>
      <c r="S1209" s="34"/>
      <c r="T1209" s="34"/>
      <c r="U1209" s="34"/>
      <c r="V1209" s="34"/>
      <c r="W1209" s="478"/>
      <c r="X1209" s="32"/>
      <c r="Y1209" s="478"/>
      <c r="Z1209" s="32"/>
      <c r="AA1209" s="662"/>
      <c r="AB1209" s="36"/>
      <c r="AC1209" s="36"/>
      <c r="AD1209" s="33"/>
    </row>
    <row r="1210" spans="1:30" ht="15" customHeight="1">
      <c r="A1210" s="36"/>
      <c r="B1210" s="32"/>
      <c r="C1210" s="32"/>
      <c r="D1210" s="32"/>
      <c r="E1210" s="36"/>
      <c r="F1210" s="36"/>
      <c r="G1210" s="36"/>
      <c r="H1210" s="36"/>
      <c r="I1210" s="36"/>
      <c r="J1210" s="36"/>
      <c r="K1210" s="36"/>
      <c r="L1210" s="36"/>
      <c r="M1210" s="36"/>
      <c r="N1210" s="36"/>
      <c r="O1210" s="36"/>
      <c r="P1210" s="36"/>
      <c r="Q1210" s="36"/>
      <c r="R1210" s="36"/>
      <c r="S1210" s="34"/>
      <c r="T1210" s="34"/>
      <c r="U1210" s="34"/>
      <c r="V1210" s="34"/>
      <c r="W1210" s="478"/>
      <c r="X1210" s="32"/>
      <c r="Y1210" s="478"/>
      <c r="Z1210" s="32"/>
      <c r="AA1210" s="662"/>
      <c r="AB1210" s="36"/>
      <c r="AC1210" s="36"/>
      <c r="AD1210" s="33"/>
    </row>
    <row r="1211" spans="1:30" ht="15" customHeight="1">
      <c r="A1211" s="36"/>
      <c r="B1211" s="32"/>
      <c r="C1211" s="32"/>
      <c r="D1211" s="32"/>
      <c r="E1211" s="36"/>
      <c r="F1211" s="36"/>
      <c r="G1211" s="36"/>
      <c r="H1211" s="36"/>
      <c r="I1211" s="36"/>
      <c r="J1211" s="36"/>
      <c r="K1211" s="36"/>
      <c r="L1211" s="36"/>
      <c r="M1211" s="36"/>
      <c r="N1211" s="36"/>
      <c r="O1211" s="36"/>
      <c r="P1211" s="36"/>
      <c r="Q1211" s="36"/>
      <c r="R1211" s="36"/>
      <c r="S1211" s="34"/>
      <c r="T1211" s="34"/>
      <c r="U1211" s="34"/>
      <c r="V1211" s="34"/>
      <c r="W1211" s="478"/>
      <c r="X1211" s="32"/>
      <c r="Y1211" s="478"/>
      <c r="Z1211" s="32"/>
      <c r="AA1211" s="662"/>
      <c r="AB1211" s="36"/>
      <c r="AC1211" s="36"/>
      <c r="AD1211" s="33"/>
    </row>
    <row r="1212" spans="1:30" ht="15" customHeight="1">
      <c r="A1212" s="36"/>
      <c r="B1212" s="32"/>
      <c r="C1212" s="32"/>
      <c r="D1212" s="32"/>
      <c r="E1212" s="36"/>
      <c r="F1212" s="36"/>
      <c r="G1212" s="36"/>
      <c r="H1212" s="36"/>
      <c r="I1212" s="36"/>
      <c r="J1212" s="36"/>
      <c r="K1212" s="36"/>
      <c r="L1212" s="36"/>
      <c r="M1212" s="36"/>
      <c r="N1212" s="36"/>
      <c r="O1212" s="36"/>
      <c r="P1212" s="36"/>
      <c r="Q1212" s="36"/>
      <c r="R1212" s="36"/>
      <c r="S1212" s="34"/>
      <c r="T1212" s="34"/>
      <c r="U1212" s="34"/>
      <c r="V1212" s="34"/>
      <c r="W1212" s="478"/>
      <c r="X1212" s="32"/>
      <c r="Y1212" s="478"/>
      <c r="Z1212" s="32"/>
      <c r="AA1212" s="662"/>
      <c r="AB1212" s="36"/>
      <c r="AC1212" s="36"/>
      <c r="AD1212" s="33"/>
    </row>
    <row r="1213" spans="1:30" ht="15" customHeight="1">
      <c r="A1213" s="36"/>
      <c r="B1213" s="32"/>
      <c r="C1213" s="32"/>
      <c r="D1213" s="32"/>
      <c r="E1213" s="36"/>
      <c r="F1213" s="36"/>
      <c r="G1213" s="36"/>
      <c r="H1213" s="36"/>
      <c r="I1213" s="36"/>
      <c r="J1213" s="36"/>
      <c r="K1213" s="36"/>
      <c r="L1213" s="36"/>
      <c r="M1213" s="36"/>
      <c r="N1213" s="36"/>
      <c r="O1213" s="36"/>
      <c r="P1213" s="36"/>
      <c r="Q1213" s="36"/>
      <c r="R1213" s="36"/>
      <c r="S1213" s="34"/>
      <c r="T1213" s="34"/>
      <c r="U1213" s="34"/>
      <c r="V1213" s="34"/>
      <c r="W1213" s="478"/>
      <c r="X1213" s="32"/>
      <c r="Y1213" s="478"/>
      <c r="Z1213" s="32"/>
      <c r="AA1213" s="662"/>
      <c r="AB1213" s="36"/>
      <c r="AC1213" s="36"/>
      <c r="AD1213" s="33"/>
    </row>
    <row r="1214" spans="1:30" ht="15" customHeight="1">
      <c r="A1214" s="36"/>
      <c r="B1214" s="32"/>
      <c r="C1214" s="32"/>
      <c r="D1214" s="32"/>
      <c r="E1214" s="36"/>
      <c r="F1214" s="36"/>
      <c r="G1214" s="36"/>
      <c r="H1214" s="36"/>
      <c r="I1214" s="36"/>
      <c r="J1214" s="36"/>
      <c r="K1214" s="36"/>
      <c r="L1214" s="36"/>
      <c r="M1214" s="36"/>
      <c r="N1214" s="36"/>
      <c r="O1214" s="36"/>
      <c r="P1214" s="36"/>
      <c r="Q1214" s="36"/>
      <c r="R1214" s="36"/>
      <c r="S1214" s="34"/>
      <c r="T1214" s="34"/>
      <c r="U1214" s="34"/>
      <c r="V1214" s="34"/>
      <c r="W1214" s="478"/>
      <c r="X1214" s="32"/>
      <c r="Y1214" s="478"/>
      <c r="Z1214" s="32"/>
      <c r="AA1214" s="662"/>
      <c r="AB1214" s="36"/>
      <c r="AC1214" s="36"/>
      <c r="AD1214" s="33"/>
    </row>
    <row r="1215" spans="1:30" ht="15" customHeight="1">
      <c r="A1215" s="36"/>
      <c r="B1215" s="32"/>
      <c r="C1215" s="32"/>
      <c r="D1215" s="32"/>
      <c r="E1215" s="36"/>
      <c r="F1215" s="36"/>
      <c r="G1215" s="36"/>
      <c r="H1215" s="36"/>
      <c r="I1215" s="36"/>
      <c r="J1215" s="36"/>
      <c r="K1215" s="36"/>
      <c r="L1215" s="36"/>
      <c r="M1215" s="36"/>
      <c r="N1215" s="36"/>
      <c r="O1215" s="36"/>
      <c r="P1215" s="36"/>
      <c r="Q1215" s="36"/>
      <c r="R1215" s="36"/>
      <c r="S1215" s="34"/>
      <c r="T1215" s="34"/>
      <c r="U1215" s="34"/>
      <c r="V1215" s="34"/>
      <c r="W1215" s="478"/>
      <c r="X1215" s="32"/>
      <c r="Y1215" s="478"/>
      <c r="Z1215" s="32"/>
      <c r="AA1215" s="662"/>
      <c r="AB1215" s="36"/>
      <c r="AC1215" s="36"/>
      <c r="AD1215" s="33"/>
    </row>
    <row r="1216" spans="1:30" ht="15" customHeight="1">
      <c r="A1216" s="36"/>
      <c r="B1216" s="32"/>
      <c r="C1216" s="32"/>
      <c r="D1216" s="32"/>
      <c r="E1216" s="36"/>
      <c r="F1216" s="36"/>
      <c r="G1216" s="36"/>
      <c r="H1216" s="36"/>
      <c r="I1216" s="36"/>
      <c r="J1216" s="36"/>
      <c r="K1216" s="36"/>
      <c r="L1216" s="36"/>
      <c r="M1216" s="36"/>
      <c r="N1216" s="36"/>
      <c r="O1216" s="36"/>
      <c r="P1216" s="36"/>
      <c r="Q1216" s="36"/>
      <c r="R1216" s="36"/>
      <c r="S1216" s="34"/>
      <c r="T1216" s="34"/>
      <c r="U1216" s="34"/>
      <c r="V1216" s="34"/>
      <c r="W1216" s="478"/>
      <c r="X1216" s="32"/>
      <c r="Y1216" s="478"/>
      <c r="Z1216" s="32"/>
      <c r="AA1216" s="662"/>
      <c r="AB1216" s="36"/>
      <c r="AC1216" s="36"/>
      <c r="AD1216" s="33"/>
    </row>
    <row r="1217" spans="1:30" ht="15" customHeight="1">
      <c r="A1217" s="36"/>
      <c r="B1217" s="32"/>
      <c r="C1217" s="32"/>
      <c r="D1217" s="32"/>
      <c r="E1217" s="36"/>
      <c r="F1217" s="36"/>
      <c r="G1217" s="36"/>
      <c r="H1217" s="36"/>
      <c r="I1217" s="36"/>
      <c r="J1217" s="36"/>
      <c r="K1217" s="36"/>
      <c r="L1217" s="36"/>
      <c r="M1217" s="36"/>
      <c r="N1217" s="36"/>
      <c r="O1217" s="36"/>
      <c r="P1217" s="36"/>
      <c r="Q1217" s="36"/>
      <c r="R1217" s="36"/>
      <c r="S1217" s="34"/>
      <c r="T1217" s="34"/>
      <c r="U1217" s="34"/>
      <c r="V1217" s="34"/>
      <c r="W1217" s="478"/>
      <c r="X1217" s="32"/>
      <c r="Y1217" s="478"/>
      <c r="Z1217" s="32"/>
      <c r="AA1217" s="662"/>
      <c r="AB1217" s="36"/>
      <c r="AC1217" s="36"/>
      <c r="AD1217" s="33"/>
    </row>
    <row r="1218" spans="1:30" ht="15" customHeight="1">
      <c r="A1218" s="36"/>
      <c r="B1218" s="32"/>
      <c r="C1218" s="32"/>
      <c r="D1218" s="32"/>
      <c r="E1218" s="36"/>
      <c r="F1218" s="36"/>
      <c r="G1218" s="36"/>
      <c r="H1218" s="36"/>
      <c r="I1218" s="36"/>
      <c r="J1218" s="36"/>
      <c r="K1218" s="36"/>
      <c r="L1218" s="36"/>
      <c r="M1218" s="36"/>
      <c r="N1218" s="36"/>
      <c r="O1218" s="36"/>
      <c r="P1218" s="36"/>
      <c r="Q1218" s="36"/>
      <c r="R1218" s="36"/>
      <c r="S1218" s="34"/>
      <c r="T1218" s="34"/>
      <c r="U1218" s="34"/>
      <c r="V1218" s="34"/>
      <c r="W1218" s="478"/>
      <c r="X1218" s="32"/>
      <c r="Y1218" s="478"/>
      <c r="Z1218" s="32"/>
      <c r="AA1218" s="662"/>
      <c r="AB1218" s="36"/>
      <c r="AC1218" s="36"/>
      <c r="AD1218" s="33"/>
    </row>
    <row r="1219" spans="1:30" ht="15" customHeight="1">
      <c r="A1219" s="36"/>
      <c r="B1219" s="32"/>
      <c r="C1219" s="32"/>
      <c r="D1219" s="32"/>
      <c r="E1219" s="36"/>
      <c r="F1219" s="36"/>
      <c r="G1219" s="36"/>
      <c r="H1219" s="36"/>
      <c r="I1219" s="36"/>
      <c r="J1219" s="36"/>
      <c r="K1219" s="36"/>
      <c r="L1219" s="36"/>
      <c r="M1219" s="36"/>
      <c r="N1219" s="36"/>
      <c r="O1219" s="36"/>
      <c r="P1219" s="36"/>
      <c r="Q1219" s="36"/>
      <c r="R1219" s="36"/>
      <c r="S1219" s="34"/>
      <c r="T1219" s="34"/>
      <c r="U1219" s="34"/>
      <c r="V1219" s="34"/>
      <c r="W1219" s="478"/>
      <c r="X1219" s="32"/>
      <c r="Y1219" s="478"/>
      <c r="Z1219" s="32"/>
      <c r="AA1219" s="662"/>
      <c r="AB1219" s="36"/>
      <c r="AC1219" s="36"/>
      <c r="AD1219" s="33"/>
    </row>
    <row r="1220" spans="1:30" ht="15" customHeight="1">
      <c r="A1220" s="36"/>
      <c r="B1220" s="32"/>
      <c r="C1220" s="32"/>
      <c r="D1220" s="32"/>
      <c r="E1220" s="36"/>
      <c r="F1220" s="36"/>
      <c r="G1220" s="36"/>
      <c r="H1220" s="36"/>
      <c r="I1220" s="36"/>
      <c r="J1220" s="36"/>
      <c r="K1220" s="36"/>
      <c r="L1220" s="36"/>
      <c r="M1220" s="36"/>
      <c r="N1220" s="36"/>
      <c r="O1220" s="36"/>
      <c r="P1220" s="36"/>
      <c r="Q1220" s="36"/>
      <c r="R1220" s="36"/>
      <c r="S1220" s="34"/>
      <c r="T1220" s="34"/>
      <c r="U1220" s="34"/>
      <c r="V1220" s="34"/>
      <c r="W1220" s="478"/>
      <c r="X1220" s="32"/>
      <c r="Y1220" s="478"/>
      <c r="Z1220" s="32"/>
      <c r="AA1220" s="662"/>
      <c r="AB1220" s="36"/>
      <c r="AC1220" s="36"/>
      <c r="AD1220" s="33"/>
    </row>
    <row r="1221" spans="1:30" ht="15" customHeight="1">
      <c r="A1221" s="36"/>
      <c r="B1221" s="32"/>
      <c r="C1221" s="32"/>
      <c r="D1221" s="32"/>
      <c r="E1221" s="36"/>
      <c r="F1221" s="36"/>
      <c r="G1221" s="36"/>
      <c r="H1221" s="36"/>
      <c r="I1221" s="36"/>
      <c r="J1221" s="36"/>
      <c r="K1221" s="36"/>
      <c r="L1221" s="36"/>
      <c r="M1221" s="36"/>
      <c r="N1221" s="36"/>
      <c r="O1221" s="36"/>
      <c r="P1221" s="36"/>
      <c r="Q1221" s="36"/>
      <c r="R1221" s="36"/>
      <c r="S1221" s="34"/>
      <c r="T1221" s="34"/>
      <c r="U1221" s="34"/>
      <c r="V1221" s="34"/>
      <c r="W1221" s="478"/>
      <c r="X1221" s="32"/>
      <c r="Y1221" s="478"/>
      <c r="Z1221" s="32"/>
      <c r="AA1221" s="662"/>
      <c r="AB1221" s="36"/>
      <c r="AC1221" s="36"/>
      <c r="AD1221" s="33"/>
    </row>
    <row r="1222" spans="1:30" ht="15" customHeight="1">
      <c r="A1222" s="36"/>
      <c r="B1222" s="32"/>
      <c r="C1222" s="32"/>
      <c r="D1222" s="32"/>
      <c r="E1222" s="36"/>
      <c r="F1222" s="36"/>
      <c r="G1222" s="36"/>
      <c r="H1222" s="36"/>
      <c r="I1222" s="36"/>
      <c r="J1222" s="36"/>
      <c r="K1222" s="36"/>
      <c r="L1222" s="36"/>
      <c r="M1222" s="36"/>
      <c r="N1222" s="36"/>
      <c r="O1222" s="36"/>
      <c r="P1222" s="36"/>
      <c r="Q1222" s="36"/>
      <c r="R1222" s="36"/>
      <c r="S1222" s="34"/>
      <c r="T1222" s="34"/>
      <c r="U1222" s="34"/>
      <c r="V1222" s="34"/>
      <c r="W1222" s="478"/>
      <c r="X1222" s="32"/>
      <c r="Y1222" s="478"/>
      <c r="Z1222" s="32"/>
      <c r="AA1222" s="662"/>
      <c r="AB1222" s="36"/>
      <c r="AC1222" s="36"/>
      <c r="AD1222" s="33"/>
    </row>
    <row r="1223" spans="1:30" ht="15" customHeight="1">
      <c r="A1223" s="36"/>
      <c r="B1223" s="32"/>
      <c r="C1223" s="32"/>
      <c r="D1223" s="32"/>
      <c r="E1223" s="36"/>
      <c r="F1223" s="36"/>
      <c r="G1223" s="36"/>
      <c r="H1223" s="36"/>
      <c r="I1223" s="36"/>
      <c r="J1223" s="36"/>
      <c r="K1223" s="36"/>
      <c r="L1223" s="36"/>
      <c r="M1223" s="36"/>
      <c r="N1223" s="36"/>
      <c r="O1223" s="36"/>
      <c r="P1223" s="36"/>
      <c r="Q1223" s="36"/>
      <c r="R1223" s="36"/>
      <c r="S1223" s="34"/>
      <c r="T1223" s="34"/>
      <c r="U1223" s="34"/>
      <c r="V1223" s="34"/>
      <c r="W1223" s="478"/>
      <c r="X1223" s="32"/>
      <c r="Y1223" s="478"/>
      <c r="Z1223" s="32"/>
      <c r="AA1223" s="662"/>
      <c r="AB1223" s="36"/>
      <c r="AC1223" s="36"/>
      <c r="AD1223" s="33"/>
    </row>
    <row r="1224" spans="1:30" ht="15" customHeight="1">
      <c r="A1224" s="36"/>
      <c r="B1224" s="32"/>
      <c r="C1224" s="32"/>
      <c r="D1224" s="32"/>
      <c r="E1224" s="36"/>
      <c r="F1224" s="36"/>
      <c r="G1224" s="36"/>
      <c r="H1224" s="36"/>
      <c r="I1224" s="36"/>
      <c r="J1224" s="36"/>
      <c r="K1224" s="36"/>
      <c r="L1224" s="36"/>
      <c r="M1224" s="36"/>
      <c r="N1224" s="36"/>
      <c r="O1224" s="36"/>
      <c r="P1224" s="36"/>
      <c r="Q1224" s="36"/>
      <c r="R1224" s="36"/>
      <c r="S1224" s="34"/>
      <c r="T1224" s="34"/>
      <c r="U1224" s="34"/>
      <c r="V1224" s="34"/>
      <c r="W1224" s="478"/>
      <c r="X1224" s="32"/>
      <c r="Y1224" s="478"/>
      <c r="Z1224" s="32"/>
      <c r="AA1224" s="662"/>
      <c r="AB1224" s="36"/>
      <c r="AC1224" s="36"/>
      <c r="AD1224" s="33"/>
    </row>
    <row r="1225" spans="1:30" ht="15" customHeight="1">
      <c r="A1225" s="36"/>
      <c r="B1225" s="32"/>
      <c r="C1225" s="32"/>
      <c r="D1225" s="32"/>
      <c r="E1225" s="36"/>
      <c r="F1225" s="36"/>
      <c r="G1225" s="36"/>
      <c r="H1225" s="36"/>
      <c r="I1225" s="36"/>
      <c r="J1225" s="36"/>
      <c r="K1225" s="36"/>
      <c r="L1225" s="36"/>
      <c r="M1225" s="36"/>
      <c r="N1225" s="36"/>
      <c r="O1225" s="36"/>
      <c r="P1225" s="36"/>
      <c r="Q1225" s="36"/>
      <c r="R1225" s="36"/>
      <c r="S1225" s="34"/>
      <c r="T1225" s="34"/>
      <c r="U1225" s="34"/>
      <c r="V1225" s="34"/>
      <c r="W1225" s="478"/>
      <c r="X1225" s="32"/>
      <c r="Y1225" s="478"/>
      <c r="Z1225" s="32"/>
      <c r="AA1225" s="662"/>
      <c r="AB1225" s="36"/>
      <c r="AC1225" s="36"/>
      <c r="AD1225" s="33"/>
    </row>
    <row r="1226" spans="1:30" ht="15" customHeight="1">
      <c r="A1226" s="36"/>
      <c r="B1226" s="32"/>
      <c r="C1226" s="32"/>
      <c r="D1226" s="32"/>
      <c r="E1226" s="36"/>
      <c r="F1226" s="36"/>
      <c r="G1226" s="36"/>
      <c r="H1226" s="36"/>
      <c r="I1226" s="36"/>
      <c r="J1226" s="36"/>
      <c r="K1226" s="36"/>
      <c r="L1226" s="36"/>
      <c r="M1226" s="36"/>
      <c r="N1226" s="36"/>
      <c r="O1226" s="36"/>
      <c r="P1226" s="36"/>
      <c r="Q1226" s="36"/>
      <c r="R1226" s="36"/>
      <c r="S1226" s="34"/>
      <c r="T1226" s="34"/>
      <c r="U1226" s="34"/>
      <c r="V1226" s="34"/>
      <c r="W1226" s="478"/>
      <c r="X1226" s="32"/>
      <c r="Y1226" s="478"/>
      <c r="Z1226" s="32"/>
      <c r="AA1226" s="662"/>
      <c r="AB1226" s="36"/>
      <c r="AC1226" s="36"/>
      <c r="AD1226" s="33"/>
    </row>
    <row r="1227" spans="1:30" ht="15" customHeight="1">
      <c r="A1227" s="36"/>
      <c r="B1227" s="32"/>
      <c r="C1227" s="32"/>
      <c r="D1227" s="32"/>
      <c r="E1227" s="36"/>
      <c r="F1227" s="36"/>
      <c r="G1227" s="36"/>
      <c r="H1227" s="36"/>
      <c r="I1227" s="36"/>
      <c r="J1227" s="36"/>
      <c r="K1227" s="36"/>
      <c r="L1227" s="36"/>
      <c r="M1227" s="36"/>
      <c r="N1227" s="36"/>
      <c r="O1227" s="36"/>
      <c r="P1227" s="36"/>
      <c r="Q1227" s="36"/>
      <c r="R1227" s="36"/>
      <c r="S1227" s="34"/>
      <c r="T1227" s="34"/>
      <c r="U1227" s="34"/>
      <c r="V1227" s="34"/>
      <c r="W1227" s="478"/>
      <c r="X1227" s="32"/>
      <c r="Y1227" s="478"/>
      <c r="Z1227" s="32"/>
      <c r="AA1227" s="662"/>
      <c r="AB1227" s="36"/>
      <c r="AC1227" s="36"/>
      <c r="AD1227" s="33"/>
    </row>
    <row r="1228" spans="1:30" ht="15" customHeight="1">
      <c r="A1228" s="36"/>
      <c r="B1228" s="32"/>
      <c r="C1228" s="32"/>
      <c r="D1228" s="32"/>
      <c r="E1228" s="36"/>
      <c r="F1228" s="36"/>
      <c r="G1228" s="36"/>
      <c r="H1228" s="36"/>
      <c r="I1228" s="36"/>
      <c r="J1228" s="36"/>
      <c r="K1228" s="36"/>
      <c r="L1228" s="36"/>
      <c r="M1228" s="36"/>
      <c r="N1228" s="36"/>
      <c r="O1228" s="36"/>
      <c r="P1228" s="36"/>
      <c r="Q1228" s="36"/>
      <c r="R1228" s="36"/>
      <c r="S1228" s="34"/>
      <c r="T1228" s="34"/>
      <c r="U1228" s="34"/>
      <c r="V1228" s="34"/>
      <c r="W1228" s="478"/>
      <c r="X1228" s="32"/>
      <c r="Y1228" s="478"/>
      <c r="Z1228" s="32"/>
      <c r="AA1228" s="662"/>
      <c r="AB1228" s="36"/>
      <c r="AC1228" s="36"/>
      <c r="AD1228" s="33"/>
    </row>
    <row r="1229" spans="1:30" ht="15" customHeight="1">
      <c r="A1229" s="36"/>
      <c r="B1229" s="32"/>
      <c r="C1229" s="32"/>
      <c r="D1229" s="32"/>
      <c r="E1229" s="36"/>
      <c r="F1229" s="36"/>
      <c r="G1229" s="36"/>
      <c r="H1229" s="36"/>
      <c r="I1229" s="36"/>
      <c r="J1229" s="36"/>
      <c r="K1229" s="36"/>
      <c r="L1229" s="36"/>
      <c r="M1229" s="36"/>
      <c r="N1229" s="36"/>
      <c r="O1229" s="36"/>
      <c r="P1229" s="36"/>
      <c r="Q1229" s="36"/>
      <c r="R1229" s="36"/>
      <c r="S1229" s="34"/>
      <c r="T1229" s="34"/>
      <c r="U1229" s="34"/>
      <c r="V1229" s="34"/>
      <c r="W1229" s="478"/>
      <c r="X1229" s="32"/>
      <c r="Y1229" s="478"/>
      <c r="Z1229" s="32"/>
      <c r="AA1229" s="662"/>
      <c r="AB1229" s="36"/>
      <c r="AC1229" s="36"/>
      <c r="AD1229" s="33"/>
    </row>
    <row r="1230" spans="1:30" ht="15" customHeight="1">
      <c r="A1230" s="36"/>
      <c r="B1230" s="32"/>
      <c r="C1230" s="32"/>
      <c r="D1230" s="32"/>
      <c r="E1230" s="36"/>
      <c r="F1230" s="36"/>
      <c r="G1230" s="36"/>
      <c r="H1230" s="36"/>
      <c r="I1230" s="36"/>
      <c r="J1230" s="36"/>
      <c r="K1230" s="36"/>
      <c r="L1230" s="36"/>
      <c r="M1230" s="36"/>
      <c r="N1230" s="36"/>
      <c r="O1230" s="36"/>
      <c r="P1230" s="36"/>
      <c r="Q1230" s="36"/>
      <c r="R1230" s="36"/>
      <c r="S1230" s="34"/>
      <c r="T1230" s="34"/>
      <c r="U1230" s="34"/>
      <c r="V1230" s="34"/>
      <c r="W1230" s="478"/>
      <c r="X1230" s="32"/>
      <c r="Y1230" s="478"/>
      <c r="Z1230" s="32"/>
      <c r="AA1230" s="662"/>
      <c r="AB1230" s="36"/>
      <c r="AC1230" s="36"/>
      <c r="AD1230" s="33"/>
    </row>
    <row r="1231" spans="1:30" ht="15" customHeight="1">
      <c r="A1231" s="36"/>
      <c r="B1231" s="32"/>
      <c r="C1231" s="32"/>
      <c r="D1231" s="32"/>
      <c r="E1231" s="36"/>
      <c r="F1231" s="36"/>
      <c r="G1231" s="36"/>
      <c r="H1231" s="36"/>
      <c r="I1231" s="36"/>
      <c r="J1231" s="36"/>
      <c r="K1231" s="36"/>
      <c r="L1231" s="36"/>
      <c r="M1231" s="36"/>
      <c r="N1231" s="36"/>
      <c r="O1231" s="36"/>
      <c r="P1231" s="36"/>
      <c r="Q1231" s="36"/>
      <c r="R1231" s="36"/>
      <c r="S1231" s="34"/>
      <c r="T1231" s="34"/>
      <c r="U1231" s="34"/>
      <c r="V1231" s="34"/>
      <c r="W1231" s="478"/>
      <c r="X1231" s="32"/>
      <c r="Y1231" s="478"/>
      <c r="Z1231" s="32"/>
      <c r="AA1231" s="662"/>
      <c r="AB1231" s="36"/>
      <c r="AC1231" s="36"/>
      <c r="AD1231" s="33"/>
    </row>
    <row r="1232" spans="1:30" ht="15" customHeight="1">
      <c r="A1232" s="36"/>
      <c r="B1232" s="32"/>
      <c r="C1232" s="32"/>
      <c r="D1232" s="32"/>
      <c r="E1232" s="36"/>
      <c r="F1232" s="36"/>
      <c r="G1232" s="36"/>
      <c r="H1232" s="36"/>
      <c r="I1232" s="36"/>
      <c r="J1232" s="36"/>
      <c r="K1232" s="36"/>
      <c r="L1232" s="36"/>
      <c r="M1232" s="36"/>
      <c r="N1232" s="36"/>
      <c r="O1232" s="36"/>
      <c r="P1232" s="36"/>
      <c r="Q1232" s="36"/>
      <c r="R1232" s="36"/>
      <c r="S1232" s="34"/>
      <c r="T1232" s="34"/>
      <c r="U1232" s="34"/>
      <c r="V1232" s="34"/>
      <c r="W1232" s="478"/>
      <c r="X1232" s="32"/>
      <c r="Y1232" s="478"/>
      <c r="Z1232" s="32"/>
      <c r="AA1232" s="662"/>
      <c r="AB1232" s="36"/>
      <c r="AC1232" s="36"/>
      <c r="AD1232" s="33"/>
    </row>
    <row r="1233" spans="1:30" ht="15" customHeight="1">
      <c r="A1233" s="36"/>
      <c r="B1233" s="32"/>
      <c r="C1233" s="32"/>
      <c r="D1233" s="32"/>
      <c r="E1233" s="36"/>
      <c r="F1233" s="36"/>
      <c r="G1233" s="36"/>
      <c r="H1233" s="36"/>
      <c r="I1233" s="36"/>
      <c r="J1233" s="36"/>
      <c r="K1233" s="36"/>
      <c r="L1233" s="36"/>
      <c r="M1233" s="36"/>
      <c r="N1233" s="36"/>
      <c r="O1233" s="36"/>
      <c r="P1233" s="36"/>
      <c r="Q1233" s="36"/>
      <c r="R1233" s="36"/>
      <c r="S1233" s="34"/>
      <c r="T1233" s="34"/>
      <c r="U1233" s="34"/>
      <c r="V1233" s="34"/>
      <c r="W1233" s="478"/>
      <c r="X1233" s="32"/>
      <c r="Y1233" s="478"/>
      <c r="Z1233" s="32"/>
      <c r="AA1233" s="662"/>
      <c r="AB1233" s="36"/>
      <c r="AC1233" s="36"/>
      <c r="AD1233" s="33"/>
    </row>
    <row r="1234" spans="1:30" ht="15" customHeight="1">
      <c r="A1234" s="36"/>
      <c r="B1234" s="32"/>
      <c r="C1234" s="32"/>
      <c r="D1234" s="32"/>
      <c r="E1234" s="36"/>
      <c r="F1234" s="36"/>
      <c r="G1234" s="36"/>
      <c r="H1234" s="36"/>
      <c r="I1234" s="36"/>
      <c r="J1234" s="36"/>
      <c r="K1234" s="36"/>
      <c r="L1234" s="36"/>
      <c r="M1234" s="36"/>
      <c r="N1234" s="36"/>
      <c r="O1234" s="36"/>
      <c r="P1234" s="36"/>
      <c r="Q1234" s="36"/>
      <c r="R1234" s="36"/>
      <c r="S1234" s="34"/>
      <c r="T1234" s="34"/>
      <c r="U1234" s="34"/>
      <c r="V1234" s="34"/>
      <c r="W1234" s="478"/>
      <c r="X1234" s="32"/>
      <c r="Y1234" s="478"/>
      <c r="Z1234" s="32"/>
      <c r="AA1234" s="662"/>
      <c r="AB1234" s="36"/>
      <c r="AC1234" s="36"/>
      <c r="AD1234" s="33"/>
    </row>
    <row r="1235" spans="1:30" ht="15" customHeight="1">
      <c r="A1235" s="36"/>
      <c r="B1235" s="32"/>
      <c r="C1235" s="32"/>
      <c r="D1235" s="32"/>
      <c r="E1235" s="36"/>
      <c r="F1235" s="36"/>
      <c r="G1235" s="36"/>
      <c r="H1235" s="36"/>
      <c r="I1235" s="36"/>
      <c r="J1235" s="36"/>
      <c r="K1235" s="36"/>
      <c r="L1235" s="36"/>
      <c r="M1235" s="36"/>
      <c r="N1235" s="36"/>
      <c r="O1235" s="36"/>
      <c r="P1235" s="36"/>
      <c r="Q1235" s="36"/>
      <c r="R1235" s="36"/>
      <c r="S1235" s="34"/>
      <c r="T1235" s="34"/>
      <c r="U1235" s="34"/>
      <c r="V1235" s="34"/>
      <c r="W1235" s="478"/>
      <c r="X1235" s="32"/>
      <c r="Y1235" s="478"/>
      <c r="Z1235" s="32"/>
      <c r="AA1235" s="662"/>
      <c r="AB1235" s="36"/>
      <c r="AC1235" s="36"/>
      <c r="AD1235" s="33"/>
    </row>
    <row r="1236" spans="1:30" ht="15" customHeight="1">
      <c r="A1236" s="36"/>
      <c r="B1236" s="32"/>
      <c r="C1236" s="32"/>
      <c r="D1236" s="32"/>
      <c r="E1236" s="36"/>
      <c r="F1236" s="36"/>
      <c r="G1236" s="36"/>
      <c r="H1236" s="36"/>
      <c r="I1236" s="36"/>
      <c r="J1236" s="36"/>
      <c r="K1236" s="36"/>
      <c r="L1236" s="36"/>
      <c r="M1236" s="36"/>
      <c r="N1236" s="36"/>
      <c r="O1236" s="36"/>
      <c r="P1236" s="36"/>
      <c r="Q1236" s="36"/>
      <c r="R1236" s="36"/>
      <c r="S1236" s="34"/>
      <c r="T1236" s="34"/>
      <c r="U1236" s="34"/>
      <c r="V1236" s="34"/>
      <c r="W1236" s="478"/>
      <c r="X1236" s="32"/>
      <c r="Y1236" s="478"/>
      <c r="Z1236" s="32"/>
      <c r="AA1236" s="662"/>
      <c r="AB1236" s="36"/>
      <c r="AC1236" s="36"/>
      <c r="AD1236" s="33"/>
    </row>
    <row r="1237" spans="1:30" ht="15" customHeight="1">
      <c r="A1237" s="36"/>
      <c r="B1237" s="32"/>
      <c r="C1237" s="32"/>
      <c r="D1237" s="32"/>
      <c r="E1237" s="36"/>
      <c r="F1237" s="36"/>
      <c r="G1237" s="36"/>
      <c r="H1237" s="36"/>
      <c r="I1237" s="36"/>
      <c r="J1237" s="36"/>
      <c r="K1237" s="36"/>
      <c r="L1237" s="36"/>
      <c r="M1237" s="36"/>
      <c r="N1237" s="36"/>
      <c r="O1237" s="36"/>
      <c r="P1237" s="36"/>
      <c r="Q1237" s="36"/>
      <c r="R1237" s="36"/>
      <c r="S1237" s="34"/>
      <c r="T1237" s="34"/>
      <c r="U1237" s="34"/>
      <c r="V1237" s="34"/>
      <c r="W1237" s="478"/>
      <c r="X1237" s="32"/>
      <c r="Y1237" s="478"/>
      <c r="Z1237" s="32"/>
      <c r="AA1237" s="662"/>
      <c r="AB1237" s="36"/>
      <c r="AC1237" s="36"/>
      <c r="AD1237" s="33"/>
    </row>
    <row r="1238" spans="1:30" ht="15" customHeight="1">
      <c r="A1238" s="36"/>
      <c r="B1238" s="32"/>
      <c r="C1238" s="32"/>
      <c r="D1238" s="32"/>
      <c r="E1238" s="36"/>
      <c r="F1238" s="36"/>
      <c r="G1238" s="36"/>
      <c r="H1238" s="36"/>
      <c r="I1238" s="36"/>
      <c r="J1238" s="36"/>
      <c r="K1238" s="36"/>
      <c r="L1238" s="36"/>
      <c r="M1238" s="36"/>
      <c r="N1238" s="36"/>
      <c r="O1238" s="36"/>
      <c r="P1238" s="36"/>
      <c r="Q1238" s="36"/>
      <c r="R1238" s="36"/>
      <c r="S1238" s="34"/>
      <c r="T1238" s="34"/>
      <c r="U1238" s="34"/>
      <c r="V1238" s="34"/>
      <c r="W1238" s="478"/>
      <c r="X1238" s="32"/>
      <c r="Y1238" s="478"/>
      <c r="Z1238" s="32"/>
      <c r="AA1238" s="662"/>
      <c r="AB1238" s="36"/>
      <c r="AC1238" s="36"/>
      <c r="AD1238" s="33"/>
    </row>
    <row r="1239" spans="1:30" ht="15" customHeight="1">
      <c r="A1239" s="36"/>
      <c r="B1239" s="32"/>
      <c r="C1239" s="32"/>
      <c r="D1239" s="32"/>
      <c r="E1239" s="36"/>
      <c r="F1239" s="36"/>
      <c r="G1239" s="36"/>
      <c r="H1239" s="36"/>
      <c r="I1239" s="36"/>
      <c r="J1239" s="36"/>
      <c r="K1239" s="36"/>
      <c r="L1239" s="36"/>
      <c r="M1239" s="36"/>
      <c r="N1239" s="36"/>
      <c r="O1239" s="36"/>
      <c r="P1239" s="36"/>
      <c r="Q1239" s="36"/>
      <c r="R1239" s="36"/>
      <c r="S1239" s="34"/>
      <c r="T1239" s="34"/>
      <c r="U1239" s="34"/>
      <c r="V1239" s="34"/>
      <c r="W1239" s="478"/>
      <c r="X1239" s="32"/>
      <c r="Y1239" s="478"/>
      <c r="Z1239" s="32"/>
      <c r="AA1239" s="662"/>
      <c r="AB1239" s="36"/>
      <c r="AC1239" s="36"/>
      <c r="AD1239" s="33"/>
    </row>
    <row r="1240" spans="1:30" ht="15" customHeight="1">
      <c r="A1240" s="36"/>
      <c r="B1240" s="32"/>
      <c r="C1240" s="32"/>
      <c r="D1240" s="32"/>
      <c r="E1240" s="36"/>
      <c r="F1240" s="36"/>
      <c r="G1240" s="36"/>
      <c r="H1240" s="36"/>
      <c r="I1240" s="36"/>
      <c r="J1240" s="36"/>
      <c r="K1240" s="36"/>
      <c r="L1240" s="36"/>
      <c r="M1240" s="36"/>
      <c r="N1240" s="36"/>
      <c r="O1240" s="36"/>
      <c r="P1240" s="36"/>
      <c r="Q1240" s="36"/>
      <c r="R1240" s="36"/>
      <c r="S1240" s="34"/>
      <c r="T1240" s="34"/>
      <c r="U1240" s="34"/>
      <c r="V1240" s="34"/>
      <c r="W1240" s="478"/>
      <c r="X1240" s="32"/>
      <c r="Y1240" s="478"/>
      <c r="Z1240" s="32"/>
      <c r="AA1240" s="662"/>
      <c r="AB1240" s="36"/>
      <c r="AC1240" s="36"/>
      <c r="AD1240" s="33"/>
    </row>
    <row r="1241" spans="1:30" ht="15" customHeight="1">
      <c r="A1241" s="36"/>
      <c r="B1241" s="32"/>
      <c r="C1241" s="32"/>
      <c r="D1241" s="32"/>
      <c r="E1241" s="36"/>
      <c r="F1241" s="36"/>
      <c r="G1241" s="36"/>
      <c r="H1241" s="36"/>
      <c r="I1241" s="36"/>
      <c r="J1241" s="36"/>
      <c r="K1241" s="36"/>
      <c r="L1241" s="36"/>
      <c r="M1241" s="36"/>
      <c r="N1241" s="36"/>
      <c r="O1241" s="36"/>
      <c r="P1241" s="36"/>
      <c r="Q1241" s="36"/>
      <c r="R1241" s="36"/>
      <c r="S1241" s="34"/>
      <c r="T1241" s="34"/>
      <c r="U1241" s="34"/>
      <c r="V1241" s="34"/>
      <c r="W1241" s="478"/>
      <c r="X1241" s="32"/>
      <c r="Y1241" s="478"/>
      <c r="Z1241" s="32"/>
      <c r="AA1241" s="662"/>
      <c r="AB1241" s="36"/>
      <c r="AC1241" s="36"/>
      <c r="AD1241" s="33"/>
    </row>
    <row r="1242" spans="1:30" ht="15" customHeight="1">
      <c r="A1242" s="36"/>
      <c r="B1242" s="32"/>
      <c r="C1242" s="32"/>
      <c r="D1242" s="32"/>
      <c r="E1242" s="36"/>
      <c r="F1242" s="36"/>
      <c r="G1242" s="36"/>
      <c r="H1242" s="36"/>
      <c r="I1242" s="36"/>
      <c r="J1242" s="36"/>
      <c r="K1242" s="36"/>
      <c r="L1242" s="36"/>
      <c r="M1242" s="36"/>
      <c r="N1242" s="36"/>
      <c r="O1242" s="36"/>
      <c r="P1242" s="36"/>
      <c r="Q1242" s="36"/>
      <c r="R1242" s="36"/>
      <c r="S1242" s="34"/>
      <c r="T1242" s="34"/>
      <c r="U1242" s="34"/>
      <c r="V1242" s="34"/>
      <c r="W1242" s="478"/>
      <c r="X1242" s="32"/>
      <c r="Y1242" s="478"/>
      <c r="Z1242" s="32"/>
      <c r="AA1242" s="662"/>
      <c r="AB1242" s="36"/>
      <c r="AC1242" s="36"/>
      <c r="AD1242" s="33"/>
    </row>
    <row r="1243" spans="1:30" ht="15" customHeight="1">
      <c r="A1243" s="36"/>
      <c r="B1243" s="32"/>
      <c r="C1243" s="32"/>
      <c r="D1243" s="32"/>
      <c r="E1243" s="36"/>
      <c r="F1243" s="36"/>
      <c r="G1243" s="36"/>
      <c r="H1243" s="36"/>
      <c r="I1243" s="36"/>
      <c r="J1243" s="36"/>
      <c r="K1243" s="36"/>
      <c r="L1243" s="36"/>
      <c r="M1243" s="36"/>
      <c r="N1243" s="36"/>
      <c r="O1243" s="36"/>
      <c r="P1243" s="36"/>
      <c r="Q1243" s="36"/>
      <c r="R1243" s="36"/>
      <c r="S1243" s="34"/>
      <c r="T1243" s="34"/>
      <c r="U1243" s="34"/>
      <c r="V1243" s="34"/>
      <c r="W1243" s="478"/>
      <c r="X1243" s="32"/>
      <c r="Y1243" s="478"/>
      <c r="Z1243" s="32"/>
      <c r="AA1243" s="662"/>
      <c r="AB1243" s="36"/>
      <c r="AC1243" s="36"/>
      <c r="AD1243" s="33"/>
    </row>
    <row r="1244" spans="1:30" ht="15" customHeight="1">
      <c r="A1244" s="36"/>
      <c r="B1244" s="32"/>
      <c r="C1244" s="32"/>
      <c r="D1244" s="32"/>
      <c r="E1244" s="36"/>
      <c r="F1244" s="36"/>
      <c r="G1244" s="36"/>
      <c r="H1244" s="36"/>
      <c r="I1244" s="36"/>
      <c r="J1244" s="36"/>
      <c r="K1244" s="36"/>
      <c r="L1244" s="36"/>
      <c r="M1244" s="36"/>
      <c r="N1244" s="36"/>
      <c r="O1244" s="36"/>
      <c r="P1244" s="36"/>
      <c r="Q1244" s="36"/>
      <c r="R1244" s="36"/>
      <c r="S1244" s="34"/>
      <c r="T1244" s="34"/>
      <c r="U1244" s="34"/>
      <c r="V1244" s="34"/>
      <c r="W1244" s="478"/>
      <c r="X1244" s="32"/>
      <c r="Y1244" s="478"/>
      <c r="Z1244" s="32"/>
      <c r="AA1244" s="662"/>
      <c r="AB1244" s="36"/>
      <c r="AC1244" s="36"/>
      <c r="AD1244" s="33"/>
    </row>
    <row r="1245" spans="1:30" ht="15" customHeight="1">
      <c r="A1245" s="36"/>
      <c r="B1245" s="32"/>
      <c r="C1245" s="32"/>
      <c r="D1245" s="32"/>
      <c r="E1245" s="36"/>
      <c r="F1245" s="36"/>
      <c r="G1245" s="36"/>
      <c r="H1245" s="36"/>
      <c r="I1245" s="36"/>
      <c r="J1245" s="36"/>
      <c r="K1245" s="36"/>
      <c r="L1245" s="36"/>
      <c r="M1245" s="36"/>
      <c r="N1245" s="36"/>
      <c r="O1245" s="36"/>
      <c r="P1245" s="36"/>
      <c r="Q1245" s="36"/>
      <c r="R1245" s="36"/>
      <c r="S1245" s="34"/>
      <c r="T1245" s="34"/>
      <c r="U1245" s="34"/>
      <c r="V1245" s="34"/>
      <c r="W1245" s="478"/>
      <c r="X1245" s="32"/>
      <c r="Y1245" s="478"/>
      <c r="Z1245" s="32"/>
      <c r="AA1245" s="662"/>
      <c r="AB1245" s="36"/>
      <c r="AC1245" s="36"/>
      <c r="AD1245" s="33"/>
    </row>
    <row r="1246" spans="1:30" ht="15" customHeight="1">
      <c r="A1246" s="36"/>
      <c r="B1246" s="32"/>
      <c r="C1246" s="32"/>
      <c r="D1246" s="32"/>
      <c r="E1246" s="36"/>
      <c r="F1246" s="36"/>
      <c r="G1246" s="36"/>
      <c r="H1246" s="36"/>
      <c r="I1246" s="36"/>
      <c r="J1246" s="36"/>
      <c r="K1246" s="36"/>
      <c r="L1246" s="36"/>
      <c r="M1246" s="36"/>
      <c r="N1246" s="36"/>
      <c r="O1246" s="36"/>
      <c r="P1246" s="36"/>
      <c r="Q1246" s="36"/>
      <c r="R1246" s="36"/>
      <c r="S1246" s="34"/>
      <c r="T1246" s="34"/>
      <c r="U1246" s="34"/>
      <c r="V1246" s="34"/>
      <c r="W1246" s="478"/>
      <c r="X1246" s="32"/>
      <c r="Y1246" s="478"/>
      <c r="Z1246" s="32"/>
      <c r="AA1246" s="662"/>
      <c r="AB1246" s="36"/>
      <c r="AC1246" s="36"/>
      <c r="AD1246" s="33"/>
    </row>
    <row r="1247" spans="1:30" ht="15" customHeight="1">
      <c r="A1247" s="36"/>
      <c r="B1247" s="32"/>
      <c r="C1247" s="32"/>
      <c r="D1247" s="32"/>
      <c r="E1247" s="36"/>
      <c r="F1247" s="36"/>
      <c r="G1247" s="36"/>
      <c r="H1247" s="36"/>
      <c r="I1247" s="36"/>
      <c r="J1247" s="36"/>
      <c r="K1247" s="36"/>
      <c r="L1247" s="36"/>
      <c r="M1247" s="36"/>
      <c r="N1247" s="36"/>
      <c r="O1247" s="36"/>
      <c r="P1247" s="36"/>
      <c r="Q1247" s="36"/>
      <c r="R1247" s="36"/>
      <c r="S1247" s="34"/>
      <c r="T1247" s="34"/>
      <c r="U1247" s="34"/>
      <c r="V1247" s="34"/>
      <c r="W1247" s="478"/>
      <c r="X1247" s="32"/>
      <c r="Y1247" s="478"/>
      <c r="Z1247" s="32"/>
      <c r="AA1247" s="662"/>
      <c r="AB1247" s="36"/>
      <c r="AC1247" s="36"/>
      <c r="AD1247" s="33"/>
    </row>
    <row r="1248" spans="1:30" ht="15" customHeight="1">
      <c r="A1248" s="36"/>
      <c r="B1248" s="32"/>
      <c r="C1248" s="32"/>
      <c r="D1248" s="32"/>
      <c r="E1248" s="36"/>
      <c r="F1248" s="36"/>
      <c r="G1248" s="36"/>
      <c r="H1248" s="36"/>
      <c r="I1248" s="36"/>
      <c r="J1248" s="36"/>
      <c r="K1248" s="36"/>
      <c r="L1248" s="36"/>
      <c r="M1248" s="36"/>
      <c r="N1248" s="36"/>
      <c r="O1248" s="36"/>
      <c r="P1248" s="36"/>
      <c r="Q1248" s="36"/>
      <c r="R1248" s="36"/>
      <c r="S1248" s="34"/>
      <c r="T1248" s="34"/>
      <c r="U1248" s="34"/>
      <c r="V1248" s="34"/>
      <c r="W1248" s="478"/>
      <c r="X1248" s="32"/>
      <c r="Y1248" s="478"/>
      <c r="Z1248" s="32"/>
      <c r="AA1248" s="662"/>
      <c r="AB1248" s="36"/>
      <c r="AC1248" s="36"/>
      <c r="AD1248" s="33"/>
    </row>
    <row r="1249" spans="1:30" ht="15" customHeight="1">
      <c r="A1249" s="36"/>
      <c r="B1249" s="32"/>
      <c r="C1249" s="32"/>
      <c r="D1249" s="32"/>
      <c r="E1249" s="36"/>
      <c r="F1249" s="36"/>
      <c r="G1249" s="36"/>
      <c r="H1249" s="36"/>
      <c r="I1249" s="36"/>
      <c r="J1249" s="36"/>
      <c r="K1249" s="36"/>
      <c r="L1249" s="36"/>
      <c r="M1249" s="36"/>
      <c r="N1249" s="36"/>
      <c r="O1249" s="36"/>
      <c r="P1249" s="36"/>
      <c r="Q1249" s="36"/>
      <c r="R1249" s="36"/>
      <c r="S1249" s="34"/>
      <c r="T1249" s="34"/>
      <c r="U1249" s="34"/>
      <c r="V1249" s="34"/>
      <c r="W1249" s="478"/>
      <c r="X1249" s="32"/>
      <c r="Y1249" s="478"/>
      <c r="Z1249" s="32"/>
      <c r="AA1249" s="662"/>
      <c r="AB1249" s="36"/>
      <c r="AC1249" s="36"/>
      <c r="AD1249" s="33"/>
    </row>
    <row r="1250" spans="1:30" ht="15" customHeight="1">
      <c r="A1250" s="36"/>
      <c r="B1250" s="32"/>
      <c r="C1250" s="32"/>
      <c r="D1250" s="32"/>
      <c r="E1250" s="36"/>
      <c r="F1250" s="36"/>
      <c r="G1250" s="36"/>
      <c r="H1250" s="36"/>
      <c r="I1250" s="36"/>
      <c r="J1250" s="36"/>
      <c r="K1250" s="36"/>
      <c r="L1250" s="36"/>
      <c r="M1250" s="36"/>
      <c r="N1250" s="36"/>
      <c r="O1250" s="36"/>
      <c r="P1250" s="36"/>
      <c r="Q1250" s="36"/>
      <c r="R1250" s="36"/>
      <c r="S1250" s="34"/>
      <c r="T1250" s="34"/>
      <c r="U1250" s="34"/>
      <c r="V1250" s="34"/>
      <c r="W1250" s="478"/>
      <c r="X1250" s="32"/>
      <c r="Y1250" s="478"/>
      <c r="Z1250" s="32"/>
      <c r="AA1250" s="662"/>
      <c r="AB1250" s="36"/>
      <c r="AC1250" s="36"/>
      <c r="AD1250" s="33"/>
    </row>
    <row r="1251" spans="1:30" ht="15" customHeight="1">
      <c r="A1251" s="36"/>
      <c r="B1251" s="32"/>
      <c r="C1251" s="32"/>
      <c r="D1251" s="32"/>
      <c r="E1251" s="36"/>
      <c r="F1251" s="36"/>
      <c r="G1251" s="36"/>
      <c r="H1251" s="36"/>
      <c r="I1251" s="36"/>
      <c r="J1251" s="36"/>
      <c r="K1251" s="36"/>
      <c r="L1251" s="36"/>
      <c r="M1251" s="36"/>
      <c r="N1251" s="36"/>
      <c r="O1251" s="36"/>
      <c r="P1251" s="36"/>
      <c r="Q1251" s="36"/>
      <c r="R1251" s="36"/>
      <c r="S1251" s="34"/>
      <c r="T1251" s="34"/>
      <c r="U1251" s="34"/>
      <c r="V1251" s="34"/>
      <c r="W1251" s="478"/>
      <c r="X1251" s="32"/>
      <c r="Y1251" s="478"/>
      <c r="Z1251" s="32"/>
      <c r="AA1251" s="662"/>
      <c r="AB1251" s="36"/>
      <c r="AC1251" s="36"/>
      <c r="AD1251" s="33"/>
    </row>
    <row r="1252" spans="1:30" ht="15" customHeight="1">
      <c r="A1252" s="36"/>
      <c r="B1252" s="32"/>
      <c r="C1252" s="32"/>
      <c r="D1252" s="32"/>
      <c r="E1252" s="36"/>
      <c r="F1252" s="36"/>
      <c r="G1252" s="36"/>
      <c r="H1252" s="36"/>
      <c r="I1252" s="36"/>
      <c r="J1252" s="36"/>
      <c r="K1252" s="36"/>
      <c r="L1252" s="36"/>
      <c r="M1252" s="36"/>
      <c r="N1252" s="36"/>
      <c r="O1252" s="36"/>
      <c r="P1252" s="36"/>
      <c r="Q1252" s="36"/>
      <c r="R1252" s="36"/>
      <c r="S1252" s="34"/>
      <c r="T1252" s="34"/>
      <c r="U1252" s="34"/>
      <c r="V1252" s="34"/>
      <c r="W1252" s="478"/>
      <c r="X1252" s="32"/>
      <c r="Y1252" s="478"/>
      <c r="Z1252" s="32"/>
      <c r="AA1252" s="662"/>
      <c r="AB1252" s="36"/>
      <c r="AC1252" s="36"/>
      <c r="AD1252" s="33"/>
    </row>
    <row r="1253" spans="1:30" ht="15" customHeight="1">
      <c r="A1253" s="36"/>
      <c r="B1253" s="32"/>
      <c r="C1253" s="32"/>
      <c r="D1253" s="32"/>
      <c r="E1253" s="36"/>
      <c r="F1253" s="36"/>
      <c r="G1253" s="36"/>
      <c r="H1253" s="36"/>
      <c r="I1253" s="36"/>
      <c r="J1253" s="36"/>
      <c r="K1253" s="36"/>
      <c r="L1253" s="36"/>
      <c r="M1253" s="36"/>
      <c r="N1253" s="36"/>
      <c r="O1253" s="36"/>
      <c r="P1253" s="36"/>
      <c r="Q1253" s="36"/>
      <c r="R1253" s="36"/>
      <c r="S1253" s="34"/>
      <c r="T1253" s="34"/>
      <c r="U1253" s="34"/>
      <c r="V1253" s="34"/>
      <c r="W1253" s="478"/>
      <c r="X1253" s="32"/>
      <c r="Y1253" s="478"/>
      <c r="Z1253" s="32"/>
      <c r="AA1253" s="662"/>
      <c r="AB1253" s="36"/>
      <c r="AC1253" s="36"/>
      <c r="AD1253" s="33"/>
    </row>
    <row r="1254" spans="1:30" ht="15" customHeight="1">
      <c r="A1254" s="36"/>
      <c r="B1254" s="32"/>
      <c r="C1254" s="32"/>
      <c r="D1254" s="32"/>
      <c r="E1254" s="36"/>
      <c r="F1254" s="36"/>
      <c r="G1254" s="36"/>
      <c r="H1254" s="36"/>
      <c r="I1254" s="36"/>
      <c r="J1254" s="36"/>
      <c r="K1254" s="36"/>
      <c r="L1254" s="36"/>
      <c r="M1254" s="36"/>
      <c r="N1254" s="36"/>
      <c r="O1254" s="36"/>
      <c r="P1254" s="36"/>
      <c r="Q1254" s="36"/>
      <c r="R1254" s="36"/>
      <c r="S1254" s="34"/>
      <c r="T1254" s="34"/>
      <c r="U1254" s="34"/>
      <c r="V1254" s="34"/>
      <c r="W1254" s="478"/>
      <c r="X1254" s="32"/>
      <c r="Y1254" s="478"/>
      <c r="Z1254" s="32"/>
      <c r="AA1254" s="662"/>
      <c r="AB1254" s="36"/>
      <c r="AC1254" s="36"/>
      <c r="AD1254" s="33"/>
    </row>
    <row r="1255" spans="1:30" ht="15" customHeight="1">
      <c r="A1255" s="36"/>
      <c r="B1255" s="32"/>
      <c r="C1255" s="32"/>
      <c r="D1255" s="32"/>
      <c r="E1255" s="36"/>
      <c r="F1255" s="36"/>
      <c r="G1255" s="36"/>
      <c r="H1255" s="36"/>
      <c r="I1255" s="36"/>
      <c r="J1255" s="36"/>
      <c r="K1255" s="36"/>
      <c r="L1255" s="36"/>
      <c r="M1255" s="36"/>
      <c r="N1255" s="36"/>
      <c r="O1255" s="36"/>
      <c r="P1255" s="36"/>
      <c r="Q1255" s="36"/>
      <c r="R1255" s="36"/>
      <c r="S1255" s="34"/>
      <c r="T1255" s="34"/>
      <c r="U1255" s="34"/>
      <c r="V1255" s="34"/>
      <c r="W1255" s="478"/>
      <c r="X1255" s="32"/>
      <c r="Y1255" s="478"/>
      <c r="Z1255" s="32"/>
      <c r="AA1255" s="662"/>
      <c r="AB1255" s="36"/>
      <c r="AC1255" s="36"/>
      <c r="AD1255" s="33"/>
    </row>
    <row r="1256" spans="1:30" ht="15" customHeight="1">
      <c r="A1256" s="36"/>
      <c r="B1256" s="32"/>
      <c r="C1256" s="32"/>
      <c r="D1256" s="32"/>
      <c r="E1256" s="36"/>
      <c r="F1256" s="36"/>
      <c r="G1256" s="36"/>
      <c r="H1256" s="36"/>
      <c r="I1256" s="36"/>
      <c r="J1256" s="36"/>
      <c r="K1256" s="36"/>
      <c r="L1256" s="36"/>
      <c r="M1256" s="36"/>
      <c r="N1256" s="36"/>
      <c r="O1256" s="36"/>
      <c r="P1256" s="36"/>
      <c r="Q1256" s="36"/>
      <c r="R1256" s="36"/>
      <c r="S1256" s="34"/>
      <c r="T1256" s="34"/>
      <c r="U1256" s="34"/>
      <c r="V1256" s="34"/>
      <c r="W1256" s="478"/>
      <c r="X1256" s="32"/>
      <c r="Y1256" s="478"/>
      <c r="Z1256" s="32"/>
      <c r="AA1256" s="662"/>
      <c r="AB1256" s="36"/>
      <c r="AC1256" s="36"/>
      <c r="AD1256" s="33"/>
    </row>
    <row r="1257" spans="1:30" ht="15" customHeight="1">
      <c r="A1257" s="36"/>
      <c r="B1257" s="32"/>
      <c r="C1257" s="32"/>
      <c r="D1257" s="32"/>
      <c r="E1257" s="36"/>
      <c r="F1257" s="36"/>
      <c r="G1257" s="36"/>
      <c r="H1257" s="36"/>
      <c r="I1257" s="36"/>
      <c r="J1257" s="36"/>
      <c r="K1257" s="36"/>
      <c r="L1257" s="36"/>
      <c r="M1257" s="36"/>
      <c r="N1257" s="36"/>
      <c r="O1257" s="36"/>
      <c r="P1257" s="36"/>
      <c r="Q1257" s="36"/>
      <c r="R1257" s="36"/>
      <c r="S1257" s="34"/>
      <c r="T1257" s="34"/>
      <c r="U1257" s="34"/>
      <c r="V1257" s="34"/>
      <c r="W1257" s="478"/>
      <c r="X1257" s="32"/>
      <c r="Y1257" s="478"/>
      <c r="Z1257" s="32"/>
      <c r="AA1257" s="662"/>
      <c r="AB1257" s="36"/>
      <c r="AC1257" s="36"/>
      <c r="AD1257" s="33"/>
    </row>
    <row r="1258" spans="1:30" ht="15" customHeight="1">
      <c r="A1258" s="36"/>
      <c r="B1258" s="32"/>
      <c r="C1258" s="32"/>
      <c r="D1258" s="32"/>
      <c r="E1258" s="36"/>
      <c r="F1258" s="36"/>
      <c r="G1258" s="36"/>
      <c r="H1258" s="36"/>
      <c r="I1258" s="36"/>
      <c r="J1258" s="36"/>
      <c r="K1258" s="36"/>
      <c r="L1258" s="36"/>
      <c r="M1258" s="36"/>
      <c r="N1258" s="36"/>
      <c r="O1258" s="36"/>
      <c r="P1258" s="36"/>
      <c r="Q1258" s="36"/>
      <c r="R1258" s="36"/>
      <c r="S1258" s="34"/>
      <c r="T1258" s="34"/>
      <c r="U1258" s="34"/>
      <c r="V1258" s="34"/>
      <c r="W1258" s="478"/>
      <c r="X1258" s="32"/>
      <c r="Y1258" s="478"/>
      <c r="Z1258" s="32"/>
      <c r="AA1258" s="662"/>
      <c r="AB1258" s="36"/>
      <c r="AC1258" s="36"/>
      <c r="AD1258" s="33"/>
    </row>
    <row r="1259" spans="1:30" ht="15" customHeight="1">
      <c r="A1259" s="36"/>
      <c r="B1259" s="32"/>
      <c r="C1259" s="32"/>
      <c r="D1259" s="32"/>
      <c r="E1259" s="36"/>
      <c r="F1259" s="36"/>
      <c r="G1259" s="36"/>
      <c r="H1259" s="36"/>
      <c r="I1259" s="36"/>
      <c r="J1259" s="36"/>
      <c r="K1259" s="36"/>
      <c r="L1259" s="36"/>
      <c r="M1259" s="36"/>
      <c r="N1259" s="36"/>
      <c r="O1259" s="36"/>
      <c r="P1259" s="36"/>
      <c r="Q1259" s="36"/>
      <c r="R1259" s="36"/>
      <c r="S1259" s="34"/>
      <c r="T1259" s="34"/>
      <c r="U1259" s="34"/>
      <c r="V1259" s="34"/>
      <c r="W1259" s="478"/>
      <c r="X1259" s="32"/>
      <c r="Y1259" s="478"/>
      <c r="Z1259" s="32"/>
      <c r="AA1259" s="662"/>
      <c r="AB1259" s="36"/>
      <c r="AC1259" s="36"/>
      <c r="AD1259" s="33"/>
    </row>
    <row r="1260" spans="1:30" ht="15" customHeight="1">
      <c r="A1260" s="36"/>
      <c r="B1260" s="32"/>
      <c r="C1260" s="32"/>
      <c r="D1260" s="32"/>
      <c r="E1260" s="36"/>
      <c r="F1260" s="36"/>
      <c r="G1260" s="36"/>
      <c r="H1260" s="36"/>
      <c r="I1260" s="36"/>
      <c r="J1260" s="36"/>
      <c r="K1260" s="36"/>
      <c r="L1260" s="36"/>
      <c r="M1260" s="36"/>
      <c r="N1260" s="36"/>
      <c r="O1260" s="36"/>
      <c r="P1260" s="36"/>
      <c r="Q1260" s="36"/>
      <c r="R1260" s="36"/>
      <c r="S1260" s="34"/>
      <c r="T1260" s="34"/>
      <c r="U1260" s="34"/>
      <c r="V1260" s="34"/>
      <c r="W1260" s="478"/>
      <c r="X1260" s="32"/>
      <c r="Y1260" s="478"/>
      <c r="Z1260" s="32"/>
      <c r="AA1260" s="662"/>
      <c r="AB1260" s="36"/>
      <c r="AC1260" s="36"/>
      <c r="AD1260" s="33"/>
    </row>
    <row r="1261" spans="1:30" ht="15" customHeight="1">
      <c r="A1261" s="36"/>
      <c r="B1261" s="32"/>
      <c r="C1261" s="32"/>
      <c r="D1261" s="32"/>
      <c r="E1261" s="36"/>
      <c r="F1261" s="36"/>
      <c r="G1261" s="36"/>
      <c r="H1261" s="36"/>
      <c r="I1261" s="36"/>
      <c r="J1261" s="36"/>
      <c r="K1261" s="36"/>
      <c r="L1261" s="36"/>
      <c r="M1261" s="36"/>
      <c r="N1261" s="36"/>
      <c r="O1261" s="36"/>
      <c r="P1261" s="36"/>
      <c r="Q1261" s="36"/>
      <c r="R1261" s="36"/>
      <c r="S1261" s="34"/>
      <c r="T1261" s="34"/>
      <c r="U1261" s="34"/>
      <c r="V1261" s="34"/>
      <c r="W1261" s="478"/>
      <c r="X1261" s="32"/>
      <c r="Y1261" s="478"/>
      <c r="Z1261" s="32"/>
      <c r="AA1261" s="662"/>
      <c r="AB1261" s="36"/>
      <c r="AC1261" s="36"/>
      <c r="AD1261" s="33"/>
    </row>
    <row r="1262" spans="1:30" ht="15" customHeight="1">
      <c r="A1262" s="36"/>
      <c r="B1262" s="32"/>
      <c r="C1262" s="32"/>
      <c r="D1262" s="32"/>
      <c r="E1262" s="36"/>
      <c r="F1262" s="36"/>
      <c r="G1262" s="36"/>
      <c r="H1262" s="36"/>
      <c r="I1262" s="36"/>
      <c r="J1262" s="36"/>
      <c r="K1262" s="36"/>
      <c r="L1262" s="36"/>
      <c r="M1262" s="36"/>
      <c r="N1262" s="36"/>
      <c r="O1262" s="36"/>
      <c r="P1262" s="36"/>
      <c r="Q1262" s="36"/>
      <c r="R1262" s="36"/>
      <c r="S1262" s="34"/>
      <c r="T1262" s="34"/>
      <c r="U1262" s="34"/>
      <c r="V1262" s="34"/>
      <c r="W1262" s="478"/>
      <c r="X1262" s="32"/>
      <c r="Y1262" s="478"/>
      <c r="Z1262" s="32"/>
      <c r="AA1262" s="662"/>
      <c r="AB1262" s="36"/>
      <c r="AC1262" s="36"/>
      <c r="AD1262" s="33"/>
    </row>
    <row r="1263" spans="1:30" ht="15" customHeight="1">
      <c r="A1263" s="36"/>
      <c r="B1263" s="32"/>
      <c r="C1263" s="32"/>
      <c r="D1263" s="32"/>
      <c r="E1263" s="36"/>
      <c r="F1263" s="36"/>
      <c r="G1263" s="36"/>
      <c r="H1263" s="36"/>
      <c r="I1263" s="36"/>
      <c r="J1263" s="36"/>
      <c r="K1263" s="36"/>
      <c r="L1263" s="36"/>
      <c r="M1263" s="36"/>
      <c r="N1263" s="36"/>
      <c r="O1263" s="36"/>
      <c r="P1263" s="36"/>
      <c r="Q1263" s="36"/>
      <c r="R1263" s="36"/>
      <c r="S1263" s="34"/>
      <c r="T1263" s="34"/>
      <c r="U1263" s="34"/>
      <c r="V1263" s="34"/>
      <c r="W1263" s="478"/>
      <c r="X1263" s="32"/>
      <c r="Y1263" s="478"/>
      <c r="Z1263" s="32"/>
      <c r="AA1263" s="662"/>
      <c r="AB1263" s="36"/>
      <c r="AC1263" s="36"/>
      <c r="AD1263" s="33"/>
    </row>
    <row r="1264" spans="1:30" ht="15" customHeight="1">
      <c r="A1264" s="36"/>
      <c r="B1264" s="32"/>
      <c r="C1264" s="32"/>
      <c r="D1264" s="32"/>
      <c r="E1264" s="36"/>
      <c r="F1264" s="36"/>
      <c r="G1264" s="36"/>
      <c r="H1264" s="36"/>
      <c r="I1264" s="36"/>
      <c r="J1264" s="36"/>
      <c r="K1264" s="36"/>
      <c r="L1264" s="36"/>
      <c r="M1264" s="36"/>
      <c r="N1264" s="36"/>
      <c r="O1264" s="36"/>
      <c r="P1264" s="36"/>
      <c r="Q1264" s="36"/>
      <c r="R1264" s="36"/>
      <c r="S1264" s="34"/>
      <c r="T1264" s="34"/>
      <c r="U1264" s="34"/>
      <c r="V1264" s="34"/>
      <c r="W1264" s="478"/>
      <c r="X1264" s="32"/>
      <c r="Y1264" s="478"/>
      <c r="Z1264" s="32"/>
      <c r="AA1264" s="662"/>
      <c r="AB1264" s="36"/>
      <c r="AC1264" s="36"/>
      <c r="AD1264" s="33"/>
    </row>
    <row r="1265" spans="1:30" ht="15" customHeight="1">
      <c r="A1265" s="36"/>
      <c r="B1265" s="32"/>
      <c r="C1265" s="32"/>
      <c r="D1265" s="32"/>
      <c r="E1265" s="36"/>
      <c r="F1265" s="36"/>
      <c r="G1265" s="36"/>
      <c r="H1265" s="36"/>
      <c r="I1265" s="36"/>
      <c r="J1265" s="36"/>
      <c r="K1265" s="36"/>
      <c r="L1265" s="36"/>
      <c r="M1265" s="36"/>
      <c r="N1265" s="36"/>
      <c r="O1265" s="36"/>
      <c r="P1265" s="36"/>
      <c r="Q1265" s="36"/>
      <c r="R1265" s="36"/>
      <c r="S1265" s="34"/>
      <c r="T1265" s="34"/>
      <c r="U1265" s="34"/>
      <c r="V1265" s="34"/>
      <c r="W1265" s="478"/>
      <c r="X1265" s="32"/>
      <c r="Y1265" s="478"/>
      <c r="Z1265" s="32"/>
      <c r="AA1265" s="662"/>
      <c r="AB1265" s="36"/>
      <c r="AC1265" s="36"/>
      <c r="AD1265" s="33"/>
    </row>
    <row r="1266" spans="1:30" ht="15" customHeight="1">
      <c r="A1266" s="36"/>
      <c r="B1266" s="32"/>
      <c r="C1266" s="32"/>
      <c r="D1266" s="32"/>
      <c r="E1266" s="36"/>
      <c r="F1266" s="36"/>
      <c r="G1266" s="36"/>
      <c r="H1266" s="36"/>
      <c r="I1266" s="36"/>
      <c r="J1266" s="36"/>
      <c r="K1266" s="36"/>
      <c r="L1266" s="36"/>
      <c r="M1266" s="36"/>
      <c r="N1266" s="36"/>
      <c r="O1266" s="36"/>
      <c r="P1266" s="36"/>
      <c r="Q1266" s="36"/>
      <c r="R1266" s="36"/>
      <c r="S1266" s="34"/>
      <c r="T1266" s="34"/>
      <c r="U1266" s="34"/>
      <c r="V1266" s="34"/>
      <c r="W1266" s="478"/>
      <c r="X1266" s="32"/>
      <c r="Y1266" s="478"/>
      <c r="Z1266" s="32"/>
      <c r="AA1266" s="662"/>
      <c r="AB1266" s="36"/>
      <c r="AC1266" s="36"/>
      <c r="AD1266" s="33"/>
    </row>
    <row r="1267" spans="1:30" ht="15" customHeight="1">
      <c r="A1267" s="36"/>
      <c r="B1267" s="32"/>
      <c r="C1267" s="32"/>
      <c r="D1267" s="32"/>
      <c r="E1267" s="36"/>
      <c r="F1267" s="36"/>
      <c r="G1267" s="36"/>
      <c r="H1267" s="36"/>
      <c r="I1267" s="36"/>
      <c r="J1267" s="36"/>
      <c r="K1267" s="36"/>
      <c r="L1267" s="36"/>
      <c r="M1267" s="36"/>
      <c r="N1267" s="36"/>
      <c r="O1267" s="36"/>
      <c r="P1267" s="36"/>
      <c r="Q1267" s="36"/>
      <c r="R1267" s="36"/>
      <c r="S1267" s="34"/>
      <c r="T1267" s="34"/>
      <c r="U1267" s="34"/>
      <c r="V1267" s="34"/>
      <c r="W1267" s="478"/>
      <c r="X1267" s="32"/>
      <c r="Y1267" s="478"/>
      <c r="Z1267" s="32"/>
      <c r="AA1267" s="662"/>
      <c r="AB1267" s="36"/>
      <c r="AC1267" s="36"/>
      <c r="AD1267" s="33"/>
    </row>
    <row r="1268" spans="1:30" ht="15" customHeight="1">
      <c r="A1268" s="36"/>
      <c r="B1268" s="32"/>
      <c r="C1268" s="32"/>
      <c r="D1268" s="32"/>
      <c r="E1268" s="36"/>
      <c r="F1268" s="36"/>
      <c r="G1268" s="36"/>
      <c r="H1268" s="36"/>
      <c r="I1268" s="36"/>
      <c r="J1268" s="36"/>
      <c r="K1268" s="36"/>
      <c r="L1268" s="36"/>
      <c r="M1268" s="36"/>
      <c r="N1268" s="36"/>
      <c r="O1268" s="36"/>
      <c r="P1268" s="36"/>
      <c r="Q1268" s="36"/>
      <c r="R1268" s="36"/>
      <c r="S1268" s="34"/>
      <c r="T1268" s="34"/>
      <c r="U1268" s="34"/>
      <c r="V1268" s="34"/>
      <c r="W1268" s="478"/>
      <c r="X1268" s="32"/>
      <c r="Y1268" s="478"/>
      <c r="Z1268" s="32"/>
      <c r="AA1268" s="662"/>
      <c r="AB1268" s="36"/>
      <c r="AC1268" s="36"/>
      <c r="AD1268" s="33"/>
    </row>
    <row r="1269" spans="1:30" ht="15" customHeight="1">
      <c r="A1269" s="36"/>
      <c r="B1269" s="32"/>
      <c r="C1269" s="32"/>
      <c r="D1269" s="32"/>
      <c r="E1269" s="36"/>
      <c r="F1269" s="36"/>
      <c r="G1269" s="36"/>
      <c r="H1269" s="36"/>
      <c r="I1269" s="36"/>
      <c r="J1269" s="36"/>
      <c r="K1269" s="36"/>
      <c r="L1269" s="36"/>
      <c r="M1269" s="36"/>
      <c r="N1269" s="36"/>
      <c r="O1269" s="36"/>
      <c r="P1269" s="36"/>
      <c r="Q1269" s="36"/>
      <c r="R1269" s="36"/>
      <c r="S1269" s="34"/>
      <c r="T1269" s="34"/>
      <c r="U1269" s="34"/>
      <c r="V1269" s="34"/>
      <c r="W1269" s="478"/>
      <c r="X1269" s="32"/>
      <c r="Y1269" s="478"/>
      <c r="Z1269" s="32"/>
      <c r="AA1269" s="662"/>
      <c r="AB1269" s="36"/>
      <c r="AC1269" s="36"/>
      <c r="AD1269" s="33"/>
    </row>
    <row r="1270" spans="1:30" ht="15" customHeight="1">
      <c r="A1270" s="36"/>
      <c r="B1270" s="32"/>
      <c r="C1270" s="32"/>
      <c r="D1270" s="32"/>
      <c r="E1270" s="36"/>
      <c r="F1270" s="36"/>
      <c r="G1270" s="36"/>
      <c r="H1270" s="36"/>
      <c r="I1270" s="36"/>
      <c r="J1270" s="36"/>
      <c r="K1270" s="36"/>
      <c r="L1270" s="36"/>
      <c r="M1270" s="36"/>
      <c r="N1270" s="36"/>
      <c r="O1270" s="36"/>
      <c r="P1270" s="36"/>
      <c r="Q1270" s="36"/>
      <c r="R1270" s="36"/>
      <c r="S1270" s="34"/>
      <c r="T1270" s="34"/>
      <c r="U1270" s="34"/>
      <c r="V1270" s="34"/>
      <c r="W1270" s="478"/>
      <c r="X1270" s="32"/>
      <c r="Y1270" s="478"/>
      <c r="Z1270" s="32"/>
      <c r="AA1270" s="662"/>
      <c r="AB1270" s="36"/>
      <c r="AC1270" s="36"/>
      <c r="AD1270" s="33"/>
    </row>
    <row r="1271" spans="1:30" ht="15" customHeight="1">
      <c r="A1271" s="36"/>
      <c r="B1271" s="32"/>
      <c r="C1271" s="32"/>
      <c r="D1271" s="32"/>
      <c r="E1271" s="36"/>
      <c r="F1271" s="36"/>
      <c r="G1271" s="36"/>
      <c r="H1271" s="36"/>
      <c r="I1271" s="36"/>
      <c r="J1271" s="36"/>
      <c r="K1271" s="36"/>
      <c r="L1271" s="36"/>
      <c r="M1271" s="36"/>
      <c r="N1271" s="36"/>
      <c r="O1271" s="36"/>
      <c r="P1271" s="36"/>
      <c r="Q1271" s="36"/>
      <c r="R1271" s="36"/>
      <c r="S1271" s="34"/>
      <c r="T1271" s="34"/>
      <c r="U1271" s="34"/>
      <c r="V1271" s="34"/>
      <c r="W1271" s="478"/>
      <c r="X1271" s="32"/>
      <c r="Y1271" s="478"/>
      <c r="Z1271" s="32"/>
      <c r="AA1271" s="662"/>
      <c r="AB1271" s="36"/>
      <c r="AC1271" s="36"/>
      <c r="AD1271" s="33"/>
    </row>
    <row r="1272" spans="1:30" ht="15" customHeight="1">
      <c r="A1272" s="36"/>
      <c r="B1272" s="32"/>
      <c r="C1272" s="32"/>
      <c r="D1272" s="32"/>
      <c r="E1272" s="36"/>
      <c r="F1272" s="36"/>
      <c r="G1272" s="36"/>
      <c r="H1272" s="36"/>
      <c r="I1272" s="36"/>
      <c r="J1272" s="36"/>
      <c r="K1272" s="36"/>
      <c r="L1272" s="36"/>
      <c r="M1272" s="36"/>
      <c r="N1272" s="36"/>
      <c r="O1272" s="36"/>
      <c r="P1272" s="36"/>
      <c r="Q1272" s="36"/>
      <c r="R1272" s="36"/>
      <c r="S1272" s="34"/>
      <c r="T1272" s="34"/>
      <c r="U1272" s="34"/>
      <c r="V1272" s="34"/>
      <c r="W1272" s="478"/>
      <c r="X1272" s="32"/>
      <c r="Y1272" s="478"/>
      <c r="Z1272" s="32"/>
      <c r="AA1272" s="662"/>
      <c r="AB1272" s="36"/>
      <c r="AC1272" s="36"/>
      <c r="AD1272" s="33"/>
    </row>
    <row r="1273" spans="1:30" ht="15" customHeight="1">
      <c r="A1273" s="36"/>
      <c r="B1273" s="32"/>
      <c r="C1273" s="32"/>
      <c r="D1273" s="32"/>
      <c r="E1273" s="36"/>
      <c r="F1273" s="36"/>
      <c r="G1273" s="36"/>
      <c r="H1273" s="36"/>
      <c r="I1273" s="36"/>
      <c r="J1273" s="36"/>
      <c r="K1273" s="36"/>
      <c r="L1273" s="36"/>
      <c r="M1273" s="36"/>
      <c r="N1273" s="36"/>
      <c r="O1273" s="36"/>
      <c r="P1273" s="36"/>
      <c r="Q1273" s="36"/>
      <c r="R1273" s="36"/>
      <c r="S1273" s="34"/>
      <c r="T1273" s="34"/>
      <c r="U1273" s="34"/>
      <c r="V1273" s="34"/>
      <c r="W1273" s="478"/>
      <c r="X1273" s="32"/>
      <c r="Y1273" s="478"/>
      <c r="Z1273" s="32"/>
      <c r="AA1273" s="662"/>
      <c r="AB1273" s="36"/>
      <c r="AC1273" s="36"/>
      <c r="AD1273" s="33"/>
    </row>
    <row r="1274" spans="1:30" ht="15" customHeight="1">
      <c r="A1274" s="36"/>
      <c r="B1274" s="32"/>
      <c r="C1274" s="32"/>
      <c r="D1274" s="32"/>
      <c r="E1274" s="36"/>
      <c r="F1274" s="36"/>
      <c r="G1274" s="36"/>
      <c r="H1274" s="36"/>
      <c r="I1274" s="36"/>
      <c r="J1274" s="36"/>
      <c r="K1274" s="36"/>
      <c r="L1274" s="36"/>
      <c r="M1274" s="36"/>
      <c r="N1274" s="36"/>
      <c r="O1274" s="36"/>
      <c r="P1274" s="36"/>
      <c r="Q1274" s="36"/>
      <c r="R1274" s="36"/>
      <c r="S1274" s="34"/>
      <c r="T1274" s="34"/>
      <c r="U1274" s="34"/>
      <c r="V1274" s="34"/>
      <c r="W1274" s="478"/>
      <c r="X1274" s="32"/>
      <c r="Y1274" s="478"/>
      <c r="Z1274" s="32"/>
      <c r="AA1274" s="662"/>
      <c r="AB1274" s="36"/>
      <c r="AC1274" s="36"/>
      <c r="AD1274" s="33"/>
    </row>
    <row r="1275" spans="1:30" ht="15" customHeight="1">
      <c r="A1275" s="36"/>
      <c r="B1275" s="32"/>
      <c r="C1275" s="32"/>
      <c r="D1275" s="32"/>
      <c r="E1275" s="36"/>
      <c r="F1275" s="36"/>
      <c r="G1275" s="36"/>
      <c r="H1275" s="36"/>
      <c r="I1275" s="36"/>
      <c r="J1275" s="36"/>
      <c r="K1275" s="36"/>
      <c r="L1275" s="36"/>
      <c r="M1275" s="36"/>
      <c r="N1275" s="36"/>
      <c r="O1275" s="36"/>
      <c r="P1275" s="36"/>
      <c r="Q1275" s="36"/>
      <c r="R1275" s="36"/>
      <c r="S1275" s="34"/>
      <c r="T1275" s="34"/>
      <c r="U1275" s="34"/>
      <c r="V1275" s="34"/>
      <c r="W1275" s="478"/>
      <c r="X1275" s="32"/>
      <c r="Y1275" s="478"/>
      <c r="Z1275" s="32"/>
      <c r="AA1275" s="662"/>
      <c r="AB1275" s="36"/>
      <c r="AC1275" s="36"/>
      <c r="AD1275" s="33"/>
    </row>
    <row r="1276" spans="1:30" ht="15" customHeight="1">
      <c r="A1276" s="36"/>
      <c r="B1276" s="32"/>
      <c r="C1276" s="32"/>
      <c r="D1276" s="32"/>
      <c r="E1276" s="36"/>
      <c r="F1276" s="36"/>
      <c r="G1276" s="36"/>
      <c r="H1276" s="36"/>
      <c r="I1276" s="36"/>
      <c r="J1276" s="36"/>
      <c r="K1276" s="36"/>
      <c r="L1276" s="36"/>
      <c r="M1276" s="36"/>
      <c r="N1276" s="36"/>
      <c r="O1276" s="36"/>
      <c r="P1276" s="36"/>
      <c r="Q1276" s="36"/>
      <c r="R1276" s="36"/>
      <c r="S1276" s="34"/>
      <c r="T1276" s="34"/>
      <c r="U1276" s="34"/>
      <c r="V1276" s="34"/>
      <c r="W1276" s="478"/>
      <c r="X1276" s="32"/>
      <c r="Y1276" s="478"/>
      <c r="Z1276" s="32"/>
      <c r="AA1276" s="662"/>
      <c r="AB1276" s="36"/>
      <c r="AC1276" s="36"/>
      <c r="AD1276" s="33"/>
    </row>
    <row r="1277" spans="1:30" ht="15" customHeight="1">
      <c r="A1277" s="36"/>
      <c r="B1277" s="32"/>
      <c r="C1277" s="32"/>
      <c r="D1277" s="32"/>
      <c r="E1277" s="36"/>
      <c r="F1277" s="36"/>
      <c r="G1277" s="36"/>
      <c r="H1277" s="36"/>
      <c r="I1277" s="36"/>
      <c r="J1277" s="36"/>
      <c r="K1277" s="36"/>
      <c r="L1277" s="36"/>
      <c r="M1277" s="36"/>
      <c r="N1277" s="36"/>
      <c r="O1277" s="36"/>
      <c r="P1277" s="36"/>
      <c r="Q1277" s="36"/>
      <c r="R1277" s="36"/>
      <c r="S1277" s="34"/>
      <c r="T1277" s="34"/>
      <c r="U1277" s="34"/>
      <c r="V1277" s="34"/>
      <c r="W1277" s="478"/>
      <c r="X1277" s="32"/>
      <c r="Y1277" s="478"/>
      <c r="Z1277" s="32"/>
      <c r="AA1277" s="662"/>
      <c r="AB1277" s="36"/>
      <c r="AC1277" s="36"/>
      <c r="AD1277" s="33"/>
    </row>
    <row r="1278" spans="1:30" ht="15" customHeight="1">
      <c r="A1278" s="36"/>
      <c r="B1278" s="32"/>
      <c r="C1278" s="32"/>
      <c r="D1278" s="32"/>
      <c r="E1278" s="36"/>
      <c r="F1278" s="36"/>
      <c r="G1278" s="36"/>
      <c r="H1278" s="36"/>
      <c r="I1278" s="36"/>
      <c r="J1278" s="36"/>
      <c r="K1278" s="36"/>
      <c r="L1278" s="36"/>
      <c r="M1278" s="36"/>
      <c r="N1278" s="36"/>
      <c r="O1278" s="36"/>
      <c r="P1278" s="36"/>
      <c r="Q1278" s="36"/>
      <c r="R1278" s="36"/>
      <c r="S1278" s="34"/>
      <c r="T1278" s="34"/>
      <c r="U1278" s="34"/>
      <c r="V1278" s="34"/>
      <c r="W1278" s="478"/>
      <c r="X1278" s="32"/>
      <c r="Y1278" s="478"/>
      <c r="Z1278" s="32"/>
      <c r="AA1278" s="662"/>
      <c r="AB1278" s="36"/>
      <c r="AC1278" s="36"/>
      <c r="AD1278" s="33"/>
    </row>
    <row r="1279" spans="1:30" ht="15" customHeight="1">
      <c r="A1279" s="36"/>
      <c r="B1279" s="32"/>
      <c r="C1279" s="32"/>
      <c r="D1279" s="32"/>
      <c r="E1279" s="36"/>
      <c r="F1279" s="36"/>
      <c r="G1279" s="36"/>
      <c r="H1279" s="36"/>
      <c r="I1279" s="36"/>
      <c r="J1279" s="36"/>
      <c r="K1279" s="36"/>
      <c r="L1279" s="36"/>
      <c r="M1279" s="36"/>
      <c r="N1279" s="36"/>
      <c r="O1279" s="36"/>
      <c r="P1279" s="36"/>
      <c r="Q1279" s="36"/>
      <c r="R1279" s="36"/>
      <c r="S1279" s="34"/>
      <c r="T1279" s="34"/>
      <c r="U1279" s="34"/>
      <c r="V1279" s="34"/>
      <c r="W1279" s="478"/>
      <c r="X1279" s="32"/>
      <c r="Y1279" s="478"/>
      <c r="Z1279" s="32"/>
      <c r="AA1279" s="662"/>
      <c r="AB1279" s="36"/>
      <c r="AC1279" s="36"/>
      <c r="AD1279" s="33"/>
    </row>
    <row r="1280" spans="1:30" ht="15" customHeight="1">
      <c r="A1280" s="36"/>
      <c r="B1280" s="32"/>
      <c r="C1280" s="32"/>
      <c r="D1280" s="32"/>
      <c r="E1280" s="36"/>
      <c r="F1280" s="36"/>
      <c r="G1280" s="36"/>
      <c r="H1280" s="36"/>
      <c r="I1280" s="36"/>
      <c r="J1280" s="36"/>
      <c r="K1280" s="36"/>
      <c r="L1280" s="36"/>
      <c r="M1280" s="36"/>
      <c r="N1280" s="36"/>
      <c r="O1280" s="36"/>
      <c r="P1280" s="36"/>
      <c r="Q1280" s="36"/>
      <c r="R1280" s="36"/>
      <c r="S1280" s="34"/>
      <c r="T1280" s="34"/>
      <c r="U1280" s="34"/>
      <c r="V1280" s="34"/>
      <c r="W1280" s="478"/>
      <c r="X1280" s="32"/>
      <c r="Y1280" s="478"/>
      <c r="Z1280" s="32"/>
      <c r="AA1280" s="662"/>
      <c r="AB1280" s="36"/>
      <c r="AC1280" s="36"/>
      <c r="AD1280" s="33"/>
    </row>
    <row r="1281" spans="1:30" ht="15" customHeight="1">
      <c r="A1281" s="36"/>
      <c r="B1281" s="32"/>
      <c r="C1281" s="32"/>
      <c r="D1281" s="32"/>
      <c r="E1281" s="36"/>
      <c r="F1281" s="36"/>
      <c r="G1281" s="36"/>
      <c r="H1281" s="36"/>
      <c r="I1281" s="36"/>
      <c r="J1281" s="36"/>
      <c r="K1281" s="36"/>
      <c r="L1281" s="36"/>
      <c r="M1281" s="36"/>
      <c r="N1281" s="36"/>
      <c r="O1281" s="36"/>
      <c r="P1281" s="36"/>
      <c r="Q1281" s="36"/>
      <c r="R1281" s="36"/>
      <c r="S1281" s="34"/>
      <c r="T1281" s="34"/>
      <c r="U1281" s="34"/>
      <c r="V1281" s="34"/>
      <c r="W1281" s="478"/>
      <c r="X1281" s="32"/>
      <c r="Y1281" s="478"/>
      <c r="Z1281" s="32"/>
      <c r="AA1281" s="662"/>
      <c r="AB1281" s="36"/>
      <c r="AC1281" s="36"/>
      <c r="AD1281" s="33"/>
    </row>
    <row r="1282" spans="1:30" ht="15" customHeight="1">
      <c r="A1282" s="36"/>
      <c r="B1282" s="32"/>
      <c r="C1282" s="32"/>
      <c r="D1282" s="32"/>
      <c r="E1282" s="36"/>
      <c r="F1282" s="36"/>
      <c r="G1282" s="36"/>
      <c r="H1282" s="36"/>
      <c r="I1282" s="36"/>
      <c r="J1282" s="36"/>
      <c r="K1282" s="36"/>
      <c r="L1282" s="36"/>
      <c r="M1282" s="36"/>
      <c r="N1282" s="36"/>
      <c r="O1282" s="36"/>
      <c r="P1282" s="36"/>
      <c r="Q1282" s="36"/>
      <c r="R1282" s="36"/>
      <c r="S1282" s="34"/>
      <c r="T1282" s="34"/>
      <c r="U1282" s="34"/>
      <c r="V1282" s="34"/>
      <c r="W1282" s="478"/>
      <c r="X1282" s="32"/>
      <c r="Y1282" s="478"/>
      <c r="Z1282" s="32"/>
      <c r="AA1282" s="662"/>
      <c r="AB1282" s="36"/>
      <c r="AC1282" s="36"/>
      <c r="AD1282" s="33"/>
    </row>
    <row r="1283" spans="1:30" ht="15" customHeight="1">
      <c r="A1283" s="36"/>
      <c r="B1283" s="32"/>
      <c r="C1283" s="32"/>
      <c r="D1283" s="32"/>
      <c r="E1283" s="36"/>
      <c r="F1283" s="36"/>
      <c r="G1283" s="36"/>
      <c r="H1283" s="36"/>
      <c r="I1283" s="36"/>
      <c r="J1283" s="36"/>
      <c r="K1283" s="36"/>
      <c r="L1283" s="36"/>
      <c r="M1283" s="36"/>
      <c r="N1283" s="36"/>
      <c r="O1283" s="36"/>
      <c r="P1283" s="36"/>
      <c r="Q1283" s="36"/>
      <c r="R1283" s="36"/>
      <c r="S1283" s="34"/>
      <c r="T1283" s="34"/>
      <c r="U1283" s="34"/>
      <c r="V1283" s="34"/>
      <c r="W1283" s="478"/>
      <c r="X1283" s="32"/>
      <c r="Y1283" s="478"/>
      <c r="Z1283" s="32"/>
      <c r="AA1283" s="662"/>
      <c r="AB1283" s="36"/>
      <c r="AC1283" s="36"/>
      <c r="AD1283" s="33"/>
    </row>
    <row r="1284" spans="1:30" ht="15" customHeight="1">
      <c r="A1284" s="36"/>
      <c r="B1284" s="32"/>
      <c r="C1284" s="32"/>
      <c r="D1284" s="32"/>
      <c r="E1284" s="36"/>
      <c r="F1284" s="36"/>
      <c r="G1284" s="36"/>
      <c r="H1284" s="36"/>
      <c r="I1284" s="36"/>
      <c r="J1284" s="36"/>
      <c r="K1284" s="36"/>
      <c r="L1284" s="36"/>
      <c r="M1284" s="36"/>
      <c r="N1284" s="36"/>
      <c r="O1284" s="36"/>
      <c r="P1284" s="36"/>
      <c r="Q1284" s="36"/>
      <c r="R1284" s="36"/>
      <c r="S1284" s="34"/>
      <c r="T1284" s="34"/>
      <c r="U1284" s="34"/>
      <c r="V1284" s="34"/>
      <c r="W1284" s="478"/>
      <c r="X1284" s="32"/>
      <c r="Y1284" s="478"/>
      <c r="Z1284" s="32"/>
      <c r="AA1284" s="662"/>
      <c r="AB1284" s="36"/>
      <c r="AC1284" s="36"/>
      <c r="AD1284" s="33"/>
    </row>
    <row r="1285" spans="1:30" ht="15" customHeight="1">
      <c r="A1285" s="36"/>
      <c r="B1285" s="32"/>
      <c r="C1285" s="32"/>
      <c r="D1285" s="32"/>
      <c r="E1285" s="36"/>
      <c r="F1285" s="36"/>
      <c r="G1285" s="36"/>
      <c r="H1285" s="36"/>
      <c r="I1285" s="36"/>
      <c r="J1285" s="36"/>
      <c r="K1285" s="36"/>
      <c r="L1285" s="36"/>
      <c r="M1285" s="36"/>
      <c r="N1285" s="36"/>
      <c r="O1285" s="36"/>
      <c r="P1285" s="36"/>
      <c r="Q1285" s="36"/>
      <c r="R1285" s="36"/>
      <c r="S1285" s="34"/>
      <c r="T1285" s="34"/>
      <c r="U1285" s="34"/>
      <c r="V1285" s="34"/>
      <c r="W1285" s="478"/>
      <c r="X1285" s="32"/>
      <c r="Y1285" s="478"/>
      <c r="Z1285" s="32"/>
      <c r="AA1285" s="662"/>
      <c r="AB1285" s="36"/>
      <c r="AC1285" s="36"/>
      <c r="AD1285" s="33"/>
    </row>
    <row r="1286" spans="1:30" ht="15" customHeight="1">
      <c r="A1286" s="36"/>
      <c r="B1286" s="32"/>
      <c r="C1286" s="32"/>
      <c r="D1286" s="32"/>
      <c r="E1286" s="36"/>
      <c r="F1286" s="36"/>
      <c r="G1286" s="36"/>
      <c r="H1286" s="36"/>
      <c r="I1286" s="36"/>
      <c r="J1286" s="36"/>
      <c r="K1286" s="36"/>
      <c r="L1286" s="36"/>
      <c r="M1286" s="36"/>
      <c r="N1286" s="36"/>
      <c r="O1286" s="36"/>
      <c r="P1286" s="36"/>
      <c r="Q1286" s="36"/>
      <c r="R1286" s="36"/>
      <c r="S1286" s="34"/>
      <c r="T1286" s="34"/>
      <c r="U1286" s="34"/>
      <c r="V1286" s="34"/>
      <c r="W1286" s="478"/>
      <c r="X1286" s="32"/>
      <c r="Y1286" s="478"/>
      <c r="Z1286" s="32"/>
      <c r="AA1286" s="662"/>
      <c r="AB1286" s="36"/>
      <c r="AC1286" s="36"/>
      <c r="AD1286" s="33"/>
    </row>
    <row r="1287" spans="1:30" ht="15" customHeight="1">
      <c r="A1287" s="36"/>
      <c r="B1287" s="32"/>
      <c r="C1287" s="32"/>
      <c r="D1287" s="32"/>
      <c r="E1287" s="36"/>
      <c r="F1287" s="36"/>
      <c r="G1287" s="36"/>
      <c r="H1287" s="36"/>
      <c r="I1287" s="36"/>
      <c r="J1287" s="36"/>
      <c r="K1287" s="36"/>
      <c r="L1287" s="36"/>
      <c r="M1287" s="36"/>
      <c r="N1287" s="36"/>
      <c r="O1287" s="36"/>
      <c r="P1287" s="36"/>
      <c r="Q1287" s="36"/>
      <c r="R1287" s="36"/>
      <c r="S1287" s="34"/>
      <c r="T1287" s="34"/>
      <c r="U1287" s="34"/>
      <c r="V1287" s="34"/>
      <c r="W1287" s="478"/>
      <c r="X1287" s="32"/>
      <c r="Y1287" s="478"/>
      <c r="Z1287" s="32"/>
      <c r="AA1287" s="662"/>
      <c r="AB1287" s="36"/>
      <c r="AC1287" s="36"/>
      <c r="AD1287" s="33"/>
    </row>
    <row r="1288" spans="1:30" ht="15" customHeight="1">
      <c r="A1288" s="36"/>
      <c r="B1288" s="32"/>
      <c r="C1288" s="553"/>
      <c r="D1288" s="32"/>
      <c r="E1288" s="36"/>
      <c r="F1288" s="549"/>
      <c r="G1288" s="548"/>
      <c r="H1288" s="36"/>
      <c r="I1288" s="36"/>
      <c r="J1288" s="549"/>
      <c r="K1288" s="36"/>
      <c r="L1288" s="36"/>
      <c r="M1288" s="36"/>
      <c r="N1288" s="549"/>
      <c r="O1288" s="548"/>
      <c r="P1288" s="36"/>
      <c r="Q1288" s="36"/>
      <c r="R1288" s="36"/>
      <c r="S1288" s="546"/>
      <c r="T1288" s="34"/>
      <c r="U1288" s="34"/>
      <c r="V1288" s="547"/>
      <c r="W1288" s="478"/>
      <c r="X1288" s="32"/>
      <c r="Y1288" s="64"/>
      <c r="Z1288" s="67"/>
      <c r="AA1288" s="65"/>
      <c r="AB1288" s="10"/>
      <c r="AC1288" s="10"/>
    </row>
    <row r="1289" spans="1:30" ht="15" customHeight="1">
      <c r="A1289" s="36"/>
      <c r="B1289" s="32"/>
      <c r="C1289" s="553"/>
      <c r="D1289" s="32"/>
      <c r="E1289" s="36"/>
      <c r="F1289" s="549"/>
      <c r="G1289" s="548"/>
      <c r="H1289" s="36"/>
      <c r="I1289" s="36"/>
      <c r="J1289" s="549"/>
      <c r="K1289" s="36"/>
      <c r="L1289" s="36"/>
      <c r="M1289" s="36"/>
      <c r="N1289" s="549"/>
      <c r="O1289" s="548"/>
      <c r="P1289" s="36"/>
      <c r="Q1289" s="36"/>
      <c r="R1289" s="36"/>
      <c r="S1289" s="546"/>
      <c r="T1289" s="34"/>
      <c r="U1289" s="34"/>
      <c r="V1289" s="547"/>
      <c r="W1289" s="478"/>
      <c r="X1289" s="32"/>
      <c r="Y1289" s="64"/>
      <c r="Z1289" s="67"/>
      <c r="AA1289" s="65"/>
      <c r="AB1289" s="10"/>
      <c r="AC1289" s="10"/>
    </row>
  </sheetData>
  <pageMargins left="0.7" right="0.7" top="0.75" bottom="0.75" header="0" footer="0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opLeftCell="C1" workbookViewId="0">
      <selection activeCell="H3" sqref="H3"/>
    </sheetView>
  </sheetViews>
  <sheetFormatPr defaultRowHeight="15.6"/>
  <cols>
    <col min="1" max="2" width="60.8984375" customWidth="1"/>
    <col min="3" max="3" width="103.5" style="95" customWidth="1"/>
    <col min="4" max="4" width="10.19921875" customWidth="1"/>
    <col min="5" max="5" width="11.09765625" style="95" customWidth="1"/>
    <col min="6" max="6" width="16.59765625" customWidth="1"/>
    <col min="7" max="7" width="10" customWidth="1"/>
    <col min="8" max="8" width="34.5" customWidth="1"/>
  </cols>
  <sheetData>
    <row r="1" spans="1:8">
      <c r="A1" s="8" t="s">
        <v>130</v>
      </c>
      <c r="B1" s="8"/>
      <c r="C1" s="94" t="s">
        <v>131</v>
      </c>
      <c r="D1" s="8" t="s">
        <v>132</v>
      </c>
    </row>
    <row r="2" spans="1:8" s="582" customFormat="1" ht="141" customHeight="1">
      <c r="A2" s="581" t="s">
        <v>434</v>
      </c>
      <c r="B2" s="581" t="s">
        <v>435</v>
      </c>
      <c r="C2" s="94" t="s">
        <v>436</v>
      </c>
      <c r="D2" s="581"/>
      <c r="E2" s="95">
        <f>13000/256</f>
        <v>50.78125</v>
      </c>
      <c r="F2" s="582">
        <f>2100/16</f>
        <v>131.25</v>
      </c>
      <c r="G2" s="582">
        <f>500000/13000</f>
        <v>38.46153846153846</v>
      </c>
      <c r="H2" s="581" t="s">
        <v>437</v>
      </c>
    </row>
    <row r="3" spans="1:8">
      <c r="A3" s="8"/>
      <c r="B3" s="8"/>
      <c r="C3" s="94"/>
      <c r="D3" s="8"/>
    </row>
    <row r="4" spans="1:8">
      <c r="A4" s="8"/>
      <c r="B4" s="8"/>
      <c r="C4" s="94"/>
      <c r="D4" s="8"/>
    </row>
    <row r="5" spans="1:8">
      <c r="A5" s="8"/>
      <c r="B5" s="8"/>
      <c r="C5" s="94"/>
      <c r="D5" s="8"/>
    </row>
    <row r="6" spans="1:8" ht="31.2">
      <c r="A6" s="8" t="s">
        <v>133</v>
      </c>
      <c r="B6" s="8"/>
      <c r="C6" s="94" t="s">
        <v>134</v>
      </c>
      <c r="D6">
        <v>1850</v>
      </c>
      <c r="E6" s="94" t="s">
        <v>135</v>
      </c>
      <c r="F6" s="8" t="s">
        <v>136</v>
      </c>
    </row>
    <row r="7" spans="1:8" ht="31.2">
      <c r="C7" s="94" t="s">
        <v>137</v>
      </c>
      <c r="D7">
        <v>900</v>
      </c>
      <c r="E7" s="94" t="s">
        <v>135</v>
      </c>
    </row>
    <row r="8" spans="1:8">
      <c r="C8" s="94" t="s">
        <v>139</v>
      </c>
      <c r="D8">
        <v>1850</v>
      </c>
    </row>
    <row r="9" spans="1:8" ht="46.8">
      <c r="C9" s="94" t="s">
        <v>140</v>
      </c>
      <c r="D9">
        <v>1850</v>
      </c>
    </row>
    <row r="10" spans="1:8" ht="31.2">
      <c r="C10" s="94" t="s">
        <v>142</v>
      </c>
      <c r="D10">
        <v>5500</v>
      </c>
      <c r="F10" s="8" t="s">
        <v>141</v>
      </c>
    </row>
    <row r="11" spans="1:8">
      <c r="C11" s="94" t="s">
        <v>143</v>
      </c>
      <c r="D11">
        <v>3000</v>
      </c>
    </row>
    <row r="12" spans="1:8">
      <c r="C12" s="94" t="s">
        <v>144</v>
      </c>
      <c r="D12">
        <v>4000</v>
      </c>
    </row>
    <row r="14" spans="1:8" ht="31.2">
      <c r="A14" s="8" t="s">
        <v>174</v>
      </c>
      <c r="B14" s="8"/>
      <c r="C14" s="94" t="s">
        <v>169</v>
      </c>
      <c r="D14">
        <v>945</v>
      </c>
    </row>
    <row r="15" spans="1:8">
      <c r="A15" s="97" t="s">
        <v>172</v>
      </c>
      <c r="B15" s="97"/>
      <c r="C15" s="94" t="s">
        <v>170</v>
      </c>
      <c r="D15">
        <v>1995</v>
      </c>
    </row>
    <row r="16" spans="1:8" ht="46.8">
      <c r="A16" s="98" t="s">
        <v>173</v>
      </c>
      <c r="B16" s="98"/>
      <c r="C16" s="94" t="s">
        <v>137</v>
      </c>
      <c r="D16">
        <v>1365</v>
      </c>
    </row>
    <row r="17" spans="3:5" ht="280.8">
      <c r="C17" s="94" t="s">
        <v>171</v>
      </c>
      <c r="D17">
        <v>1365</v>
      </c>
      <c r="E17" s="94" t="s">
        <v>175</v>
      </c>
    </row>
  </sheetData>
  <hyperlinks>
    <hyperlink ref="A15" r:id="rId1"/>
  </hyperlinks>
  <pageMargins left="0.7" right="0.7" top="0.75" bottom="0.75" header="0.3" footer="0.3"/>
  <pageSetup paperSize="9" orientation="portrait" verticalDpi="0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F18" sqref="F18"/>
    </sheetView>
  </sheetViews>
  <sheetFormatPr defaultRowHeight="15.6"/>
  <cols>
    <col min="1" max="1" width="61.3984375" style="95" customWidth="1"/>
    <col min="2" max="2" width="73.3984375" style="95" hidden="1" customWidth="1"/>
    <col min="3" max="3" width="40.59765625" style="95" hidden="1" customWidth="1"/>
    <col min="4" max="4" width="47.09765625" style="95" hidden="1" customWidth="1"/>
    <col min="5" max="5" width="57.09765625" style="95" hidden="1" customWidth="1"/>
    <col min="6" max="6" width="41.09765625" style="95" hidden="1" customWidth="1"/>
    <col min="7" max="7" width="55.5" style="95" customWidth="1"/>
    <col min="8" max="8" width="48.296875" style="95" customWidth="1"/>
    <col min="9" max="9" width="43.3984375" customWidth="1"/>
    <col min="10" max="10" width="35.59765625" style="95" customWidth="1"/>
  </cols>
  <sheetData>
    <row r="1" spans="1:10" ht="46.8">
      <c r="A1" s="94" t="s">
        <v>138</v>
      </c>
      <c r="B1" s="94" t="s">
        <v>146</v>
      </c>
      <c r="C1" s="94" t="s">
        <v>151</v>
      </c>
      <c r="D1" s="94" t="s">
        <v>145</v>
      </c>
      <c r="E1" s="94" t="s">
        <v>166</v>
      </c>
      <c r="F1" s="94" t="s">
        <v>168</v>
      </c>
      <c r="G1" s="94" t="s">
        <v>179</v>
      </c>
      <c r="H1" s="94" t="s">
        <v>181</v>
      </c>
      <c r="I1" s="8" t="s">
        <v>186</v>
      </c>
      <c r="J1" s="94" t="s">
        <v>188</v>
      </c>
    </row>
    <row r="2" spans="1:10" ht="28.8">
      <c r="A2" s="96" t="s">
        <v>153</v>
      </c>
      <c r="C2" s="94" t="s">
        <v>152</v>
      </c>
      <c r="F2" s="94" t="s">
        <v>176</v>
      </c>
      <c r="G2" s="94" t="s">
        <v>176</v>
      </c>
    </row>
    <row r="3" spans="1:10">
      <c r="A3" s="96" t="s">
        <v>154</v>
      </c>
      <c r="C3" s="94" t="s">
        <v>150</v>
      </c>
      <c r="F3" s="94" t="s">
        <v>177</v>
      </c>
      <c r="G3" s="94" t="s">
        <v>180</v>
      </c>
    </row>
    <row r="4" spans="1:10">
      <c r="A4" s="96" t="s">
        <v>155</v>
      </c>
      <c r="C4" s="94" t="s">
        <v>149</v>
      </c>
      <c r="F4" s="94" t="s">
        <v>177</v>
      </c>
    </row>
    <row r="5" spans="1:10" ht="28.8">
      <c r="A5" s="96" t="s">
        <v>156</v>
      </c>
      <c r="H5" s="94" t="s">
        <v>182</v>
      </c>
    </row>
    <row r="6" spans="1:10">
      <c r="A6" s="96" t="s">
        <v>157</v>
      </c>
      <c r="C6" s="94" t="s">
        <v>148</v>
      </c>
      <c r="H6" s="94"/>
    </row>
    <row r="7" spans="1:10" ht="28.8">
      <c r="A7" s="96" t="s">
        <v>178</v>
      </c>
      <c r="H7" s="94" t="s">
        <v>183</v>
      </c>
    </row>
    <row r="8" spans="1:10" ht="28.8">
      <c r="A8" s="96" t="s">
        <v>158</v>
      </c>
    </row>
    <row r="9" spans="1:10" ht="31.2">
      <c r="A9" s="96" t="s">
        <v>159</v>
      </c>
      <c r="C9" s="94" t="s">
        <v>161</v>
      </c>
    </row>
    <row r="10" spans="1:10" ht="31.2">
      <c r="A10" s="96" t="s">
        <v>160</v>
      </c>
      <c r="C10" s="94" t="s">
        <v>147</v>
      </c>
      <c r="H10" s="94" t="s">
        <v>184</v>
      </c>
    </row>
    <row r="11" spans="1:10" ht="46.8">
      <c r="A11" s="94" t="s">
        <v>162</v>
      </c>
      <c r="B11" s="94" t="s">
        <v>164</v>
      </c>
      <c r="C11" s="94" t="s">
        <v>163</v>
      </c>
      <c r="D11" s="94" t="s">
        <v>165</v>
      </c>
      <c r="E11" s="94" t="s">
        <v>167</v>
      </c>
      <c r="H11" s="94" t="s">
        <v>185</v>
      </c>
      <c r="J11" s="94" t="s">
        <v>187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workbookViewId="0">
      <selection activeCell="I17" sqref="I17"/>
    </sheetView>
  </sheetViews>
  <sheetFormatPr defaultRowHeight="15.6"/>
  <cols>
    <col min="1" max="1" width="20" customWidth="1"/>
  </cols>
  <sheetData>
    <row r="1" spans="1:7" ht="42" thickBot="1">
      <c r="A1" s="440"/>
      <c r="B1" s="240"/>
      <c r="C1" s="241" t="s">
        <v>225</v>
      </c>
      <c r="D1" s="241" t="s">
        <v>226</v>
      </c>
      <c r="E1" s="241" t="s">
        <v>229</v>
      </c>
      <c r="F1" s="236" t="s">
        <v>231</v>
      </c>
      <c r="G1" s="236"/>
    </row>
    <row r="2" spans="1:7">
      <c r="A2" s="824" t="s">
        <v>224</v>
      </c>
      <c r="B2" s="435" t="s">
        <v>227</v>
      </c>
      <c r="C2" s="436">
        <f>250000</f>
        <v>250000</v>
      </c>
      <c r="D2" s="437">
        <f t="shared" ref="D2:D33" si="0">C2/100</f>
        <v>2500</v>
      </c>
      <c r="E2" s="437">
        <f>D2*0.3</f>
        <v>750</v>
      </c>
      <c r="F2" s="438">
        <f>ROUND(E2*0.25,0)</f>
        <v>188</v>
      </c>
      <c r="G2" s="235"/>
    </row>
    <row r="3" spans="1:7">
      <c r="A3" s="825"/>
      <c r="B3" s="246" t="s">
        <v>228</v>
      </c>
      <c r="C3" s="439">
        <f>C2*0.8</f>
        <v>200000</v>
      </c>
      <c r="D3" s="440">
        <f t="shared" si="0"/>
        <v>2000</v>
      </c>
      <c r="E3" s="440">
        <f>D3*0.5</f>
        <v>1000</v>
      </c>
      <c r="F3" s="441">
        <f>ROUND(E3*0.3,0)</f>
        <v>300</v>
      </c>
      <c r="G3" s="235"/>
    </row>
    <row r="4" spans="1:7">
      <c r="A4" s="828" t="s">
        <v>381</v>
      </c>
      <c r="B4" s="304" t="s">
        <v>227</v>
      </c>
      <c r="C4" s="442">
        <v>73500</v>
      </c>
      <c r="D4" s="440">
        <f t="shared" si="0"/>
        <v>735</v>
      </c>
      <c r="E4" s="440">
        <f>D4*0.5</f>
        <v>367.5</v>
      </c>
      <c r="F4" s="441">
        <f>ROUND(E4*0.5,0)</f>
        <v>184</v>
      </c>
      <c r="G4" s="235"/>
    </row>
    <row r="5" spans="1:7">
      <c r="A5" s="828"/>
      <c r="B5" s="246" t="s">
        <v>228</v>
      </c>
      <c r="C5" s="439">
        <f>C4*0.8</f>
        <v>58800</v>
      </c>
      <c r="D5" s="440">
        <f t="shared" si="0"/>
        <v>588</v>
      </c>
      <c r="E5" s="440">
        <f>D5*0.5</f>
        <v>294</v>
      </c>
      <c r="F5" s="441">
        <f>ROUND(E5*0.5,0)</f>
        <v>147</v>
      </c>
      <c r="G5" s="235"/>
    </row>
    <row r="6" spans="1:7">
      <c r="A6" s="443" t="s">
        <v>246</v>
      </c>
      <c r="B6" s="304" t="s">
        <v>227</v>
      </c>
      <c r="C6" s="442">
        <v>53000</v>
      </c>
      <c r="D6" s="440">
        <f t="shared" si="0"/>
        <v>530</v>
      </c>
      <c r="E6" s="440">
        <f>D6*0.5</f>
        <v>265</v>
      </c>
      <c r="F6" s="441">
        <f>ROUND(E6*0.5,0)</f>
        <v>133</v>
      </c>
      <c r="G6" s="235"/>
    </row>
    <row r="7" spans="1:7">
      <c r="A7" s="443"/>
      <c r="B7" s="246" t="s">
        <v>228</v>
      </c>
      <c r="C7" s="439">
        <f>C6*0.7</f>
        <v>37100</v>
      </c>
      <c r="D7" s="440">
        <f t="shared" si="0"/>
        <v>371</v>
      </c>
      <c r="E7" s="440">
        <f>D7*0.8</f>
        <v>296.8</v>
      </c>
      <c r="F7" s="441">
        <f>ROUND(E7*0.2,0)</f>
        <v>59</v>
      </c>
      <c r="G7" s="235"/>
    </row>
    <row r="8" spans="1:7">
      <c r="A8" s="827" t="s">
        <v>382</v>
      </c>
      <c r="B8" s="304" t="s">
        <v>227</v>
      </c>
      <c r="C8" s="442">
        <v>19942</v>
      </c>
      <c r="D8" s="440">
        <f t="shared" si="0"/>
        <v>199.42</v>
      </c>
      <c r="E8" s="440">
        <f>D8*0.5</f>
        <v>99.71</v>
      </c>
      <c r="F8" s="444">
        <f>ROUND(E8*0.5,0)</f>
        <v>50</v>
      </c>
      <c r="G8" s="235"/>
    </row>
    <row r="9" spans="1:7">
      <c r="A9" s="827"/>
      <c r="B9" s="246" t="s">
        <v>228</v>
      </c>
      <c r="C9" s="439">
        <f>C8*0.7</f>
        <v>13959.4</v>
      </c>
      <c r="D9" s="440">
        <f t="shared" si="0"/>
        <v>139.59399999999999</v>
      </c>
      <c r="E9" s="440">
        <f>D9*0.8</f>
        <v>111.6752</v>
      </c>
      <c r="F9" s="444">
        <f>ROUND(E9*0.2,0)</f>
        <v>22</v>
      </c>
      <c r="G9" s="235"/>
    </row>
    <row r="10" spans="1:7">
      <c r="A10" s="443" t="s">
        <v>383</v>
      </c>
      <c r="B10" s="304" t="s">
        <v>227</v>
      </c>
      <c r="C10" s="442">
        <v>20000</v>
      </c>
      <c r="D10" s="440">
        <f t="shared" si="0"/>
        <v>200</v>
      </c>
      <c r="E10" s="440">
        <f>D10*0.5</f>
        <v>100</v>
      </c>
      <c r="F10" s="441">
        <f>ROUND(E10*0.5,0)</f>
        <v>50</v>
      </c>
      <c r="G10" s="235"/>
    </row>
    <row r="11" spans="1:7">
      <c r="A11" s="443" t="s">
        <v>384</v>
      </c>
      <c r="B11" s="304" t="s">
        <v>227</v>
      </c>
      <c r="C11" s="442">
        <v>68000</v>
      </c>
      <c r="D11" s="440">
        <f t="shared" si="0"/>
        <v>680</v>
      </c>
      <c r="E11" s="440">
        <f>D11*0.5</f>
        <v>340</v>
      </c>
      <c r="F11" s="441">
        <f>ROUND(E11*0.5,0)</f>
        <v>170</v>
      </c>
      <c r="G11" s="235"/>
    </row>
    <row r="12" spans="1:7">
      <c r="A12" s="254" t="s">
        <v>230</v>
      </c>
      <c r="B12" s="243" t="s">
        <v>227</v>
      </c>
      <c r="C12" s="244">
        <f>230000</f>
        <v>230000</v>
      </c>
      <c r="D12" s="237">
        <f t="shared" si="0"/>
        <v>2300</v>
      </c>
      <c r="E12" s="237">
        <f>D12*0.3</f>
        <v>690</v>
      </c>
      <c r="F12" s="235">
        <f>ROUND(E12*0.2,0)</f>
        <v>138</v>
      </c>
      <c r="G12" s="235" t="s">
        <v>232</v>
      </c>
    </row>
    <row r="13" spans="1:7">
      <c r="A13" s="254"/>
      <c r="B13" s="246" t="s">
        <v>228</v>
      </c>
      <c r="C13" s="247">
        <f>C12*0.7</f>
        <v>161000</v>
      </c>
      <c r="D13" s="237">
        <f t="shared" si="0"/>
        <v>1610</v>
      </c>
      <c r="E13" s="237">
        <f>D13*0.6</f>
        <v>966</v>
      </c>
      <c r="F13" s="235">
        <f>ROUND(E13*0.2,0)</f>
        <v>193</v>
      </c>
      <c r="G13" s="235"/>
    </row>
    <row r="14" spans="1:7">
      <c r="A14" s="826" t="s">
        <v>233</v>
      </c>
      <c r="B14" s="243" t="s">
        <v>227</v>
      </c>
      <c r="C14" s="244">
        <v>748000</v>
      </c>
      <c r="D14" s="237">
        <f t="shared" si="0"/>
        <v>7480</v>
      </c>
      <c r="E14" s="237">
        <f>D14*0.5</f>
        <v>3740</v>
      </c>
      <c r="F14" s="235">
        <f>ROUND(E14*0.2,0)</f>
        <v>748</v>
      </c>
      <c r="G14" s="235" t="s">
        <v>234</v>
      </c>
    </row>
    <row r="15" spans="1:7">
      <c r="A15" s="826"/>
      <c r="B15" s="246" t="s">
        <v>228</v>
      </c>
      <c r="C15" s="247">
        <f>C14*0.2</f>
        <v>149600</v>
      </c>
      <c r="D15" s="237">
        <f t="shared" si="0"/>
        <v>1496</v>
      </c>
      <c r="E15" s="237">
        <f>D15*0.6</f>
        <v>897.6</v>
      </c>
      <c r="F15" s="235">
        <f>ROUND(E15*0.3,0)</f>
        <v>269</v>
      </c>
      <c r="G15" s="235"/>
    </row>
    <row r="16" spans="1:7">
      <c r="A16" s="826" t="s">
        <v>235</v>
      </c>
      <c r="B16" s="243" t="s">
        <v>227</v>
      </c>
      <c r="C16" s="244">
        <v>479000</v>
      </c>
      <c r="D16" s="237">
        <f t="shared" si="0"/>
        <v>4790</v>
      </c>
      <c r="E16" s="237">
        <f>D16*0.5</f>
        <v>2395</v>
      </c>
      <c r="F16" s="235">
        <f>ROUND(E16*0.2,0)</f>
        <v>479</v>
      </c>
      <c r="G16" s="235"/>
    </row>
    <row r="17" spans="1:7">
      <c r="A17" s="826"/>
      <c r="B17" s="246" t="s">
        <v>228</v>
      </c>
      <c r="C17" s="247">
        <f>C16*0.8</f>
        <v>383200</v>
      </c>
      <c r="D17" s="237">
        <f t="shared" si="0"/>
        <v>3832</v>
      </c>
      <c r="E17" s="237">
        <f>D17*0.8</f>
        <v>3065.6000000000004</v>
      </c>
      <c r="F17" s="235">
        <f>ROUND(E17*0.2,0)</f>
        <v>613</v>
      </c>
      <c r="G17" s="235" t="s">
        <v>236</v>
      </c>
    </row>
    <row r="18" spans="1:7">
      <c r="A18" s="826" t="s">
        <v>237</v>
      </c>
      <c r="B18" s="243" t="s">
        <v>227</v>
      </c>
      <c r="C18" s="244">
        <v>330000</v>
      </c>
      <c r="D18" s="237">
        <f t="shared" si="0"/>
        <v>3300</v>
      </c>
      <c r="E18" s="237">
        <f>D18*0.5</f>
        <v>1650</v>
      </c>
      <c r="F18" s="235">
        <f>ROUND(E18*0.2,0)</f>
        <v>330</v>
      </c>
      <c r="G18" s="235"/>
    </row>
    <row r="19" spans="1:7">
      <c r="A19" s="826"/>
      <c r="B19" s="246" t="s">
        <v>228</v>
      </c>
      <c r="C19" s="247">
        <f>C18*0.8</f>
        <v>264000</v>
      </c>
      <c r="D19" s="237">
        <f t="shared" si="0"/>
        <v>2640</v>
      </c>
      <c r="E19" s="237">
        <f>D19*0.8</f>
        <v>2112</v>
      </c>
      <c r="F19" s="235">
        <f>ROUND(E19*0.3,0)</f>
        <v>634</v>
      </c>
      <c r="G19" s="235"/>
    </row>
    <row r="20" spans="1:7">
      <c r="A20" s="826" t="s">
        <v>238</v>
      </c>
      <c r="B20" s="243" t="s">
        <v>227</v>
      </c>
      <c r="C20" s="244">
        <v>15900</v>
      </c>
      <c r="D20" s="237">
        <f t="shared" si="0"/>
        <v>159</v>
      </c>
      <c r="E20" s="237">
        <f>D20*0.5</f>
        <v>79.5</v>
      </c>
      <c r="F20" s="235">
        <f t="shared" ref="F20:F51" si="1">ROUND(E20*0.5,0)</f>
        <v>40</v>
      </c>
      <c r="G20" s="235"/>
    </row>
    <row r="21" spans="1:7">
      <c r="A21" s="826"/>
      <c r="B21" s="246" t="s">
        <v>228</v>
      </c>
      <c r="C21" s="247">
        <f>C20*0.8</f>
        <v>12720</v>
      </c>
      <c r="D21" s="237">
        <f t="shared" si="0"/>
        <v>127.2</v>
      </c>
      <c r="E21" s="237">
        <f>D21*0.8</f>
        <v>101.76</v>
      </c>
      <c r="F21" s="235">
        <f t="shared" si="1"/>
        <v>51</v>
      </c>
      <c r="G21" s="235"/>
    </row>
    <row r="22" spans="1:7">
      <c r="A22" s="826" t="s">
        <v>239</v>
      </c>
      <c r="B22" s="243" t="s">
        <v>227</v>
      </c>
      <c r="C22" s="244">
        <v>65800</v>
      </c>
      <c r="D22" s="237">
        <f t="shared" si="0"/>
        <v>658</v>
      </c>
      <c r="E22" s="237">
        <f>D22*0.5</f>
        <v>329</v>
      </c>
      <c r="F22" s="235">
        <f t="shared" si="1"/>
        <v>165</v>
      </c>
      <c r="G22" s="235"/>
    </row>
    <row r="23" spans="1:7">
      <c r="A23" s="826"/>
      <c r="B23" s="246" t="s">
        <v>228</v>
      </c>
      <c r="C23" s="247">
        <f>C22*0.8</f>
        <v>52640</v>
      </c>
      <c r="D23" s="237">
        <f t="shared" si="0"/>
        <v>526.4</v>
      </c>
      <c r="E23" s="237">
        <f>D23*0.8</f>
        <v>421.12</v>
      </c>
      <c r="F23" s="235">
        <f t="shared" si="1"/>
        <v>211</v>
      </c>
      <c r="G23" s="235"/>
    </row>
    <row r="24" spans="1:7">
      <c r="A24" s="826" t="s">
        <v>240</v>
      </c>
      <c r="B24" s="243" t="s">
        <v>227</v>
      </c>
      <c r="C24" s="244">
        <v>100000</v>
      </c>
      <c r="D24" s="237">
        <f t="shared" si="0"/>
        <v>1000</v>
      </c>
      <c r="E24" s="237">
        <f>D24*0.5</f>
        <v>500</v>
      </c>
      <c r="F24" s="235">
        <f t="shared" si="1"/>
        <v>250</v>
      </c>
      <c r="G24" s="235"/>
    </row>
    <row r="25" spans="1:7">
      <c r="A25" s="826"/>
      <c r="B25" s="246" t="s">
        <v>228</v>
      </c>
      <c r="C25" s="247">
        <f>C24*0.8</f>
        <v>80000</v>
      </c>
      <c r="D25" s="237">
        <f t="shared" si="0"/>
        <v>800</v>
      </c>
      <c r="E25" s="237">
        <f>D25*0.8</f>
        <v>640</v>
      </c>
      <c r="F25" s="235">
        <f t="shared" si="1"/>
        <v>320</v>
      </c>
      <c r="G25" s="235"/>
    </row>
    <row r="26" spans="1:7">
      <c r="A26" s="826" t="s">
        <v>241</v>
      </c>
      <c r="B26" s="243" t="s">
        <v>227</v>
      </c>
      <c r="C26" s="244">
        <v>93000</v>
      </c>
      <c r="D26" s="237">
        <f t="shared" si="0"/>
        <v>930</v>
      </c>
      <c r="E26" s="237">
        <f>D26*0.5</f>
        <v>465</v>
      </c>
      <c r="F26" s="235">
        <f t="shared" si="1"/>
        <v>233</v>
      </c>
      <c r="G26" s="235"/>
    </row>
    <row r="27" spans="1:7">
      <c r="A27" s="826"/>
      <c r="B27" s="246" t="s">
        <v>228</v>
      </c>
      <c r="C27" s="247">
        <f>C26*0.8</f>
        <v>74400</v>
      </c>
      <c r="D27" s="237">
        <f t="shared" si="0"/>
        <v>744</v>
      </c>
      <c r="E27" s="237">
        <f>D27*0.8</f>
        <v>595.20000000000005</v>
      </c>
      <c r="F27" s="235">
        <f t="shared" si="1"/>
        <v>298</v>
      </c>
      <c r="G27" s="235"/>
    </row>
    <row r="28" spans="1:7">
      <c r="A28" s="826" t="s">
        <v>242</v>
      </c>
      <c r="B28" s="243" t="s">
        <v>227</v>
      </c>
      <c r="C28" s="244">
        <v>56000</v>
      </c>
      <c r="D28" s="237">
        <f t="shared" si="0"/>
        <v>560</v>
      </c>
      <c r="E28" s="237">
        <f>D28*0.5</f>
        <v>280</v>
      </c>
      <c r="F28" s="235">
        <f t="shared" si="1"/>
        <v>140</v>
      </c>
      <c r="G28" s="235"/>
    </row>
    <row r="29" spans="1:7">
      <c r="A29" s="826"/>
      <c r="B29" s="246" t="s">
        <v>228</v>
      </c>
      <c r="C29" s="247">
        <f>C28*0.8</f>
        <v>44800</v>
      </c>
      <c r="D29" s="237">
        <f t="shared" si="0"/>
        <v>448</v>
      </c>
      <c r="E29" s="237">
        <f>D29*0.8</f>
        <v>358.40000000000003</v>
      </c>
      <c r="F29" s="235">
        <f t="shared" si="1"/>
        <v>179</v>
      </c>
      <c r="G29" s="235"/>
    </row>
    <row r="30" spans="1:7">
      <c r="A30" s="826" t="s">
        <v>243</v>
      </c>
      <c r="B30" s="243" t="s">
        <v>227</v>
      </c>
      <c r="C30" s="244">
        <v>54000</v>
      </c>
      <c r="D30" s="237">
        <f t="shared" si="0"/>
        <v>540</v>
      </c>
      <c r="E30" s="237">
        <f>D30*0.5</f>
        <v>270</v>
      </c>
      <c r="F30" s="235">
        <f t="shared" si="1"/>
        <v>135</v>
      </c>
      <c r="G30" s="235"/>
    </row>
    <row r="31" spans="1:7">
      <c r="A31" s="826"/>
      <c r="B31" s="246" t="s">
        <v>228</v>
      </c>
      <c r="C31" s="247">
        <f>C30*0.8</f>
        <v>43200</v>
      </c>
      <c r="D31" s="237">
        <f t="shared" si="0"/>
        <v>432</v>
      </c>
      <c r="E31" s="237">
        <f>D31*0.8</f>
        <v>345.6</v>
      </c>
      <c r="F31" s="235">
        <f t="shared" si="1"/>
        <v>173</v>
      </c>
      <c r="G31" s="235"/>
    </row>
    <row r="32" spans="1:7">
      <c r="A32" s="254" t="s">
        <v>244</v>
      </c>
      <c r="B32" s="243" t="s">
        <v>227</v>
      </c>
      <c r="C32" s="244">
        <v>70000</v>
      </c>
      <c r="D32" s="237">
        <f t="shared" si="0"/>
        <v>700</v>
      </c>
      <c r="E32" s="237">
        <f>D32*0.5</f>
        <v>350</v>
      </c>
      <c r="F32" s="235">
        <f t="shared" si="1"/>
        <v>175</v>
      </c>
      <c r="G32" s="235"/>
    </row>
    <row r="33" spans="1:7">
      <c r="A33" s="254" t="s">
        <v>245</v>
      </c>
      <c r="B33" s="243" t="s">
        <v>227</v>
      </c>
      <c r="C33" s="244">
        <v>62000</v>
      </c>
      <c r="D33" s="237">
        <f t="shared" si="0"/>
        <v>620</v>
      </c>
      <c r="E33" s="237">
        <f>D33*0.5</f>
        <v>310</v>
      </c>
      <c r="F33" s="235">
        <f t="shared" si="1"/>
        <v>155</v>
      </c>
      <c r="G33" s="235"/>
    </row>
    <row r="34" spans="1:7">
      <c r="A34" s="827" t="s">
        <v>247</v>
      </c>
      <c r="B34" s="243" t="s">
        <v>227</v>
      </c>
      <c r="C34" s="244">
        <v>27000</v>
      </c>
      <c r="D34" s="237">
        <f t="shared" ref="D34:D51" si="2">C34/100</f>
        <v>270</v>
      </c>
      <c r="E34" s="237">
        <f>D34*0.5</f>
        <v>135</v>
      </c>
      <c r="F34" s="235">
        <f t="shared" si="1"/>
        <v>68</v>
      </c>
      <c r="G34" s="235"/>
    </row>
    <row r="35" spans="1:7">
      <c r="A35" s="827"/>
      <c r="B35" s="246" t="s">
        <v>228</v>
      </c>
      <c r="C35" s="247">
        <f>C34*0.8</f>
        <v>21600</v>
      </c>
      <c r="D35" s="237">
        <f t="shared" si="2"/>
        <v>216</v>
      </c>
      <c r="E35" s="237">
        <f>D35*0.8</f>
        <v>172.8</v>
      </c>
      <c r="F35" s="235">
        <f t="shared" si="1"/>
        <v>86</v>
      </c>
      <c r="G35" s="235"/>
    </row>
    <row r="36" spans="1:7">
      <c r="A36" s="254" t="s">
        <v>248</v>
      </c>
      <c r="B36" s="243" t="s">
        <v>227</v>
      </c>
      <c r="C36" s="244">
        <v>49460</v>
      </c>
      <c r="D36" s="237">
        <f t="shared" si="2"/>
        <v>494.6</v>
      </c>
      <c r="E36" s="237">
        <f t="shared" ref="E36:E42" si="3">D36*0.5</f>
        <v>247.3</v>
      </c>
      <c r="F36" s="235">
        <f t="shared" si="1"/>
        <v>124</v>
      </c>
      <c r="G36" s="235"/>
    </row>
    <row r="37" spans="1:7">
      <c r="A37" s="254" t="s">
        <v>249</v>
      </c>
      <c r="B37" s="243" t="s">
        <v>227</v>
      </c>
      <c r="C37" s="244">
        <v>75452</v>
      </c>
      <c r="D37" s="237">
        <f t="shared" si="2"/>
        <v>754.52</v>
      </c>
      <c r="E37" s="237">
        <f t="shared" si="3"/>
        <v>377.26</v>
      </c>
      <c r="F37" s="235">
        <f t="shared" si="1"/>
        <v>189</v>
      </c>
      <c r="G37" s="235"/>
    </row>
    <row r="38" spans="1:7">
      <c r="A38" s="254" t="s">
        <v>250</v>
      </c>
      <c r="B38" s="243" t="s">
        <v>227</v>
      </c>
      <c r="C38" s="244">
        <v>18000</v>
      </c>
      <c r="D38" s="237">
        <f t="shared" si="2"/>
        <v>180</v>
      </c>
      <c r="E38" s="237">
        <f t="shared" si="3"/>
        <v>90</v>
      </c>
      <c r="F38" s="235">
        <f t="shared" si="1"/>
        <v>45</v>
      </c>
      <c r="G38" s="235"/>
    </row>
    <row r="39" spans="1:7">
      <c r="A39" s="254" t="s">
        <v>251</v>
      </c>
      <c r="B39" s="243" t="s">
        <v>227</v>
      </c>
      <c r="C39" s="244">
        <v>33500</v>
      </c>
      <c r="D39" s="237">
        <f t="shared" si="2"/>
        <v>335</v>
      </c>
      <c r="E39" s="237">
        <f t="shared" si="3"/>
        <v>167.5</v>
      </c>
      <c r="F39" s="235">
        <f t="shared" si="1"/>
        <v>84</v>
      </c>
      <c r="G39" s="235"/>
    </row>
    <row r="40" spans="1:7">
      <c r="A40" s="254" t="s">
        <v>253</v>
      </c>
      <c r="B40" s="243" t="s">
        <v>227</v>
      </c>
      <c r="C40" s="244">
        <v>60000</v>
      </c>
      <c r="D40" s="237">
        <f t="shared" si="2"/>
        <v>600</v>
      </c>
      <c r="E40" s="237">
        <f t="shared" si="3"/>
        <v>300</v>
      </c>
      <c r="F40" s="235">
        <f t="shared" si="1"/>
        <v>150</v>
      </c>
      <c r="G40" s="235"/>
    </row>
    <row r="41" spans="1:7">
      <c r="A41" s="254" t="s">
        <v>254</v>
      </c>
      <c r="B41" s="243" t="s">
        <v>227</v>
      </c>
      <c r="C41" s="244">
        <v>19000</v>
      </c>
      <c r="D41" s="237">
        <f t="shared" si="2"/>
        <v>190</v>
      </c>
      <c r="E41" s="237">
        <f t="shared" si="3"/>
        <v>95</v>
      </c>
      <c r="F41" s="235">
        <f t="shared" si="1"/>
        <v>48</v>
      </c>
      <c r="G41" s="235"/>
    </row>
    <row r="42" spans="1:7">
      <c r="A42" s="827" t="s">
        <v>252</v>
      </c>
      <c r="B42" s="243" t="s">
        <v>227</v>
      </c>
      <c r="C42" s="244">
        <v>47000</v>
      </c>
      <c r="D42" s="237">
        <f t="shared" si="2"/>
        <v>470</v>
      </c>
      <c r="E42" s="237">
        <f t="shared" si="3"/>
        <v>235</v>
      </c>
      <c r="F42" s="235">
        <f t="shared" si="1"/>
        <v>118</v>
      </c>
      <c r="G42" s="235"/>
    </row>
    <row r="43" spans="1:7">
      <c r="A43" s="827"/>
      <c r="B43" s="246" t="s">
        <v>228</v>
      </c>
      <c r="C43" s="247">
        <f>C42*0.8</f>
        <v>37600</v>
      </c>
      <c r="D43" s="237">
        <f t="shared" si="2"/>
        <v>376</v>
      </c>
      <c r="E43" s="237">
        <f>D43*0.8</f>
        <v>300.8</v>
      </c>
      <c r="F43" s="235">
        <f t="shared" si="1"/>
        <v>150</v>
      </c>
      <c r="G43" s="235"/>
    </row>
    <row r="44" spans="1:7">
      <c r="A44" s="827" t="s">
        <v>255</v>
      </c>
      <c r="B44" s="243" t="s">
        <v>227</v>
      </c>
      <c r="C44" s="244">
        <v>30000</v>
      </c>
      <c r="D44" s="237">
        <f t="shared" si="2"/>
        <v>300</v>
      </c>
      <c r="E44" s="237">
        <f>D44*0.5</f>
        <v>150</v>
      </c>
      <c r="F44" s="235">
        <f t="shared" si="1"/>
        <v>75</v>
      </c>
      <c r="G44" s="235"/>
    </row>
    <row r="45" spans="1:7">
      <c r="A45" s="827"/>
      <c r="B45" s="246" t="s">
        <v>228</v>
      </c>
      <c r="C45" s="247">
        <f>C44*0.8</f>
        <v>24000</v>
      </c>
      <c r="D45" s="237">
        <f t="shared" si="2"/>
        <v>240</v>
      </c>
      <c r="E45" s="237">
        <f>D45*0.8</f>
        <v>192</v>
      </c>
      <c r="F45" s="235">
        <f t="shared" si="1"/>
        <v>96</v>
      </c>
      <c r="G45" s="235"/>
    </row>
    <row r="46" spans="1:7">
      <c r="A46" s="254" t="s">
        <v>256</v>
      </c>
      <c r="B46" s="243" t="s">
        <v>227</v>
      </c>
      <c r="C46" s="244">
        <v>23000</v>
      </c>
      <c r="D46" s="237">
        <f t="shared" si="2"/>
        <v>230</v>
      </c>
      <c r="E46" s="237">
        <f>D46*0.5</f>
        <v>115</v>
      </c>
      <c r="F46" s="235">
        <f t="shared" si="1"/>
        <v>58</v>
      </c>
      <c r="G46" s="235"/>
    </row>
    <row r="47" spans="1:7">
      <c r="A47" s="254" t="s">
        <v>257</v>
      </c>
      <c r="B47" s="243" t="s">
        <v>227</v>
      </c>
      <c r="C47" s="244">
        <v>38000</v>
      </c>
      <c r="D47" s="237">
        <f t="shared" si="2"/>
        <v>380</v>
      </c>
      <c r="E47" s="237">
        <f>D47*0.5</f>
        <v>190</v>
      </c>
      <c r="F47" s="235">
        <f t="shared" si="1"/>
        <v>95</v>
      </c>
      <c r="G47" s="235"/>
    </row>
    <row r="48" spans="1:7">
      <c r="A48" s="254" t="s">
        <v>258</v>
      </c>
      <c r="B48" s="243" t="s">
        <v>227</v>
      </c>
      <c r="C48" s="244">
        <v>12000</v>
      </c>
      <c r="D48" s="237">
        <f t="shared" si="2"/>
        <v>120</v>
      </c>
      <c r="E48" s="237">
        <f>D48*0.5</f>
        <v>60</v>
      </c>
      <c r="F48" s="235">
        <f t="shared" si="1"/>
        <v>30</v>
      </c>
      <c r="G48" s="235"/>
    </row>
    <row r="49" spans="1:7">
      <c r="A49" s="254" t="s">
        <v>259</v>
      </c>
      <c r="B49" s="243" t="s">
        <v>227</v>
      </c>
      <c r="C49" s="244">
        <v>48000</v>
      </c>
      <c r="D49" s="237">
        <f t="shared" si="2"/>
        <v>480</v>
      </c>
      <c r="E49" s="237">
        <f>D49*0.5</f>
        <v>240</v>
      </c>
      <c r="F49" s="235">
        <f t="shared" si="1"/>
        <v>120</v>
      </c>
      <c r="G49" s="235"/>
    </row>
    <row r="50" spans="1:7">
      <c r="A50" s="235" t="s">
        <v>385</v>
      </c>
      <c r="B50" s="304" t="s">
        <v>227</v>
      </c>
      <c r="C50" s="244">
        <v>119000</v>
      </c>
      <c r="D50" s="237">
        <f t="shared" si="2"/>
        <v>1190</v>
      </c>
      <c r="E50" s="237">
        <f>D50*0.5</f>
        <v>595</v>
      </c>
      <c r="F50" s="235">
        <f t="shared" si="1"/>
        <v>298</v>
      </c>
      <c r="G50" s="235"/>
    </row>
    <row r="51" spans="1:7">
      <c r="A51" s="235"/>
      <c r="B51" s="246" t="s">
        <v>228</v>
      </c>
      <c r="C51" s="247">
        <f>C50*0.8</f>
        <v>95200</v>
      </c>
      <c r="D51" s="237">
        <f t="shared" si="2"/>
        <v>952</v>
      </c>
      <c r="E51" s="237">
        <f>D51*0.8</f>
        <v>761.6</v>
      </c>
      <c r="F51" s="235">
        <f t="shared" si="1"/>
        <v>381</v>
      </c>
      <c r="G51" s="235"/>
    </row>
  </sheetData>
  <mergeCells count="15">
    <mergeCell ref="A2:A3"/>
    <mergeCell ref="A14:A15"/>
    <mergeCell ref="A16:A17"/>
    <mergeCell ref="A18:A19"/>
    <mergeCell ref="A44:A45"/>
    <mergeCell ref="A26:A27"/>
    <mergeCell ref="A28:A29"/>
    <mergeCell ref="A30:A31"/>
    <mergeCell ref="A4:A5"/>
    <mergeCell ref="A8:A9"/>
    <mergeCell ref="A20:A21"/>
    <mergeCell ref="A22:A23"/>
    <mergeCell ref="A24:A25"/>
    <mergeCell ref="A34:A35"/>
    <mergeCell ref="A42:A4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workbookViewId="0">
      <selection activeCell="M11" sqref="M11"/>
    </sheetView>
  </sheetViews>
  <sheetFormatPr defaultRowHeight="15.6"/>
  <cols>
    <col min="1" max="1" width="50.69921875" customWidth="1"/>
    <col min="7" max="7" width="11.59765625" customWidth="1"/>
  </cols>
  <sheetData>
    <row r="1" spans="1:13">
      <c r="A1" s="8" t="s">
        <v>217</v>
      </c>
      <c r="B1">
        <v>2023</v>
      </c>
      <c r="C1">
        <v>2024</v>
      </c>
      <c r="D1">
        <v>2025</v>
      </c>
      <c r="E1">
        <v>2026</v>
      </c>
      <c r="F1">
        <v>2027</v>
      </c>
    </row>
    <row r="2" spans="1:13">
      <c r="A2" t="s">
        <v>393</v>
      </c>
      <c r="B2">
        <v>0.1</v>
      </c>
      <c r="C2">
        <v>0.60000000000000009</v>
      </c>
      <c r="D2">
        <v>1.3</v>
      </c>
      <c r="E2">
        <v>2.9000000000000004</v>
      </c>
      <c r="F2">
        <v>6.4</v>
      </c>
    </row>
    <row r="3" spans="1:13">
      <c r="A3" t="s">
        <v>315</v>
      </c>
      <c r="B3">
        <v>0.1</v>
      </c>
      <c r="C3">
        <v>0.4</v>
      </c>
      <c r="D3">
        <v>0.70000000000000007</v>
      </c>
      <c r="E3">
        <v>1.7000000000000002</v>
      </c>
      <c r="F3">
        <v>3.7</v>
      </c>
      <c r="M3" s="580"/>
    </row>
    <row r="4" spans="1:13">
      <c r="A4" t="s">
        <v>319</v>
      </c>
      <c r="B4">
        <v>0</v>
      </c>
      <c r="C4">
        <v>0.2</v>
      </c>
      <c r="D4">
        <v>0.4</v>
      </c>
      <c r="E4">
        <v>1.1000000000000001</v>
      </c>
      <c r="F4">
        <v>2.1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99FF"/>
  </sheetPr>
  <dimension ref="A1:N999"/>
  <sheetViews>
    <sheetView tabSelected="1" zoomScaleNormal="100" workbookViewId="0">
      <selection activeCell="A41" sqref="A41"/>
    </sheetView>
  </sheetViews>
  <sheetFormatPr defaultColWidth="15.59765625" defaultRowHeight="15" customHeight="1"/>
  <cols>
    <col min="1" max="1" width="37.69921875" style="123" customWidth="1"/>
    <col min="2" max="2" width="19.796875" style="123" customWidth="1"/>
    <col min="3" max="3" width="18.796875" style="123" customWidth="1"/>
    <col min="4" max="4" width="17" style="123" customWidth="1"/>
    <col min="5" max="5" width="19" style="123" customWidth="1"/>
    <col min="6" max="6" width="19.5" style="123" customWidth="1"/>
    <col min="7" max="7" width="14.09765625" style="123" customWidth="1"/>
    <col min="8" max="8" width="14.296875" style="123" customWidth="1"/>
    <col min="9" max="9" width="14.5" style="123" customWidth="1"/>
    <col min="10" max="10" width="13.3984375" style="123" customWidth="1"/>
    <col min="11" max="11" width="13.09765625" style="123" customWidth="1"/>
    <col min="12" max="12" width="11.5" style="123" customWidth="1"/>
    <col min="13" max="13" width="10.796875" style="123" customWidth="1"/>
    <col min="14" max="14" width="13.3984375" style="123" customWidth="1"/>
    <col min="15" max="18" width="10.796875" style="123" customWidth="1"/>
    <col min="19" max="24" width="15.3984375" style="123" customWidth="1"/>
    <col min="25" max="16384" width="15.59765625" style="123"/>
  </cols>
  <sheetData>
    <row r="1" spans="1:11" ht="12" customHeight="1">
      <c r="A1" s="131"/>
      <c r="B1" s="331"/>
      <c r="C1" s="331"/>
      <c r="D1" s="331"/>
      <c r="E1" s="331"/>
      <c r="F1" s="331"/>
      <c r="G1" s="332"/>
      <c r="H1" s="332"/>
      <c r="I1" s="332"/>
      <c r="J1" s="332"/>
      <c r="K1" s="332"/>
    </row>
    <row r="2" spans="1:11" ht="17.399999999999999" customHeight="1">
      <c r="A2" s="407" t="s">
        <v>217</v>
      </c>
      <c r="B2" s="408">
        <v>2024</v>
      </c>
      <c r="C2" s="408">
        <v>2025</v>
      </c>
      <c r="D2" s="408">
        <v>2026</v>
      </c>
      <c r="E2" s="408">
        <v>2027</v>
      </c>
      <c r="F2" s="408">
        <v>2028</v>
      </c>
      <c r="G2" s="335"/>
      <c r="H2" s="332"/>
      <c r="I2" s="332"/>
      <c r="J2" s="332"/>
      <c r="K2" s="332"/>
    </row>
    <row r="3" spans="1:11" ht="18.75" customHeight="1">
      <c r="A3" s="795" t="s">
        <v>295</v>
      </c>
      <c r="B3" s="796"/>
      <c r="C3" s="796"/>
      <c r="D3" s="796"/>
      <c r="E3" s="796"/>
      <c r="F3" s="796"/>
      <c r="G3" s="336"/>
      <c r="H3" s="336"/>
      <c r="I3" s="336"/>
      <c r="J3" s="336"/>
      <c r="K3" s="336"/>
    </row>
    <row r="4" spans="1:11" ht="22.5" customHeight="1">
      <c r="A4" s="337" t="str">
        <f>'[1]1 - маркетинг'!A14:G14</f>
        <v>Выручка от реализации</v>
      </c>
      <c r="B4" s="338">
        <f>'Прогноз выручки'!B33</f>
        <v>49176.95644444444</v>
      </c>
      <c r="C4" s="338">
        <f>'Прогноз выручки'!C33</f>
        <v>1785152.7573333331</v>
      </c>
      <c r="D4" s="338">
        <f>'Прогноз выручки'!D33</f>
        <v>9478412.1333333328</v>
      </c>
      <c r="E4" s="338">
        <f>'Прогноз выручки'!E33</f>
        <v>79332404.622222215</v>
      </c>
      <c r="F4" s="338">
        <f>'Прогноз выручки'!F33</f>
        <v>810585037.86666667</v>
      </c>
      <c r="G4" s="332"/>
      <c r="H4" s="332"/>
      <c r="I4" s="332"/>
      <c r="J4" s="332"/>
      <c r="K4" s="332"/>
    </row>
    <row r="5" spans="1:11" ht="30.45" customHeight="1">
      <c r="A5" s="340" t="str">
        <f>'[1]5 - операции'!A14</f>
        <v>Переменные материальные расходы</v>
      </c>
      <c r="B5" s="338">
        <f>Перем.Расх!B30</f>
        <v>-14566.595555555557</v>
      </c>
      <c r="C5" s="338">
        <f>Перем.Расх!C30</f>
        <v>-892193.01333333331</v>
      </c>
      <c r="D5" s="338">
        <f>Перем.Расх!D30</f>
        <v>-5273956.9644444445</v>
      </c>
      <c r="E5" s="338">
        <f>Перем.Расх!E30</f>
        <v>-37727965.74222222</v>
      </c>
      <c r="F5" s="338">
        <f>Перем.Расх!F30</f>
        <v>-373346105.24444443</v>
      </c>
      <c r="G5" s="332"/>
      <c r="H5" s="332"/>
      <c r="I5" s="332"/>
      <c r="J5" s="332"/>
      <c r="K5" s="332"/>
    </row>
    <row r="6" spans="1:11" ht="64.95" customHeight="1">
      <c r="A6" s="341" t="str">
        <f>'[1]9 - сотрудники'!A7</f>
        <v>Расходы на оплату труда исполнителей (коммерческого и производственного персонала), включая налоги на ФОТ</v>
      </c>
      <c r="B6" s="338">
        <f>'Расх перс'!B5</f>
        <v>-75513.599999999991</v>
      </c>
      <c r="C6" s="338">
        <f>'Расх перс'!C5</f>
        <v>-373600.8</v>
      </c>
      <c r="D6" s="338">
        <f>'Расх перс'!D5</f>
        <v>-742481.99999999988</v>
      </c>
      <c r="E6" s="338">
        <f>'Расх перс'!E5</f>
        <v>-3305977.1999999997</v>
      </c>
      <c r="F6" s="338">
        <f>'Расх перс'!F5</f>
        <v>-5070115.8</v>
      </c>
      <c r="G6" s="332"/>
      <c r="H6" s="342"/>
      <c r="I6" s="342"/>
      <c r="J6" s="342"/>
      <c r="K6" s="332"/>
    </row>
    <row r="7" spans="1:11" ht="28.05" customHeight="1">
      <c r="A7" s="341" t="str">
        <f>'[1]6 - операции'!A9</f>
        <v>Постоянные общепроизводственные расходы</v>
      </c>
      <c r="B7" s="338">
        <f>Пост.Расх!B7</f>
        <v>-8896.6</v>
      </c>
      <c r="C7" s="338">
        <f>Пост.Расх!C7</f>
        <v>-20181.343055555557</v>
      </c>
      <c r="D7" s="338">
        <f>Пост.Расх!D7</f>
        <v>-90421.496440972216</v>
      </c>
      <c r="E7" s="338">
        <f>Пост.Расх!E7</f>
        <v>-563832.03545464412</v>
      </c>
      <c r="F7" s="338">
        <f>Пост.Расх!F7</f>
        <v>-4546301.9517113576</v>
      </c>
      <c r="G7" s="332"/>
      <c r="H7" s="332"/>
      <c r="I7" s="332"/>
      <c r="J7" s="332"/>
      <c r="K7" s="332"/>
    </row>
    <row r="8" spans="1:11" ht="31.95" customHeight="1">
      <c r="A8" s="341" t="str">
        <f>'[1]9 - сотрудники'!A6</f>
        <v>Расходы на  управленческий персонал, включая налоги на ФОТ</v>
      </c>
      <c r="B8" s="338">
        <f>'Расх перс'!B4</f>
        <v>-146938.4</v>
      </c>
      <c r="C8" s="338">
        <f>'Расх перс'!C4</f>
        <v>-271821.59999999998</v>
      </c>
      <c r="D8" s="338">
        <f>'Расх перс'!D4</f>
        <v>-283244.39999999997</v>
      </c>
      <c r="E8" s="338">
        <f>'Расх перс'!E4</f>
        <v>-283244.39999999997</v>
      </c>
      <c r="F8" s="338">
        <f>'Расх перс'!F4</f>
        <v>-283244.39999999997</v>
      </c>
      <c r="G8" s="332"/>
      <c r="H8" s="332"/>
      <c r="I8" s="332"/>
      <c r="J8" s="332"/>
      <c r="K8" s="332"/>
    </row>
    <row r="9" spans="1:11" ht="15" customHeight="1">
      <c r="A9" s="341" t="str">
        <f>'[1]3 - маркетинг'!A9</f>
        <v>Прочие коммерческие расходы (командировки, 7 командировок в квартал)</v>
      </c>
      <c r="B9" s="338">
        <f>Пр.ком.расх!B9</f>
        <v>-18711.111111111109</v>
      </c>
      <c r="C9" s="338">
        <f>Пр.ком.расх!C9</f>
        <v>-124977.38666666666</v>
      </c>
      <c r="D9" s="338">
        <f>Пр.ком.расх!D9</f>
        <v>-842325.72444444452</v>
      </c>
      <c r="E9" s="338">
        <f>Пр.ком.расх!E9</f>
        <v>-6920110.7555555562</v>
      </c>
      <c r="F9" s="338">
        <f>Пр.ком.расх!F9</f>
        <v>-69186860.337777764</v>
      </c>
      <c r="G9" s="332"/>
      <c r="H9" s="332"/>
      <c r="I9" s="332"/>
      <c r="J9" s="332"/>
      <c r="K9" s="332"/>
    </row>
    <row r="10" spans="1:11" ht="15" customHeight="1">
      <c r="A10" s="341" t="str">
        <f t="shared" ref="A10:F10" si="0">A60</f>
        <v>Налог на прибыль</v>
      </c>
      <c r="B10" s="338">
        <f t="shared" si="0"/>
        <v>0</v>
      </c>
      <c r="C10" s="338">
        <f t="shared" si="0"/>
        <v>0</v>
      </c>
      <c r="D10" s="338">
        <f t="shared" si="0"/>
        <v>-465367.9984895832</v>
      </c>
      <c r="E10" s="338">
        <f t="shared" si="0"/>
        <v>-6135876.9866868481</v>
      </c>
      <c r="F10" s="338">
        <f t="shared" si="0"/>
        <v>-71673315.448768839</v>
      </c>
      <c r="G10" s="332"/>
      <c r="H10" s="332"/>
      <c r="I10" s="332"/>
      <c r="J10" s="332"/>
      <c r="K10" s="332"/>
    </row>
    <row r="11" spans="1:11" ht="34.799999999999997" customHeight="1">
      <c r="A11" s="341" t="str">
        <f>'[1]2 - маркетинг'!A7</f>
        <v>Прогноз движения денежных средств по дебиторской задолженности</v>
      </c>
      <c r="B11" s="338">
        <f>ДебитЗадолж!B4</f>
        <v>-4041.9416255707756</v>
      </c>
      <c r="C11" s="338">
        <f>ДебитЗадолж!C4</f>
        <v>-142682.94253881279</v>
      </c>
      <c r="D11" s="338">
        <f>ДебитЗадолж!D4</f>
        <v>-632322.68843835616</v>
      </c>
      <c r="E11" s="338">
        <f>ДебитЗадолж!E4</f>
        <v>-5741424.0401826482</v>
      </c>
      <c r="F11" s="338">
        <f>ДебитЗадолж!F4</f>
        <v>-60102956.157077625</v>
      </c>
      <c r="G11" s="332"/>
      <c r="H11" s="332"/>
      <c r="I11" s="332"/>
      <c r="J11" s="332"/>
      <c r="K11" s="332"/>
    </row>
    <row r="12" spans="1:11" ht="29.4" customHeight="1">
      <c r="A12" s="341" t="str">
        <f>'[1]7 - операции'!A7</f>
        <v>Движение денежных средств по формированию запасов</v>
      </c>
      <c r="B12" s="338">
        <f>Запасы!B8</f>
        <v>-642.77986666666675</v>
      </c>
      <c r="C12" s="338">
        <f>Запасы!C8</f>
        <v>-57440.407688888896</v>
      </c>
      <c r="D12" s="338">
        <f>Запасы!D8</f>
        <v>-368701.90800000005</v>
      </c>
      <c r="E12" s="338">
        <f>Запасы!E8</f>
        <v>-2962628.0911111115</v>
      </c>
      <c r="F12" s="338">
        <f>Запасы!F8</f>
        <v>-31740410.996444449</v>
      </c>
      <c r="G12" s="332"/>
      <c r="H12" s="332"/>
      <c r="I12" s="332"/>
      <c r="J12" s="332"/>
      <c r="K12" s="332"/>
    </row>
    <row r="13" spans="1:11" ht="45" customHeight="1">
      <c r="A13" s="341" t="str">
        <f>'[1]8 - операции'!A7</f>
        <v>Движение денежных средств по формированию кредиторской задолженности перед поставщиками и подрядчиками</v>
      </c>
      <c r="B13" s="338">
        <f>КредЗадолж!B4</f>
        <v>1456.6595555555559</v>
      </c>
      <c r="C13" s="338">
        <f>КредЗадолж!C4</f>
        <v>87762.641777777782</v>
      </c>
      <c r="D13" s="338">
        <f>КредЗадолж!D4</f>
        <v>438176.39511111111</v>
      </c>
      <c r="E13" s="338">
        <f>КредЗадолж!E4</f>
        <v>3245400.8777777776</v>
      </c>
      <c r="F13" s="338">
        <f>КредЗадолж!F4</f>
        <v>33561813.950222224</v>
      </c>
      <c r="G13" s="332"/>
      <c r="H13" s="332"/>
      <c r="I13" s="332"/>
      <c r="J13" s="332"/>
      <c r="K13" s="332"/>
    </row>
    <row r="14" spans="1:11" ht="30" customHeight="1">
      <c r="A14" s="343" t="s">
        <v>296</v>
      </c>
      <c r="B14" s="344">
        <f t="shared" ref="B14" si="1">SUM(B4:B13)</f>
        <v>-218677.4121589041</v>
      </c>
      <c r="C14" s="344">
        <f>SUM(C4:C13)</f>
        <v>-9982.0941721462295</v>
      </c>
      <c r="D14" s="344">
        <f t="shared" ref="D14:F14" si="2">SUM(D4:D13)</f>
        <v>1217765.3481866433</v>
      </c>
      <c r="E14" s="344">
        <f t="shared" si="2"/>
        <v>18936746.24878696</v>
      </c>
      <c r="F14" s="344">
        <f t="shared" si="2"/>
        <v>228197541.4806644</v>
      </c>
      <c r="G14" s="345"/>
      <c r="H14" s="346"/>
      <c r="I14" s="346"/>
      <c r="J14" s="346"/>
      <c r="K14" s="346"/>
    </row>
    <row r="15" spans="1:11" ht="18.75" customHeight="1">
      <c r="A15" s="797" t="s">
        <v>297</v>
      </c>
      <c r="B15" s="796"/>
      <c r="C15" s="796"/>
      <c r="D15" s="796"/>
      <c r="E15" s="796"/>
      <c r="F15" s="796"/>
      <c r="G15" s="336"/>
      <c r="H15" s="336"/>
      <c r="I15" s="336"/>
      <c r="J15" s="336"/>
      <c r="K15" s="336"/>
    </row>
    <row r="16" spans="1:11" ht="30" customHeight="1">
      <c r="A16" s="341" t="str">
        <f>'[1]4 - операции'!A9</f>
        <v>Капитальные затраты - САРЕХ</v>
      </c>
      <c r="B16" s="338">
        <f>CAPEX!B12</f>
        <v>-109572.22222222222</v>
      </c>
      <c r="C16" s="338">
        <f>CAPEX!C12</f>
        <v>-180460</v>
      </c>
      <c r="D16" s="338">
        <f>CAPEX!D12</f>
        <v>-114259.99999999999</v>
      </c>
      <c r="E16" s="338">
        <f>CAPEX!E12</f>
        <v>-336259.99999999994</v>
      </c>
      <c r="F16" s="338">
        <f>CAPEX!F12</f>
        <v>-330283.33333333331</v>
      </c>
      <c r="G16" s="332"/>
      <c r="H16" s="332"/>
      <c r="I16" s="332"/>
      <c r="J16" s="332"/>
      <c r="K16" s="332"/>
    </row>
    <row r="17" spans="1:11" ht="30" customHeight="1">
      <c r="A17" s="343" t="s">
        <v>298</v>
      </c>
      <c r="B17" s="344">
        <f t="shared" ref="B17:F17" si="3">SUM(B16)</f>
        <v>-109572.22222222222</v>
      </c>
      <c r="C17" s="344">
        <f t="shared" si="3"/>
        <v>-180460</v>
      </c>
      <c r="D17" s="344">
        <f t="shared" si="3"/>
        <v>-114259.99999999999</v>
      </c>
      <c r="E17" s="344">
        <f t="shared" si="3"/>
        <v>-336259.99999999994</v>
      </c>
      <c r="F17" s="344">
        <f t="shared" si="3"/>
        <v>-330283.33333333331</v>
      </c>
      <c r="G17" s="345"/>
      <c r="H17" s="345"/>
      <c r="I17" s="345"/>
      <c r="J17" s="345"/>
      <c r="K17" s="345"/>
    </row>
    <row r="18" spans="1:11" ht="18.75" customHeight="1">
      <c r="A18" s="797" t="s">
        <v>299</v>
      </c>
      <c r="B18" s="796"/>
      <c r="C18" s="796"/>
      <c r="D18" s="796"/>
      <c r="E18" s="796"/>
      <c r="F18" s="796"/>
      <c r="G18" s="330"/>
      <c r="H18" s="336"/>
      <c r="I18" s="336"/>
      <c r="J18" s="336"/>
      <c r="K18" s="336"/>
    </row>
    <row r="19" spans="1:11" ht="30" customHeight="1">
      <c r="A19" s="341" t="s">
        <v>379</v>
      </c>
      <c r="B19" s="338">
        <f>капитал!B6</f>
        <v>333333.33333333331</v>
      </c>
      <c r="C19" s="338">
        <f>капитал!C6</f>
        <v>222222.22222222222</v>
      </c>
      <c r="D19" s="338">
        <f>капитал!D6</f>
        <v>0</v>
      </c>
      <c r="E19" s="338">
        <f>капитал!E6</f>
        <v>0</v>
      </c>
      <c r="F19" s="338">
        <f>капитал!F6</f>
        <v>0</v>
      </c>
      <c r="G19" s="332"/>
      <c r="H19" s="332"/>
      <c r="I19" s="332"/>
      <c r="J19" s="332"/>
      <c r="K19" s="332"/>
    </row>
    <row r="20" spans="1:11" s="328" customFormat="1" ht="30" customHeight="1">
      <c r="A20" s="341" t="s">
        <v>407</v>
      </c>
      <c r="B20" s="338">
        <f>капитал!B8</f>
        <v>0</v>
      </c>
      <c r="C20" s="338">
        <f>капитал!C8</f>
        <v>0</v>
      </c>
      <c r="D20" s="338">
        <f>капитал!D8</f>
        <v>0</v>
      </c>
      <c r="E20" s="338">
        <f>капитал!E8</f>
        <v>0</v>
      </c>
      <c r="F20" s="338">
        <f>капитал!F8</f>
        <v>0</v>
      </c>
      <c r="G20" s="332"/>
      <c r="H20" s="332"/>
      <c r="I20" s="332"/>
      <c r="J20" s="332"/>
      <c r="K20" s="332"/>
    </row>
    <row r="21" spans="1:11" ht="30" customHeight="1">
      <c r="A21" s="341" t="s">
        <v>375</v>
      </c>
      <c r="B21" s="338">
        <f>капитал!B9</f>
        <v>0</v>
      </c>
      <c r="C21" s="338">
        <f>капитал!C9</f>
        <v>0</v>
      </c>
      <c r="D21" s="338">
        <f>капитал!D9</f>
        <v>0</v>
      </c>
      <c r="E21" s="338">
        <f>капитал!E9</f>
        <v>0</v>
      </c>
      <c r="F21" s="338">
        <f>капитал!F9</f>
        <v>0</v>
      </c>
      <c r="G21" s="332"/>
      <c r="H21" s="332"/>
      <c r="I21" s="332"/>
      <c r="J21" s="332"/>
      <c r="K21" s="332"/>
    </row>
    <row r="22" spans="1:11" ht="30" customHeight="1">
      <c r="A22" s="343" t="s">
        <v>300</v>
      </c>
      <c r="B22" s="344">
        <f>SUM(B19:B21)</f>
        <v>333333.33333333331</v>
      </c>
      <c r="C22" s="344">
        <f>SUM(C19:C21)</f>
        <v>222222.22222222222</v>
      </c>
      <c r="D22" s="344">
        <f>SUM(D19:D21)</f>
        <v>0</v>
      </c>
      <c r="E22" s="344">
        <f>SUM(E19:E21)</f>
        <v>0</v>
      </c>
      <c r="F22" s="344">
        <f>SUM(F19:F21)</f>
        <v>0</v>
      </c>
      <c r="G22" s="345"/>
      <c r="H22" s="345"/>
      <c r="I22" s="345"/>
      <c r="J22" s="345"/>
      <c r="K22" s="345"/>
    </row>
    <row r="23" spans="1:11" ht="15" customHeight="1">
      <c r="A23" s="343" t="s">
        <v>301</v>
      </c>
      <c r="B23" s="344">
        <f>B14+B17+B22</f>
        <v>5083.6989522069925</v>
      </c>
      <c r="C23" s="344">
        <f>C14+C17+C22</f>
        <v>31780.128050075989</v>
      </c>
      <c r="D23" s="344">
        <f>D14+D17+D22</f>
        <v>1103505.3481866433</v>
      </c>
      <c r="E23" s="344">
        <f>E14+E17+E22</f>
        <v>18600486.24878696</v>
      </c>
      <c r="F23" s="344">
        <f>F14+F17+F22</f>
        <v>227867258.14733106</v>
      </c>
      <c r="G23" s="345"/>
      <c r="H23" s="345"/>
      <c r="I23" s="345"/>
      <c r="J23" s="345"/>
      <c r="K23" s="345"/>
    </row>
    <row r="24" spans="1:11" ht="30" customHeight="1">
      <c r="A24" s="343" t="s">
        <v>302</v>
      </c>
      <c r="B24" s="344">
        <f>B23</f>
        <v>5083.6989522069925</v>
      </c>
      <c r="C24" s="344">
        <f t="shared" ref="C24:F24" si="4">B24+C23</f>
        <v>36863.827002282982</v>
      </c>
      <c r="D24" s="344">
        <f t="shared" si="4"/>
        <v>1140369.1751889263</v>
      </c>
      <c r="E24" s="344">
        <f t="shared" si="4"/>
        <v>19740855.423975885</v>
      </c>
      <c r="F24" s="347">
        <f t="shared" si="4"/>
        <v>247608113.57130694</v>
      </c>
      <c r="G24" s="345"/>
      <c r="H24" s="345"/>
      <c r="I24" s="345"/>
      <c r="J24" s="345"/>
      <c r="K24" s="345"/>
    </row>
    <row r="25" spans="1:11" ht="12" customHeight="1">
      <c r="A25" s="348"/>
      <c r="B25" s="345"/>
      <c r="C25" s="345"/>
      <c r="D25" s="345"/>
      <c r="E25" s="345"/>
      <c r="F25" s="345"/>
      <c r="G25" s="345"/>
      <c r="H25" s="345"/>
      <c r="I25" s="345"/>
      <c r="J25" s="345"/>
      <c r="K25" s="345"/>
    </row>
    <row r="26" spans="1:11" ht="12" customHeight="1">
      <c r="A26" s="349"/>
      <c r="B26" s="332"/>
      <c r="C26" s="332"/>
      <c r="D26" s="332"/>
      <c r="E26" s="332"/>
      <c r="F26" s="332"/>
      <c r="G26" s="332"/>
      <c r="H26" s="332"/>
      <c r="I26" s="332"/>
      <c r="J26" s="332"/>
      <c r="K26" s="332"/>
    </row>
    <row r="27" spans="1:11" ht="28.5" customHeight="1">
      <c r="A27" s="791" t="s">
        <v>303</v>
      </c>
      <c r="B27" s="792"/>
      <c r="C27" s="792"/>
      <c r="D27" s="792"/>
      <c r="E27" s="792"/>
      <c r="F27" s="792"/>
      <c r="G27" s="350"/>
      <c r="H27" s="350"/>
      <c r="I27" s="350"/>
      <c r="J27" s="350"/>
      <c r="K27" s="350"/>
    </row>
    <row r="28" spans="1:11" ht="16.5" customHeight="1">
      <c r="A28" s="351"/>
      <c r="B28" s="352"/>
      <c r="C28" s="352"/>
      <c r="D28" s="352"/>
      <c r="E28" s="352"/>
      <c r="F28" s="352"/>
      <c r="G28" s="332"/>
      <c r="H28" s="332"/>
      <c r="I28" s="332"/>
      <c r="J28" s="332"/>
      <c r="K28" s="332"/>
    </row>
    <row r="29" spans="1:11" ht="15" customHeight="1">
      <c r="A29" s="353" t="str">
        <f>'[1]10 - капитал'!A2</f>
        <v>Ставка дисконтирования</v>
      </c>
      <c r="B29" s="354">
        <f>капитал!B2</f>
        <v>0.28000000000000003</v>
      </c>
      <c r="C29" s="355"/>
      <c r="D29" s="355"/>
      <c r="E29" s="355"/>
      <c r="F29" s="355"/>
      <c r="G29" s="356"/>
      <c r="H29" s="356"/>
      <c r="I29" s="356"/>
      <c r="J29" s="356"/>
      <c r="K29" s="356"/>
    </row>
    <row r="30" spans="1:11" ht="15" customHeight="1">
      <c r="A30" s="357"/>
      <c r="B30" s="355"/>
      <c r="C30" s="355"/>
      <c r="D30" s="355"/>
      <c r="E30" s="355"/>
      <c r="F30" s="355"/>
      <c r="G30" s="356"/>
      <c r="H30" s="356"/>
      <c r="I30" s="356"/>
      <c r="J30" s="356"/>
      <c r="K30" s="356"/>
    </row>
    <row r="31" spans="1:11" ht="15.75" customHeight="1">
      <c r="A31" s="793" t="s">
        <v>217</v>
      </c>
      <c r="B31" s="799" t="s">
        <v>304</v>
      </c>
      <c r="C31" s="800"/>
      <c r="D31" s="800"/>
      <c r="E31" s="800"/>
      <c r="F31" s="800"/>
      <c r="G31" s="356"/>
      <c r="H31" s="356"/>
      <c r="I31" s="356"/>
      <c r="J31" s="356"/>
      <c r="K31" s="356"/>
    </row>
    <row r="32" spans="1:11" ht="15" customHeight="1">
      <c r="A32" s="794"/>
      <c r="B32" s="408">
        <v>2024</v>
      </c>
      <c r="C32" s="408">
        <v>2025</v>
      </c>
      <c r="D32" s="408">
        <v>2026</v>
      </c>
      <c r="E32" s="408">
        <v>2027</v>
      </c>
      <c r="F32" s="408">
        <v>2028</v>
      </c>
      <c r="G32" s="333"/>
      <c r="H32" s="356"/>
      <c r="I32" s="356"/>
      <c r="J32" s="356"/>
      <c r="K32" s="356"/>
    </row>
    <row r="33" spans="1:11" ht="51" customHeight="1">
      <c r="A33" s="337" t="s">
        <v>305</v>
      </c>
      <c r="B33" s="338">
        <f>B17+B14</f>
        <v>-328249.63438112632</v>
      </c>
      <c r="C33" s="338">
        <f>C14+C17</f>
        <v>-190442.09417214623</v>
      </c>
      <c r="D33" s="338">
        <f>D14+D17</f>
        <v>1103505.3481866433</v>
      </c>
      <c r="E33" s="338">
        <f>E14+E17</f>
        <v>18600486.24878696</v>
      </c>
      <c r="F33" s="339">
        <f>F14+F17</f>
        <v>227867258.14733106</v>
      </c>
      <c r="G33" s="356"/>
      <c r="H33" s="356"/>
      <c r="I33" s="356"/>
      <c r="J33" s="356"/>
      <c r="K33" s="356"/>
    </row>
    <row r="34" spans="1:11" ht="37.049999999999997" customHeight="1">
      <c r="A34" s="341" t="s">
        <v>306</v>
      </c>
      <c r="B34" s="338">
        <f>B33</f>
        <v>-328249.63438112632</v>
      </c>
      <c r="C34" s="338">
        <f t="shared" ref="C34:F34" si="5">B34+C33</f>
        <v>-518691.72855327255</v>
      </c>
      <c r="D34" s="338">
        <f t="shared" si="5"/>
        <v>584813.61963337078</v>
      </c>
      <c r="E34" s="338">
        <f t="shared" si="5"/>
        <v>19185299.868420329</v>
      </c>
      <c r="F34" s="339">
        <f t="shared" si="5"/>
        <v>247052558.01575139</v>
      </c>
      <c r="G34" s="356"/>
      <c r="H34" s="356"/>
      <c r="I34" s="356"/>
      <c r="J34" s="356"/>
      <c r="K34" s="356"/>
    </row>
    <row r="35" spans="1:11" ht="28.05" customHeight="1">
      <c r="A35" s="341" t="s">
        <v>307</v>
      </c>
      <c r="B35" s="338">
        <f>PV($B$29,B32, ,-B33)</f>
        <v>-3.3359972483170508E-212</v>
      </c>
      <c r="C35" s="338">
        <f>PV($B$29,C32, ,-C33)</f>
        <v>-1.5120787551480788E-212</v>
      </c>
      <c r="D35" s="338">
        <f>PV($B$29,D32, ,-D33)</f>
        <v>6.8450391395490162E-212</v>
      </c>
      <c r="E35" s="338">
        <f>PV($B$29,E32, ,-E33)</f>
        <v>9.013964043423985E-211</v>
      </c>
      <c r="F35" s="339">
        <f>PV($B$29,F32, ,-F33)</f>
        <v>8.6270731554279489E-210</v>
      </c>
      <c r="G35" s="356"/>
      <c r="H35" s="356"/>
      <c r="I35" s="356"/>
      <c r="J35" s="356"/>
      <c r="K35" s="356"/>
    </row>
    <row r="36" spans="1:11" ht="30" customHeight="1">
      <c r="A36" s="359" t="s">
        <v>308</v>
      </c>
      <c r="B36" s="338">
        <f>B35</f>
        <v>-3.3359972483170508E-212</v>
      </c>
      <c r="C36" s="338">
        <f t="shared" ref="C36:F36" si="6">B36+C35</f>
        <v>-4.8480760034651293E-212</v>
      </c>
      <c r="D36" s="338">
        <f t="shared" si="6"/>
        <v>1.9969631360838869E-212</v>
      </c>
      <c r="E36" s="338">
        <f t="shared" si="6"/>
        <v>9.2136603570323738E-211</v>
      </c>
      <c r="F36" s="339">
        <f t="shared" si="6"/>
        <v>9.5484391911311868E-210</v>
      </c>
      <c r="G36" s="356"/>
      <c r="H36" s="356"/>
      <c r="I36" s="356"/>
      <c r="J36" s="356"/>
      <c r="K36" s="356"/>
    </row>
    <row r="37" spans="1:11" ht="15" customHeight="1">
      <c r="A37" s="360" t="s">
        <v>309</v>
      </c>
      <c r="B37" s="344">
        <f t="array" ref="B37">NPV(B29,C33:F33)+B33</f>
        <v>93953065.30844447</v>
      </c>
      <c r="C37" s="356"/>
      <c r="D37" s="356"/>
      <c r="E37" s="356"/>
      <c r="F37" s="356"/>
      <c r="G37" s="356"/>
      <c r="H37" s="356"/>
      <c r="I37" s="356"/>
      <c r="J37" s="356"/>
      <c r="K37" s="356"/>
    </row>
    <row r="38" spans="1:11" ht="15" customHeight="1">
      <c r="A38" s="360" t="s">
        <v>310</v>
      </c>
      <c r="B38" s="361">
        <f>IRR(B33:F33)</f>
        <v>4.6470357798679487</v>
      </c>
      <c r="C38" s="356"/>
      <c r="D38" s="356"/>
      <c r="E38" s="356"/>
      <c r="F38" s="356"/>
      <c r="G38" s="356"/>
      <c r="H38" s="356"/>
      <c r="I38" s="356"/>
      <c r="J38" s="356"/>
      <c r="K38" s="356"/>
    </row>
    <row r="39" spans="1:11" ht="15" customHeight="1">
      <c r="A39" s="360" t="s">
        <v>311</v>
      </c>
      <c r="B39" s="362" t="s">
        <v>408</v>
      </c>
      <c r="C39" s="356"/>
      <c r="D39" s="363"/>
      <c r="E39" s="356"/>
      <c r="F39" s="356"/>
      <c r="G39" s="356"/>
      <c r="H39" s="356"/>
      <c r="I39" s="356"/>
      <c r="J39" s="356"/>
      <c r="K39" s="356"/>
    </row>
    <row r="40" spans="1:11" ht="30" customHeight="1">
      <c r="A40" s="360" t="s">
        <v>312</v>
      </c>
      <c r="B40" s="362" t="s">
        <v>409</v>
      </c>
      <c r="C40" s="356"/>
      <c r="D40" s="363"/>
      <c r="E40" s="356"/>
      <c r="F40" s="356"/>
      <c r="G40" s="356"/>
      <c r="H40" s="356"/>
      <c r="I40" s="356"/>
      <c r="J40" s="356"/>
      <c r="K40" s="356"/>
    </row>
    <row r="41" spans="1:11" ht="15" customHeight="1">
      <c r="A41" s="360" t="s">
        <v>313</v>
      </c>
      <c r="B41" s="362">
        <f>(B37/-B33)+1</f>
        <v>287.22443246762862</v>
      </c>
      <c r="C41" s="356"/>
      <c r="D41" s="363"/>
      <c r="E41" s="356"/>
      <c r="F41" s="356"/>
      <c r="G41" s="356"/>
      <c r="H41" s="356"/>
      <c r="I41" s="356"/>
      <c r="J41" s="356"/>
      <c r="K41" s="356"/>
    </row>
    <row r="42" spans="1:11" ht="12.75" customHeight="1" thickBot="1">
      <c r="A42" s="349"/>
      <c r="B42" s="342"/>
      <c r="C42" s="332"/>
      <c r="D42" s="332"/>
      <c r="E42" s="332"/>
      <c r="F42" s="332"/>
      <c r="G42" s="332"/>
      <c r="H42" s="332"/>
      <c r="I42" s="332"/>
      <c r="J42" s="332"/>
      <c r="K42" s="332"/>
    </row>
    <row r="43" spans="1:11" ht="13.5" customHeight="1" thickBot="1">
      <c r="A43" s="364" t="str">
        <f>'[1]10 - капитал'!A3</f>
        <v>Ставка налога на прибыль</v>
      </c>
      <c r="B43" s="365">
        <v>0.2</v>
      </c>
      <c r="C43" s="332"/>
      <c r="D43" s="332"/>
      <c r="E43" s="332"/>
      <c r="F43" s="332"/>
      <c r="G43" s="332"/>
      <c r="H43" s="332"/>
      <c r="I43" s="332"/>
      <c r="J43" s="332"/>
      <c r="K43" s="332"/>
    </row>
    <row r="44" spans="1:11" ht="12" customHeight="1">
      <c r="A44" s="332"/>
      <c r="B44" s="332"/>
      <c r="C44" s="332"/>
      <c r="D44" s="332"/>
      <c r="E44" s="332"/>
      <c r="F44" s="332"/>
      <c r="G44" s="332"/>
      <c r="H44" s="332"/>
      <c r="I44" s="332"/>
      <c r="J44" s="332"/>
      <c r="K44" s="332"/>
    </row>
    <row r="45" spans="1:11" ht="18.75" customHeight="1">
      <c r="A45" s="791" t="s">
        <v>314</v>
      </c>
      <c r="B45" s="792"/>
      <c r="C45" s="792"/>
      <c r="D45" s="792"/>
      <c r="E45" s="792"/>
      <c r="F45" s="792"/>
      <c r="G45" s="330"/>
      <c r="H45" s="330"/>
      <c r="I45" s="330"/>
      <c r="J45" s="330"/>
      <c r="K45" s="330"/>
    </row>
    <row r="46" spans="1:11" ht="12" customHeight="1">
      <c r="A46" s="349"/>
      <c r="B46" s="332"/>
      <c r="C46" s="332"/>
      <c r="D46" s="332"/>
      <c r="E46" s="332"/>
      <c r="F46" s="332"/>
      <c r="G46" s="332"/>
      <c r="H46" s="332"/>
      <c r="I46" s="332"/>
      <c r="J46" s="332"/>
      <c r="K46" s="332"/>
    </row>
    <row r="47" spans="1:11" ht="15.75" customHeight="1">
      <c r="A47" s="793" t="s">
        <v>217</v>
      </c>
      <c r="B47" s="801" t="s">
        <v>410</v>
      </c>
      <c r="C47" s="802"/>
      <c r="D47" s="802"/>
      <c r="E47" s="802"/>
      <c r="F47" s="802"/>
      <c r="G47" s="356"/>
      <c r="H47" s="356"/>
      <c r="I47" s="356"/>
      <c r="J47" s="356"/>
      <c r="K47" s="356"/>
    </row>
    <row r="48" spans="1:11" ht="15" customHeight="1">
      <c r="A48" s="794"/>
      <c r="B48" s="358">
        <v>2024</v>
      </c>
      <c r="C48" s="358">
        <v>2025</v>
      </c>
      <c r="D48" s="358">
        <v>2026</v>
      </c>
      <c r="E48" s="355">
        <v>2027</v>
      </c>
      <c r="F48" s="358">
        <v>2028</v>
      </c>
      <c r="G48" s="333"/>
      <c r="H48" s="356"/>
      <c r="I48" s="356"/>
      <c r="J48" s="356"/>
      <c r="K48" s="356"/>
    </row>
    <row r="49" spans="1:11" ht="15" customHeight="1">
      <c r="A49" s="343" t="str">
        <f>'[1]1 - маркетинг'!A14</f>
        <v>Выручка от реализации</v>
      </c>
      <c r="B49" s="338">
        <f>'Прогноз выручки'!B33</f>
        <v>49176.95644444444</v>
      </c>
      <c r="C49" s="338">
        <f>'Прогноз выручки'!C33</f>
        <v>1785152.7573333331</v>
      </c>
      <c r="D49" s="338">
        <f>'Прогноз выручки'!D33</f>
        <v>9478412.1333333328</v>
      </c>
      <c r="E49" s="338">
        <f>'Прогноз выручки'!E33</f>
        <v>79332404.622222215</v>
      </c>
      <c r="F49" s="338">
        <f>'Прогноз выручки'!F33</f>
        <v>810585037.86666667</v>
      </c>
      <c r="G49" s="366"/>
      <c r="H49" s="366"/>
      <c r="I49" s="366"/>
      <c r="J49" s="366"/>
      <c r="K49" s="366"/>
    </row>
    <row r="50" spans="1:11" ht="15" customHeight="1">
      <c r="A50" s="341" t="str">
        <f>'[1]5 - операции'!A14</f>
        <v>Переменные материальные расходы</v>
      </c>
      <c r="B50" s="338">
        <f>Перем.Расх!B30:F30</f>
        <v>-14566.595555555557</v>
      </c>
      <c r="C50" s="338">
        <f>Перем.Расх!C30:G30</f>
        <v>-892193.01333333331</v>
      </c>
      <c r="D50" s="338">
        <f>Перем.Расх!D30:H30</f>
        <v>-5273956.9644444445</v>
      </c>
      <c r="E50" s="338">
        <f>Перем.Расх!E30:I30</f>
        <v>-37727965.74222222</v>
      </c>
      <c r="F50" s="338">
        <f>Перем.Расх!F30:J30</f>
        <v>-373346105.24444443</v>
      </c>
      <c r="G50" s="356"/>
      <c r="H50" s="356"/>
      <c r="I50" s="356"/>
      <c r="J50" s="356"/>
      <c r="K50" s="356"/>
    </row>
    <row r="51" spans="1:11" ht="15" customHeight="1">
      <c r="A51" s="343" t="s">
        <v>315</v>
      </c>
      <c r="B51" s="338">
        <f>SUM(B49:B50)</f>
        <v>34610.360888888885</v>
      </c>
      <c r="C51" s="338">
        <f t="shared" ref="C51:F51" si="7">SUM(C49:C50)</f>
        <v>892959.74399999983</v>
      </c>
      <c r="D51" s="338">
        <f t="shared" si="7"/>
        <v>4204455.1688888883</v>
      </c>
      <c r="E51" s="338">
        <f t="shared" si="7"/>
        <v>41604438.879999995</v>
      </c>
      <c r="F51" s="338">
        <f t="shared" si="7"/>
        <v>437238932.62222224</v>
      </c>
      <c r="G51" s="366"/>
      <c r="H51" s="366"/>
      <c r="I51" s="366"/>
      <c r="J51" s="366"/>
      <c r="K51" s="366"/>
    </row>
    <row r="52" spans="1:11" ht="15" customHeight="1">
      <c r="A52" s="341" t="str">
        <f>'[1]6 - операции'!A9</f>
        <v>Постоянные общепроизводственные расходы</v>
      </c>
      <c r="B52" s="338">
        <f>Пост.Расх!B7</f>
        <v>-8896.6</v>
      </c>
      <c r="C52" s="338">
        <f>Пост.Расх!C7</f>
        <v>-20181.343055555557</v>
      </c>
      <c r="D52" s="338">
        <f>Пост.Расх!D7</f>
        <v>-90421.496440972216</v>
      </c>
      <c r="E52" s="338">
        <f>Пост.Расх!E7</f>
        <v>-563832.03545464412</v>
      </c>
      <c r="F52" s="338">
        <f>Пост.Расх!F7</f>
        <v>-4546301.9517113576</v>
      </c>
      <c r="G52" s="356"/>
      <c r="H52" s="356"/>
      <c r="I52" s="356"/>
      <c r="J52" s="356"/>
      <c r="K52" s="356"/>
    </row>
    <row r="53" spans="1:11" ht="30" customHeight="1">
      <c r="A53" s="341" t="str">
        <f>'[1]9 - сотрудники'!A7</f>
        <v>Расходы на оплату труда исполнителей (коммерческого и производственного персонала), включая налоги на ФОТ</v>
      </c>
      <c r="B53" s="338">
        <f>'Расх перс'!B5</f>
        <v>-75513.599999999991</v>
      </c>
      <c r="C53" s="338">
        <f>'Расх перс'!C5</f>
        <v>-373600.8</v>
      </c>
      <c r="D53" s="338">
        <f>'Расх перс'!D5</f>
        <v>-742481.99999999988</v>
      </c>
      <c r="E53" s="338">
        <f>'Расх перс'!E5</f>
        <v>-3305977.1999999997</v>
      </c>
      <c r="F53" s="338">
        <f>'Расх перс'!F5</f>
        <v>-5070115.8</v>
      </c>
      <c r="G53" s="356"/>
      <c r="H53" s="356"/>
      <c r="I53" s="356"/>
      <c r="J53" s="356"/>
      <c r="K53" s="356"/>
    </row>
    <row r="54" spans="1:11" ht="15" customHeight="1">
      <c r="A54" s="341" t="str">
        <f>'[1]9 - сотрудники'!A6</f>
        <v>Расходы на  управленческий персонал, включая налоги на ФОТ</v>
      </c>
      <c r="B54" s="338">
        <f>'Расх перс'!B4</f>
        <v>-146938.4</v>
      </c>
      <c r="C54" s="338">
        <f>'Расх перс'!C4</f>
        <v>-271821.59999999998</v>
      </c>
      <c r="D54" s="338">
        <f>'Расх перс'!D4</f>
        <v>-283244.39999999997</v>
      </c>
      <c r="E54" s="338">
        <f>'Расх перс'!E4</f>
        <v>-283244.39999999997</v>
      </c>
      <c r="F54" s="338">
        <f>'Расх перс'!F4</f>
        <v>-283244.39999999997</v>
      </c>
      <c r="G54" s="356"/>
      <c r="H54" s="356"/>
      <c r="I54" s="356"/>
      <c r="J54" s="356"/>
      <c r="K54" s="356"/>
    </row>
    <row r="55" spans="1:11" ht="15" customHeight="1">
      <c r="A55" s="341" t="str">
        <f>'[1]3 - маркетинг'!A9</f>
        <v>Прочие коммерческие расходы (командировки, 7 командировок в квартал)</v>
      </c>
      <c r="B55" s="338">
        <f>Пр.ком.расх!B9</f>
        <v>-18711.111111111109</v>
      </c>
      <c r="C55" s="338">
        <f>Пр.ком.расх!C9</f>
        <v>-124977.38666666666</v>
      </c>
      <c r="D55" s="338">
        <f>Пр.ком.расх!D9</f>
        <v>-842325.72444444452</v>
      </c>
      <c r="E55" s="338">
        <f>Пр.ком.расх!E9</f>
        <v>-6920110.7555555562</v>
      </c>
      <c r="F55" s="338">
        <f>Пр.ком.расх!F9</f>
        <v>-69186860.337777764</v>
      </c>
      <c r="G55" s="356"/>
      <c r="H55" s="356"/>
      <c r="I55" s="356"/>
      <c r="J55" s="356"/>
      <c r="K55" s="356"/>
    </row>
    <row r="56" spans="1:11" ht="30" customHeight="1">
      <c r="A56" s="343" t="s">
        <v>316</v>
      </c>
      <c r="B56" s="338">
        <f>SUM(B51:B55)</f>
        <v>-215449.35022222222</v>
      </c>
      <c r="C56" s="338">
        <f>SUM(C51:C55)</f>
        <v>102378.61427777761</v>
      </c>
      <c r="D56" s="338">
        <f>SUM(D51:D55)</f>
        <v>2245981.5480034715</v>
      </c>
      <c r="E56" s="338">
        <f>SUM(E51:E55)</f>
        <v>30531274.488989793</v>
      </c>
      <c r="F56" s="338">
        <f>SUM(F51:F55)</f>
        <v>358152410.13273311</v>
      </c>
      <c r="G56" s="366"/>
      <c r="H56" s="366"/>
      <c r="I56" s="366"/>
      <c r="J56" s="366"/>
      <c r="K56" s="366"/>
    </row>
    <row r="57" spans="1:11" ht="15" customHeight="1">
      <c r="A57" s="367" t="str">
        <f>'[1]6 - операции'!A11</f>
        <v>Амортизация</v>
      </c>
      <c r="B57" s="368">
        <f>Пост.Расх!B9</f>
        <v>21914.444444444445</v>
      </c>
      <c r="C57" s="368">
        <f>Пост.Расх!C9</f>
        <v>58006.444444444445</v>
      </c>
      <c r="D57" s="368">
        <f>Пост.Расх!D9</f>
        <v>80858.444444444438</v>
      </c>
      <c r="E57" s="368">
        <f>Пост.Расх!E9</f>
        <v>148110.44444444444</v>
      </c>
      <c r="F57" s="368">
        <f>Пост.Расх!F9</f>
        <v>214167.11111111112</v>
      </c>
      <c r="G57" s="366"/>
      <c r="H57" s="366"/>
      <c r="I57" s="366"/>
      <c r="J57" s="366"/>
      <c r="K57" s="366"/>
    </row>
    <row r="58" spans="1:11" ht="15" customHeight="1">
      <c r="A58" s="367" t="str">
        <f>'[1]10 - капитал'!A11</f>
        <v>Проценты</v>
      </c>
      <c r="B58" s="368">
        <f>капитал!B10</f>
        <v>0</v>
      </c>
      <c r="C58" s="368">
        <f>капитал!C10</f>
        <v>0</v>
      </c>
      <c r="D58" s="368">
        <f>капитал!D10</f>
        <v>0</v>
      </c>
      <c r="E58" s="368">
        <f>капитал!E10</f>
        <v>0</v>
      </c>
      <c r="F58" s="368">
        <f>капитал!F10</f>
        <v>0</v>
      </c>
      <c r="G58" s="366"/>
      <c r="H58" s="366"/>
      <c r="I58" s="366"/>
      <c r="J58" s="366"/>
      <c r="K58" s="366"/>
    </row>
    <row r="59" spans="1:11" ht="15" customHeight="1">
      <c r="A59" s="343" t="s">
        <v>317</v>
      </c>
      <c r="B59" s="338">
        <f>SUM(B56:B58)</f>
        <v>-193534.90577777778</v>
      </c>
      <c r="C59" s="338">
        <f>SUM(C56:C58)</f>
        <v>160385.05872222205</v>
      </c>
      <c r="D59" s="338">
        <f>SUM(D56:D58)</f>
        <v>2326839.992447916</v>
      </c>
      <c r="E59" s="338">
        <f>SUM(E56:E58)</f>
        <v>30679384.933434237</v>
      </c>
      <c r="F59" s="338">
        <f>SUM(F56:F58)</f>
        <v>358366577.24384421</v>
      </c>
      <c r="G59" s="366"/>
      <c r="H59" s="366"/>
      <c r="I59" s="366"/>
      <c r="J59" s="366"/>
      <c r="K59" s="366"/>
    </row>
    <row r="60" spans="1:11" ht="15" customHeight="1">
      <c r="A60" s="369" t="s">
        <v>318</v>
      </c>
      <c r="B60" s="368">
        <v>0</v>
      </c>
      <c r="C60" s="368">
        <v>0</v>
      </c>
      <c r="D60" s="368">
        <f>-D59*0.2</f>
        <v>-465367.9984895832</v>
      </c>
      <c r="E60" s="368">
        <f t="shared" ref="E60:F60" si="8">-E59*0.2</f>
        <v>-6135876.9866868481</v>
      </c>
      <c r="F60" s="368">
        <f t="shared" si="8"/>
        <v>-71673315.448768839</v>
      </c>
      <c r="G60" s="356"/>
      <c r="H60" s="356"/>
      <c r="I60" s="356"/>
      <c r="J60" s="356"/>
      <c r="K60" s="356"/>
    </row>
    <row r="61" spans="1:11" ht="15" customHeight="1">
      <c r="A61" s="343" t="s">
        <v>319</v>
      </c>
      <c r="B61" s="338">
        <f t="shared" ref="B61:F61" si="9">SUM(B59:B60)</f>
        <v>-193534.90577777778</v>
      </c>
      <c r="C61" s="338">
        <f t="shared" si="9"/>
        <v>160385.05872222205</v>
      </c>
      <c r="D61" s="338">
        <f t="shared" si="9"/>
        <v>1861471.9939583328</v>
      </c>
      <c r="E61" s="338">
        <f t="shared" si="9"/>
        <v>24543507.946747389</v>
      </c>
      <c r="F61" s="339">
        <f t="shared" si="9"/>
        <v>286693261.79507536</v>
      </c>
      <c r="G61" s="366"/>
      <c r="H61" s="366"/>
      <c r="I61" s="366"/>
      <c r="J61" s="366"/>
      <c r="K61" s="366"/>
    </row>
    <row r="62" spans="1:11" ht="15" customHeight="1">
      <c r="A62" s="343"/>
      <c r="B62" s="338"/>
      <c r="C62" s="338"/>
      <c r="D62" s="338"/>
      <c r="E62" s="338"/>
      <c r="F62" s="339"/>
      <c r="G62" s="366"/>
      <c r="H62" s="366"/>
      <c r="I62" s="366"/>
      <c r="J62" s="366"/>
      <c r="K62" s="366"/>
    </row>
    <row r="63" spans="1:11" ht="15" customHeight="1">
      <c r="A63" s="370" t="s">
        <v>320</v>
      </c>
      <c r="B63" s="338"/>
      <c r="C63" s="338"/>
      <c r="D63" s="338"/>
      <c r="E63" s="338"/>
      <c r="F63" s="339"/>
      <c r="G63" s="366"/>
      <c r="H63" s="366"/>
      <c r="I63" s="366"/>
      <c r="J63" s="366"/>
      <c r="K63" s="366"/>
    </row>
    <row r="64" spans="1:11" ht="15" customHeight="1">
      <c r="A64" s="343" t="str">
        <f>'[1]10 - капитал'!A8</f>
        <v>Дивиденды</v>
      </c>
      <c r="B64" s="338">
        <f>капитал!B7</f>
        <v>0</v>
      </c>
      <c r="C64" s="338">
        <f>капитал!C7</f>
        <v>0</v>
      </c>
      <c r="D64" s="338">
        <f>капитал!D7</f>
        <v>0</v>
      </c>
      <c r="E64" s="338">
        <f>капитал!E7</f>
        <v>0</v>
      </c>
      <c r="F64" s="338">
        <f>капитал!F7</f>
        <v>0</v>
      </c>
      <c r="G64" s="366"/>
      <c r="H64" s="366"/>
      <c r="I64" s="366"/>
      <c r="J64" s="366"/>
      <c r="K64" s="366"/>
    </row>
    <row r="65" spans="1:11" ht="30" customHeight="1">
      <c r="A65" s="343" t="s">
        <v>321</v>
      </c>
      <c r="B65" s="338">
        <f>B61+B64</f>
        <v>-193534.90577777778</v>
      </c>
      <c r="C65" s="338">
        <f t="shared" ref="C65:F65" si="10">C61+C64</f>
        <v>160385.05872222205</v>
      </c>
      <c r="D65" s="338">
        <f t="shared" si="10"/>
        <v>1861471.9939583328</v>
      </c>
      <c r="E65" s="338">
        <f t="shared" si="10"/>
        <v>24543507.946747389</v>
      </c>
      <c r="F65" s="338">
        <f t="shared" si="10"/>
        <v>286693261.79507536</v>
      </c>
      <c r="G65" s="366"/>
      <c r="H65" s="366"/>
      <c r="I65" s="366"/>
      <c r="J65" s="366"/>
      <c r="K65" s="366"/>
    </row>
    <row r="66" spans="1:11" ht="30" customHeight="1">
      <c r="A66" s="343" t="s">
        <v>322</v>
      </c>
      <c r="B66" s="338">
        <f>B65</f>
        <v>-193534.90577777778</v>
      </c>
      <c r="C66" s="338">
        <f>B66+C65</f>
        <v>-33149.847055555729</v>
      </c>
      <c r="D66" s="338">
        <f t="shared" ref="D66:F66" si="11">C66+D65</f>
        <v>1828322.146902777</v>
      </c>
      <c r="E66" s="338">
        <f t="shared" si="11"/>
        <v>26371830.093650166</v>
      </c>
      <c r="F66" s="338">
        <f t="shared" si="11"/>
        <v>313065091.88872552</v>
      </c>
      <c r="G66" s="366"/>
      <c r="H66" s="366"/>
      <c r="I66" s="366"/>
      <c r="J66" s="366"/>
      <c r="K66" s="366"/>
    </row>
    <row r="67" spans="1:11" ht="12" customHeight="1">
      <c r="A67" s="348"/>
      <c r="B67" s="345"/>
      <c r="C67" s="345"/>
      <c r="D67" s="345"/>
      <c r="E67" s="345"/>
      <c r="F67" s="345"/>
      <c r="G67" s="345"/>
      <c r="H67" s="345"/>
      <c r="I67" s="345"/>
      <c r="J67" s="345"/>
      <c r="K67" s="345"/>
    </row>
    <row r="68" spans="1:11" ht="12" customHeight="1">
      <c r="A68" s="349"/>
      <c r="B68" s="342"/>
      <c r="C68" s="332"/>
      <c r="D68" s="332"/>
      <c r="E68" s="332"/>
      <c r="F68" s="332"/>
      <c r="G68" s="332"/>
      <c r="H68" s="332"/>
      <c r="I68" s="332"/>
      <c r="J68" s="332"/>
      <c r="K68" s="332"/>
    </row>
    <row r="69" spans="1:11" ht="18.75" customHeight="1">
      <c r="A69" s="791" t="s">
        <v>323</v>
      </c>
      <c r="B69" s="792"/>
      <c r="C69" s="792"/>
      <c r="D69" s="792"/>
      <c r="E69" s="792"/>
      <c r="F69" s="792"/>
      <c r="G69" s="330"/>
      <c r="H69" s="330"/>
      <c r="I69" s="330"/>
      <c r="J69" s="330"/>
      <c r="K69" s="330"/>
    </row>
    <row r="70" spans="1:11" ht="12" customHeight="1">
      <c r="A70" s="349"/>
      <c r="B70" s="332"/>
      <c r="C70" s="332"/>
      <c r="D70" s="332"/>
      <c r="E70" s="332"/>
      <c r="F70" s="332"/>
      <c r="G70" s="332"/>
      <c r="H70" s="332"/>
      <c r="I70" s="332"/>
      <c r="J70" s="332"/>
      <c r="K70" s="332"/>
    </row>
    <row r="71" spans="1:11" ht="15.75" customHeight="1">
      <c r="A71" s="805" t="s">
        <v>217</v>
      </c>
      <c r="B71" s="803" t="s">
        <v>304</v>
      </c>
      <c r="C71" s="803"/>
      <c r="D71" s="803"/>
      <c r="E71" s="803"/>
      <c r="F71" s="803"/>
      <c r="G71" s="356"/>
      <c r="H71" s="356"/>
      <c r="I71" s="356"/>
      <c r="J71" s="356"/>
      <c r="K71" s="356"/>
    </row>
    <row r="72" spans="1:11" ht="15" customHeight="1">
      <c r="A72" s="806"/>
      <c r="B72" s="416">
        <v>2024</v>
      </c>
      <c r="C72" s="416">
        <v>2025</v>
      </c>
      <c r="D72" s="416">
        <v>2026</v>
      </c>
      <c r="E72" s="416">
        <v>2027</v>
      </c>
      <c r="F72" s="416">
        <v>2028</v>
      </c>
      <c r="G72" s="333"/>
      <c r="H72" s="356"/>
      <c r="I72" s="356"/>
      <c r="J72" s="356"/>
      <c r="K72" s="356"/>
    </row>
    <row r="73" spans="1:11" ht="15" customHeight="1">
      <c r="A73" s="804" t="s">
        <v>324</v>
      </c>
      <c r="B73" s="804"/>
      <c r="C73" s="804"/>
      <c r="D73" s="804"/>
      <c r="E73" s="804"/>
      <c r="F73" s="804"/>
      <c r="G73" s="355"/>
      <c r="H73" s="356"/>
      <c r="I73" s="356"/>
      <c r="J73" s="356"/>
      <c r="K73" s="356"/>
    </row>
    <row r="74" spans="1:11" ht="15" customHeight="1">
      <c r="A74" s="417" t="s">
        <v>325</v>
      </c>
      <c r="B74" s="418"/>
      <c r="C74" s="418"/>
      <c r="D74" s="418"/>
      <c r="E74" s="418"/>
      <c r="F74" s="418"/>
      <c r="G74" s="355"/>
      <c r="H74" s="356"/>
      <c r="I74" s="356"/>
      <c r="J74" s="356"/>
      <c r="K74" s="356"/>
    </row>
    <row r="75" spans="1:11" ht="15" customHeight="1">
      <c r="A75" s="419" t="s">
        <v>326</v>
      </c>
      <c r="B75" s="420">
        <f>-$B$16</f>
        <v>109572.22222222222</v>
      </c>
      <c r="C75" s="420">
        <f>B75-C16</f>
        <v>290032.22222222225</v>
      </c>
      <c r="D75" s="420">
        <f>C75-D16</f>
        <v>404292.22222222225</v>
      </c>
      <c r="E75" s="420">
        <f>D75-E16</f>
        <v>740552.22222222225</v>
      </c>
      <c r="F75" s="420">
        <f>E75-F16</f>
        <v>1070835.5555555555</v>
      </c>
      <c r="G75" s="356"/>
      <c r="H75" s="356"/>
      <c r="I75" s="356"/>
      <c r="J75" s="356"/>
      <c r="K75" s="356"/>
    </row>
    <row r="76" spans="1:11" s="283" customFormat="1" ht="15" customHeight="1">
      <c r="A76" s="524" t="s">
        <v>327</v>
      </c>
      <c r="B76" s="522">
        <f>B57</f>
        <v>21914.444444444445</v>
      </c>
      <c r="C76" s="522">
        <f t="shared" ref="C76:F76" si="12">C57+B76</f>
        <v>79920.888888888891</v>
      </c>
      <c r="D76" s="522">
        <f t="shared" si="12"/>
        <v>160779.33333333331</v>
      </c>
      <c r="E76" s="522">
        <f t="shared" si="12"/>
        <v>308889.77777777775</v>
      </c>
      <c r="F76" s="522">
        <f t="shared" si="12"/>
        <v>523056.88888888888</v>
      </c>
      <c r="G76" s="523"/>
      <c r="H76" s="523"/>
      <c r="I76" s="523"/>
      <c r="J76" s="523"/>
      <c r="K76" s="523"/>
    </row>
    <row r="77" spans="1:11" ht="15" customHeight="1">
      <c r="A77" s="421" t="s">
        <v>328</v>
      </c>
      <c r="B77" s="422">
        <f t="shared" ref="B77:F77" si="13">SUM(B75:B76)</f>
        <v>131486.66666666666</v>
      </c>
      <c r="C77" s="422">
        <f t="shared" si="13"/>
        <v>369953.11111111112</v>
      </c>
      <c r="D77" s="422">
        <f t="shared" si="13"/>
        <v>565071.5555555555</v>
      </c>
      <c r="E77" s="422">
        <f t="shared" si="13"/>
        <v>1049442</v>
      </c>
      <c r="F77" s="422">
        <f t="shared" si="13"/>
        <v>1593892.4444444445</v>
      </c>
      <c r="G77" s="356"/>
      <c r="H77" s="356"/>
      <c r="I77" s="356"/>
      <c r="J77" s="356"/>
      <c r="K77" s="356"/>
    </row>
    <row r="78" spans="1:11" ht="15" customHeight="1">
      <c r="A78" s="423" t="s">
        <v>329</v>
      </c>
      <c r="B78" s="420"/>
      <c r="C78" s="420"/>
      <c r="D78" s="420"/>
      <c r="E78" s="420"/>
      <c r="F78" s="420"/>
      <c r="G78" s="356"/>
      <c r="H78" s="356"/>
      <c r="I78" s="356"/>
      <c r="J78" s="356"/>
      <c r="K78" s="356"/>
    </row>
    <row r="79" spans="1:11" ht="15" customHeight="1">
      <c r="A79" s="419" t="s">
        <v>330</v>
      </c>
      <c r="B79" s="420">
        <f>Запасы!B7</f>
        <v>642.77986666666675</v>
      </c>
      <c r="C79" s="420">
        <f>Запасы!C7</f>
        <v>58083.18755555556</v>
      </c>
      <c r="D79" s="420">
        <f>Запасы!D7</f>
        <v>426785.0955555556</v>
      </c>
      <c r="E79" s="420">
        <f>Запасы!E7</f>
        <v>3389413.186666667</v>
      </c>
      <c r="F79" s="420">
        <f>Запасы!F7</f>
        <v>35129824.183111116</v>
      </c>
      <c r="G79" s="356"/>
      <c r="H79" s="356"/>
      <c r="I79" s="356"/>
      <c r="J79" s="356"/>
      <c r="K79" s="356"/>
    </row>
    <row r="80" spans="1:11" ht="15" customHeight="1">
      <c r="A80" s="419" t="s">
        <v>331</v>
      </c>
      <c r="B80" s="420">
        <f>ДебитЗадолж!B3</f>
        <v>4041.9416255707756</v>
      </c>
      <c r="C80" s="420">
        <f>ДебитЗадолж!C3</f>
        <v>146724.88416438355</v>
      </c>
      <c r="D80" s="420">
        <f>ДебитЗадолж!D3</f>
        <v>779047.57260273967</v>
      </c>
      <c r="E80" s="420">
        <f>ДебитЗадолж!E3</f>
        <v>6520471.6127853878</v>
      </c>
      <c r="F80" s="420">
        <f>ДебитЗадолж!F3</f>
        <v>66623427.769863017</v>
      </c>
      <c r="G80" s="356"/>
      <c r="H80" s="356"/>
      <c r="I80" s="356"/>
      <c r="J80" s="356"/>
      <c r="K80" s="356"/>
    </row>
    <row r="81" spans="1:11" ht="15" customHeight="1">
      <c r="A81" s="419" t="s">
        <v>332</v>
      </c>
      <c r="B81" s="420">
        <f t="shared" ref="B81:F81" si="14">B24</f>
        <v>5083.6989522069925</v>
      </c>
      <c r="C81" s="420">
        <f t="shared" si="14"/>
        <v>36863.827002282982</v>
      </c>
      <c r="D81" s="420">
        <f t="shared" si="14"/>
        <v>1140369.1751889263</v>
      </c>
      <c r="E81" s="420">
        <f t="shared" si="14"/>
        <v>19740855.423975885</v>
      </c>
      <c r="F81" s="420">
        <f t="shared" si="14"/>
        <v>247608113.57130694</v>
      </c>
      <c r="G81" s="356"/>
      <c r="H81" s="356"/>
      <c r="I81" s="356"/>
      <c r="J81" s="356"/>
      <c r="K81" s="356"/>
    </row>
    <row r="82" spans="1:11" ht="15" customHeight="1">
      <c r="A82" s="421" t="s">
        <v>333</v>
      </c>
      <c r="B82" s="422">
        <f>SUM(B79:B81)</f>
        <v>9768.4204444444349</v>
      </c>
      <c r="C82" s="422">
        <f t="shared" ref="C82:F82" si="15">SUM(C79:C81)</f>
        <v>241671.8987222221</v>
      </c>
      <c r="D82" s="422">
        <f t="shared" si="15"/>
        <v>2346201.8433472216</v>
      </c>
      <c r="E82" s="422">
        <f t="shared" si="15"/>
        <v>29650740.22342794</v>
      </c>
      <c r="F82" s="422">
        <f t="shared" si="15"/>
        <v>349361365.52428108</v>
      </c>
      <c r="G82" s="356"/>
      <c r="H82" s="356"/>
      <c r="I82" s="356"/>
      <c r="J82" s="356"/>
      <c r="K82" s="356"/>
    </row>
    <row r="83" spans="1:11" ht="15" customHeight="1">
      <c r="A83" s="424" t="s">
        <v>334</v>
      </c>
      <c r="B83" s="425">
        <f>B77+B82</f>
        <v>141255.08711111109</v>
      </c>
      <c r="C83" s="425">
        <f t="shared" ref="C83:F83" si="16">C77+C82</f>
        <v>611625.0098333332</v>
      </c>
      <c r="D83" s="425">
        <f t="shared" si="16"/>
        <v>2911273.3989027771</v>
      </c>
      <c r="E83" s="425">
        <f t="shared" si="16"/>
        <v>30700182.22342794</v>
      </c>
      <c r="F83" s="425">
        <f t="shared" si="16"/>
        <v>350955257.9687255</v>
      </c>
      <c r="G83" s="366"/>
      <c r="H83" s="366"/>
      <c r="I83" s="366"/>
      <c r="J83" s="366"/>
      <c r="K83" s="366"/>
    </row>
    <row r="84" spans="1:11" ht="15" customHeight="1">
      <c r="A84" s="807"/>
      <c r="B84" s="808"/>
      <c r="C84" s="808"/>
      <c r="D84" s="808"/>
      <c r="E84" s="808"/>
      <c r="F84" s="808"/>
      <c r="G84" s="366"/>
      <c r="H84" s="366"/>
      <c r="I84" s="366"/>
      <c r="J84" s="366"/>
      <c r="K84" s="366"/>
    </row>
    <row r="85" spans="1:11" ht="15" customHeight="1">
      <c r="A85" s="797" t="s">
        <v>335</v>
      </c>
      <c r="B85" s="796"/>
      <c r="C85" s="796"/>
      <c r="D85" s="796"/>
      <c r="E85" s="796"/>
      <c r="F85" s="796"/>
      <c r="G85" s="376"/>
      <c r="H85" s="376"/>
      <c r="I85" s="376"/>
      <c r="J85" s="376"/>
      <c r="K85" s="376"/>
    </row>
    <row r="86" spans="1:11" ht="15" customHeight="1">
      <c r="A86" s="377" t="s">
        <v>336</v>
      </c>
      <c r="B86" s="371"/>
      <c r="C86" s="371"/>
      <c r="D86" s="371"/>
      <c r="E86" s="371"/>
      <c r="F86" s="372"/>
      <c r="G86" s="376"/>
      <c r="H86" s="376"/>
      <c r="I86" s="376"/>
      <c r="J86" s="376"/>
      <c r="K86" s="376"/>
    </row>
    <row r="87" spans="1:11" ht="15" customHeight="1">
      <c r="A87" s="375" t="s">
        <v>336</v>
      </c>
      <c r="B87" s="338">
        <f>капитал!B6</f>
        <v>333333.33333333331</v>
      </c>
      <c r="C87" s="338">
        <f>B87+капитал!C6</f>
        <v>555555.5555555555</v>
      </c>
      <c r="D87" s="338">
        <f>C87+капитал!D6</f>
        <v>555555.5555555555</v>
      </c>
      <c r="E87" s="338">
        <f>D87+капитал!E6</f>
        <v>555555.5555555555</v>
      </c>
      <c r="F87" s="338">
        <f>E87+капитал!F6</f>
        <v>555555.5555555555</v>
      </c>
      <c r="G87" s="376"/>
      <c r="H87" s="376"/>
      <c r="I87" s="376"/>
      <c r="J87" s="376"/>
      <c r="K87" s="376"/>
    </row>
    <row r="88" spans="1:11" ht="15" customHeight="1">
      <c r="A88" s="375" t="s">
        <v>337</v>
      </c>
      <c r="B88" s="338">
        <f t="shared" ref="B88:F88" si="17">B66</f>
        <v>-193534.90577777778</v>
      </c>
      <c r="C88" s="338">
        <f t="shared" si="17"/>
        <v>-33149.847055555729</v>
      </c>
      <c r="D88" s="338">
        <f t="shared" si="17"/>
        <v>1828322.146902777</v>
      </c>
      <c r="E88" s="338">
        <f t="shared" si="17"/>
        <v>26371830.093650166</v>
      </c>
      <c r="F88" s="338">
        <f t="shared" si="17"/>
        <v>313065091.88872552</v>
      </c>
      <c r="G88" s="356"/>
      <c r="H88" s="356"/>
      <c r="I88" s="356"/>
      <c r="J88" s="356"/>
      <c r="K88" s="356"/>
    </row>
    <row r="89" spans="1:11" ht="15" customHeight="1">
      <c r="A89" s="373" t="s">
        <v>338</v>
      </c>
      <c r="B89" s="374">
        <f t="shared" ref="B89:F89" si="18">SUM(B87:B88)</f>
        <v>139798.42755555554</v>
      </c>
      <c r="C89" s="374">
        <f t="shared" si="18"/>
        <v>522405.70849999978</v>
      </c>
      <c r="D89" s="374">
        <f t="shared" si="18"/>
        <v>2383877.7024583323</v>
      </c>
      <c r="E89" s="374">
        <f t="shared" si="18"/>
        <v>26927385.649205722</v>
      </c>
      <c r="F89" s="374">
        <f t="shared" si="18"/>
        <v>313620647.4442811</v>
      </c>
      <c r="G89" s="356"/>
      <c r="H89" s="356"/>
      <c r="I89" s="356"/>
      <c r="J89" s="356"/>
      <c r="K89" s="356"/>
    </row>
    <row r="90" spans="1:11" ht="15" customHeight="1">
      <c r="A90" s="359" t="s">
        <v>339</v>
      </c>
      <c r="B90" s="338"/>
      <c r="C90" s="338"/>
      <c r="D90" s="338"/>
      <c r="E90" s="338"/>
      <c r="F90" s="339"/>
      <c r="G90" s="356"/>
      <c r="H90" s="356"/>
      <c r="I90" s="356"/>
      <c r="J90" s="356"/>
      <c r="K90" s="356"/>
    </row>
    <row r="91" spans="1:11" ht="15" customHeight="1">
      <c r="A91" s="375" t="s">
        <v>340</v>
      </c>
      <c r="B91" s="338">
        <f>капитал!B8+капитал!B9</f>
        <v>0</v>
      </c>
      <c r="C91" s="338">
        <f>B91+капитал!C9</f>
        <v>0</v>
      </c>
      <c r="D91" s="338">
        <f>C91+капитал!D9</f>
        <v>0</v>
      </c>
      <c r="E91" s="338">
        <f t="shared" ref="E91:F91" si="19">D91</f>
        <v>0</v>
      </c>
      <c r="F91" s="338">
        <f t="shared" si="19"/>
        <v>0</v>
      </c>
      <c r="G91" s="356"/>
      <c r="H91" s="356"/>
      <c r="I91" s="356"/>
      <c r="J91" s="356"/>
      <c r="K91" s="356"/>
    </row>
    <row r="92" spans="1:11" ht="15" customHeight="1">
      <c r="A92" s="375" t="s">
        <v>341</v>
      </c>
      <c r="B92" s="338">
        <f>КредЗадолж!B3</f>
        <v>1456.6595555555559</v>
      </c>
      <c r="C92" s="338">
        <f>КредЗадолж!C3</f>
        <v>89219.301333333337</v>
      </c>
      <c r="D92" s="338">
        <f>КредЗадолж!D3</f>
        <v>527395.69644444447</v>
      </c>
      <c r="E92" s="338">
        <f>КредЗадолж!E3</f>
        <v>3772796.574222222</v>
      </c>
      <c r="F92" s="338">
        <f>КредЗадолж!F3</f>
        <v>37334610.524444446</v>
      </c>
      <c r="G92" s="356"/>
      <c r="H92" s="356"/>
      <c r="I92" s="356"/>
      <c r="J92" s="356"/>
      <c r="K92" s="356"/>
    </row>
    <row r="93" spans="1:11" ht="15" customHeight="1">
      <c r="A93" s="373" t="s">
        <v>342</v>
      </c>
      <c r="B93" s="374">
        <f>SUM(B91:B92)</f>
        <v>1456.6595555555559</v>
      </c>
      <c r="C93" s="374">
        <f t="shared" ref="C93:F93" si="20">SUM(C91:C92)</f>
        <v>89219.301333333337</v>
      </c>
      <c r="D93" s="374">
        <f t="shared" si="20"/>
        <v>527395.69644444447</v>
      </c>
      <c r="E93" s="374">
        <f t="shared" si="20"/>
        <v>3772796.574222222</v>
      </c>
      <c r="F93" s="374">
        <f t="shared" si="20"/>
        <v>37334610.524444446</v>
      </c>
      <c r="G93" s="356"/>
      <c r="H93" s="356"/>
      <c r="I93" s="356"/>
      <c r="J93" s="356"/>
      <c r="K93" s="356"/>
    </row>
    <row r="94" spans="1:11" ht="15" customHeight="1">
      <c r="A94" s="378" t="s">
        <v>343</v>
      </c>
      <c r="B94" s="344">
        <f t="shared" ref="B94:F94" si="21">B89+B93</f>
        <v>141255.08711111109</v>
      </c>
      <c r="C94" s="344">
        <f t="shared" si="21"/>
        <v>611625.00983333308</v>
      </c>
      <c r="D94" s="344">
        <f t="shared" si="21"/>
        <v>2911273.3989027767</v>
      </c>
      <c r="E94" s="344">
        <f t="shared" si="21"/>
        <v>30700182.223427944</v>
      </c>
      <c r="F94" s="344">
        <f t="shared" si="21"/>
        <v>350955257.96872556</v>
      </c>
      <c r="G94" s="366"/>
      <c r="H94" s="366"/>
      <c r="I94" s="366"/>
      <c r="J94" s="366"/>
      <c r="K94" s="366"/>
    </row>
    <row r="95" spans="1:11" s="429" customFormat="1" ht="12" customHeight="1">
      <c r="A95" s="426" t="s">
        <v>344</v>
      </c>
      <c r="B95" s="427">
        <f>B83-B94</f>
        <v>0</v>
      </c>
      <c r="C95" s="427">
        <f t="shared" ref="C95:F95" si="22">C83-C94</f>
        <v>0</v>
      </c>
      <c r="D95" s="427">
        <f t="shared" si="22"/>
        <v>0</v>
      </c>
      <c r="E95" s="427">
        <f t="shared" si="22"/>
        <v>0</v>
      </c>
      <c r="F95" s="427">
        <f t="shared" si="22"/>
        <v>0</v>
      </c>
      <c r="G95" s="428"/>
      <c r="H95" s="428"/>
      <c r="I95" s="428"/>
      <c r="J95" s="428"/>
      <c r="K95" s="428"/>
    </row>
    <row r="96" spans="1:11" ht="12" customHeight="1">
      <c r="A96" s="335"/>
      <c r="B96" s="332"/>
      <c r="C96" s="332"/>
      <c r="D96" s="332"/>
      <c r="E96" s="332"/>
      <c r="F96" s="332"/>
      <c r="G96" s="332"/>
      <c r="H96" s="332"/>
      <c r="I96" s="332"/>
      <c r="J96" s="332"/>
      <c r="K96" s="332"/>
    </row>
    <row r="97" spans="1:11" ht="12" customHeight="1">
      <c r="A97" s="349"/>
      <c r="B97" s="342"/>
      <c r="C97" s="332"/>
      <c r="D97" s="332"/>
      <c r="E97" s="332"/>
      <c r="F97" s="332"/>
      <c r="G97" s="332"/>
      <c r="H97" s="332"/>
      <c r="I97" s="332"/>
      <c r="J97" s="332"/>
      <c r="K97" s="332"/>
    </row>
    <row r="98" spans="1:11" ht="19.5" customHeight="1">
      <c r="A98" s="798" t="s">
        <v>345</v>
      </c>
      <c r="B98" s="792"/>
      <c r="C98" s="792"/>
      <c r="D98" s="792"/>
      <c r="E98" s="792"/>
      <c r="F98" s="792"/>
      <c r="G98" s="345"/>
      <c r="H98" s="345"/>
      <c r="I98" s="345"/>
      <c r="J98" s="345"/>
      <c r="K98" s="345"/>
    </row>
    <row r="99" spans="1:11" ht="12" customHeight="1">
      <c r="A99" s="349"/>
      <c r="B99" s="332"/>
      <c r="C99" s="332"/>
      <c r="D99" s="332"/>
      <c r="E99" s="332"/>
      <c r="F99" s="332"/>
      <c r="G99" s="332"/>
      <c r="H99" s="332"/>
      <c r="I99" s="332"/>
      <c r="J99" s="332"/>
      <c r="K99" s="332"/>
    </row>
    <row r="100" spans="1:11" ht="15.75" customHeight="1">
      <c r="A100" s="793" t="s">
        <v>217</v>
      </c>
      <c r="B100" s="801" t="s">
        <v>380</v>
      </c>
      <c r="C100" s="802"/>
      <c r="D100" s="802"/>
      <c r="E100" s="802"/>
      <c r="F100" s="802"/>
      <c r="G100" s="430"/>
      <c r="H100" s="332"/>
      <c r="I100" s="332"/>
      <c r="J100" s="332"/>
      <c r="K100" s="332"/>
    </row>
    <row r="101" spans="1:11" ht="13.5" customHeight="1">
      <c r="A101" s="794"/>
      <c r="B101" s="334">
        <v>2024</v>
      </c>
      <c r="C101" s="334">
        <v>2025</v>
      </c>
      <c r="D101" s="334">
        <v>2026</v>
      </c>
      <c r="E101" s="331">
        <v>2027</v>
      </c>
      <c r="F101" s="334">
        <v>2028</v>
      </c>
      <c r="G101" s="431" t="s">
        <v>346</v>
      </c>
      <c r="H101" s="332"/>
      <c r="I101" s="332"/>
      <c r="J101" s="332"/>
      <c r="K101" s="332"/>
    </row>
    <row r="102" spans="1:11" ht="15" customHeight="1">
      <c r="A102" s="359" t="s">
        <v>347</v>
      </c>
      <c r="B102" s="379">
        <f t="shared" ref="B102:F102" si="23">B61/B49</f>
        <v>-3.935479536974102</v>
      </c>
      <c r="C102" s="379">
        <f t="shared" si="23"/>
        <v>8.9843884823507067E-2</v>
      </c>
      <c r="D102" s="379">
        <f t="shared" si="23"/>
        <v>0.19639070002157599</v>
      </c>
      <c r="E102" s="379">
        <f t="shared" si="23"/>
        <v>0.30937557059593246</v>
      </c>
      <c r="F102" s="380">
        <f t="shared" si="23"/>
        <v>0.35368684148131735</v>
      </c>
      <c r="G102" s="432">
        <f t="shared" ref="G102:G110" si="24">AVERAGE(C102:F102)</f>
        <v>0.23732424923058323</v>
      </c>
      <c r="H102" s="332"/>
      <c r="I102" s="332"/>
      <c r="J102" s="332"/>
      <c r="K102" s="332"/>
    </row>
    <row r="103" spans="1:11" ht="15" customHeight="1">
      <c r="A103" s="359" t="s">
        <v>348</v>
      </c>
      <c r="B103" s="379">
        <f>B61/B83</f>
        <v>-1.3701092805637749</v>
      </c>
      <c r="C103" s="379">
        <f t="shared" ref="C103:F103" si="25">C61/C83</f>
        <v>0.26222776397898889</v>
      </c>
      <c r="D103" s="379">
        <f t="shared" si="25"/>
        <v>0.63940129932829348</v>
      </c>
      <c r="E103" s="379">
        <f t="shared" si="25"/>
        <v>0.79945805429186456</v>
      </c>
      <c r="F103" s="380">
        <f t="shared" si="25"/>
        <v>0.81689404927115616</v>
      </c>
      <c r="G103" s="432">
        <f t="shared" si="24"/>
        <v>0.62949529171757579</v>
      </c>
      <c r="H103" s="332"/>
      <c r="I103" s="332"/>
      <c r="J103" s="332"/>
      <c r="K103" s="332"/>
    </row>
    <row r="104" spans="1:11" ht="15" customHeight="1">
      <c r="A104" s="341" t="s">
        <v>349</v>
      </c>
      <c r="B104" s="379">
        <f t="shared" ref="B104:F104" si="26">B61/B87</f>
        <v>-0.58060471733333341</v>
      </c>
      <c r="C104" s="379">
        <f t="shared" si="26"/>
        <v>0.28869310569999973</v>
      </c>
      <c r="D104" s="379">
        <f t="shared" si="26"/>
        <v>3.3506495891249992</v>
      </c>
      <c r="E104" s="379">
        <f t="shared" si="26"/>
        <v>44.178314304145303</v>
      </c>
      <c r="F104" s="379">
        <f t="shared" si="26"/>
        <v>516.04787123113567</v>
      </c>
      <c r="G104" s="432">
        <f t="shared" si="24"/>
        <v>140.96638205752649</v>
      </c>
      <c r="H104" s="332"/>
      <c r="I104" s="332"/>
      <c r="J104" s="332"/>
      <c r="K104" s="332"/>
    </row>
    <row r="105" spans="1:11" ht="15" customHeight="1">
      <c r="A105" s="341" t="s">
        <v>350</v>
      </c>
      <c r="B105" s="381">
        <f>B4/B83</f>
        <v>0.34814290550655991</v>
      </c>
      <c r="C105" s="381">
        <f>C4/C83</f>
        <v>2.9187046452200907</v>
      </c>
      <c r="D105" s="381">
        <f>D4/D83</f>
        <v>3.2557615979679646</v>
      </c>
      <c r="E105" s="381">
        <f>E4/E83</f>
        <v>2.5841020761655944</v>
      </c>
      <c r="F105" s="381">
        <f>F4/F83</f>
        <v>2.3096534941753171</v>
      </c>
      <c r="G105" s="520">
        <f t="shared" si="24"/>
        <v>2.7670554533822416</v>
      </c>
      <c r="H105" s="332"/>
      <c r="I105" s="332"/>
      <c r="J105" s="332"/>
      <c r="K105" s="332"/>
    </row>
    <row r="106" spans="1:11" ht="16.5" customHeight="1">
      <c r="A106" s="337" t="s">
        <v>351</v>
      </c>
      <c r="B106" s="381">
        <f t="shared" ref="B106:F106" si="27">B83/B89</f>
        <v>1.0104197134476114</v>
      </c>
      <c r="C106" s="381">
        <f t="shared" si="27"/>
        <v>1.1707854640208883</v>
      </c>
      <c r="D106" s="381">
        <f t="shared" si="27"/>
        <v>1.2212343762016722</v>
      </c>
      <c r="E106" s="381">
        <f t="shared" si="27"/>
        <v>1.14011002120191</v>
      </c>
      <c r="F106" s="381">
        <f t="shared" si="27"/>
        <v>1.1190438538683183</v>
      </c>
      <c r="G106" s="520">
        <f t="shared" si="24"/>
        <v>1.1627934288231971</v>
      </c>
      <c r="H106" s="332"/>
      <c r="I106" s="332"/>
      <c r="J106" s="332"/>
      <c r="K106" s="332"/>
    </row>
    <row r="107" spans="1:11" ht="15" customHeight="1">
      <c r="A107" s="341" t="s">
        <v>352</v>
      </c>
      <c r="B107" s="379">
        <f t="shared" ref="B107:F107" si="28">B93/B83</f>
        <v>1.0312262626051472E-2</v>
      </c>
      <c r="C107" s="379">
        <f t="shared" si="28"/>
        <v>0.14587255246093592</v>
      </c>
      <c r="D107" s="379">
        <f t="shared" si="28"/>
        <v>0.18115636155752785</v>
      </c>
      <c r="E107" s="379">
        <f t="shared" si="28"/>
        <v>0.12289166711665715</v>
      </c>
      <c r="F107" s="380">
        <f t="shared" si="28"/>
        <v>0.10637997202415878</v>
      </c>
      <c r="G107" s="432">
        <f t="shared" si="24"/>
        <v>0.13907513828981993</v>
      </c>
      <c r="H107" s="332"/>
      <c r="I107" s="332"/>
      <c r="J107" s="332"/>
      <c r="K107" s="332"/>
    </row>
    <row r="108" spans="1:11" ht="30" customHeight="1">
      <c r="A108" s="359" t="s">
        <v>353</v>
      </c>
      <c r="B108" s="382">
        <f t="shared" ref="B108:F108" si="29">B82/B92</f>
        <v>6.7060421957818779</v>
      </c>
      <c r="C108" s="382">
        <f t="shared" si="29"/>
        <v>2.7087400944702393</v>
      </c>
      <c r="D108" s="382">
        <f t="shared" si="29"/>
        <v>4.4486556472960697</v>
      </c>
      <c r="E108" s="382">
        <f t="shared" si="29"/>
        <v>7.8590879842337023</v>
      </c>
      <c r="F108" s="383">
        <f t="shared" si="29"/>
        <v>9.3575735923518035</v>
      </c>
      <c r="G108" s="433">
        <f t="shared" si="24"/>
        <v>6.0935143295879541</v>
      </c>
      <c r="H108" s="332"/>
      <c r="I108" s="332"/>
      <c r="J108" s="332"/>
      <c r="K108" s="332"/>
    </row>
    <row r="109" spans="1:11" ht="15" customHeight="1">
      <c r="A109" s="359" t="s">
        <v>354</v>
      </c>
      <c r="B109" s="384">
        <f>B89/$B$29</f>
        <v>499280.09841269831</v>
      </c>
      <c r="C109" s="384">
        <f>C89/$B$29</f>
        <v>1865734.6732142847</v>
      </c>
      <c r="D109" s="384">
        <f>D89/$B$29</f>
        <v>8513848.9373511858</v>
      </c>
      <c r="E109" s="384">
        <f>E89/$B$29</f>
        <v>96169234.461448997</v>
      </c>
      <c r="F109" s="384">
        <f>F89/$B$29</f>
        <v>1120073740.8724325</v>
      </c>
      <c r="G109" s="434">
        <f t="shared" si="24"/>
        <v>306655639.73611176</v>
      </c>
      <c r="H109" s="332"/>
      <c r="I109" s="332"/>
      <c r="J109" s="332"/>
      <c r="K109" s="332"/>
    </row>
    <row r="110" spans="1:11" ht="21" customHeight="1">
      <c r="A110" s="359" t="s">
        <v>355</v>
      </c>
      <c r="B110" s="384">
        <f>B61/$B$29</f>
        <v>-691196.09206349205</v>
      </c>
      <c r="C110" s="384">
        <f>C61/$B$29</f>
        <v>572803.78115079296</v>
      </c>
      <c r="D110" s="384">
        <f>D61/$B$29</f>
        <v>6648114.2641369021</v>
      </c>
      <c r="E110" s="384">
        <f>E61/$B$29</f>
        <v>87655385.524097815</v>
      </c>
      <c r="F110" s="384">
        <f>F61/$B$29</f>
        <v>1023904506.4109833</v>
      </c>
      <c r="G110" s="434">
        <f t="shared" si="24"/>
        <v>279695202.49509221</v>
      </c>
      <c r="H110" s="332"/>
      <c r="I110" s="332"/>
      <c r="J110" s="332"/>
      <c r="K110" s="332"/>
    </row>
    <row r="111" spans="1:11" ht="19.5" customHeight="1">
      <c r="A111" s="385"/>
      <c r="B111" s="385"/>
      <c r="C111" s="385"/>
      <c r="D111" s="385"/>
      <c r="E111" s="385"/>
      <c r="F111" s="385"/>
      <c r="G111" s="332"/>
      <c r="H111" s="332"/>
      <c r="I111" s="332"/>
      <c r="J111" s="332"/>
      <c r="K111" s="332"/>
    </row>
    <row r="112" spans="1:11" ht="39.75" customHeight="1">
      <c r="A112" s="329" t="s">
        <v>356</v>
      </c>
      <c r="B112" s="329"/>
      <c r="C112" s="329"/>
      <c r="D112" s="329"/>
      <c r="E112" s="329"/>
      <c r="F112" s="329"/>
      <c r="G112" s="385"/>
      <c r="H112" s="385"/>
      <c r="I112" s="385"/>
      <c r="J112" s="385"/>
      <c r="K112" s="385"/>
    </row>
    <row r="113" spans="1:14" ht="18.75" customHeight="1">
      <c r="A113" s="349"/>
      <c r="B113" s="342"/>
      <c r="C113" s="332"/>
      <c r="D113" s="332"/>
      <c r="E113" s="332"/>
      <c r="F113" s="332"/>
      <c r="G113" s="330"/>
      <c r="H113" s="330"/>
      <c r="I113" s="330"/>
      <c r="J113" s="330"/>
      <c r="K113" s="330"/>
    </row>
    <row r="114" spans="1:14" ht="12" customHeight="1">
      <c r="A114" s="349"/>
      <c r="B114" s="342"/>
      <c r="C114" s="332"/>
      <c r="D114" s="332"/>
      <c r="E114" s="332"/>
      <c r="F114" s="332"/>
      <c r="G114" s="332"/>
      <c r="H114" s="332"/>
      <c r="I114" s="332"/>
      <c r="J114" s="332"/>
      <c r="K114" s="332"/>
    </row>
    <row r="115" spans="1:14" ht="15" customHeight="1">
      <c r="A115" s="341" t="s">
        <v>357</v>
      </c>
      <c r="B115" s="386">
        <v>0</v>
      </c>
      <c r="C115" s="386">
        <v>0.1</v>
      </c>
      <c r="D115" s="499">
        <v>0.2</v>
      </c>
      <c r="E115" s="501">
        <v>0.3</v>
      </c>
      <c r="F115" s="501">
        <v>0.4</v>
      </c>
      <c r="G115" s="502">
        <v>0.6</v>
      </c>
      <c r="H115" s="502">
        <v>0.7</v>
      </c>
      <c r="I115" s="504"/>
      <c r="J115" s="504"/>
      <c r="K115" s="504"/>
      <c r="L115" s="504"/>
      <c r="M115" s="504"/>
      <c r="N115" s="504"/>
    </row>
    <row r="116" spans="1:14" ht="15" customHeight="1">
      <c r="A116" s="341" t="s">
        <v>358</v>
      </c>
      <c r="B116" s="387">
        <f>NPV(B115,$C$33:$F$33)+$B$33</f>
        <v>247052558.01575139</v>
      </c>
      <c r="C116" s="387">
        <f>NPV(C115,$C$33:$F$33)+$B$33</f>
        <v>170021833.05461508</v>
      </c>
      <c r="D116" s="500">
        <f>NPV(D115,$C$33:$F$33)+$B$33</f>
        <v>120933230.59735821</v>
      </c>
      <c r="E116" s="503">
        <f>NPV(E115,$C$33:$F$33)+$B$33</f>
        <v>88427190.661229402</v>
      </c>
      <c r="F116" s="503">
        <f>NPV(F115,$C$33:$F$33)+$B$33</f>
        <v>66193053.018594287</v>
      </c>
      <c r="G116" s="503">
        <f t="shared" ref="G116:H116" si="30">NPV(G115,$C$33:$F$33)+$B$33</f>
        <v>39294699.434683025</v>
      </c>
      <c r="H116" s="503">
        <f t="shared" si="30"/>
        <v>31010165.041911133</v>
      </c>
      <c r="I116" s="505"/>
      <c r="J116" s="505"/>
      <c r="K116" s="505"/>
      <c r="L116" s="505"/>
      <c r="M116" s="505"/>
      <c r="N116" s="505"/>
    </row>
    <row r="117" spans="1:14" ht="15" customHeight="1">
      <c r="A117" s="332"/>
      <c r="B117" s="332"/>
      <c r="C117" s="332"/>
      <c r="D117" s="332"/>
      <c r="E117" s="332"/>
      <c r="F117" s="332"/>
      <c r="G117" s="496"/>
      <c r="H117" s="496"/>
      <c r="I117" s="356"/>
      <c r="J117" s="356"/>
      <c r="K117" s="356"/>
    </row>
    <row r="118" spans="1:14" ht="12" customHeight="1">
      <c r="A118" s="332"/>
      <c r="B118" s="332"/>
      <c r="C118" s="332"/>
      <c r="D118" s="332"/>
      <c r="E118" s="332"/>
      <c r="F118" s="332"/>
      <c r="G118" s="497"/>
      <c r="H118" s="498"/>
      <c r="I118" s="332"/>
      <c r="J118" s="332"/>
      <c r="K118" s="332"/>
    </row>
    <row r="119" spans="1:14" ht="12" customHeight="1">
      <c r="A119" s="332"/>
      <c r="B119" s="332"/>
      <c r="C119" s="332"/>
      <c r="D119" s="332"/>
      <c r="E119" s="332"/>
      <c r="F119" s="332"/>
      <c r="G119" s="335"/>
      <c r="H119" s="332"/>
      <c r="I119" s="332"/>
      <c r="J119" s="332"/>
      <c r="K119" s="332"/>
    </row>
    <row r="120" spans="1:14" ht="12" customHeight="1">
      <c r="A120" s="388"/>
      <c r="B120" s="332"/>
      <c r="C120" s="332"/>
      <c r="D120" s="332"/>
      <c r="E120" s="332"/>
      <c r="F120" s="332"/>
      <c r="G120" s="335"/>
      <c r="H120" s="332"/>
      <c r="I120" s="332"/>
      <c r="J120" s="332"/>
      <c r="K120" s="332"/>
    </row>
    <row r="121" spans="1:14" ht="12" customHeight="1">
      <c r="A121" s="349"/>
      <c r="B121" s="332"/>
      <c r="C121" s="332"/>
      <c r="D121" s="332"/>
      <c r="E121" s="332"/>
      <c r="F121" s="332"/>
      <c r="G121" s="349"/>
      <c r="H121" s="332"/>
      <c r="I121" s="332"/>
      <c r="J121" s="332"/>
      <c r="K121" s="332"/>
    </row>
    <row r="122" spans="1:14" ht="30.75" customHeight="1">
      <c r="A122" s="349"/>
      <c r="B122" s="332"/>
      <c r="C122" s="332"/>
      <c r="D122" s="332"/>
      <c r="E122" s="332"/>
      <c r="F122" s="332"/>
      <c r="G122" s="349"/>
      <c r="H122" s="332"/>
      <c r="I122" s="332"/>
      <c r="J122" s="332"/>
      <c r="K122" s="332"/>
    </row>
    <row r="123" spans="1:14" ht="30.75" customHeight="1">
      <c r="A123" s="349"/>
      <c r="B123" s="332"/>
      <c r="C123" s="332"/>
      <c r="D123" s="332"/>
      <c r="E123" s="389" t="s">
        <v>359</v>
      </c>
      <c r="F123" s="332"/>
      <c r="G123" s="349"/>
      <c r="H123" s="332"/>
      <c r="I123" s="332"/>
      <c r="J123" s="332"/>
      <c r="K123" s="332"/>
    </row>
    <row r="124" spans="1:14" ht="49.5" customHeight="1">
      <c r="A124" s="390"/>
      <c r="B124" s="391"/>
      <c r="C124" s="391"/>
      <c r="D124" s="391"/>
      <c r="E124" s="392">
        <f>G110</f>
        <v>279695202.49509221</v>
      </c>
      <c r="F124" s="393" t="s">
        <v>360</v>
      </c>
      <c r="G124" s="336"/>
      <c r="H124" s="336"/>
      <c r="I124" s="336"/>
      <c r="J124" s="336"/>
      <c r="K124" s="336"/>
    </row>
    <row r="125" spans="1:14" ht="49.5" customHeight="1">
      <c r="A125" s="394" t="s">
        <v>361</v>
      </c>
      <c r="B125" s="391"/>
      <c r="C125" s="392"/>
      <c r="D125" s="392"/>
      <c r="E125" s="395" t="s">
        <v>355</v>
      </c>
      <c r="F125" s="392"/>
      <c r="G125" s="396"/>
      <c r="H125" s="397"/>
      <c r="I125" s="336"/>
      <c r="J125" s="336"/>
      <c r="K125" s="336"/>
    </row>
    <row r="126" spans="1:14" ht="49.5" customHeight="1">
      <c r="A126" s="390"/>
      <c r="B126" s="391"/>
      <c r="C126" s="391"/>
      <c r="D126" s="398">
        <f>F104</f>
        <v>516.04787123113567</v>
      </c>
      <c r="E126" s="391"/>
      <c r="F126" s="392">
        <f>G109</f>
        <v>306655639.73611176</v>
      </c>
      <c r="G126" s="399"/>
      <c r="H126" s="396"/>
      <c r="I126" s="396"/>
      <c r="J126" s="517" t="s">
        <v>414</v>
      </c>
      <c r="K126" s="396"/>
    </row>
    <row r="127" spans="1:14" ht="49.5" customHeight="1">
      <c r="A127" s="394" t="s">
        <v>362</v>
      </c>
      <c r="B127" s="391"/>
      <c r="C127" s="391"/>
      <c r="D127" s="395" t="s">
        <v>363</v>
      </c>
      <c r="E127" s="391"/>
      <c r="F127" s="400" t="s">
        <v>354</v>
      </c>
      <c r="G127" s="396"/>
      <c r="H127" s="397"/>
      <c r="I127" s="336"/>
      <c r="J127" s="521"/>
      <c r="K127" s="336"/>
    </row>
    <row r="128" spans="1:14" ht="49.5" customHeight="1">
      <c r="A128" s="394"/>
      <c r="B128" s="391"/>
      <c r="C128" s="398">
        <f>F103</f>
        <v>0.81689404927115616</v>
      </c>
      <c r="D128" s="401"/>
      <c r="E128" s="401"/>
      <c r="F128" s="401"/>
      <c r="G128" s="506">
        <f>F106</f>
        <v>1.1190438538683183</v>
      </c>
      <c r="H128" s="336"/>
      <c r="I128" s="336"/>
      <c r="J128" s="517" t="s">
        <v>415</v>
      </c>
      <c r="K128" s="336"/>
    </row>
    <row r="129" spans="1:12" ht="49.5" customHeight="1">
      <c r="A129" s="394" t="s">
        <v>364</v>
      </c>
      <c r="B129" s="391"/>
      <c r="C129" s="402" t="s">
        <v>365</v>
      </c>
      <c r="D129" s="391"/>
      <c r="E129" s="391"/>
      <c r="F129" s="391"/>
      <c r="G129" s="507" t="s">
        <v>351</v>
      </c>
      <c r="H129" s="508"/>
      <c r="I129" s="509"/>
      <c r="J129" s="510" t="s">
        <v>411</v>
      </c>
      <c r="K129" s="511"/>
      <c r="L129" s="511"/>
    </row>
    <row r="130" spans="1:12" ht="49.5" customHeight="1">
      <c r="A130" s="394"/>
      <c r="B130" s="398">
        <f>F102</f>
        <v>0.35368684148131735</v>
      </c>
      <c r="C130" s="403"/>
      <c r="D130" s="403"/>
      <c r="E130" s="403"/>
      <c r="F130" s="403"/>
      <c r="G130" s="512"/>
      <c r="H130" s="513">
        <f>F105</f>
        <v>2.3096534941753171</v>
      </c>
      <c r="I130" s="509"/>
      <c r="J130" s="511"/>
      <c r="K130" s="511"/>
      <c r="L130" s="511"/>
    </row>
    <row r="131" spans="1:12" ht="49.5" customHeight="1">
      <c r="A131" s="394" t="s">
        <v>366</v>
      </c>
      <c r="B131" s="400" t="s">
        <v>367</v>
      </c>
      <c r="C131" s="391"/>
      <c r="D131" s="391"/>
      <c r="E131" s="391"/>
      <c r="F131" s="391"/>
      <c r="G131" s="514"/>
      <c r="H131" s="515" t="s">
        <v>412</v>
      </c>
      <c r="I131" s="516"/>
      <c r="J131" s="517" t="s">
        <v>413</v>
      </c>
      <c r="K131" s="511"/>
      <c r="L131" s="511"/>
    </row>
    <row r="132" spans="1:12" ht="27" customHeight="1">
      <c r="A132" s="349"/>
      <c r="B132" s="405"/>
      <c r="C132" s="405"/>
      <c r="D132" s="405"/>
      <c r="E132" s="405"/>
      <c r="F132" s="405"/>
      <c r="G132" s="518"/>
      <c r="H132" s="518"/>
      <c r="I132" s="519"/>
      <c r="J132" s="519"/>
      <c r="K132" s="519"/>
      <c r="L132" s="519"/>
    </row>
    <row r="133" spans="1:12" ht="18.75" customHeight="1">
      <c r="A133" s="349"/>
      <c r="B133" s="332"/>
      <c r="C133" s="332"/>
      <c r="D133" s="332"/>
      <c r="E133" s="400" t="s">
        <v>368</v>
      </c>
      <c r="F133" s="406"/>
      <c r="G133" s="519"/>
      <c r="H133" s="519"/>
      <c r="I133" s="519"/>
      <c r="J133" s="519"/>
      <c r="K133" s="519"/>
      <c r="L133" s="519"/>
    </row>
    <row r="134" spans="1:12" ht="16.5" customHeight="1">
      <c r="A134" s="349"/>
      <c r="B134" s="332"/>
      <c r="C134" s="332"/>
      <c r="D134" s="332"/>
      <c r="E134" s="404">
        <f>F108</f>
        <v>9.3575735923518035</v>
      </c>
      <c r="F134" s="332"/>
      <c r="G134" s="519"/>
      <c r="H134" s="519"/>
      <c r="I134" s="519"/>
      <c r="J134" s="519"/>
      <c r="K134" s="519"/>
      <c r="L134" s="519"/>
    </row>
    <row r="135" spans="1:12" ht="12" customHeight="1">
      <c r="A135" s="349"/>
      <c r="B135" s="332"/>
      <c r="C135" s="332"/>
      <c r="D135" s="332"/>
      <c r="E135" s="332"/>
      <c r="F135" s="332"/>
      <c r="G135" s="519"/>
      <c r="H135" s="519"/>
      <c r="I135" s="519"/>
      <c r="J135" s="519"/>
      <c r="K135" s="519"/>
      <c r="L135" s="519"/>
    </row>
    <row r="136" spans="1:12" ht="12" customHeight="1">
      <c r="A136" s="332"/>
      <c r="B136" s="332"/>
      <c r="C136" s="332"/>
      <c r="D136" s="332"/>
      <c r="E136" s="332"/>
      <c r="F136" s="332"/>
      <c r="G136" s="519"/>
      <c r="H136" s="519"/>
      <c r="I136" s="519"/>
      <c r="J136" s="519"/>
      <c r="K136" s="519"/>
      <c r="L136" s="519"/>
    </row>
    <row r="137" spans="1:12" ht="15.6">
      <c r="G137"/>
      <c r="H137"/>
      <c r="I137"/>
      <c r="J137"/>
      <c r="K137"/>
      <c r="L137"/>
    </row>
    <row r="138" spans="1:12" ht="15.6">
      <c r="G138"/>
      <c r="H138"/>
      <c r="I138"/>
      <c r="J138"/>
      <c r="K138"/>
      <c r="L138"/>
    </row>
    <row r="139" spans="1:12" ht="13.2"/>
    <row r="140" spans="1:12" ht="13.2"/>
    <row r="141" spans="1:12" ht="13.2"/>
    <row r="142" spans="1:12" ht="13.2"/>
    <row r="143" spans="1:12" ht="13.2"/>
    <row r="144" spans="1:12" ht="13.2"/>
    <row r="145" ht="13.2"/>
    <row r="146" ht="13.2"/>
    <row r="147" ht="13.2"/>
    <row r="148" ht="13.2"/>
    <row r="149" ht="13.2"/>
    <row r="150" ht="13.2"/>
    <row r="151" ht="13.2"/>
    <row r="152" ht="13.2"/>
    <row r="153" ht="13.2"/>
    <row r="154" ht="13.2"/>
    <row r="155" ht="13.2"/>
    <row r="156" ht="13.2"/>
    <row r="157" ht="13.2"/>
    <row r="158" ht="13.2"/>
    <row r="159" ht="13.2"/>
    <row r="160" ht="13.2"/>
    <row r="161" ht="13.2"/>
    <row r="162" ht="13.2"/>
    <row r="163" ht="13.2"/>
    <row r="164" ht="13.2"/>
    <row r="165" ht="13.2"/>
    <row r="166" ht="13.2"/>
    <row r="167" ht="13.2"/>
    <row r="168" ht="13.2"/>
    <row r="169" ht="13.2"/>
    <row r="170" ht="13.2"/>
    <row r="171" ht="13.2"/>
    <row r="172" ht="13.2"/>
    <row r="173" ht="13.2"/>
    <row r="174" ht="13.2"/>
    <row r="175" ht="13.2"/>
    <row r="176" ht="13.2"/>
    <row r="177" ht="13.2"/>
    <row r="178" ht="13.2"/>
    <row r="179" ht="13.2"/>
    <row r="180" ht="13.2"/>
    <row r="181" ht="13.2"/>
    <row r="182" ht="13.2"/>
    <row r="183" ht="13.2"/>
    <row r="184" ht="13.2"/>
    <row r="185" ht="13.2"/>
    <row r="186" ht="13.2"/>
    <row r="187" ht="13.2"/>
    <row r="188" ht="13.2"/>
    <row r="189" ht="13.2"/>
    <row r="190" ht="13.2"/>
    <row r="191" ht="13.2"/>
    <row r="192" ht="13.2"/>
    <row r="193" ht="13.2"/>
    <row r="194" ht="13.2"/>
    <row r="195" ht="13.2"/>
    <row r="196" ht="13.2"/>
    <row r="197" ht="13.2"/>
    <row r="198" ht="13.2"/>
    <row r="199" ht="13.2"/>
    <row r="200" ht="13.2"/>
    <row r="201" ht="13.2"/>
    <row r="202" ht="13.2"/>
    <row r="203" ht="13.2"/>
    <row r="204" ht="13.2"/>
    <row r="205" ht="13.2"/>
    <row r="206" ht="13.2"/>
    <row r="207" ht="13.2"/>
    <row r="208" ht="13.2"/>
    <row r="209" ht="13.2"/>
    <row r="210" ht="13.2"/>
    <row r="211" ht="13.2"/>
    <row r="212" ht="13.2"/>
    <row r="213" ht="13.2"/>
    <row r="214" ht="13.2"/>
    <row r="215" ht="13.2"/>
    <row r="216" ht="13.2"/>
    <row r="217" ht="13.2"/>
    <row r="218" ht="13.2"/>
    <row r="219" ht="13.2"/>
    <row r="220" ht="13.2"/>
    <row r="221" ht="13.2"/>
    <row r="222" ht="13.2"/>
    <row r="223" ht="13.2"/>
    <row r="224" ht="13.2"/>
    <row r="225" ht="13.2"/>
    <row r="226" ht="13.2"/>
    <row r="227" ht="13.2"/>
    <row r="228" ht="13.2"/>
    <row r="229" ht="13.2"/>
    <row r="230" ht="13.2"/>
    <row r="231" ht="13.2"/>
    <row r="232" ht="13.2"/>
    <row r="233" ht="13.2"/>
    <row r="234" ht="13.2"/>
    <row r="235" ht="13.2"/>
    <row r="236" ht="13.2"/>
    <row r="237" ht="13.2"/>
    <row r="238" ht="13.2"/>
    <row r="239" ht="13.2"/>
    <row r="240" ht="13.2"/>
    <row r="241" ht="13.2"/>
    <row r="242" ht="13.2"/>
    <row r="243" ht="13.2"/>
    <row r="244" ht="13.2"/>
    <row r="245" ht="13.2"/>
    <row r="246" ht="13.2"/>
    <row r="247" ht="13.2"/>
    <row r="248" ht="13.2"/>
    <row r="249" ht="13.2"/>
    <row r="250" ht="13.2"/>
    <row r="251" ht="13.2"/>
    <row r="252" ht="13.2"/>
    <row r="253" ht="13.2"/>
    <row r="254" ht="13.2"/>
    <row r="255" ht="13.2"/>
    <row r="256" ht="13.2"/>
    <row r="257" ht="13.2"/>
    <row r="258" ht="13.2"/>
    <row r="259" ht="13.2"/>
    <row r="260" ht="13.2"/>
    <row r="261" ht="13.2"/>
    <row r="262" ht="13.2"/>
    <row r="263" ht="13.2"/>
    <row r="264" ht="13.2"/>
    <row r="265" ht="13.2"/>
    <row r="266" ht="13.2"/>
    <row r="267" ht="13.2"/>
    <row r="268" ht="13.2"/>
    <row r="269" ht="13.2"/>
    <row r="270" ht="13.2"/>
    <row r="271" ht="13.2"/>
    <row r="272" ht="13.2"/>
    <row r="273" ht="13.2"/>
    <row r="274" ht="13.2"/>
    <row r="275" ht="13.2"/>
    <row r="276" ht="13.2"/>
    <row r="277" ht="13.2"/>
    <row r="278" ht="13.2"/>
    <row r="279" ht="13.2"/>
    <row r="280" ht="13.2"/>
    <row r="281" ht="13.2"/>
    <row r="282" ht="13.2"/>
    <row r="283" ht="13.2"/>
    <row r="284" ht="13.2"/>
    <row r="285" ht="13.2"/>
    <row r="286" ht="13.2"/>
    <row r="287" ht="13.2"/>
    <row r="288" ht="13.2"/>
    <row r="289" ht="13.2"/>
    <row r="290" ht="13.2"/>
    <row r="291" ht="13.2"/>
    <row r="292" ht="13.2"/>
    <row r="293" ht="13.2"/>
    <row r="294" ht="13.2"/>
    <row r="295" ht="13.2"/>
    <row r="296" ht="13.2"/>
    <row r="297" ht="13.2"/>
    <row r="298" ht="13.2"/>
    <row r="299" ht="13.2"/>
    <row r="300" ht="13.2"/>
    <row r="301" ht="13.2"/>
    <row r="302" ht="13.2"/>
    <row r="303" ht="13.2"/>
    <row r="304" ht="13.2"/>
    <row r="305" ht="13.2"/>
    <row r="306" ht="13.2"/>
    <row r="307" ht="13.2"/>
    <row r="308" ht="13.2"/>
    <row r="309" ht="13.2"/>
    <row r="310" ht="13.2"/>
    <row r="311" ht="13.2"/>
    <row r="312" ht="13.2"/>
    <row r="313" ht="13.2"/>
    <row r="314" ht="13.2"/>
    <row r="315" ht="13.2"/>
    <row r="316" ht="13.2"/>
    <row r="317" ht="13.2"/>
    <row r="318" ht="13.2"/>
    <row r="319" ht="13.2"/>
    <row r="320" ht="13.2"/>
    <row r="321" ht="13.2"/>
    <row r="322" ht="13.2"/>
    <row r="323" ht="13.2"/>
    <row r="324" ht="13.2"/>
    <row r="325" ht="13.2"/>
    <row r="326" ht="13.2"/>
    <row r="327" ht="13.2"/>
    <row r="328" ht="13.2"/>
    <row r="329" ht="13.2"/>
    <row r="330" ht="13.2"/>
    <row r="331" ht="13.2"/>
    <row r="332" ht="13.2"/>
    <row r="333" ht="13.2"/>
    <row r="334" ht="13.2"/>
    <row r="335" ht="13.2"/>
    <row r="336" ht="13.2"/>
    <row r="337" ht="13.2"/>
    <row r="338" ht="13.2"/>
    <row r="339" ht="13.2"/>
    <row r="340" ht="13.2"/>
    <row r="341" ht="13.2"/>
    <row r="342" ht="13.2"/>
    <row r="343" ht="13.2"/>
    <row r="344" ht="13.2"/>
    <row r="345" ht="13.2"/>
    <row r="346" ht="13.2"/>
    <row r="347" ht="13.2"/>
    <row r="348" ht="13.2"/>
    <row r="349" ht="13.2"/>
    <row r="350" ht="13.2"/>
    <row r="351" ht="13.2"/>
    <row r="352" ht="13.2"/>
    <row r="353" ht="13.2"/>
    <row r="354" ht="13.2"/>
    <row r="355" ht="13.2"/>
    <row r="356" ht="13.2"/>
    <row r="357" ht="13.2"/>
    <row r="358" ht="13.2"/>
    <row r="359" ht="13.2"/>
    <row r="360" ht="13.2"/>
    <row r="361" ht="13.2"/>
    <row r="362" ht="13.2"/>
    <row r="363" ht="13.2"/>
    <row r="364" ht="13.2"/>
    <row r="365" ht="13.2"/>
    <row r="366" ht="13.2"/>
    <row r="367" ht="13.2"/>
    <row r="368" ht="13.2"/>
    <row r="369" ht="13.2"/>
    <row r="370" ht="13.2"/>
    <row r="371" ht="13.2"/>
    <row r="372" ht="13.2"/>
    <row r="373" ht="13.2"/>
    <row r="374" ht="13.2"/>
    <row r="375" ht="13.2"/>
    <row r="376" ht="13.2"/>
    <row r="377" ht="13.2"/>
    <row r="378" ht="13.2"/>
    <row r="379" ht="13.2"/>
    <row r="380" ht="13.2"/>
    <row r="381" ht="13.2"/>
    <row r="382" ht="13.2"/>
    <row r="383" ht="13.2"/>
    <row r="384" ht="13.2"/>
    <row r="385" ht="13.2"/>
    <row r="386" ht="13.2"/>
    <row r="387" ht="13.2"/>
    <row r="388" ht="13.2"/>
    <row r="389" ht="13.2"/>
    <row r="390" ht="13.2"/>
    <row r="391" ht="13.2"/>
    <row r="392" ht="13.2"/>
    <row r="393" ht="13.2"/>
    <row r="394" ht="13.2"/>
    <row r="395" ht="13.2"/>
    <row r="396" ht="13.2"/>
    <row r="397" ht="13.2"/>
    <row r="398" ht="13.2"/>
    <row r="399" ht="13.2"/>
    <row r="400" ht="13.2"/>
    <row r="401" ht="13.2"/>
    <row r="402" ht="13.2"/>
    <row r="403" ht="13.2"/>
    <row r="404" ht="13.2"/>
    <row r="405" ht="13.2"/>
    <row r="406" ht="13.2"/>
    <row r="407" ht="13.2"/>
    <row r="408" ht="13.2"/>
    <row r="409" ht="13.2"/>
    <row r="410" ht="13.2"/>
    <row r="411" ht="13.2"/>
    <row r="412" ht="13.2"/>
    <row r="413" ht="13.2"/>
    <row r="414" ht="13.2"/>
    <row r="415" ht="13.2"/>
    <row r="416" ht="13.2"/>
    <row r="417" ht="13.2"/>
    <row r="418" ht="13.2"/>
    <row r="419" ht="13.2"/>
    <row r="420" ht="13.2"/>
    <row r="421" ht="13.2"/>
    <row r="422" ht="13.2"/>
    <row r="423" ht="13.2"/>
    <row r="424" ht="13.2"/>
    <row r="425" ht="13.2"/>
    <row r="426" ht="13.2"/>
    <row r="427" ht="13.2"/>
    <row r="428" ht="13.2"/>
    <row r="429" ht="13.2"/>
    <row r="430" ht="13.2"/>
    <row r="431" ht="13.2"/>
    <row r="432" ht="13.2"/>
    <row r="433" ht="13.2"/>
    <row r="434" ht="13.2"/>
    <row r="435" ht="13.2"/>
    <row r="436" ht="13.2"/>
    <row r="437" ht="13.2"/>
    <row r="438" ht="13.2"/>
    <row r="439" ht="13.2"/>
    <row r="440" ht="13.2"/>
    <row r="441" ht="13.2"/>
    <row r="442" ht="13.2"/>
    <row r="443" ht="13.2"/>
    <row r="444" ht="13.2"/>
    <row r="445" ht="13.2"/>
    <row r="446" ht="13.2"/>
    <row r="447" ht="13.2"/>
    <row r="448" ht="13.2"/>
    <row r="449" ht="13.2"/>
    <row r="450" ht="13.2"/>
    <row r="451" ht="13.2"/>
    <row r="452" ht="13.2"/>
    <row r="453" ht="13.2"/>
    <row r="454" ht="13.2"/>
    <row r="455" ht="13.2"/>
    <row r="456" ht="13.2"/>
    <row r="457" ht="13.2"/>
    <row r="458" ht="13.2"/>
    <row r="459" ht="13.2"/>
    <row r="460" ht="13.2"/>
    <row r="461" ht="13.2"/>
    <row r="462" ht="13.2"/>
    <row r="463" ht="13.2"/>
    <row r="464" ht="13.2"/>
    <row r="465" ht="13.2"/>
    <row r="466" ht="13.2"/>
    <row r="467" ht="13.2"/>
    <row r="468" ht="13.2"/>
    <row r="469" ht="13.2"/>
    <row r="470" ht="13.2"/>
    <row r="471" ht="13.2"/>
    <row r="472" ht="13.2"/>
    <row r="473" ht="13.2"/>
    <row r="474" ht="13.2"/>
    <row r="475" ht="13.2"/>
    <row r="476" ht="13.2"/>
    <row r="477" ht="13.2"/>
    <row r="478" ht="13.2"/>
    <row r="479" ht="13.2"/>
    <row r="480" ht="13.2"/>
    <row r="481" ht="13.2"/>
    <row r="482" ht="13.2"/>
    <row r="483" ht="13.2"/>
    <row r="484" ht="13.2"/>
    <row r="485" ht="13.2"/>
    <row r="486" ht="13.2"/>
    <row r="487" ht="13.2"/>
    <row r="488" ht="13.2"/>
    <row r="489" ht="13.2"/>
    <row r="490" ht="13.2"/>
    <row r="491" ht="13.2"/>
    <row r="492" ht="13.2"/>
    <row r="493" ht="13.2"/>
    <row r="494" ht="13.2"/>
    <row r="495" ht="13.2"/>
    <row r="496" ht="13.2"/>
    <row r="497" ht="13.2"/>
    <row r="498" ht="13.2"/>
    <row r="499" ht="13.2"/>
    <row r="500" ht="13.2"/>
    <row r="501" ht="13.2"/>
    <row r="502" ht="13.2"/>
    <row r="503" ht="13.2"/>
    <row r="504" ht="13.2"/>
    <row r="505" ht="13.2"/>
    <row r="506" ht="13.2"/>
    <row r="507" ht="13.2"/>
    <row r="508" ht="13.2"/>
    <row r="509" ht="13.2"/>
    <row r="510" ht="13.2"/>
    <row r="511" ht="13.2"/>
    <row r="512" ht="13.2"/>
    <row r="513" ht="13.2"/>
    <row r="514" ht="13.2"/>
    <row r="515" ht="13.2"/>
    <row r="516" ht="13.2"/>
    <row r="517" ht="13.2"/>
    <row r="518" ht="13.2"/>
    <row r="519" ht="13.2"/>
    <row r="520" ht="13.2"/>
    <row r="521" ht="13.2"/>
    <row r="522" ht="13.2"/>
    <row r="523" ht="13.2"/>
    <row r="524" ht="13.2"/>
    <row r="525" ht="13.2"/>
    <row r="526" ht="13.2"/>
    <row r="527" ht="13.2"/>
    <row r="528" ht="13.2"/>
    <row r="529" ht="13.2"/>
    <row r="530" ht="13.2"/>
    <row r="531" ht="13.2"/>
    <row r="532" ht="13.2"/>
    <row r="533" ht="13.2"/>
    <row r="534" ht="13.2"/>
    <row r="535" ht="13.2"/>
    <row r="536" ht="13.2"/>
    <row r="537" ht="13.2"/>
    <row r="538" ht="13.2"/>
    <row r="539" ht="13.2"/>
    <row r="540" ht="13.2"/>
    <row r="541" ht="13.2"/>
    <row r="542" ht="13.2"/>
    <row r="543" ht="13.2"/>
    <row r="544" ht="13.2"/>
    <row r="545" ht="13.2"/>
    <row r="546" ht="13.2"/>
    <row r="547" ht="13.2"/>
    <row r="548" ht="13.2"/>
    <row r="549" ht="13.2"/>
    <row r="550" ht="13.2"/>
    <row r="551" ht="13.2"/>
    <row r="552" ht="13.2"/>
    <row r="553" ht="13.2"/>
    <row r="554" ht="13.2"/>
    <row r="555" ht="13.2"/>
    <row r="556" ht="13.2"/>
    <row r="557" ht="13.2"/>
    <row r="558" ht="13.2"/>
    <row r="559" ht="13.2"/>
    <row r="560" ht="13.2"/>
    <row r="561" ht="13.2"/>
    <row r="562" ht="13.2"/>
    <row r="563" ht="13.2"/>
    <row r="564" ht="13.2"/>
    <row r="565" ht="13.2"/>
    <row r="566" ht="13.2"/>
    <row r="567" ht="13.2"/>
    <row r="568" ht="13.2"/>
    <row r="569" ht="13.2"/>
    <row r="570" ht="13.2"/>
    <row r="571" ht="13.2"/>
    <row r="572" ht="13.2"/>
    <row r="573" ht="13.2"/>
    <row r="574" ht="13.2"/>
    <row r="575" ht="13.2"/>
    <row r="576" ht="13.2"/>
    <row r="577" ht="13.2"/>
    <row r="578" ht="13.2"/>
    <row r="579" ht="13.2"/>
    <row r="580" ht="13.2"/>
    <row r="581" ht="13.2"/>
    <row r="582" ht="13.2"/>
    <row r="583" ht="13.2"/>
    <row r="584" ht="13.2"/>
    <row r="585" ht="13.2"/>
    <row r="586" ht="13.2"/>
    <row r="587" ht="13.2"/>
    <row r="588" ht="13.2"/>
    <row r="589" ht="13.2"/>
    <row r="590" ht="13.2"/>
    <row r="591" ht="13.2"/>
    <row r="592" ht="13.2"/>
    <row r="593" ht="13.2"/>
    <row r="594" ht="13.2"/>
    <row r="595" ht="13.2"/>
    <row r="596" ht="13.2"/>
    <row r="597" ht="13.2"/>
    <row r="598" ht="13.2"/>
    <row r="599" ht="13.2"/>
    <row r="600" ht="13.2"/>
    <row r="601" ht="13.2"/>
    <row r="602" ht="13.2"/>
    <row r="603" ht="13.2"/>
    <row r="604" ht="13.2"/>
    <row r="605" ht="13.2"/>
    <row r="606" ht="13.2"/>
    <row r="607" ht="13.2"/>
    <row r="608" ht="13.2"/>
    <row r="609" ht="13.2"/>
    <row r="610" ht="13.2"/>
    <row r="611" ht="13.2"/>
    <row r="612" ht="13.2"/>
    <row r="613" ht="13.2"/>
    <row r="614" ht="13.2"/>
    <row r="615" ht="13.2"/>
    <row r="616" ht="13.2"/>
    <row r="617" ht="13.2"/>
    <row r="618" ht="13.2"/>
    <row r="619" ht="13.2"/>
    <row r="620" ht="13.2"/>
    <row r="621" ht="13.2"/>
    <row r="622" ht="13.2"/>
    <row r="623" ht="13.2"/>
    <row r="624" ht="13.2"/>
    <row r="625" ht="13.2"/>
    <row r="626" ht="13.2"/>
    <row r="627" ht="13.2"/>
    <row r="628" ht="13.2"/>
    <row r="629" ht="13.2"/>
    <row r="630" ht="13.2"/>
    <row r="631" ht="13.2"/>
    <row r="632" ht="13.2"/>
    <row r="633" ht="13.2"/>
    <row r="634" ht="13.2"/>
    <row r="635" ht="13.2"/>
    <row r="636" ht="13.2"/>
    <row r="637" ht="13.2"/>
    <row r="638" ht="13.2"/>
    <row r="639" ht="13.2"/>
    <row r="640" ht="13.2"/>
    <row r="641" ht="13.2"/>
    <row r="642" ht="13.2"/>
    <row r="643" ht="13.2"/>
    <row r="644" ht="13.2"/>
    <row r="645" ht="13.2"/>
    <row r="646" ht="13.2"/>
    <row r="647" ht="13.2"/>
    <row r="648" ht="13.2"/>
    <row r="649" ht="13.2"/>
    <row r="650" ht="13.2"/>
    <row r="651" ht="13.2"/>
    <row r="652" ht="13.2"/>
    <row r="653" ht="13.2"/>
    <row r="654" ht="13.2"/>
    <row r="655" ht="13.2"/>
    <row r="656" ht="13.2"/>
    <row r="657" ht="13.2"/>
    <row r="658" ht="13.2"/>
    <row r="659" ht="13.2"/>
    <row r="660" ht="13.2"/>
    <row r="661" ht="13.2"/>
    <row r="662" ht="13.2"/>
    <row r="663" ht="13.2"/>
    <row r="664" ht="13.2"/>
    <row r="665" ht="13.2"/>
    <row r="666" ht="13.2"/>
    <row r="667" ht="13.2"/>
    <row r="668" ht="13.2"/>
    <row r="669" ht="13.2"/>
    <row r="670" ht="13.2"/>
    <row r="671" ht="13.2"/>
    <row r="672" ht="13.2"/>
    <row r="673" ht="13.2"/>
    <row r="674" ht="13.2"/>
    <row r="675" ht="13.2"/>
    <row r="676" ht="13.2"/>
    <row r="677" ht="13.2"/>
    <row r="678" ht="13.2"/>
    <row r="679" ht="13.2"/>
    <row r="680" ht="13.2"/>
    <row r="681" ht="13.2"/>
    <row r="682" ht="13.2"/>
    <row r="683" ht="13.2"/>
    <row r="684" ht="13.2"/>
    <row r="685" ht="13.2"/>
    <row r="686" ht="13.2"/>
    <row r="687" ht="13.2"/>
    <row r="688" ht="13.2"/>
    <row r="689" ht="13.2"/>
    <row r="690" ht="13.2"/>
    <row r="691" ht="13.2"/>
    <row r="692" ht="13.2"/>
    <row r="693" ht="13.2"/>
    <row r="694" ht="13.2"/>
    <row r="695" ht="13.2"/>
    <row r="696" ht="13.2"/>
    <row r="697" ht="13.2"/>
    <row r="698" ht="13.2"/>
    <row r="699" ht="13.2"/>
    <row r="700" ht="13.2"/>
    <row r="701" ht="13.2"/>
    <row r="702" ht="13.2"/>
    <row r="703" ht="13.2"/>
    <row r="704" ht="13.2"/>
    <row r="705" ht="13.2"/>
    <row r="706" ht="13.2"/>
    <row r="707" ht="13.2"/>
    <row r="708" ht="13.2"/>
    <row r="709" ht="13.2"/>
    <row r="710" ht="13.2"/>
    <row r="711" ht="13.2"/>
    <row r="712" ht="13.2"/>
    <row r="713" ht="13.2"/>
    <row r="714" ht="13.2"/>
    <row r="715" ht="13.2"/>
    <row r="716" ht="13.2"/>
    <row r="717" ht="13.2"/>
    <row r="718" ht="13.2"/>
    <row r="719" ht="13.2"/>
    <row r="720" ht="13.2"/>
    <row r="721" ht="13.2"/>
    <row r="722" ht="13.2"/>
    <row r="723" ht="13.2"/>
    <row r="724" ht="13.2"/>
    <row r="725" ht="13.2"/>
    <row r="726" ht="13.2"/>
    <row r="727" ht="13.2"/>
    <row r="728" ht="13.2"/>
    <row r="729" ht="13.2"/>
    <row r="730" ht="13.2"/>
    <row r="731" ht="13.2"/>
    <row r="732" ht="13.2"/>
    <row r="733" ht="13.2"/>
    <row r="734" ht="13.2"/>
    <row r="735" ht="13.2"/>
    <row r="736" ht="13.2"/>
    <row r="737" ht="13.2"/>
    <row r="738" ht="13.2"/>
    <row r="739" ht="13.2"/>
    <row r="740" ht="13.2"/>
    <row r="741" ht="13.2"/>
    <row r="742" ht="13.2"/>
    <row r="743" ht="13.2"/>
    <row r="744" ht="13.2"/>
    <row r="745" ht="13.2"/>
    <row r="746" ht="13.2"/>
    <row r="747" ht="13.2"/>
    <row r="748" ht="13.2"/>
    <row r="749" ht="13.2"/>
    <row r="750" ht="13.2"/>
    <row r="751" ht="13.2"/>
    <row r="752" ht="13.2"/>
    <row r="753" ht="13.2"/>
    <row r="754" ht="13.2"/>
    <row r="755" ht="13.2"/>
    <row r="756" ht="13.2"/>
    <row r="757" ht="13.2"/>
    <row r="758" ht="13.2"/>
    <row r="759" ht="13.2"/>
    <row r="760" ht="13.2"/>
    <row r="761" ht="13.2"/>
    <row r="762" ht="13.2"/>
    <row r="763" ht="13.2"/>
    <row r="764" ht="13.2"/>
    <row r="765" ht="13.2"/>
    <row r="766" ht="13.2"/>
    <row r="767" ht="13.2"/>
    <row r="768" ht="13.2"/>
    <row r="769" ht="13.2"/>
    <row r="770" ht="13.2"/>
    <row r="771" ht="13.2"/>
    <row r="772" ht="13.2"/>
    <row r="773" ht="13.2"/>
    <row r="774" ht="13.2"/>
    <row r="775" ht="13.2"/>
    <row r="776" ht="13.2"/>
    <row r="777" ht="13.2"/>
    <row r="778" ht="13.2"/>
    <row r="779" ht="13.2"/>
    <row r="780" ht="13.2"/>
    <row r="781" ht="13.2"/>
    <row r="782" ht="13.2"/>
    <row r="783" ht="13.2"/>
    <row r="784" ht="13.2"/>
    <row r="785" ht="13.2"/>
    <row r="786" ht="13.2"/>
    <row r="787" ht="13.2"/>
    <row r="788" ht="13.2"/>
    <row r="789" ht="13.2"/>
    <row r="790" ht="13.2"/>
    <row r="791" ht="13.2"/>
    <row r="792" ht="13.2"/>
    <row r="793" ht="13.2"/>
    <row r="794" ht="13.2"/>
    <row r="795" ht="13.2"/>
    <row r="796" ht="13.2"/>
    <row r="797" ht="13.2"/>
    <row r="798" ht="13.2"/>
    <row r="799" ht="13.2"/>
    <row r="800" ht="13.2"/>
    <row r="801" ht="13.2"/>
    <row r="802" ht="13.2"/>
    <row r="803" ht="13.2"/>
    <row r="804" ht="13.2"/>
    <row r="805" ht="13.2"/>
    <row r="806" ht="13.2"/>
    <row r="807" ht="13.2"/>
    <row r="808" ht="13.2"/>
    <row r="809" ht="13.2"/>
    <row r="810" ht="13.2"/>
    <row r="811" ht="13.2"/>
    <row r="812" ht="13.2"/>
    <row r="813" ht="13.2"/>
    <row r="814" ht="13.2"/>
    <row r="815" ht="13.2"/>
    <row r="816" ht="13.2"/>
    <row r="817" ht="13.2"/>
    <row r="818" ht="13.2"/>
    <row r="819" ht="13.2"/>
    <row r="820" ht="13.2"/>
    <row r="821" ht="13.2"/>
    <row r="822" ht="13.2"/>
    <row r="823" ht="13.2"/>
    <row r="824" ht="13.2"/>
    <row r="825" ht="13.2"/>
    <row r="826" ht="13.2"/>
    <row r="827" ht="13.2"/>
    <row r="828" ht="13.2"/>
    <row r="829" ht="13.2"/>
    <row r="830" ht="13.2"/>
    <row r="831" ht="13.2"/>
    <row r="832" ht="13.2"/>
    <row r="833" ht="13.2"/>
    <row r="834" ht="13.2"/>
    <row r="835" ht="13.2"/>
    <row r="836" ht="13.2"/>
    <row r="837" ht="13.2"/>
    <row r="838" ht="13.2"/>
    <row r="839" ht="13.2"/>
    <row r="840" ht="13.2"/>
    <row r="841" ht="13.2"/>
    <row r="842" ht="13.2"/>
    <row r="843" ht="13.2"/>
    <row r="844" ht="13.2"/>
    <row r="845" ht="13.2"/>
    <row r="846" ht="13.2"/>
    <row r="847" ht="13.2"/>
    <row r="848" ht="13.2"/>
    <row r="849" ht="13.2"/>
    <row r="850" ht="13.2"/>
    <row r="851" ht="13.2"/>
    <row r="852" ht="13.2"/>
    <row r="853" ht="13.2"/>
    <row r="854" ht="13.2"/>
    <row r="855" ht="13.2"/>
    <row r="856" ht="13.2"/>
    <row r="857" ht="13.2"/>
    <row r="858" ht="13.2"/>
    <row r="859" ht="13.2"/>
    <row r="860" ht="13.2"/>
    <row r="861" ht="13.2"/>
    <row r="862" ht="13.2"/>
    <row r="863" ht="13.2"/>
    <row r="864" ht="13.2"/>
    <row r="865" ht="13.2"/>
    <row r="866" ht="13.2"/>
    <row r="867" ht="13.2"/>
    <row r="868" ht="13.2"/>
    <row r="869" ht="13.2"/>
    <row r="870" ht="13.2"/>
    <row r="871" ht="13.2"/>
    <row r="872" ht="13.2"/>
    <row r="873" ht="13.2"/>
    <row r="874" ht="13.2"/>
    <row r="875" ht="13.2"/>
    <row r="876" ht="13.2"/>
    <row r="877" ht="13.2"/>
    <row r="878" ht="13.2"/>
    <row r="879" ht="13.2"/>
    <row r="880" ht="13.2"/>
    <row r="881" ht="13.2"/>
    <row r="882" ht="13.2"/>
    <row r="883" ht="13.2"/>
    <row r="884" ht="13.2"/>
    <row r="885" ht="13.2"/>
    <row r="886" ht="13.2"/>
    <row r="887" ht="13.2"/>
    <row r="888" ht="13.2"/>
    <row r="889" ht="13.2"/>
    <row r="890" ht="13.2"/>
    <row r="891" ht="13.2"/>
    <row r="892" ht="13.2"/>
    <row r="893" ht="13.2"/>
    <row r="894" ht="13.2"/>
    <row r="895" ht="13.2"/>
    <row r="896" ht="13.2"/>
    <row r="897" ht="13.2"/>
    <row r="898" ht="13.2"/>
    <row r="899" ht="13.2"/>
    <row r="900" ht="13.2"/>
    <row r="901" ht="13.2"/>
    <row r="902" ht="13.2"/>
    <row r="903" ht="13.2"/>
    <row r="904" ht="13.2"/>
    <row r="905" ht="13.2"/>
    <row r="906" ht="13.2"/>
    <row r="907" ht="13.2"/>
    <row r="908" ht="13.2"/>
    <row r="909" ht="13.2"/>
    <row r="910" ht="13.2"/>
    <row r="911" ht="13.2"/>
    <row r="912" ht="13.2"/>
    <row r="913" ht="13.2"/>
    <row r="914" ht="13.2"/>
    <row r="915" ht="13.2"/>
    <row r="916" ht="13.2"/>
    <row r="917" ht="13.2"/>
    <row r="918" ht="13.2"/>
    <row r="919" ht="13.2"/>
    <row r="920" ht="13.2"/>
    <row r="921" ht="13.2"/>
    <row r="922" ht="13.2"/>
    <row r="923" ht="13.2"/>
    <row r="924" ht="13.2"/>
    <row r="925" ht="13.2"/>
    <row r="926" ht="13.2"/>
    <row r="927" ht="13.2"/>
    <row r="928" ht="13.2"/>
    <row r="929" ht="13.2"/>
    <row r="930" ht="13.2"/>
    <row r="931" ht="13.2"/>
    <row r="932" ht="13.2"/>
    <row r="933" ht="13.2"/>
    <row r="934" ht="13.2"/>
    <row r="935" ht="13.2"/>
    <row r="936" ht="13.2"/>
    <row r="937" ht="13.2"/>
    <row r="938" ht="13.2"/>
    <row r="939" ht="13.2"/>
    <row r="940" ht="13.2"/>
    <row r="941" ht="13.2"/>
    <row r="942" ht="13.2"/>
    <row r="943" ht="13.2"/>
    <row r="944" ht="13.2"/>
    <row r="945" ht="13.2"/>
    <row r="946" ht="13.2"/>
    <row r="947" ht="13.2"/>
    <row r="948" ht="13.2"/>
    <row r="949" ht="13.2"/>
    <row r="950" ht="13.2"/>
    <row r="951" ht="13.2"/>
    <row r="952" ht="13.2"/>
    <row r="953" ht="13.2"/>
    <row r="954" ht="13.2"/>
    <row r="955" ht="13.2"/>
    <row r="956" ht="13.2"/>
    <row r="957" ht="13.2"/>
    <row r="958" ht="13.2"/>
    <row r="959" ht="13.2"/>
    <row r="960" ht="13.2"/>
    <row r="961" ht="13.2"/>
    <row r="962" ht="13.2"/>
    <row r="963" ht="13.2"/>
    <row r="964" ht="13.2"/>
    <row r="965" ht="13.2"/>
    <row r="966" ht="13.2"/>
    <row r="967" ht="13.2"/>
    <row r="968" ht="13.2"/>
    <row r="969" ht="13.2"/>
    <row r="970" ht="13.2"/>
    <row r="971" ht="13.2"/>
    <row r="972" ht="13.2"/>
    <row r="973" ht="13.2"/>
    <row r="974" ht="13.2"/>
    <row r="975" ht="13.2"/>
    <row r="976" ht="13.2"/>
    <row r="977" ht="13.2"/>
    <row r="978" ht="13.2"/>
    <row r="979" ht="13.2"/>
    <row r="980" ht="13.2"/>
    <row r="981" ht="13.2"/>
    <row r="982" ht="13.2"/>
    <row r="983" ht="13.2"/>
    <row r="984" ht="13.2"/>
    <row r="985" ht="13.2"/>
    <row r="986" ht="13.2"/>
    <row r="987" ht="13.2"/>
    <row r="988" ht="13.2"/>
    <row r="989" ht="13.2"/>
    <row r="990" ht="13.2"/>
    <row r="991" ht="13.2"/>
    <row r="992" ht="13.2"/>
    <row r="993" ht="13.2"/>
    <row r="994" ht="13.2"/>
    <row r="995" ht="13.2"/>
    <row r="996" ht="13.2"/>
    <row r="997" ht="13.2"/>
    <row r="998" ht="13.2"/>
    <row r="999" ht="13.2"/>
  </sheetData>
  <mergeCells count="18">
    <mergeCell ref="A98:F98"/>
    <mergeCell ref="A100:A101"/>
    <mergeCell ref="B31:F31"/>
    <mergeCell ref="B47:F47"/>
    <mergeCell ref="B71:F71"/>
    <mergeCell ref="A73:F73"/>
    <mergeCell ref="B100:F100"/>
    <mergeCell ref="A69:F69"/>
    <mergeCell ref="A71:A72"/>
    <mergeCell ref="A84:F84"/>
    <mergeCell ref="A85:F85"/>
    <mergeCell ref="A27:F27"/>
    <mergeCell ref="A31:A32"/>
    <mergeCell ref="A45:F45"/>
    <mergeCell ref="A47:A48"/>
    <mergeCell ref="A3:F3"/>
    <mergeCell ref="A15:F15"/>
    <mergeCell ref="A18:F1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workbookViewId="0">
      <selection activeCell="A30" sqref="A30"/>
    </sheetView>
  </sheetViews>
  <sheetFormatPr defaultColWidth="11.19921875" defaultRowHeight="15" customHeight="1"/>
  <cols>
    <col min="1" max="1" width="33.8984375" style="60" customWidth="1"/>
    <col min="2" max="2" width="10" customWidth="1"/>
    <col min="3" max="3" width="13" customWidth="1"/>
    <col min="4" max="4" width="18.69921875" customWidth="1"/>
    <col min="5" max="5" width="13.5" customWidth="1"/>
    <col min="6" max="10" width="6.796875" customWidth="1"/>
  </cols>
  <sheetData>
    <row r="1" spans="1:5" ht="15.6">
      <c r="A1" s="57" t="s">
        <v>24</v>
      </c>
    </row>
    <row r="2" spans="1:5" ht="15.6">
      <c r="A2" s="58" t="s">
        <v>25</v>
      </c>
      <c r="B2" s="7" t="s">
        <v>26</v>
      </c>
    </row>
    <row r="3" spans="1:5" ht="15.6">
      <c r="A3" s="103"/>
    </row>
    <row r="4" spans="1:5" ht="15.6">
      <c r="A4" s="58" t="s">
        <v>25</v>
      </c>
    </row>
    <row r="5" spans="1:5" ht="15.6">
      <c r="A5" s="59" t="s">
        <v>38</v>
      </c>
      <c r="B5">
        <v>200000</v>
      </c>
      <c r="C5">
        <f>CEILING(B5/План!$A$1,10)</f>
        <v>2230</v>
      </c>
      <c r="D5" s="8" t="s">
        <v>214</v>
      </c>
    </row>
    <row r="6" spans="1:5" ht="15.6">
      <c r="A6" s="59" t="s">
        <v>63</v>
      </c>
      <c r="B6">
        <v>180000</v>
      </c>
      <c r="C6">
        <f>CEILING(B6/План!$A$1,10)</f>
        <v>2000</v>
      </c>
      <c r="D6" s="8" t="s">
        <v>214</v>
      </c>
    </row>
    <row r="7" spans="1:5" ht="15" customHeight="1">
      <c r="A7" s="59" t="s">
        <v>192</v>
      </c>
      <c r="B7">
        <v>150000</v>
      </c>
      <c r="C7">
        <f>CEILING(B7/План!$A$1,10)</f>
        <v>1670</v>
      </c>
      <c r="D7" s="8" t="s">
        <v>214</v>
      </c>
    </row>
    <row r="8" spans="1:5" ht="15" customHeight="1">
      <c r="A8" s="59" t="s">
        <v>193</v>
      </c>
      <c r="B8">
        <v>130000</v>
      </c>
      <c r="C8">
        <f>CEILING(B8/План!$A$1,10)</f>
        <v>1450</v>
      </c>
      <c r="D8" s="8" t="s">
        <v>214</v>
      </c>
    </row>
    <row r="9" spans="1:5" ht="28.8">
      <c r="A9" s="59" t="s">
        <v>39</v>
      </c>
      <c r="B9">
        <v>200000</v>
      </c>
      <c r="C9">
        <f>CEILING(B9/План!$A$1,10)</f>
        <v>2230</v>
      </c>
      <c r="D9" s="8" t="s">
        <v>215</v>
      </c>
    </row>
    <row r="10" spans="1:5" ht="15.6">
      <c r="A10" s="59" t="s">
        <v>40</v>
      </c>
      <c r="B10">
        <v>180000</v>
      </c>
      <c r="C10">
        <f>CEILING(B10/План!$A$1,10)</f>
        <v>2000</v>
      </c>
      <c r="D10" s="8" t="s">
        <v>215</v>
      </c>
    </row>
    <row r="11" spans="1:5" ht="27" customHeight="1">
      <c r="A11" s="59" t="s">
        <v>81</v>
      </c>
      <c r="B11">
        <v>100000</v>
      </c>
      <c r="C11">
        <f>CEILING(B11/План!$A$1,10)</f>
        <v>1120</v>
      </c>
      <c r="D11" s="8" t="s">
        <v>215</v>
      </c>
      <c r="E11" t="s">
        <v>262</v>
      </c>
    </row>
    <row r="12" spans="1:5" ht="22.8" customHeight="1">
      <c r="A12" s="59" t="s">
        <v>76</v>
      </c>
      <c r="B12">
        <v>180000</v>
      </c>
      <c r="C12">
        <f>CEILING(B12/План!$A$1,10)</f>
        <v>2000</v>
      </c>
      <c r="D12" s="8" t="s">
        <v>215</v>
      </c>
      <c r="E12" t="s">
        <v>262</v>
      </c>
    </row>
    <row r="13" spans="1:5" ht="26.4" customHeight="1">
      <c r="A13" s="59" t="s">
        <v>462</v>
      </c>
      <c r="B13">
        <v>200000</v>
      </c>
      <c r="C13">
        <f>CEILING(B13/План!$A$1,10)</f>
        <v>2230</v>
      </c>
      <c r="D13" s="8" t="s">
        <v>215</v>
      </c>
    </row>
    <row r="14" spans="1:5" ht="22.8" customHeight="1">
      <c r="A14" s="59" t="s">
        <v>78</v>
      </c>
      <c r="B14">
        <v>150000</v>
      </c>
      <c r="C14">
        <f>CEILING(B14/План!$A$1,10)</f>
        <v>1670</v>
      </c>
      <c r="D14" s="8" t="s">
        <v>215</v>
      </c>
    </row>
    <row r="15" spans="1:5" ht="22.8" customHeight="1">
      <c r="A15" s="59" t="s">
        <v>79</v>
      </c>
      <c r="B15">
        <v>150000</v>
      </c>
      <c r="C15">
        <f>CEILING(B15/План!$A$1,10)</f>
        <v>1670</v>
      </c>
      <c r="D15" s="8" t="s">
        <v>215</v>
      </c>
    </row>
    <row r="16" spans="1:5" ht="22.8" customHeight="1">
      <c r="A16" s="59" t="s">
        <v>80</v>
      </c>
      <c r="B16">
        <v>150000</v>
      </c>
      <c r="C16">
        <f>CEILING(B16/План!$A$1,10)</f>
        <v>1670</v>
      </c>
      <c r="D16" s="8" t="s">
        <v>215</v>
      </c>
    </row>
    <row r="17" spans="1:5" ht="22.8" customHeight="1">
      <c r="A17" s="59" t="s">
        <v>77</v>
      </c>
      <c r="B17">
        <v>180000</v>
      </c>
      <c r="C17">
        <f>CEILING(B17/План!$A$1,10)</f>
        <v>2000</v>
      </c>
      <c r="D17" s="8" t="s">
        <v>215</v>
      </c>
      <c r="E17" t="s">
        <v>262</v>
      </c>
    </row>
    <row r="18" spans="1:5" ht="22.8" customHeight="1">
      <c r="A18" s="59" t="s">
        <v>461</v>
      </c>
      <c r="B18">
        <v>250000</v>
      </c>
      <c r="C18">
        <f>CEILING(B18/План!$A$1,10)</f>
        <v>2780</v>
      </c>
      <c r="D18" s="8" t="s">
        <v>215</v>
      </c>
      <c r="E18" s="8" t="s">
        <v>262</v>
      </c>
    </row>
    <row r="19" spans="1:5" ht="26.4" customHeight="1">
      <c r="A19" s="59" t="s">
        <v>260</v>
      </c>
      <c r="B19">
        <v>200000</v>
      </c>
      <c r="C19">
        <f>CEILING(B19/План!$A$1,10)</f>
        <v>2230</v>
      </c>
      <c r="D19" s="8" t="s">
        <v>261</v>
      </c>
    </row>
    <row r="20" spans="1:5" ht="25.05" customHeight="1">
      <c r="A20" s="59" t="s">
        <v>43</v>
      </c>
      <c r="B20">
        <v>350000</v>
      </c>
      <c r="C20">
        <f>CEILING(B20/План!$A$1,10)</f>
        <v>3890</v>
      </c>
      <c r="D20" t="s">
        <v>261</v>
      </c>
      <c r="E20" t="s">
        <v>265</v>
      </c>
    </row>
    <row r="21" spans="1:5" ht="25.05" customHeight="1">
      <c r="A21" s="59" t="s">
        <v>67</v>
      </c>
      <c r="B21">
        <v>80000</v>
      </c>
      <c r="C21">
        <f>CEILING(B21/План!$A$1,10)</f>
        <v>890</v>
      </c>
      <c r="D21" t="s">
        <v>261</v>
      </c>
    </row>
    <row r="22" spans="1:5" ht="15" customHeight="1">
      <c r="A22" s="59" t="s">
        <v>196</v>
      </c>
      <c r="B22">
        <v>80000</v>
      </c>
      <c r="C22">
        <f>CEILING(B22/План!$A$1,10)</f>
        <v>890</v>
      </c>
      <c r="D22" t="s">
        <v>261</v>
      </c>
    </row>
    <row r="23" spans="1:5" ht="15" customHeight="1">
      <c r="A23" s="59" t="s">
        <v>268</v>
      </c>
      <c r="B23">
        <v>120000</v>
      </c>
      <c r="C23">
        <f>CEILING(B23/План!$A$1,10)</f>
        <v>1340</v>
      </c>
      <c r="D23" t="s">
        <v>261</v>
      </c>
    </row>
    <row r="24" spans="1:5" ht="22.8" customHeight="1">
      <c r="A24" s="59" t="s">
        <v>75</v>
      </c>
      <c r="B24">
        <v>170000</v>
      </c>
      <c r="C24">
        <f>CEILING(B24/План!$A$1,10)</f>
        <v>1890</v>
      </c>
      <c r="D24" s="8" t="s">
        <v>263</v>
      </c>
    </row>
    <row r="25" spans="1:5" ht="36.6" customHeight="1">
      <c r="A25" s="59" t="s">
        <v>64</v>
      </c>
      <c r="B25">
        <v>150000</v>
      </c>
      <c r="C25">
        <f>CEILING(B25/План!$A$1,10)</f>
        <v>1670</v>
      </c>
      <c r="D25" s="8" t="s">
        <v>263</v>
      </c>
    </row>
    <row r="26" spans="1:5" ht="24" customHeight="1">
      <c r="A26" s="59" t="s">
        <v>65</v>
      </c>
      <c r="B26">
        <v>120000</v>
      </c>
      <c r="C26">
        <f>CEILING(B26/План!$A$1,10)</f>
        <v>1340</v>
      </c>
      <c r="D26" t="s">
        <v>263</v>
      </c>
    </row>
    <row r="27" spans="1:5" ht="36.6" customHeight="1">
      <c r="A27" s="59" t="s">
        <v>267</v>
      </c>
      <c r="B27">
        <v>100000</v>
      </c>
      <c r="C27">
        <f>CEILING(B27/План!$A$1,10)</f>
        <v>1120</v>
      </c>
      <c r="D27" s="8" t="s">
        <v>263</v>
      </c>
    </row>
    <row r="28" spans="1:5" ht="15" customHeight="1">
      <c r="A28" s="59" t="s">
        <v>191</v>
      </c>
      <c r="B28">
        <v>50000</v>
      </c>
      <c r="C28">
        <f>CEILING(B28/План!$A$1,10)</f>
        <v>560</v>
      </c>
      <c r="D28" t="s">
        <v>263</v>
      </c>
    </row>
    <row r="29" spans="1:5" ht="15" customHeight="1">
      <c r="A29" s="59" t="s">
        <v>515</v>
      </c>
      <c r="B29">
        <v>70000</v>
      </c>
      <c r="C29">
        <f>CEILING(B29/План!$A$1,10)</f>
        <v>780</v>
      </c>
      <c r="D29" t="s">
        <v>263</v>
      </c>
    </row>
    <row r="30" spans="1:5" ht="24" customHeight="1">
      <c r="A30" s="59" t="s">
        <v>41</v>
      </c>
      <c r="B30">
        <v>200000</v>
      </c>
      <c r="C30">
        <f>CEILING(B30/План!$A$1,10)</f>
        <v>2230</v>
      </c>
      <c r="D30" t="s">
        <v>263</v>
      </c>
    </row>
    <row r="31" spans="1:5" ht="26.4" customHeight="1">
      <c r="A31" s="59" t="s">
        <v>42</v>
      </c>
      <c r="B31">
        <v>170000</v>
      </c>
      <c r="C31">
        <f>CEILING(B31/План!$A$1,10)</f>
        <v>1890</v>
      </c>
      <c r="D31" t="s">
        <v>263</v>
      </c>
    </row>
    <row r="32" spans="1:5" ht="24" customHeight="1">
      <c r="A32" s="59" t="s">
        <v>505</v>
      </c>
      <c r="B32">
        <v>250000</v>
      </c>
      <c r="C32">
        <f>CEILING(B32/План!$A$1,10)</f>
        <v>2780</v>
      </c>
      <c r="D32" t="s">
        <v>263</v>
      </c>
    </row>
    <row r="33" spans="1:4" ht="26.4" customHeight="1">
      <c r="A33" s="59" t="s">
        <v>506</v>
      </c>
      <c r="B33">
        <v>250000</v>
      </c>
      <c r="C33">
        <f>CEILING(B33/План!$A$1,10)</f>
        <v>2780</v>
      </c>
      <c r="D33" t="s">
        <v>263</v>
      </c>
    </row>
    <row r="34" spans="1:4" ht="24" customHeight="1">
      <c r="A34" s="59" t="s">
        <v>69</v>
      </c>
      <c r="B34">
        <v>180000</v>
      </c>
      <c r="C34">
        <f>CEILING(B34/План!$A$1,10)</f>
        <v>2000</v>
      </c>
      <c r="D34" t="s">
        <v>263</v>
      </c>
    </row>
    <row r="35" spans="1:4" ht="26.4" customHeight="1">
      <c r="A35" s="59" t="s">
        <v>70</v>
      </c>
      <c r="B35">
        <v>170000</v>
      </c>
      <c r="C35">
        <f>CEILING(B35/План!$A$1,10)</f>
        <v>1890</v>
      </c>
      <c r="D35" t="s">
        <v>263</v>
      </c>
    </row>
    <row r="36" spans="1:4" ht="29.4" customHeight="1">
      <c r="A36" s="59" t="s">
        <v>66</v>
      </c>
      <c r="B36">
        <v>150000</v>
      </c>
      <c r="C36">
        <f>CEILING(B36/План!$A$1,10)</f>
        <v>1670</v>
      </c>
      <c r="D36" t="s">
        <v>264</v>
      </c>
    </row>
    <row r="37" spans="1:4" ht="15" customHeight="1">
      <c r="A37" s="59" t="s">
        <v>270</v>
      </c>
      <c r="B37">
        <v>120000</v>
      </c>
      <c r="C37">
        <f>CEILING(B37/План!$A$1,10)</f>
        <v>1340</v>
      </c>
      <c r="D37" t="s">
        <v>264</v>
      </c>
    </row>
    <row r="38" spans="1:4" ht="15" customHeight="1">
      <c r="A38" s="59" t="s">
        <v>68</v>
      </c>
      <c r="B38">
        <v>150000</v>
      </c>
      <c r="C38">
        <f>CEILING(B38/План!$A$1,10)</f>
        <v>1670</v>
      </c>
      <c r="D38" t="s">
        <v>264</v>
      </c>
    </row>
    <row r="39" spans="1:4" ht="15" customHeight="1">
      <c r="A39" s="59" t="s">
        <v>507</v>
      </c>
      <c r="B39">
        <v>200000</v>
      </c>
      <c r="C39">
        <f>CEILING(B39/План!$A$1,10)</f>
        <v>2230</v>
      </c>
      <c r="D39" t="s">
        <v>264</v>
      </c>
    </row>
    <row r="40" spans="1:4" ht="15" customHeight="1">
      <c r="A40" s="59" t="s">
        <v>71</v>
      </c>
      <c r="B40">
        <v>80000</v>
      </c>
      <c r="C40">
        <f>CEILING(B40/План!$A$1,10)</f>
        <v>890</v>
      </c>
      <c r="D40" t="s">
        <v>264</v>
      </c>
    </row>
  </sheetData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94"/>
  <sheetViews>
    <sheetView zoomScale="115" zoomScaleNormal="115" workbookViewId="0">
      <selection activeCell="B5" sqref="B5"/>
    </sheetView>
  </sheetViews>
  <sheetFormatPr defaultColWidth="15.59765625" defaultRowHeight="15" customHeight="1"/>
  <cols>
    <col min="1" max="1" width="37.69921875" style="123" customWidth="1"/>
    <col min="2" max="6" width="12.5" style="123" customWidth="1"/>
    <col min="7" max="7" width="10.296875" style="123" customWidth="1"/>
    <col min="8" max="15" width="8" style="123" customWidth="1"/>
    <col min="16" max="24" width="15.3984375" style="123" customWidth="1"/>
    <col min="25" max="16384" width="15.59765625" style="123"/>
  </cols>
  <sheetData>
    <row r="1" spans="1:8" ht="14.25" customHeight="1">
      <c r="A1" s="128"/>
      <c r="B1" s="128"/>
      <c r="C1" s="128"/>
      <c r="D1" s="128"/>
      <c r="E1" s="128"/>
      <c r="F1" s="128"/>
      <c r="G1" s="128"/>
      <c r="H1" s="128"/>
    </row>
    <row r="2" spans="1:8" ht="22.5" customHeight="1">
      <c r="A2" s="809" t="s">
        <v>277</v>
      </c>
      <c r="B2" s="810"/>
      <c r="C2" s="810"/>
      <c r="D2" s="810"/>
      <c r="E2" s="810"/>
      <c r="F2" s="810"/>
      <c r="G2" s="137"/>
      <c r="H2" s="128"/>
    </row>
    <row r="3" spans="1:8" ht="12.75" customHeight="1">
      <c r="A3" s="138" t="s">
        <v>217</v>
      </c>
      <c r="B3" s="287">
        <v>2024</v>
      </c>
      <c r="C3" s="287">
        <v>2025</v>
      </c>
      <c r="D3" s="287">
        <v>2026</v>
      </c>
      <c r="E3" s="287">
        <v>2027</v>
      </c>
      <c r="F3" s="287">
        <v>2028</v>
      </c>
      <c r="G3" s="137"/>
      <c r="H3" s="128"/>
    </row>
    <row r="4" spans="1:8" ht="14.25" customHeight="1">
      <c r="A4" s="322" t="s">
        <v>281</v>
      </c>
      <c r="B4" s="129">
        <f>SUM(План!B173:E173)+SUM(План!B174:E174)</f>
        <v>-7555.6</v>
      </c>
      <c r="C4" s="129">
        <f>SUM(План!F173:I173)+SUM(План!F174:I174)</f>
        <v>-15976.933333333334</v>
      </c>
      <c r="D4" s="129">
        <f>SUM(План!J173:M173)+SUM(План!J174:M174)</f>
        <v>-71908.2</v>
      </c>
      <c r="E4" s="129">
        <f>SUM(План!N173:Q173)+SUM(План!N174:Q174)</f>
        <v>-472880</v>
      </c>
      <c r="F4" s="129">
        <f>SUM(План!R173:U173)+SUM(План!R174:U174)</f>
        <v>-4088168.8</v>
      </c>
      <c r="G4" s="128">
        <f>SUM(B4:F4)</f>
        <v>-4656489.5333333332</v>
      </c>
      <c r="H4" s="128"/>
    </row>
    <row r="5" spans="1:8" ht="36" customHeight="1">
      <c r="A5" s="323" t="s">
        <v>282</v>
      </c>
      <c r="B5" s="129">
        <f>SUM(План!B175:E175)</f>
        <v>-659</v>
      </c>
      <c r="C5" s="129">
        <f>SUM(План!F175:I175)</f>
        <v>-3522.1875</v>
      </c>
      <c r="D5" s="129">
        <f>SUM(План!J175:M175)</f>
        <v>-17831.07421875</v>
      </c>
      <c r="E5" s="129">
        <f>SUM(План!N175:Q175)</f>
        <v>-90269.813232421875</v>
      </c>
      <c r="F5" s="129">
        <f>SUM(План!R175:U175)</f>
        <v>-456990.92948913574</v>
      </c>
      <c r="G5" s="128">
        <f>SUM(B5:F5)</f>
        <v>-569273.00444030762</v>
      </c>
      <c r="H5" s="128"/>
    </row>
    <row r="6" spans="1:8" ht="51.6" customHeight="1">
      <c r="A6" s="323" t="s">
        <v>285</v>
      </c>
      <c r="B6" s="129">
        <f>SUM(План!B176:E176)</f>
        <v>-682</v>
      </c>
      <c r="C6" s="129">
        <f>SUM(План!F176:I176)</f>
        <v>-682.22222222222217</v>
      </c>
      <c r="D6" s="129">
        <f>SUM(План!J176:M176)</f>
        <v>-682.22222222222217</v>
      </c>
      <c r="E6" s="129">
        <f>SUM(План!N176:Q176)</f>
        <v>-682.22222222222217</v>
      </c>
      <c r="F6" s="129">
        <f>SUM(План!R176:U176)</f>
        <v>-1142.2222222222222</v>
      </c>
      <c r="G6" s="128">
        <f>SUM(B6:F6)</f>
        <v>-3870.8888888888887</v>
      </c>
      <c r="H6" s="128"/>
    </row>
    <row r="7" spans="1:8" ht="45.75" customHeight="1">
      <c r="A7" s="291" t="s">
        <v>278</v>
      </c>
      <c r="B7" s="300">
        <f>SUM(B4:B6)</f>
        <v>-8896.6</v>
      </c>
      <c r="C7" s="300">
        <f t="shared" ref="C7:F7" si="0">SUM(C4:C6)</f>
        <v>-20181.343055555557</v>
      </c>
      <c r="D7" s="300">
        <f t="shared" si="0"/>
        <v>-90421.496440972216</v>
      </c>
      <c r="E7" s="300">
        <f t="shared" si="0"/>
        <v>-563832.03545464412</v>
      </c>
      <c r="F7" s="300">
        <f t="shared" si="0"/>
        <v>-4546301.9517113576</v>
      </c>
      <c r="G7" s="128">
        <f t="shared" ref="G7" si="1">SUM(B7:F7)</f>
        <v>-5229633.4266625298</v>
      </c>
      <c r="H7" s="256"/>
    </row>
    <row r="8" spans="1:8" ht="13.5" customHeight="1" thickBot="1">
      <c r="A8" s="324" t="s">
        <v>279</v>
      </c>
      <c r="B8" s="122"/>
      <c r="C8" s="122"/>
      <c r="D8" s="122"/>
      <c r="E8" s="122"/>
      <c r="F8" s="122"/>
      <c r="G8" s="122"/>
      <c r="H8" s="122"/>
    </row>
    <row r="9" spans="1:8" ht="13.5" customHeight="1" thickBot="1">
      <c r="A9" s="301" t="s">
        <v>280</v>
      </c>
      <c r="B9" s="302">
        <f>-CAPEX!B12*20%</f>
        <v>21914.444444444445</v>
      </c>
      <c r="C9" s="302">
        <f>-CAPEX!C12*20%+B9</f>
        <v>58006.444444444445</v>
      </c>
      <c r="D9" s="302">
        <f>-CAPEX!D12*20%+C9</f>
        <v>80858.444444444438</v>
      </c>
      <c r="E9" s="302">
        <f>-CAPEX!E12*20%+D9</f>
        <v>148110.44444444444</v>
      </c>
      <c r="F9" s="302">
        <f>-CAPEX!F12*20%+E9</f>
        <v>214167.11111111112</v>
      </c>
      <c r="G9" s="122"/>
      <c r="H9" s="122"/>
    </row>
    <row r="10" spans="1:8" ht="12.75" customHeight="1">
      <c r="A10" s="122"/>
      <c r="B10" s="122"/>
      <c r="C10" s="122"/>
      <c r="D10" s="122"/>
      <c r="E10" s="122"/>
      <c r="F10" s="122"/>
      <c r="G10" s="122"/>
      <c r="H10" s="122"/>
    </row>
    <row r="11" spans="1:8" ht="12.75" customHeight="1">
      <c r="A11" s="122"/>
      <c r="B11" s="122"/>
      <c r="C11" s="122"/>
      <c r="D11" s="122"/>
      <c r="E11" s="122"/>
      <c r="F11" s="122"/>
      <c r="G11" s="122"/>
      <c r="H11" s="122"/>
    </row>
    <row r="12" spans="1:8" ht="12.75" customHeight="1">
      <c r="A12" s="122"/>
      <c r="B12" s="122"/>
      <c r="C12" s="122"/>
      <c r="D12" s="122"/>
      <c r="E12" s="122"/>
      <c r="F12" s="122"/>
      <c r="G12" s="122"/>
      <c r="H12" s="122"/>
    </row>
    <row r="13" spans="1:8" ht="12.75" customHeight="1">
      <c r="A13" s="122"/>
      <c r="B13" s="122"/>
      <c r="C13" s="122"/>
      <c r="D13" s="122"/>
      <c r="E13" s="122"/>
      <c r="F13" s="122"/>
      <c r="G13" s="122"/>
      <c r="H13" s="122"/>
    </row>
    <row r="14" spans="1:8" ht="12.75" customHeight="1">
      <c r="A14" s="122"/>
      <c r="B14" s="122"/>
      <c r="C14" s="122"/>
      <c r="D14" s="122"/>
      <c r="E14" s="122"/>
      <c r="F14" s="122"/>
      <c r="G14" s="122"/>
      <c r="H14" s="122"/>
    </row>
    <row r="15" spans="1:8" ht="12.75" customHeight="1">
      <c r="A15" s="122"/>
      <c r="B15" s="122"/>
      <c r="C15" s="122"/>
      <c r="D15" s="122"/>
      <c r="E15" s="122"/>
      <c r="F15" s="122"/>
      <c r="G15" s="122"/>
      <c r="H15" s="122"/>
    </row>
    <row r="16" spans="1:8" ht="13.2"/>
    <row r="17" ht="13.2"/>
    <row r="18" ht="13.2"/>
    <row r="19" ht="13.2"/>
    <row r="20" ht="13.2"/>
    <row r="21" ht="13.2"/>
    <row r="22" ht="13.2"/>
    <row r="23" ht="13.2"/>
    <row r="24" ht="13.2"/>
    <row r="25" ht="13.2"/>
    <row r="26" ht="13.2"/>
    <row r="27" ht="13.2"/>
    <row r="28" ht="13.2"/>
    <row r="29" ht="13.2"/>
    <row r="30" ht="13.2"/>
    <row r="31" ht="13.2"/>
    <row r="32" ht="13.2"/>
    <row r="33" ht="13.2"/>
    <row r="34" ht="13.2"/>
    <row r="35" ht="13.2"/>
    <row r="36" ht="13.2"/>
    <row r="37" ht="13.2"/>
    <row r="38" ht="13.2"/>
    <row r="39" ht="13.2"/>
    <row r="40" ht="13.2"/>
    <row r="41" ht="13.2"/>
    <row r="42" ht="13.2"/>
    <row r="43" ht="13.2"/>
    <row r="44" ht="13.2"/>
    <row r="45" ht="13.2"/>
    <row r="46" ht="13.2"/>
    <row r="47" ht="13.2"/>
    <row r="48" ht="13.2"/>
    <row r="49" ht="13.2"/>
    <row r="50" ht="13.2"/>
    <row r="51" ht="13.2"/>
    <row r="52" ht="13.2"/>
    <row r="53" ht="13.2"/>
    <row r="54" ht="13.2"/>
    <row r="55" ht="13.2"/>
    <row r="56" ht="13.2"/>
    <row r="57" ht="13.2"/>
    <row r="58" ht="13.2"/>
    <row r="59" ht="13.2"/>
    <row r="60" ht="13.2"/>
    <row r="61" ht="13.2"/>
    <row r="62" ht="13.2"/>
    <row r="63" ht="13.2"/>
    <row r="64" ht="13.2"/>
    <row r="65" ht="13.2"/>
    <row r="66" ht="13.2"/>
    <row r="67" ht="13.2"/>
    <row r="68" ht="13.2"/>
    <row r="69" ht="13.2"/>
    <row r="70" ht="13.2"/>
    <row r="71" ht="13.2"/>
    <row r="72" ht="13.2"/>
    <row r="73" ht="13.2"/>
    <row r="74" ht="13.2"/>
    <row r="75" ht="13.2"/>
    <row r="76" ht="13.2"/>
    <row r="77" ht="13.2"/>
    <row r="78" ht="13.2"/>
    <row r="79" ht="13.2"/>
    <row r="80" ht="13.2"/>
    <row r="81" ht="13.2"/>
    <row r="82" ht="13.2"/>
    <row r="83" ht="13.2"/>
    <row r="84" ht="13.2"/>
    <row r="85" ht="13.2"/>
    <row r="86" ht="13.2"/>
    <row r="87" ht="13.2"/>
    <row r="88" ht="13.2"/>
    <row r="89" ht="13.2"/>
    <row r="90" ht="13.2"/>
    <row r="91" ht="13.2"/>
    <row r="92" ht="13.2"/>
    <row r="93" ht="13.2"/>
    <row r="94" ht="13.2"/>
    <row r="95" ht="13.2"/>
    <row r="96" ht="13.2"/>
    <row r="97" ht="13.2"/>
    <row r="98" ht="13.2"/>
    <row r="99" ht="13.2"/>
    <row r="100" ht="13.2"/>
    <row r="101" ht="13.2"/>
    <row r="102" ht="13.2"/>
    <row r="103" ht="13.2"/>
    <row r="104" ht="13.2"/>
    <row r="105" ht="13.2"/>
    <row r="106" ht="13.2"/>
    <row r="107" ht="13.2"/>
    <row r="108" ht="13.2"/>
    <row r="109" ht="13.2"/>
    <row r="110" ht="13.2"/>
    <row r="111" ht="13.2"/>
    <row r="112" ht="13.2"/>
    <row r="113" ht="13.2"/>
    <row r="114" ht="13.2"/>
    <row r="115" ht="13.2"/>
    <row r="116" ht="13.2"/>
    <row r="117" ht="13.2"/>
    <row r="118" ht="13.2"/>
    <row r="119" ht="13.2"/>
    <row r="120" ht="13.2"/>
    <row r="121" ht="13.2"/>
    <row r="122" ht="13.2"/>
    <row r="123" ht="13.2"/>
    <row r="124" ht="13.2"/>
    <row r="125" ht="13.2"/>
    <row r="126" ht="13.2"/>
    <row r="127" ht="13.2"/>
    <row r="128" ht="13.2"/>
    <row r="129" ht="13.2"/>
    <row r="130" ht="13.2"/>
    <row r="131" ht="13.2"/>
    <row r="132" ht="13.2"/>
    <row r="133" ht="13.2"/>
    <row r="134" ht="13.2"/>
    <row r="135" ht="13.2"/>
    <row r="136" ht="13.2"/>
    <row r="137" ht="13.2"/>
    <row r="138" ht="13.2"/>
    <row r="139" ht="13.2"/>
    <row r="140" ht="13.2"/>
    <row r="141" ht="13.2"/>
    <row r="142" ht="13.2"/>
    <row r="143" ht="13.2"/>
    <row r="144" ht="13.2"/>
    <row r="145" ht="13.2"/>
    <row r="146" ht="13.2"/>
    <row r="147" ht="13.2"/>
    <row r="148" ht="13.2"/>
    <row r="149" ht="13.2"/>
    <row r="150" ht="13.2"/>
    <row r="151" ht="13.2"/>
    <row r="152" ht="13.2"/>
    <row r="153" ht="13.2"/>
    <row r="154" ht="13.2"/>
    <row r="155" ht="13.2"/>
    <row r="156" ht="13.2"/>
    <row r="157" ht="13.2"/>
    <row r="158" ht="13.2"/>
    <row r="159" ht="13.2"/>
    <row r="160" ht="13.2"/>
    <row r="161" ht="13.2"/>
    <row r="162" ht="13.2"/>
    <row r="163" ht="13.2"/>
    <row r="164" ht="13.2"/>
    <row r="165" ht="13.2"/>
    <row r="166" ht="13.2"/>
    <row r="167" ht="13.2"/>
    <row r="168" ht="13.2"/>
    <row r="169" ht="13.2"/>
    <row r="170" ht="13.2"/>
    <row r="171" ht="13.2"/>
    <row r="172" ht="13.2"/>
    <row r="173" ht="13.2"/>
    <row r="174" ht="13.2"/>
    <row r="175" ht="13.2"/>
    <row r="176" ht="13.2"/>
    <row r="177" ht="13.2"/>
    <row r="178" ht="13.2"/>
    <row r="179" ht="13.2"/>
    <row r="180" ht="13.2"/>
    <row r="181" ht="13.2"/>
    <row r="182" ht="13.2"/>
    <row r="183" ht="13.2"/>
    <row r="184" ht="13.2"/>
    <row r="185" ht="13.2"/>
    <row r="186" ht="13.2"/>
    <row r="187" ht="13.2"/>
    <row r="188" ht="13.2"/>
    <row r="189" ht="13.2"/>
    <row r="190" ht="13.2"/>
    <row r="191" ht="13.2"/>
    <row r="192" ht="13.2"/>
    <row r="193" ht="13.2"/>
    <row r="194" ht="13.2"/>
    <row r="195" ht="13.2"/>
    <row r="196" ht="13.2"/>
    <row r="197" ht="13.2"/>
    <row r="198" ht="13.2"/>
    <row r="199" ht="13.2"/>
    <row r="200" ht="13.2"/>
    <row r="201" ht="13.2"/>
    <row r="202" ht="13.2"/>
    <row r="203" ht="13.2"/>
    <row r="204" ht="13.2"/>
    <row r="205" ht="13.2"/>
    <row r="206" ht="13.2"/>
    <row r="207" ht="13.2"/>
    <row r="208" ht="13.2"/>
    <row r="209" ht="13.2"/>
    <row r="210" ht="13.2"/>
    <row r="211" ht="13.2"/>
    <row r="212" ht="13.2"/>
    <row r="213" ht="13.2"/>
    <row r="214" ht="13.2"/>
    <row r="215" ht="13.2"/>
    <row r="216" ht="13.2"/>
    <row r="217" ht="13.2"/>
    <row r="218" ht="13.2"/>
    <row r="219" ht="13.2"/>
    <row r="220" ht="13.2"/>
    <row r="221" ht="13.2"/>
    <row r="222" ht="13.2"/>
    <row r="223" ht="13.2"/>
    <row r="224" ht="13.2"/>
    <row r="225" ht="13.2"/>
    <row r="226" ht="13.2"/>
    <row r="227" ht="13.2"/>
    <row r="228" ht="13.2"/>
    <row r="229" ht="13.2"/>
    <row r="230" ht="13.2"/>
    <row r="231" ht="13.2"/>
    <row r="232" ht="13.2"/>
    <row r="233" ht="13.2"/>
    <row r="234" ht="13.2"/>
    <row r="235" ht="13.2"/>
    <row r="236" ht="13.2"/>
    <row r="237" ht="13.2"/>
    <row r="238" ht="13.2"/>
    <row r="239" ht="13.2"/>
    <row r="240" ht="13.2"/>
    <row r="241" ht="13.2"/>
    <row r="242" ht="13.2"/>
    <row r="243" ht="13.2"/>
    <row r="244" ht="13.2"/>
    <row r="245" ht="13.2"/>
    <row r="246" ht="13.2"/>
    <row r="247" ht="13.2"/>
    <row r="248" ht="13.2"/>
    <row r="249" ht="13.2"/>
    <row r="250" ht="13.2"/>
    <row r="251" ht="13.2"/>
    <row r="252" ht="13.2"/>
    <row r="253" ht="13.2"/>
    <row r="254" ht="13.2"/>
    <row r="255" ht="13.2"/>
    <row r="256" ht="13.2"/>
    <row r="257" ht="13.2"/>
    <row r="258" ht="13.2"/>
    <row r="259" ht="13.2"/>
    <row r="260" ht="13.2"/>
    <row r="261" ht="13.2"/>
    <row r="262" ht="13.2"/>
    <row r="263" ht="13.2"/>
    <row r="264" ht="13.2"/>
    <row r="265" ht="13.2"/>
    <row r="266" ht="13.2"/>
    <row r="267" ht="13.2"/>
    <row r="268" ht="13.2"/>
    <row r="269" ht="13.2"/>
    <row r="270" ht="13.2"/>
    <row r="271" ht="13.2"/>
    <row r="272" ht="13.2"/>
    <row r="273" ht="13.2"/>
    <row r="274" ht="13.2"/>
    <row r="275" ht="13.2"/>
    <row r="276" ht="13.2"/>
    <row r="277" ht="13.2"/>
    <row r="278" ht="13.2"/>
    <row r="279" ht="13.2"/>
    <row r="280" ht="13.2"/>
    <row r="281" ht="13.2"/>
    <row r="282" ht="13.2"/>
    <row r="283" ht="13.2"/>
    <row r="284" ht="13.2"/>
    <row r="285" ht="13.2"/>
    <row r="286" ht="13.2"/>
    <row r="287" ht="13.2"/>
    <row r="288" ht="13.2"/>
    <row r="289" ht="13.2"/>
    <row r="290" ht="13.2"/>
    <row r="291" ht="13.2"/>
    <row r="292" ht="13.2"/>
    <row r="293" ht="13.2"/>
    <row r="294" ht="13.2"/>
    <row r="295" ht="13.2"/>
    <row r="296" ht="13.2"/>
    <row r="297" ht="13.2"/>
    <row r="298" ht="13.2"/>
    <row r="299" ht="13.2"/>
    <row r="300" ht="13.2"/>
    <row r="301" ht="13.2"/>
    <row r="302" ht="13.2"/>
    <row r="303" ht="13.2"/>
    <row r="304" ht="13.2"/>
    <row r="305" ht="13.2"/>
    <row r="306" ht="13.2"/>
    <row r="307" ht="13.2"/>
    <row r="308" ht="13.2"/>
    <row r="309" ht="13.2"/>
    <row r="310" ht="13.2"/>
    <row r="311" ht="13.2"/>
    <row r="312" ht="13.2"/>
    <row r="313" ht="13.2"/>
    <row r="314" ht="13.2"/>
    <row r="315" ht="13.2"/>
    <row r="316" ht="13.2"/>
    <row r="317" ht="13.2"/>
    <row r="318" ht="13.2"/>
    <row r="319" ht="13.2"/>
    <row r="320" ht="13.2"/>
    <row r="321" ht="13.2"/>
    <row r="322" ht="13.2"/>
    <row r="323" ht="13.2"/>
    <row r="324" ht="13.2"/>
    <row r="325" ht="13.2"/>
    <row r="326" ht="13.2"/>
    <row r="327" ht="13.2"/>
    <row r="328" ht="13.2"/>
    <row r="329" ht="13.2"/>
    <row r="330" ht="13.2"/>
    <row r="331" ht="13.2"/>
    <row r="332" ht="13.2"/>
    <row r="333" ht="13.2"/>
    <row r="334" ht="13.2"/>
    <row r="335" ht="13.2"/>
    <row r="336" ht="13.2"/>
    <row r="337" ht="13.2"/>
    <row r="338" ht="13.2"/>
    <row r="339" ht="13.2"/>
    <row r="340" ht="13.2"/>
    <row r="341" ht="13.2"/>
    <row r="342" ht="13.2"/>
    <row r="343" ht="13.2"/>
    <row r="344" ht="13.2"/>
    <row r="345" ht="13.2"/>
    <row r="346" ht="13.2"/>
    <row r="347" ht="13.2"/>
    <row r="348" ht="13.2"/>
    <row r="349" ht="13.2"/>
    <row r="350" ht="13.2"/>
    <row r="351" ht="13.2"/>
    <row r="352" ht="13.2"/>
    <row r="353" ht="13.2"/>
    <row r="354" ht="13.2"/>
    <row r="355" ht="13.2"/>
    <row r="356" ht="13.2"/>
    <row r="357" ht="13.2"/>
    <row r="358" ht="13.2"/>
    <row r="359" ht="13.2"/>
    <row r="360" ht="13.2"/>
    <row r="361" ht="13.2"/>
    <row r="362" ht="13.2"/>
    <row r="363" ht="13.2"/>
    <row r="364" ht="13.2"/>
    <row r="365" ht="13.2"/>
    <row r="366" ht="13.2"/>
    <row r="367" ht="13.2"/>
    <row r="368" ht="13.2"/>
    <row r="369" ht="13.2"/>
    <row r="370" ht="13.2"/>
    <row r="371" ht="13.2"/>
    <row r="372" ht="13.2"/>
    <row r="373" ht="13.2"/>
    <row r="374" ht="13.2"/>
    <row r="375" ht="13.2"/>
    <row r="376" ht="13.2"/>
    <row r="377" ht="13.2"/>
    <row r="378" ht="13.2"/>
    <row r="379" ht="13.2"/>
    <row r="380" ht="13.2"/>
    <row r="381" ht="13.2"/>
    <row r="382" ht="13.2"/>
    <row r="383" ht="13.2"/>
    <row r="384" ht="13.2"/>
    <row r="385" ht="13.2"/>
    <row r="386" ht="13.2"/>
    <row r="387" ht="13.2"/>
    <row r="388" ht="13.2"/>
    <row r="389" ht="13.2"/>
    <row r="390" ht="13.2"/>
    <row r="391" ht="13.2"/>
    <row r="392" ht="13.2"/>
    <row r="393" ht="13.2"/>
    <row r="394" ht="13.2"/>
    <row r="395" ht="13.2"/>
    <row r="396" ht="13.2"/>
    <row r="397" ht="13.2"/>
    <row r="398" ht="13.2"/>
    <row r="399" ht="13.2"/>
    <row r="400" ht="13.2"/>
    <row r="401" ht="13.2"/>
    <row r="402" ht="13.2"/>
    <row r="403" ht="13.2"/>
    <row r="404" ht="13.2"/>
    <row r="405" ht="13.2"/>
    <row r="406" ht="13.2"/>
    <row r="407" ht="13.2"/>
    <row r="408" ht="13.2"/>
    <row r="409" ht="13.2"/>
    <row r="410" ht="13.2"/>
    <row r="411" ht="13.2"/>
    <row r="412" ht="13.2"/>
    <row r="413" ht="13.2"/>
    <row r="414" ht="13.2"/>
    <row r="415" ht="13.2"/>
    <row r="416" ht="13.2"/>
    <row r="417" ht="13.2"/>
    <row r="418" ht="13.2"/>
    <row r="419" ht="13.2"/>
    <row r="420" ht="13.2"/>
    <row r="421" ht="13.2"/>
    <row r="422" ht="13.2"/>
    <row r="423" ht="13.2"/>
    <row r="424" ht="13.2"/>
    <row r="425" ht="13.2"/>
    <row r="426" ht="13.2"/>
    <row r="427" ht="13.2"/>
    <row r="428" ht="13.2"/>
    <row r="429" ht="13.2"/>
    <row r="430" ht="13.2"/>
    <row r="431" ht="13.2"/>
    <row r="432" ht="13.2"/>
    <row r="433" ht="13.2"/>
    <row r="434" ht="13.2"/>
    <row r="435" ht="13.2"/>
    <row r="436" ht="13.2"/>
    <row r="437" ht="13.2"/>
    <row r="438" ht="13.2"/>
    <row r="439" ht="13.2"/>
    <row r="440" ht="13.2"/>
    <row r="441" ht="13.2"/>
    <row r="442" ht="13.2"/>
    <row r="443" ht="13.2"/>
    <row r="444" ht="13.2"/>
    <row r="445" ht="13.2"/>
    <row r="446" ht="13.2"/>
    <row r="447" ht="13.2"/>
    <row r="448" ht="13.2"/>
    <row r="449" ht="13.2"/>
    <row r="450" ht="13.2"/>
    <row r="451" ht="13.2"/>
    <row r="452" ht="13.2"/>
    <row r="453" ht="13.2"/>
    <row r="454" ht="13.2"/>
    <row r="455" ht="13.2"/>
    <row r="456" ht="13.2"/>
    <row r="457" ht="13.2"/>
    <row r="458" ht="13.2"/>
    <row r="459" ht="13.2"/>
    <row r="460" ht="13.2"/>
    <row r="461" ht="13.2"/>
    <row r="462" ht="13.2"/>
    <row r="463" ht="13.2"/>
    <row r="464" ht="13.2"/>
    <row r="465" ht="13.2"/>
    <row r="466" ht="13.2"/>
    <row r="467" ht="13.2"/>
    <row r="468" ht="13.2"/>
    <row r="469" ht="13.2"/>
    <row r="470" ht="13.2"/>
    <row r="471" ht="13.2"/>
    <row r="472" ht="13.2"/>
    <row r="473" ht="13.2"/>
    <row r="474" ht="13.2"/>
    <row r="475" ht="13.2"/>
    <row r="476" ht="13.2"/>
    <row r="477" ht="13.2"/>
    <row r="478" ht="13.2"/>
    <row r="479" ht="13.2"/>
    <row r="480" ht="13.2"/>
    <row r="481" ht="13.2"/>
    <row r="482" ht="13.2"/>
    <row r="483" ht="13.2"/>
    <row r="484" ht="13.2"/>
    <row r="485" ht="13.2"/>
    <row r="486" ht="13.2"/>
    <row r="487" ht="13.2"/>
    <row r="488" ht="13.2"/>
    <row r="489" ht="13.2"/>
    <row r="490" ht="13.2"/>
    <row r="491" ht="13.2"/>
    <row r="492" ht="13.2"/>
    <row r="493" ht="13.2"/>
    <row r="494" ht="13.2"/>
    <row r="495" ht="13.2"/>
    <row r="496" ht="13.2"/>
    <row r="497" ht="13.2"/>
    <row r="498" ht="13.2"/>
    <row r="499" ht="13.2"/>
    <row r="500" ht="13.2"/>
    <row r="501" ht="13.2"/>
    <row r="502" ht="13.2"/>
    <row r="503" ht="13.2"/>
    <row r="504" ht="13.2"/>
    <row r="505" ht="13.2"/>
    <row r="506" ht="13.2"/>
    <row r="507" ht="13.2"/>
    <row r="508" ht="13.2"/>
    <row r="509" ht="13.2"/>
    <row r="510" ht="13.2"/>
    <row r="511" ht="13.2"/>
    <row r="512" ht="13.2"/>
    <row r="513" ht="13.2"/>
    <row r="514" ht="13.2"/>
    <row r="515" ht="13.2"/>
    <row r="516" ht="13.2"/>
    <row r="517" ht="13.2"/>
    <row r="518" ht="13.2"/>
    <row r="519" ht="13.2"/>
    <row r="520" ht="13.2"/>
    <row r="521" ht="13.2"/>
    <row r="522" ht="13.2"/>
    <row r="523" ht="13.2"/>
    <row r="524" ht="13.2"/>
    <row r="525" ht="13.2"/>
    <row r="526" ht="13.2"/>
    <row r="527" ht="13.2"/>
    <row r="528" ht="13.2"/>
    <row r="529" ht="13.2"/>
    <row r="530" ht="13.2"/>
    <row r="531" ht="13.2"/>
    <row r="532" ht="13.2"/>
    <row r="533" ht="13.2"/>
    <row r="534" ht="13.2"/>
    <row r="535" ht="13.2"/>
    <row r="536" ht="13.2"/>
    <row r="537" ht="13.2"/>
    <row r="538" ht="13.2"/>
    <row r="539" ht="13.2"/>
    <row r="540" ht="13.2"/>
    <row r="541" ht="13.2"/>
    <row r="542" ht="13.2"/>
    <row r="543" ht="13.2"/>
    <row r="544" ht="13.2"/>
    <row r="545" ht="13.2"/>
    <row r="546" ht="13.2"/>
    <row r="547" ht="13.2"/>
    <row r="548" ht="13.2"/>
    <row r="549" ht="13.2"/>
    <row r="550" ht="13.2"/>
    <row r="551" ht="13.2"/>
    <row r="552" ht="13.2"/>
    <row r="553" ht="13.2"/>
    <row r="554" ht="13.2"/>
    <row r="555" ht="13.2"/>
    <row r="556" ht="13.2"/>
    <row r="557" ht="13.2"/>
    <row r="558" ht="13.2"/>
    <row r="559" ht="13.2"/>
    <row r="560" ht="13.2"/>
    <row r="561" ht="13.2"/>
    <row r="562" ht="13.2"/>
    <row r="563" ht="13.2"/>
    <row r="564" ht="13.2"/>
    <row r="565" ht="13.2"/>
    <row r="566" ht="13.2"/>
    <row r="567" ht="13.2"/>
    <row r="568" ht="13.2"/>
    <row r="569" ht="13.2"/>
    <row r="570" ht="13.2"/>
    <row r="571" ht="13.2"/>
    <row r="572" ht="13.2"/>
    <row r="573" ht="13.2"/>
    <row r="574" ht="13.2"/>
    <row r="575" ht="13.2"/>
    <row r="576" ht="13.2"/>
    <row r="577" ht="13.2"/>
    <row r="578" ht="13.2"/>
    <row r="579" ht="13.2"/>
    <row r="580" ht="13.2"/>
    <row r="581" ht="13.2"/>
    <row r="582" ht="13.2"/>
    <row r="583" ht="13.2"/>
    <row r="584" ht="13.2"/>
    <row r="585" ht="13.2"/>
    <row r="586" ht="13.2"/>
    <row r="587" ht="13.2"/>
    <row r="588" ht="13.2"/>
    <row r="589" ht="13.2"/>
    <row r="590" ht="13.2"/>
    <row r="591" ht="13.2"/>
    <row r="592" ht="13.2"/>
    <row r="593" ht="13.2"/>
    <row r="594" ht="13.2"/>
    <row r="595" ht="13.2"/>
    <row r="596" ht="13.2"/>
    <row r="597" ht="13.2"/>
    <row r="598" ht="13.2"/>
    <row r="599" ht="13.2"/>
    <row r="600" ht="13.2"/>
    <row r="601" ht="13.2"/>
    <row r="602" ht="13.2"/>
    <row r="603" ht="13.2"/>
    <row r="604" ht="13.2"/>
    <row r="605" ht="13.2"/>
    <row r="606" ht="13.2"/>
    <row r="607" ht="13.2"/>
    <row r="608" ht="13.2"/>
    <row r="609" ht="13.2"/>
    <row r="610" ht="13.2"/>
    <row r="611" ht="13.2"/>
    <row r="612" ht="13.2"/>
    <row r="613" ht="13.2"/>
    <row r="614" ht="13.2"/>
    <row r="615" ht="13.2"/>
    <row r="616" ht="13.2"/>
    <row r="617" ht="13.2"/>
    <row r="618" ht="13.2"/>
    <row r="619" ht="13.2"/>
    <row r="620" ht="13.2"/>
    <row r="621" ht="13.2"/>
    <row r="622" ht="13.2"/>
    <row r="623" ht="13.2"/>
    <row r="624" ht="13.2"/>
    <row r="625" ht="13.2"/>
    <row r="626" ht="13.2"/>
    <row r="627" ht="13.2"/>
    <row r="628" ht="13.2"/>
    <row r="629" ht="13.2"/>
    <row r="630" ht="13.2"/>
    <row r="631" ht="13.2"/>
    <row r="632" ht="13.2"/>
    <row r="633" ht="13.2"/>
    <row r="634" ht="13.2"/>
    <row r="635" ht="13.2"/>
    <row r="636" ht="13.2"/>
    <row r="637" ht="13.2"/>
    <row r="638" ht="13.2"/>
    <row r="639" ht="13.2"/>
    <row r="640" ht="13.2"/>
    <row r="641" ht="13.2"/>
    <row r="642" ht="13.2"/>
    <row r="643" ht="13.2"/>
    <row r="644" ht="13.2"/>
    <row r="645" ht="13.2"/>
    <row r="646" ht="13.2"/>
    <row r="647" ht="13.2"/>
    <row r="648" ht="13.2"/>
    <row r="649" ht="13.2"/>
    <row r="650" ht="13.2"/>
    <row r="651" ht="13.2"/>
    <row r="652" ht="13.2"/>
    <row r="653" ht="13.2"/>
    <row r="654" ht="13.2"/>
    <row r="655" ht="13.2"/>
    <row r="656" ht="13.2"/>
    <row r="657" ht="13.2"/>
    <row r="658" ht="13.2"/>
    <row r="659" ht="13.2"/>
    <row r="660" ht="13.2"/>
    <row r="661" ht="13.2"/>
    <row r="662" ht="13.2"/>
    <row r="663" ht="13.2"/>
    <row r="664" ht="13.2"/>
    <row r="665" ht="13.2"/>
    <row r="666" ht="13.2"/>
    <row r="667" ht="13.2"/>
    <row r="668" ht="13.2"/>
    <row r="669" ht="13.2"/>
    <row r="670" ht="13.2"/>
    <row r="671" ht="13.2"/>
    <row r="672" ht="13.2"/>
    <row r="673" ht="13.2"/>
    <row r="674" ht="13.2"/>
    <row r="675" ht="13.2"/>
    <row r="676" ht="13.2"/>
    <row r="677" ht="13.2"/>
    <row r="678" ht="13.2"/>
    <row r="679" ht="13.2"/>
    <row r="680" ht="13.2"/>
    <row r="681" ht="13.2"/>
    <row r="682" ht="13.2"/>
    <row r="683" ht="13.2"/>
    <row r="684" ht="13.2"/>
    <row r="685" ht="13.2"/>
    <row r="686" ht="13.2"/>
    <row r="687" ht="13.2"/>
    <row r="688" ht="13.2"/>
    <row r="689" ht="13.2"/>
    <row r="690" ht="13.2"/>
    <row r="691" ht="13.2"/>
    <row r="692" ht="13.2"/>
    <row r="693" ht="13.2"/>
    <row r="694" ht="13.2"/>
    <row r="695" ht="13.2"/>
    <row r="696" ht="13.2"/>
    <row r="697" ht="13.2"/>
    <row r="698" ht="13.2"/>
    <row r="699" ht="13.2"/>
    <row r="700" ht="13.2"/>
    <row r="701" ht="13.2"/>
    <row r="702" ht="13.2"/>
    <row r="703" ht="13.2"/>
    <row r="704" ht="13.2"/>
    <row r="705" ht="13.2"/>
    <row r="706" ht="13.2"/>
    <row r="707" ht="13.2"/>
    <row r="708" ht="13.2"/>
    <row r="709" ht="13.2"/>
    <row r="710" ht="13.2"/>
    <row r="711" ht="13.2"/>
    <row r="712" ht="13.2"/>
    <row r="713" ht="13.2"/>
    <row r="714" ht="13.2"/>
    <row r="715" ht="13.2"/>
    <row r="716" ht="13.2"/>
    <row r="717" ht="13.2"/>
    <row r="718" ht="13.2"/>
    <row r="719" ht="13.2"/>
    <row r="720" ht="13.2"/>
    <row r="721" ht="13.2"/>
    <row r="722" ht="13.2"/>
    <row r="723" ht="13.2"/>
    <row r="724" ht="13.2"/>
    <row r="725" ht="13.2"/>
    <row r="726" ht="13.2"/>
    <row r="727" ht="13.2"/>
    <row r="728" ht="13.2"/>
    <row r="729" ht="13.2"/>
    <row r="730" ht="13.2"/>
    <row r="731" ht="13.2"/>
    <row r="732" ht="13.2"/>
    <row r="733" ht="13.2"/>
    <row r="734" ht="13.2"/>
    <row r="735" ht="13.2"/>
    <row r="736" ht="13.2"/>
    <row r="737" ht="13.2"/>
    <row r="738" ht="13.2"/>
    <row r="739" ht="13.2"/>
    <row r="740" ht="13.2"/>
    <row r="741" ht="13.2"/>
    <row r="742" ht="13.2"/>
    <row r="743" ht="13.2"/>
    <row r="744" ht="13.2"/>
    <row r="745" ht="13.2"/>
    <row r="746" ht="13.2"/>
    <row r="747" ht="13.2"/>
    <row r="748" ht="13.2"/>
    <row r="749" ht="13.2"/>
    <row r="750" ht="13.2"/>
    <row r="751" ht="13.2"/>
    <row r="752" ht="13.2"/>
    <row r="753" ht="13.2"/>
    <row r="754" ht="13.2"/>
    <row r="755" ht="13.2"/>
    <row r="756" ht="13.2"/>
    <row r="757" ht="13.2"/>
    <row r="758" ht="13.2"/>
    <row r="759" ht="13.2"/>
    <row r="760" ht="13.2"/>
    <row r="761" ht="13.2"/>
    <row r="762" ht="13.2"/>
    <row r="763" ht="13.2"/>
    <row r="764" ht="13.2"/>
    <row r="765" ht="13.2"/>
    <row r="766" ht="13.2"/>
    <row r="767" ht="13.2"/>
    <row r="768" ht="13.2"/>
    <row r="769" ht="13.2"/>
    <row r="770" ht="13.2"/>
    <row r="771" ht="13.2"/>
    <row r="772" ht="13.2"/>
    <row r="773" ht="13.2"/>
    <row r="774" ht="13.2"/>
    <row r="775" ht="13.2"/>
    <row r="776" ht="13.2"/>
    <row r="777" ht="13.2"/>
    <row r="778" ht="13.2"/>
    <row r="779" ht="13.2"/>
    <row r="780" ht="13.2"/>
    <row r="781" ht="13.2"/>
    <row r="782" ht="13.2"/>
    <row r="783" ht="13.2"/>
    <row r="784" ht="13.2"/>
    <row r="785" ht="13.2"/>
    <row r="786" ht="13.2"/>
    <row r="787" ht="13.2"/>
    <row r="788" ht="13.2"/>
    <row r="789" ht="13.2"/>
    <row r="790" ht="13.2"/>
    <row r="791" ht="13.2"/>
    <row r="792" ht="13.2"/>
    <row r="793" ht="13.2"/>
    <row r="794" ht="13.2"/>
    <row r="795" ht="13.2"/>
    <row r="796" ht="13.2"/>
    <row r="797" ht="13.2"/>
    <row r="798" ht="13.2"/>
    <row r="799" ht="13.2"/>
    <row r="800" ht="13.2"/>
    <row r="801" ht="13.2"/>
    <row r="802" ht="13.2"/>
    <row r="803" ht="13.2"/>
    <row r="804" ht="13.2"/>
    <row r="805" ht="13.2"/>
    <row r="806" ht="13.2"/>
    <row r="807" ht="13.2"/>
    <row r="808" ht="13.2"/>
    <row r="809" ht="13.2"/>
    <row r="810" ht="13.2"/>
    <row r="811" ht="13.2"/>
    <row r="812" ht="13.2"/>
    <row r="813" ht="13.2"/>
    <row r="814" ht="13.2"/>
    <row r="815" ht="13.2"/>
    <row r="816" ht="13.2"/>
    <row r="817" ht="13.2"/>
    <row r="818" ht="13.2"/>
    <row r="819" ht="13.2"/>
    <row r="820" ht="13.2"/>
    <row r="821" ht="13.2"/>
    <row r="822" ht="13.2"/>
    <row r="823" ht="13.2"/>
    <row r="824" ht="13.2"/>
    <row r="825" ht="13.2"/>
    <row r="826" ht="13.2"/>
    <row r="827" ht="13.2"/>
    <row r="828" ht="13.2"/>
    <row r="829" ht="13.2"/>
    <row r="830" ht="13.2"/>
    <row r="831" ht="13.2"/>
    <row r="832" ht="13.2"/>
    <row r="833" ht="13.2"/>
    <row r="834" ht="13.2"/>
    <row r="835" ht="13.2"/>
    <row r="836" ht="13.2"/>
    <row r="837" ht="13.2"/>
    <row r="838" ht="13.2"/>
    <row r="839" ht="13.2"/>
    <row r="840" ht="13.2"/>
    <row r="841" ht="13.2"/>
    <row r="842" ht="13.2"/>
    <row r="843" ht="13.2"/>
    <row r="844" ht="13.2"/>
    <row r="845" ht="13.2"/>
    <row r="846" ht="13.2"/>
    <row r="847" ht="13.2"/>
    <row r="848" ht="13.2"/>
    <row r="849" ht="13.2"/>
    <row r="850" ht="13.2"/>
    <row r="851" ht="13.2"/>
    <row r="852" ht="13.2"/>
    <row r="853" ht="13.2"/>
    <row r="854" ht="13.2"/>
    <row r="855" ht="13.2"/>
    <row r="856" ht="13.2"/>
    <row r="857" ht="13.2"/>
    <row r="858" ht="13.2"/>
    <row r="859" ht="13.2"/>
    <row r="860" ht="13.2"/>
    <row r="861" ht="13.2"/>
    <row r="862" ht="13.2"/>
    <row r="863" ht="13.2"/>
    <row r="864" ht="13.2"/>
    <row r="865" ht="13.2"/>
    <row r="866" ht="13.2"/>
    <row r="867" ht="13.2"/>
    <row r="868" ht="13.2"/>
    <row r="869" ht="13.2"/>
    <row r="870" ht="13.2"/>
    <row r="871" ht="13.2"/>
    <row r="872" ht="13.2"/>
    <row r="873" ht="13.2"/>
    <row r="874" ht="13.2"/>
    <row r="875" ht="13.2"/>
    <row r="876" ht="13.2"/>
    <row r="877" ht="13.2"/>
    <row r="878" ht="13.2"/>
    <row r="879" ht="13.2"/>
    <row r="880" ht="13.2"/>
    <row r="881" ht="13.2"/>
    <row r="882" ht="13.2"/>
    <row r="883" ht="13.2"/>
    <row r="884" ht="13.2"/>
    <row r="885" ht="13.2"/>
    <row r="886" ht="13.2"/>
    <row r="887" ht="13.2"/>
    <row r="888" ht="13.2"/>
    <row r="889" ht="13.2"/>
    <row r="890" ht="13.2"/>
    <row r="891" ht="13.2"/>
    <row r="892" ht="13.2"/>
    <row r="893" ht="13.2"/>
    <row r="894" ht="13.2"/>
    <row r="895" ht="13.2"/>
    <row r="896" ht="13.2"/>
    <row r="897" ht="13.2"/>
    <row r="898" ht="13.2"/>
    <row r="899" ht="13.2"/>
    <row r="900" ht="13.2"/>
    <row r="901" ht="13.2"/>
    <row r="902" ht="13.2"/>
    <row r="903" ht="13.2"/>
    <row r="904" ht="13.2"/>
    <row r="905" ht="13.2"/>
    <row r="906" ht="13.2"/>
    <row r="907" ht="13.2"/>
    <row r="908" ht="13.2"/>
    <row r="909" ht="13.2"/>
    <row r="910" ht="13.2"/>
    <row r="911" ht="13.2"/>
    <row r="912" ht="13.2"/>
    <row r="913" ht="13.2"/>
    <row r="914" ht="13.2"/>
    <row r="915" ht="13.2"/>
    <row r="916" ht="13.2"/>
    <row r="917" ht="13.2"/>
    <row r="918" ht="13.2"/>
    <row r="919" ht="13.2"/>
    <row r="920" ht="13.2"/>
    <row r="921" ht="13.2"/>
    <row r="922" ht="13.2"/>
    <row r="923" ht="13.2"/>
    <row r="924" ht="13.2"/>
    <row r="925" ht="13.2"/>
    <row r="926" ht="13.2"/>
    <row r="927" ht="13.2"/>
    <row r="928" ht="13.2"/>
    <row r="929" ht="13.2"/>
    <row r="930" ht="13.2"/>
    <row r="931" ht="13.2"/>
    <row r="932" ht="13.2"/>
    <row r="933" ht="13.2"/>
    <row r="934" ht="13.2"/>
    <row r="935" ht="13.2"/>
    <row r="936" ht="13.2"/>
    <row r="937" ht="13.2"/>
    <row r="938" ht="13.2"/>
    <row r="939" ht="13.2"/>
    <row r="940" ht="13.2"/>
    <row r="941" ht="13.2"/>
    <row r="942" ht="13.2"/>
    <row r="943" ht="13.2"/>
    <row r="944" ht="13.2"/>
    <row r="945" ht="13.2"/>
    <row r="946" ht="13.2"/>
    <row r="947" ht="13.2"/>
    <row r="948" ht="13.2"/>
    <row r="949" ht="13.2"/>
    <row r="950" ht="13.2"/>
    <row r="951" ht="13.2"/>
    <row r="952" ht="13.2"/>
    <row r="953" ht="13.2"/>
    <row r="954" ht="13.2"/>
    <row r="955" ht="13.2"/>
    <row r="956" ht="13.2"/>
    <row r="957" ht="13.2"/>
    <row r="958" ht="13.2"/>
    <row r="959" ht="13.2"/>
    <row r="960" ht="13.2"/>
    <row r="961" ht="13.2"/>
    <row r="962" ht="13.2"/>
    <row r="963" ht="13.2"/>
    <row r="964" ht="13.2"/>
    <row r="965" ht="13.2"/>
    <row r="966" ht="13.2"/>
    <row r="967" ht="13.2"/>
    <row r="968" ht="13.2"/>
    <row r="969" ht="13.2"/>
    <row r="970" ht="13.2"/>
    <row r="971" ht="13.2"/>
    <row r="972" ht="13.2"/>
    <row r="973" ht="13.2"/>
    <row r="974" ht="13.2"/>
    <row r="975" ht="13.2"/>
    <row r="976" ht="13.2"/>
    <row r="977" ht="13.2"/>
    <row r="978" ht="13.2"/>
    <row r="979" ht="13.2"/>
    <row r="980" ht="13.2"/>
    <row r="981" ht="13.2"/>
    <row r="982" ht="13.2"/>
    <row r="983" ht="13.2"/>
    <row r="984" ht="13.2"/>
    <row r="985" ht="13.2"/>
    <row r="986" ht="13.2"/>
    <row r="987" ht="13.2"/>
    <row r="988" ht="13.2"/>
    <row r="989" ht="13.2"/>
    <row r="990" ht="13.2"/>
    <row r="991" ht="13.2"/>
    <row r="992" ht="13.2"/>
    <row r="993" ht="13.2"/>
    <row r="994" ht="13.2"/>
  </sheetData>
  <mergeCells count="1">
    <mergeCell ref="A2:F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3"/>
  <sheetViews>
    <sheetView workbookViewId="0">
      <selection activeCell="D12" sqref="D12"/>
    </sheetView>
  </sheetViews>
  <sheetFormatPr defaultColWidth="15.59765625" defaultRowHeight="15" customHeight="1"/>
  <cols>
    <col min="1" max="1" width="29.09765625" style="123" customWidth="1"/>
    <col min="2" max="3" width="12.5" style="123" customWidth="1"/>
    <col min="4" max="4" width="14.796875" style="123" customWidth="1"/>
    <col min="5" max="5" width="15" style="123" customWidth="1"/>
    <col min="6" max="6" width="15.69921875" style="123" customWidth="1"/>
    <col min="7" max="7" width="16.5" style="123" customWidth="1"/>
    <col min="8" max="15" width="8" style="123" customWidth="1"/>
    <col min="16" max="24" width="15.3984375" style="123" customWidth="1"/>
    <col min="25" max="16384" width="15.59765625" style="123"/>
  </cols>
  <sheetData>
    <row r="1" spans="1:11" ht="14.25" customHeight="1">
      <c r="A1" s="122"/>
      <c r="B1" s="122"/>
      <c r="C1" s="122"/>
      <c r="D1" s="122"/>
      <c r="E1" s="122"/>
      <c r="F1" s="122"/>
      <c r="G1" s="122"/>
    </row>
    <row r="2" spans="1:11" ht="22.5" customHeight="1">
      <c r="A2" s="811" t="s">
        <v>216</v>
      </c>
      <c r="B2" s="809"/>
      <c r="C2" s="809"/>
      <c r="D2" s="809"/>
      <c r="E2" s="809"/>
      <c r="F2" s="809"/>
      <c r="G2" s="122"/>
    </row>
    <row r="3" spans="1:11" ht="12.75" customHeight="1">
      <c r="A3" s="125" t="s">
        <v>217</v>
      </c>
      <c r="B3" s="126">
        <v>2024</v>
      </c>
      <c r="C3" s="127">
        <v>2025</v>
      </c>
      <c r="D3" s="126">
        <v>2026</v>
      </c>
      <c r="E3" s="127">
        <v>2027</v>
      </c>
      <c r="F3" s="126">
        <v>2028</v>
      </c>
      <c r="G3" s="122"/>
    </row>
    <row r="4" spans="1:11" s="136" customFormat="1" ht="26.4" customHeight="1">
      <c r="A4" s="132" t="s">
        <v>219</v>
      </c>
      <c r="B4" s="133">
        <f>SUM(План!B81:E81)*0.5</f>
        <v>-25380</v>
      </c>
      <c r="C4" s="134">
        <f>SUM(План!F81:I81)*0.1</f>
        <v>-5076</v>
      </c>
      <c r="D4" s="133">
        <v>0</v>
      </c>
      <c r="E4" s="133">
        <f>SUM(План!O81:R81)*0</f>
        <v>0</v>
      </c>
      <c r="F4" s="133">
        <f>SUM(План!S81:V81)*0</f>
        <v>0</v>
      </c>
      <c r="G4" s="481">
        <f>SUM(B4:F4)</f>
        <v>-30456</v>
      </c>
    </row>
    <row r="5" spans="1:11" s="136" customFormat="1" ht="28.2" customHeight="1">
      <c r="A5" s="132" t="s">
        <v>220</v>
      </c>
      <c r="B5" s="133">
        <f>SUM(План!B81:E81)*0.5</f>
        <v>-25380</v>
      </c>
      <c r="C5" s="134">
        <f>SUM(План!F81:I81)*0.9</f>
        <v>-45684</v>
      </c>
      <c r="D5" s="133">
        <f>SUM(План!J81:M81)*0.2</f>
        <v>-10152</v>
      </c>
      <c r="E5" s="133">
        <v>0</v>
      </c>
      <c r="F5" s="133">
        <v>0</v>
      </c>
      <c r="G5" s="481">
        <f t="shared" ref="G5:G6" si="0">SUM(B5:F5)</f>
        <v>-81216</v>
      </c>
    </row>
    <row r="6" spans="1:11" s="136" customFormat="1" ht="26.4" customHeight="1">
      <c r="A6" s="132" t="s">
        <v>221</v>
      </c>
      <c r="B6" s="133">
        <v>0</v>
      </c>
      <c r="C6" s="134">
        <v>0</v>
      </c>
      <c r="D6" s="133">
        <f>SUM(План!J81:M81)*0.8</f>
        <v>-40608</v>
      </c>
      <c r="E6" s="133">
        <f>SUM(План!N81:Q81)*1</f>
        <v>-50760</v>
      </c>
      <c r="F6" s="133">
        <f>SUM(План!R81:V81)*1</f>
        <v>-63450</v>
      </c>
      <c r="G6" s="481">
        <f t="shared" si="0"/>
        <v>-154818</v>
      </c>
    </row>
    <row r="7" spans="1:11" s="136" customFormat="1" ht="28.2" customHeight="1">
      <c r="A7" s="132" t="s">
        <v>459</v>
      </c>
      <c r="B7" s="133">
        <f>SUM(План!B88:E88)</f>
        <v>-45090</v>
      </c>
      <c r="C7" s="134">
        <f>SUM(План!F88:I88)</f>
        <v>-60120</v>
      </c>
      <c r="D7" s="133">
        <f>SUM(План!J88:M88)</f>
        <v>0</v>
      </c>
      <c r="E7" s="133">
        <f>SUM(План!N88:Q88)</f>
        <v>0</v>
      </c>
      <c r="F7" s="133">
        <f>SUM(План!R88:V88)</f>
        <v>0</v>
      </c>
      <c r="G7" s="481">
        <f>SUM(B7:F7)</f>
        <v>-105210</v>
      </c>
    </row>
    <row r="8" spans="1:11" s="136" customFormat="1" ht="29.4" customHeight="1">
      <c r="A8" s="132" t="s">
        <v>378</v>
      </c>
      <c r="B8" s="133">
        <f>SUM(План!B179:E179)</f>
        <v>0</v>
      </c>
      <c r="C8" s="134">
        <f>SUM(План!F179:I179)</f>
        <v>-31080</v>
      </c>
      <c r="D8" s="133">
        <f>SUM(План!J179:M179)</f>
        <v>0</v>
      </c>
      <c r="E8" s="133">
        <f>SUM(План!N179:Q179)</f>
        <v>0</v>
      </c>
      <c r="F8" s="133">
        <f>SUM(План!R179:V179)</f>
        <v>0</v>
      </c>
      <c r="G8" s="481">
        <f t="shared" ref="G8:G12" si="1">SUM(B8:F8)</f>
        <v>-31080</v>
      </c>
    </row>
    <row r="9" spans="1:11" s="136" customFormat="1" ht="52.8" customHeight="1">
      <c r="A9" s="132" t="s">
        <v>370</v>
      </c>
      <c r="B9" s="133">
        <f>SUM(План!B188:E188)</f>
        <v>-8888.8888888888887</v>
      </c>
      <c r="C9" s="134">
        <f>SUM(План!F188:I188)</f>
        <v>-31666.666666666664</v>
      </c>
      <c r="D9" s="133">
        <f>SUM(План!J188:M188)</f>
        <v>-56666.666666666664</v>
      </c>
      <c r="E9" s="133">
        <f>SUM(План!N188:Q188)</f>
        <v>-276666.66666666663</v>
      </c>
      <c r="F9" s="133">
        <f>SUM(План!R188:V188)</f>
        <v>-260000</v>
      </c>
      <c r="G9" s="481">
        <f t="shared" si="1"/>
        <v>-633888.88888888888</v>
      </c>
    </row>
    <row r="10" spans="1:11" s="136" customFormat="1" ht="28.2" customHeight="1">
      <c r="A10" s="132" t="s">
        <v>49</v>
      </c>
      <c r="B10" s="133">
        <f>SUM(План!B187:E187)</f>
        <v>-4833.3333333333339</v>
      </c>
      <c r="C10" s="134">
        <f>SUM(План!F187:I187)</f>
        <v>-4833.3333333333339</v>
      </c>
      <c r="D10" s="133">
        <f>SUM(План!J187:M187)</f>
        <v>-4833.3333333333339</v>
      </c>
      <c r="E10" s="133">
        <f>SUM(План!N187:Q187)</f>
        <v>-4833.3333333333339</v>
      </c>
      <c r="F10" s="133">
        <f>SUM(План!R187:V187)</f>
        <v>-4833.3333333333339</v>
      </c>
      <c r="G10" s="481">
        <f t="shared" si="1"/>
        <v>-24166.666666666672</v>
      </c>
    </row>
    <row r="11" spans="1:11" s="283" customFormat="1" ht="28.8" customHeight="1">
      <c r="A11" s="321" t="str">
        <f>План!A189</f>
        <v>Сертификация</v>
      </c>
      <c r="B11" s="129">
        <f>-SUM(План!B189:E189)</f>
        <v>0</v>
      </c>
      <c r="C11" s="129">
        <f>-SUM(План!F189:I189)</f>
        <v>-2000</v>
      </c>
      <c r="D11" s="129">
        <f>-SUM(План!J189:M189)</f>
        <v>-2000</v>
      </c>
      <c r="E11" s="129">
        <f>-SUM(План!N189:Q189)</f>
        <v>-4000</v>
      </c>
      <c r="F11" s="129">
        <f>-SUM(План!F189:I189)</f>
        <v>-2000</v>
      </c>
      <c r="G11" s="292">
        <f>SUM(B11:F11)</f>
        <v>-10000</v>
      </c>
      <c r="H11" s="292"/>
      <c r="I11" s="293"/>
      <c r="J11" s="293"/>
      <c r="K11" s="293"/>
    </row>
    <row r="12" spans="1:11" s="136" customFormat="1" ht="54.6" customHeight="1">
      <c r="A12" s="132" t="s">
        <v>218</v>
      </c>
      <c r="B12" s="129">
        <f>SUM(B4:B11)</f>
        <v>-109572.22222222222</v>
      </c>
      <c r="C12" s="129">
        <f t="shared" ref="C12:E12" si="2">SUM(C4:C11)</f>
        <v>-180460</v>
      </c>
      <c r="D12" s="129">
        <f t="shared" si="2"/>
        <v>-114259.99999999999</v>
      </c>
      <c r="E12" s="129">
        <f t="shared" si="2"/>
        <v>-336259.99999999994</v>
      </c>
      <c r="F12" s="129">
        <f>SUM(F4:F11)</f>
        <v>-330283.33333333331</v>
      </c>
      <c r="G12" s="481">
        <f t="shared" si="1"/>
        <v>-1070835.5555555555</v>
      </c>
    </row>
    <row r="13" spans="1:11" ht="12.75" customHeight="1">
      <c r="A13" s="124"/>
      <c r="B13" s="128"/>
      <c r="C13" s="128"/>
      <c r="D13" s="128"/>
      <c r="E13" s="128"/>
      <c r="F13" s="128"/>
      <c r="G13" s="122"/>
    </row>
    <row r="14" spans="1:11" ht="12.75" customHeight="1">
      <c r="A14" s="124"/>
      <c r="B14" s="122"/>
      <c r="C14" s="122"/>
      <c r="D14" s="122"/>
      <c r="E14" s="122"/>
      <c r="F14" s="122"/>
      <c r="G14" s="122"/>
    </row>
    <row r="15" spans="1:11" ht="12.75" customHeight="1">
      <c r="A15" s="130" t="s">
        <v>469</v>
      </c>
      <c r="B15" s="122"/>
      <c r="C15" s="122"/>
      <c r="D15" s="122"/>
      <c r="E15" s="122"/>
      <c r="F15" s="122"/>
      <c r="G15" s="756">
        <f>G12+Пр.ком.расх!G9</f>
        <v>-78163820.871111095</v>
      </c>
    </row>
    <row r="16" spans="1:11" ht="12.75" customHeight="1">
      <c r="A16" s="131"/>
      <c r="B16" s="122"/>
      <c r="C16" s="122"/>
      <c r="D16" s="122"/>
      <c r="E16" s="122"/>
      <c r="F16" s="122"/>
      <c r="G16" s="122"/>
    </row>
    <row r="17" spans="1:7" ht="12.75" customHeight="1">
      <c r="A17" s="131"/>
      <c r="B17" s="122"/>
      <c r="C17" s="122"/>
      <c r="D17" s="122"/>
      <c r="E17" s="122"/>
      <c r="F17" s="122"/>
      <c r="G17" s="122"/>
    </row>
    <row r="18" spans="1:7" ht="12.75" customHeight="1">
      <c r="A18" s="122"/>
      <c r="B18" s="122"/>
      <c r="C18" s="122"/>
      <c r="D18" s="122"/>
      <c r="E18" s="122"/>
      <c r="F18" s="122"/>
      <c r="G18" s="122"/>
    </row>
    <row r="19" spans="1:7" ht="12.75" customHeight="1">
      <c r="A19" s="122"/>
      <c r="B19" s="122"/>
      <c r="C19" s="122"/>
      <c r="D19" s="122"/>
      <c r="E19" s="122"/>
      <c r="F19" s="122"/>
      <c r="G19" s="122"/>
    </row>
    <row r="20" spans="1:7" ht="12.75" customHeight="1">
      <c r="A20" s="122"/>
      <c r="B20" s="122"/>
      <c r="C20" s="122"/>
      <c r="D20" s="122"/>
      <c r="E20" s="122"/>
      <c r="F20" s="122"/>
      <c r="G20" s="122"/>
    </row>
    <row r="21" spans="1:7" ht="12.75" customHeight="1">
      <c r="A21" s="122"/>
      <c r="B21" s="122"/>
      <c r="C21" s="122"/>
      <c r="D21" s="122"/>
      <c r="E21" s="122"/>
      <c r="F21" s="122"/>
      <c r="G21" s="122"/>
    </row>
    <row r="22" spans="1:7" ht="12.75" customHeight="1">
      <c r="A22" s="122"/>
      <c r="B22" s="122"/>
      <c r="C22" s="122"/>
      <c r="D22" s="122"/>
      <c r="E22" s="122"/>
      <c r="F22" s="122"/>
      <c r="G22" s="122"/>
    </row>
    <row r="23" spans="1:7" ht="12.75" customHeight="1">
      <c r="A23" s="122"/>
      <c r="B23" s="122"/>
      <c r="C23" s="122"/>
      <c r="D23" s="122"/>
      <c r="E23" s="122"/>
      <c r="F23" s="122"/>
      <c r="G23" s="122"/>
    </row>
    <row r="24" spans="1:7" ht="12.75" customHeight="1">
      <c r="A24" s="122"/>
      <c r="B24" s="122"/>
      <c r="C24" s="122"/>
      <c r="D24" s="122"/>
      <c r="E24" s="122"/>
      <c r="F24" s="122"/>
      <c r="G24" s="122"/>
    </row>
    <row r="25" spans="1:7" ht="13.2"/>
    <row r="26" spans="1:7" ht="13.2"/>
    <row r="27" spans="1:7" ht="13.2"/>
    <row r="28" spans="1:7" ht="13.2"/>
    <row r="29" spans="1:7" ht="13.2"/>
    <row r="30" spans="1:7" ht="13.2"/>
    <row r="31" spans="1:7" ht="13.2"/>
    <row r="32" spans="1:7" ht="13.2"/>
    <row r="33" ht="13.2"/>
    <row r="34" ht="13.2"/>
    <row r="35" ht="13.2"/>
    <row r="36" ht="13.2"/>
    <row r="37" ht="13.2"/>
    <row r="38" ht="13.2"/>
    <row r="39" ht="13.2"/>
    <row r="40" ht="13.2"/>
    <row r="41" ht="13.2"/>
    <row r="42" ht="13.2"/>
    <row r="43" ht="13.2"/>
    <row r="44" ht="13.2"/>
    <row r="45" ht="13.2"/>
    <row r="46" ht="13.2"/>
    <row r="47" ht="13.2"/>
    <row r="48" ht="13.2"/>
    <row r="49" ht="13.2"/>
    <row r="50" ht="13.2"/>
    <row r="51" ht="13.2"/>
    <row r="52" ht="13.2"/>
    <row r="53" ht="13.2"/>
    <row r="54" ht="13.2"/>
    <row r="55" ht="13.2"/>
    <row r="56" ht="13.2"/>
    <row r="57" ht="13.2"/>
    <row r="58" ht="13.2"/>
    <row r="59" ht="13.2"/>
    <row r="60" ht="13.2"/>
    <row r="61" ht="13.2"/>
    <row r="62" ht="13.2"/>
    <row r="63" ht="13.2"/>
    <row r="64" ht="13.2"/>
    <row r="65" ht="13.2"/>
    <row r="66" ht="13.2"/>
    <row r="67" ht="13.2"/>
    <row r="68" ht="13.2"/>
    <row r="69" ht="13.2"/>
    <row r="70" ht="13.2"/>
    <row r="71" ht="13.2"/>
    <row r="72" ht="13.2"/>
    <row r="73" ht="13.2"/>
    <row r="74" ht="13.2"/>
    <row r="75" ht="13.2"/>
    <row r="76" ht="13.2"/>
    <row r="77" ht="13.2"/>
    <row r="78" ht="13.2"/>
    <row r="79" ht="13.2"/>
    <row r="80" ht="13.2"/>
    <row r="81" ht="13.2"/>
    <row r="82" ht="13.2"/>
    <row r="83" ht="13.2"/>
    <row r="84" ht="13.2"/>
    <row r="85" ht="13.2"/>
    <row r="86" ht="13.2"/>
    <row r="87" ht="13.2"/>
    <row r="88" ht="13.2"/>
    <row r="89" ht="13.2"/>
    <row r="90" ht="13.2"/>
    <row r="91" ht="13.2"/>
    <row r="92" ht="13.2"/>
    <row r="93" ht="13.2"/>
    <row r="94" ht="13.2"/>
    <row r="95" ht="13.2"/>
    <row r="96" ht="13.2"/>
    <row r="97" ht="13.2"/>
    <row r="98" ht="13.2"/>
    <row r="99" ht="13.2"/>
    <row r="100" ht="13.2"/>
    <row r="101" ht="13.2"/>
    <row r="102" ht="13.2"/>
    <row r="103" ht="13.2"/>
    <row r="104" ht="13.2"/>
    <row r="105" ht="13.2"/>
    <row r="106" ht="13.2"/>
    <row r="107" ht="13.2"/>
    <row r="108" ht="13.2"/>
    <row r="109" ht="13.2"/>
    <row r="110" ht="13.2"/>
    <row r="111" ht="13.2"/>
    <row r="112" ht="13.2"/>
    <row r="113" ht="13.2"/>
    <row r="114" ht="13.2"/>
    <row r="115" ht="13.2"/>
    <row r="116" ht="13.2"/>
    <row r="117" ht="13.2"/>
    <row r="118" ht="13.2"/>
    <row r="119" ht="13.2"/>
    <row r="120" ht="13.2"/>
    <row r="121" ht="13.2"/>
    <row r="122" ht="13.2"/>
    <row r="123" ht="13.2"/>
    <row r="124" ht="13.2"/>
    <row r="125" ht="13.2"/>
    <row r="126" ht="13.2"/>
    <row r="127" ht="13.2"/>
    <row r="128" ht="13.2"/>
    <row r="129" ht="13.2"/>
    <row r="130" ht="13.2"/>
    <row r="131" ht="13.2"/>
    <row r="132" ht="13.2"/>
    <row r="133" ht="13.2"/>
    <row r="134" ht="13.2"/>
    <row r="135" ht="13.2"/>
    <row r="136" ht="13.2"/>
    <row r="137" ht="13.2"/>
    <row r="138" ht="13.2"/>
    <row r="139" ht="13.2"/>
    <row r="140" ht="13.2"/>
    <row r="141" ht="13.2"/>
    <row r="142" ht="13.2"/>
    <row r="143" ht="13.2"/>
    <row r="144" ht="13.2"/>
    <row r="145" ht="13.2"/>
    <row r="146" ht="13.2"/>
    <row r="147" ht="13.2"/>
    <row r="148" ht="13.2"/>
    <row r="149" ht="13.2"/>
    <row r="150" ht="13.2"/>
    <row r="151" ht="13.2"/>
    <row r="152" ht="13.2"/>
    <row r="153" ht="13.2"/>
    <row r="154" ht="13.2"/>
    <row r="155" ht="13.2"/>
    <row r="156" ht="13.2"/>
    <row r="157" ht="13.2"/>
    <row r="158" ht="13.2"/>
    <row r="159" ht="13.2"/>
    <row r="160" ht="13.2"/>
    <row r="161" ht="13.2"/>
    <row r="162" ht="13.2"/>
    <row r="163" ht="13.2"/>
    <row r="164" ht="13.2"/>
    <row r="165" ht="13.2"/>
    <row r="166" ht="13.2"/>
    <row r="167" ht="13.2"/>
    <row r="168" ht="13.2"/>
    <row r="169" ht="13.2"/>
    <row r="170" ht="13.2"/>
    <row r="171" ht="13.2"/>
    <row r="172" ht="13.2"/>
    <row r="173" ht="13.2"/>
    <row r="174" ht="13.2"/>
    <row r="175" ht="13.2"/>
    <row r="176" ht="13.2"/>
    <row r="177" ht="13.2"/>
    <row r="178" ht="13.2"/>
    <row r="179" ht="13.2"/>
    <row r="180" ht="13.2"/>
    <row r="181" ht="13.2"/>
    <row r="182" ht="13.2"/>
    <row r="183" ht="13.2"/>
    <row r="184" ht="13.2"/>
    <row r="185" ht="13.2"/>
    <row r="186" ht="13.2"/>
    <row r="187" ht="13.2"/>
    <row r="188" ht="13.2"/>
    <row r="189" ht="13.2"/>
    <row r="190" ht="13.2"/>
    <row r="191" ht="13.2"/>
    <row r="192" ht="13.2"/>
    <row r="193" ht="13.2"/>
    <row r="194" ht="13.2"/>
    <row r="195" ht="13.2"/>
    <row r="196" ht="13.2"/>
    <row r="197" ht="13.2"/>
    <row r="198" ht="13.2"/>
    <row r="199" ht="13.2"/>
    <row r="200" ht="13.2"/>
    <row r="201" ht="13.2"/>
    <row r="202" ht="13.2"/>
    <row r="203" ht="13.2"/>
    <row r="204" ht="13.2"/>
    <row r="205" ht="13.2"/>
    <row r="206" ht="13.2"/>
    <row r="207" ht="13.2"/>
    <row r="208" ht="13.2"/>
    <row r="209" ht="13.2"/>
    <row r="210" ht="13.2"/>
    <row r="211" ht="13.2"/>
    <row r="212" ht="13.2"/>
    <row r="213" ht="13.2"/>
    <row r="214" ht="13.2"/>
    <row r="215" ht="13.2"/>
    <row r="216" ht="13.2"/>
    <row r="217" ht="13.2"/>
    <row r="218" ht="13.2"/>
    <row r="219" ht="13.2"/>
    <row r="220" ht="13.2"/>
    <row r="221" ht="13.2"/>
    <row r="222" ht="13.2"/>
    <row r="223" ht="13.2"/>
    <row r="224" ht="13.2"/>
    <row r="225" ht="13.2"/>
    <row r="226" ht="13.2"/>
    <row r="227" ht="13.2"/>
    <row r="228" ht="13.2"/>
    <row r="229" ht="13.2"/>
    <row r="230" ht="13.2"/>
    <row r="231" ht="13.2"/>
    <row r="232" ht="13.2"/>
    <row r="233" ht="13.2"/>
    <row r="234" ht="13.2"/>
    <row r="235" ht="13.2"/>
    <row r="236" ht="13.2"/>
    <row r="237" ht="13.2"/>
    <row r="238" ht="13.2"/>
    <row r="239" ht="13.2"/>
    <row r="240" ht="13.2"/>
    <row r="241" ht="13.2"/>
    <row r="242" ht="13.2"/>
    <row r="243" ht="13.2"/>
    <row r="244" ht="13.2"/>
    <row r="245" ht="13.2"/>
    <row r="246" ht="13.2"/>
    <row r="247" ht="13.2"/>
    <row r="248" ht="13.2"/>
    <row r="249" ht="13.2"/>
    <row r="250" ht="13.2"/>
    <row r="251" ht="13.2"/>
    <row r="252" ht="13.2"/>
    <row r="253" ht="13.2"/>
    <row r="254" ht="13.2"/>
    <row r="255" ht="13.2"/>
    <row r="256" ht="13.2"/>
    <row r="257" ht="13.2"/>
    <row r="258" ht="13.2"/>
    <row r="259" ht="13.2"/>
    <row r="260" ht="13.2"/>
    <row r="261" ht="13.2"/>
    <row r="262" ht="13.2"/>
    <row r="263" ht="13.2"/>
    <row r="264" ht="13.2"/>
    <row r="265" ht="13.2"/>
    <row r="266" ht="13.2"/>
    <row r="267" ht="13.2"/>
    <row r="268" ht="13.2"/>
    <row r="269" ht="13.2"/>
    <row r="270" ht="13.2"/>
    <row r="271" ht="13.2"/>
    <row r="272" ht="13.2"/>
    <row r="273" ht="13.2"/>
    <row r="274" ht="13.2"/>
    <row r="275" ht="13.2"/>
    <row r="276" ht="13.2"/>
    <row r="277" ht="13.2"/>
    <row r="278" ht="13.2"/>
    <row r="279" ht="13.2"/>
    <row r="280" ht="13.2"/>
    <row r="281" ht="13.2"/>
    <row r="282" ht="13.2"/>
    <row r="283" ht="13.2"/>
    <row r="284" ht="13.2"/>
    <row r="285" ht="13.2"/>
    <row r="286" ht="13.2"/>
    <row r="287" ht="13.2"/>
    <row r="288" ht="13.2"/>
    <row r="289" ht="13.2"/>
    <row r="290" ht="13.2"/>
    <row r="291" ht="13.2"/>
    <row r="292" ht="13.2"/>
    <row r="293" ht="13.2"/>
    <row r="294" ht="13.2"/>
    <row r="295" ht="13.2"/>
    <row r="296" ht="13.2"/>
    <row r="297" ht="13.2"/>
    <row r="298" ht="13.2"/>
    <row r="299" ht="13.2"/>
    <row r="300" ht="13.2"/>
    <row r="301" ht="13.2"/>
    <row r="302" ht="13.2"/>
    <row r="303" ht="13.2"/>
    <row r="304" ht="13.2"/>
    <row r="305" ht="13.2"/>
    <row r="306" ht="13.2"/>
    <row r="307" ht="13.2"/>
    <row r="308" ht="13.2"/>
    <row r="309" ht="13.2"/>
    <row r="310" ht="13.2"/>
    <row r="311" ht="13.2"/>
    <row r="312" ht="13.2"/>
    <row r="313" ht="13.2"/>
    <row r="314" ht="13.2"/>
    <row r="315" ht="13.2"/>
    <row r="316" ht="13.2"/>
    <row r="317" ht="13.2"/>
    <row r="318" ht="13.2"/>
    <row r="319" ht="13.2"/>
    <row r="320" ht="13.2"/>
    <row r="321" ht="13.2"/>
    <row r="322" ht="13.2"/>
    <row r="323" ht="13.2"/>
    <row r="324" ht="13.2"/>
    <row r="325" ht="13.2"/>
    <row r="326" ht="13.2"/>
    <row r="327" ht="13.2"/>
    <row r="328" ht="13.2"/>
    <row r="329" ht="13.2"/>
    <row r="330" ht="13.2"/>
    <row r="331" ht="13.2"/>
    <row r="332" ht="13.2"/>
    <row r="333" ht="13.2"/>
    <row r="334" ht="13.2"/>
    <row r="335" ht="13.2"/>
    <row r="336" ht="13.2"/>
    <row r="337" ht="13.2"/>
    <row r="338" ht="13.2"/>
    <row r="339" ht="13.2"/>
    <row r="340" ht="13.2"/>
    <row r="341" ht="13.2"/>
    <row r="342" ht="13.2"/>
    <row r="343" ht="13.2"/>
    <row r="344" ht="13.2"/>
    <row r="345" ht="13.2"/>
    <row r="346" ht="13.2"/>
    <row r="347" ht="13.2"/>
    <row r="348" ht="13.2"/>
    <row r="349" ht="13.2"/>
    <row r="350" ht="13.2"/>
    <row r="351" ht="13.2"/>
    <row r="352" ht="13.2"/>
    <row r="353" ht="13.2"/>
    <row r="354" ht="13.2"/>
    <row r="355" ht="13.2"/>
    <row r="356" ht="13.2"/>
    <row r="357" ht="13.2"/>
    <row r="358" ht="13.2"/>
    <row r="359" ht="13.2"/>
    <row r="360" ht="13.2"/>
    <row r="361" ht="13.2"/>
    <row r="362" ht="13.2"/>
    <row r="363" ht="13.2"/>
    <row r="364" ht="13.2"/>
    <row r="365" ht="13.2"/>
    <row r="366" ht="13.2"/>
    <row r="367" ht="13.2"/>
    <row r="368" ht="13.2"/>
    <row r="369" ht="13.2"/>
    <row r="370" ht="13.2"/>
    <row r="371" ht="13.2"/>
    <row r="372" ht="13.2"/>
    <row r="373" ht="13.2"/>
    <row r="374" ht="13.2"/>
    <row r="375" ht="13.2"/>
    <row r="376" ht="13.2"/>
    <row r="377" ht="13.2"/>
    <row r="378" ht="13.2"/>
    <row r="379" ht="13.2"/>
    <row r="380" ht="13.2"/>
    <row r="381" ht="13.2"/>
    <row r="382" ht="13.2"/>
    <row r="383" ht="13.2"/>
    <row r="384" ht="13.2"/>
    <row r="385" ht="13.2"/>
    <row r="386" ht="13.2"/>
    <row r="387" ht="13.2"/>
    <row r="388" ht="13.2"/>
    <row r="389" ht="13.2"/>
    <row r="390" ht="13.2"/>
    <row r="391" ht="13.2"/>
    <row r="392" ht="13.2"/>
    <row r="393" ht="13.2"/>
    <row r="394" ht="13.2"/>
    <row r="395" ht="13.2"/>
    <row r="396" ht="13.2"/>
    <row r="397" ht="13.2"/>
    <row r="398" ht="13.2"/>
    <row r="399" ht="13.2"/>
    <row r="400" ht="13.2"/>
    <row r="401" ht="13.2"/>
    <row r="402" ht="13.2"/>
    <row r="403" ht="13.2"/>
    <row r="404" ht="13.2"/>
    <row r="405" ht="13.2"/>
    <row r="406" ht="13.2"/>
    <row r="407" ht="13.2"/>
    <row r="408" ht="13.2"/>
    <row r="409" ht="13.2"/>
    <row r="410" ht="13.2"/>
    <row r="411" ht="13.2"/>
    <row r="412" ht="13.2"/>
    <row r="413" ht="13.2"/>
    <row r="414" ht="13.2"/>
    <row r="415" ht="13.2"/>
    <row r="416" ht="13.2"/>
    <row r="417" ht="13.2"/>
    <row r="418" ht="13.2"/>
    <row r="419" ht="13.2"/>
    <row r="420" ht="13.2"/>
    <row r="421" ht="13.2"/>
    <row r="422" ht="13.2"/>
    <row r="423" ht="13.2"/>
    <row r="424" ht="13.2"/>
    <row r="425" ht="13.2"/>
    <row r="426" ht="13.2"/>
    <row r="427" ht="13.2"/>
    <row r="428" ht="13.2"/>
    <row r="429" ht="13.2"/>
    <row r="430" ht="13.2"/>
    <row r="431" ht="13.2"/>
    <row r="432" ht="13.2"/>
    <row r="433" ht="13.2"/>
    <row r="434" ht="13.2"/>
    <row r="435" ht="13.2"/>
    <row r="436" ht="13.2"/>
    <row r="437" ht="13.2"/>
    <row r="438" ht="13.2"/>
    <row r="439" ht="13.2"/>
    <row r="440" ht="13.2"/>
    <row r="441" ht="13.2"/>
    <row r="442" ht="13.2"/>
    <row r="443" ht="13.2"/>
    <row r="444" ht="13.2"/>
    <row r="445" ht="13.2"/>
    <row r="446" ht="13.2"/>
    <row r="447" ht="13.2"/>
    <row r="448" ht="13.2"/>
    <row r="449" ht="13.2"/>
    <row r="450" ht="13.2"/>
    <row r="451" ht="13.2"/>
    <row r="452" ht="13.2"/>
    <row r="453" ht="13.2"/>
    <row r="454" ht="13.2"/>
    <row r="455" ht="13.2"/>
    <row r="456" ht="13.2"/>
    <row r="457" ht="13.2"/>
    <row r="458" ht="13.2"/>
    <row r="459" ht="13.2"/>
    <row r="460" ht="13.2"/>
    <row r="461" ht="13.2"/>
    <row r="462" ht="13.2"/>
    <row r="463" ht="13.2"/>
    <row r="464" ht="13.2"/>
    <row r="465" ht="13.2"/>
    <row r="466" ht="13.2"/>
    <row r="467" ht="13.2"/>
    <row r="468" ht="13.2"/>
    <row r="469" ht="13.2"/>
    <row r="470" ht="13.2"/>
    <row r="471" ht="13.2"/>
    <row r="472" ht="13.2"/>
    <row r="473" ht="13.2"/>
    <row r="474" ht="13.2"/>
    <row r="475" ht="13.2"/>
    <row r="476" ht="13.2"/>
    <row r="477" ht="13.2"/>
    <row r="478" ht="13.2"/>
    <row r="479" ht="13.2"/>
    <row r="480" ht="13.2"/>
    <row r="481" ht="13.2"/>
    <row r="482" ht="13.2"/>
    <row r="483" ht="13.2"/>
    <row r="484" ht="13.2"/>
    <row r="485" ht="13.2"/>
    <row r="486" ht="13.2"/>
    <row r="487" ht="13.2"/>
    <row r="488" ht="13.2"/>
    <row r="489" ht="13.2"/>
    <row r="490" ht="13.2"/>
    <row r="491" ht="13.2"/>
    <row r="492" ht="13.2"/>
    <row r="493" ht="13.2"/>
    <row r="494" ht="13.2"/>
    <row r="495" ht="13.2"/>
    <row r="496" ht="13.2"/>
    <row r="497" ht="13.2"/>
    <row r="498" ht="13.2"/>
    <row r="499" ht="13.2"/>
    <row r="500" ht="13.2"/>
    <row r="501" ht="13.2"/>
    <row r="502" ht="13.2"/>
    <row r="503" ht="13.2"/>
    <row r="504" ht="13.2"/>
    <row r="505" ht="13.2"/>
    <row r="506" ht="13.2"/>
    <row r="507" ht="13.2"/>
    <row r="508" ht="13.2"/>
    <row r="509" ht="13.2"/>
    <row r="510" ht="13.2"/>
    <row r="511" ht="13.2"/>
    <row r="512" ht="13.2"/>
    <row r="513" ht="13.2"/>
    <row r="514" ht="13.2"/>
    <row r="515" ht="13.2"/>
    <row r="516" ht="13.2"/>
    <row r="517" ht="13.2"/>
    <row r="518" ht="13.2"/>
    <row r="519" ht="13.2"/>
    <row r="520" ht="13.2"/>
    <row r="521" ht="13.2"/>
    <row r="522" ht="13.2"/>
    <row r="523" ht="13.2"/>
    <row r="524" ht="13.2"/>
    <row r="525" ht="13.2"/>
    <row r="526" ht="13.2"/>
    <row r="527" ht="13.2"/>
    <row r="528" ht="13.2"/>
    <row r="529" ht="13.2"/>
    <row r="530" ht="13.2"/>
    <row r="531" ht="13.2"/>
    <row r="532" ht="13.2"/>
    <row r="533" ht="13.2"/>
    <row r="534" ht="13.2"/>
    <row r="535" ht="13.2"/>
    <row r="536" ht="13.2"/>
    <row r="537" ht="13.2"/>
    <row r="538" ht="13.2"/>
    <row r="539" ht="13.2"/>
    <row r="540" ht="13.2"/>
    <row r="541" ht="13.2"/>
    <row r="542" ht="13.2"/>
    <row r="543" ht="13.2"/>
    <row r="544" ht="13.2"/>
    <row r="545" ht="13.2"/>
    <row r="546" ht="13.2"/>
    <row r="547" ht="13.2"/>
    <row r="548" ht="13.2"/>
    <row r="549" ht="13.2"/>
    <row r="550" ht="13.2"/>
    <row r="551" ht="13.2"/>
    <row r="552" ht="13.2"/>
    <row r="553" ht="13.2"/>
    <row r="554" ht="13.2"/>
    <row r="555" ht="13.2"/>
    <row r="556" ht="13.2"/>
    <row r="557" ht="13.2"/>
    <row r="558" ht="13.2"/>
    <row r="559" ht="13.2"/>
    <row r="560" ht="13.2"/>
    <row r="561" ht="13.2"/>
    <row r="562" ht="13.2"/>
    <row r="563" ht="13.2"/>
    <row r="564" ht="13.2"/>
    <row r="565" ht="13.2"/>
    <row r="566" ht="13.2"/>
    <row r="567" ht="13.2"/>
    <row r="568" ht="13.2"/>
    <row r="569" ht="13.2"/>
    <row r="570" ht="13.2"/>
    <row r="571" ht="13.2"/>
    <row r="572" ht="13.2"/>
    <row r="573" ht="13.2"/>
    <row r="574" ht="13.2"/>
    <row r="575" ht="13.2"/>
    <row r="576" ht="13.2"/>
    <row r="577" ht="13.2"/>
    <row r="578" ht="13.2"/>
    <row r="579" ht="13.2"/>
    <row r="580" ht="13.2"/>
    <row r="581" ht="13.2"/>
    <row r="582" ht="13.2"/>
    <row r="583" ht="13.2"/>
    <row r="584" ht="13.2"/>
    <row r="585" ht="13.2"/>
    <row r="586" ht="13.2"/>
    <row r="587" ht="13.2"/>
    <row r="588" ht="13.2"/>
    <row r="589" ht="13.2"/>
    <row r="590" ht="13.2"/>
    <row r="591" ht="13.2"/>
    <row r="592" ht="13.2"/>
    <row r="593" ht="13.2"/>
    <row r="594" ht="13.2"/>
    <row r="595" ht="13.2"/>
    <row r="596" ht="13.2"/>
    <row r="597" ht="13.2"/>
    <row r="598" ht="13.2"/>
    <row r="599" ht="13.2"/>
    <row r="600" ht="13.2"/>
    <row r="601" ht="13.2"/>
    <row r="602" ht="13.2"/>
    <row r="603" ht="13.2"/>
    <row r="604" ht="13.2"/>
    <row r="605" ht="13.2"/>
    <row r="606" ht="13.2"/>
    <row r="607" ht="13.2"/>
    <row r="608" ht="13.2"/>
    <row r="609" ht="13.2"/>
    <row r="610" ht="13.2"/>
    <row r="611" ht="13.2"/>
    <row r="612" ht="13.2"/>
    <row r="613" ht="13.2"/>
    <row r="614" ht="13.2"/>
    <row r="615" ht="13.2"/>
    <row r="616" ht="13.2"/>
    <row r="617" ht="13.2"/>
    <row r="618" ht="13.2"/>
    <row r="619" ht="13.2"/>
    <row r="620" ht="13.2"/>
    <row r="621" ht="13.2"/>
    <row r="622" ht="13.2"/>
    <row r="623" ht="13.2"/>
    <row r="624" ht="13.2"/>
    <row r="625" ht="13.2"/>
    <row r="626" ht="13.2"/>
    <row r="627" ht="13.2"/>
    <row r="628" ht="13.2"/>
    <row r="629" ht="13.2"/>
    <row r="630" ht="13.2"/>
    <row r="631" ht="13.2"/>
    <row r="632" ht="13.2"/>
    <row r="633" ht="13.2"/>
    <row r="634" ht="13.2"/>
    <row r="635" ht="13.2"/>
    <row r="636" ht="13.2"/>
    <row r="637" ht="13.2"/>
    <row r="638" ht="13.2"/>
    <row r="639" ht="13.2"/>
    <row r="640" ht="13.2"/>
    <row r="641" ht="13.2"/>
    <row r="642" ht="13.2"/>
    <row r="643" ht="13.2"/>
    <row r="644" ht="13.2"/>
    <row r="645" ht="13.2"/>
    <row r="646" ht="13.2"/>
    <row r="647" ht="13.2"/>
    <row r="648" ht="13.2"/>
    <row r="649" ht="13.2"/>
    <row r="650" ht="13.2"/>
    <row r="651" ht="13.2"/>
    <row r="652" ht="13.2"/>
    <row r="653" ht="13.2"/>
    <row r="654" ht="13.2"/>
    <row r="655" ht="13.2"/>
    <row r="656" ht="13.2"/>
    <row r="657" ht="13.2"/>
    <row r="658" ht="13.2"/>
    <row r="659" ht="13.2"/>
    <row r="660" ht="13.2"/>
    <row r="661" ht="13.2"/>
    <row r="662" ht="13.2"/>
    <row r="663" ht="13.2"/>
    <row r="664" ht="13.2"/>
    <row r="665" ht="13.2"/>
    <row r="666" ht="13.2"/>
    <row r="667" ht="13.2"/>
    <row r="668" ht="13.2"/>
    <row r="669" ht="13.2"/>
    <row r="670" ht="13.2"/>
    <row r="671" ht="13.2"/>
    <row r="672" ht="13.2"/>
    <row r="673" ht="13.2"/>
    <row r="674" ht="13.2"/>
    <row r="675" ht="13.2"/>
    <row r="676" ht="13.2"/>
    <row r="677" ht="13.2"/>
    <row r="678" ht="13.2"/>
    <row r="679" ht="13.2"/>
    <row r="680" ht="13.2"/>
    <row r="681" ht="13.2"/>
    <row r="682" ht="13.2"/>
    <row r="683" ht="13.2"/>
    <row r="684" ht="13.2"/>
    <row r="685" ht="13.2"/>
    <row r="686" ht="13.2"/>
    <row r="687" ht="13.2"/>
    <row r="688" ht="13.2"/>
    <row r="689" ht="13.2"/>
    <row r="690" ht="13.2"/>
    <row r="691" ht="13.2"/>
    <row r="692" ht="13.2"/>
    <row r="693" ht="13.2"/>
    <row r="694" ht="13.2"/>
    <row r="695" ht="13.2"/>
    <row r="696" ht="13.2"/>
    <row r="697" ht="13.2"/>
    <row r="698" ht="13.2"/>
    <row r="699" ht="13.2"/>
    <row r="700" ht="13.2"/>
    <row r="701" ht="13.2"/>
    <row r="702" ht="13.2"/>
    <row r="703" ht="13.2"/>
    <row r="704" ht="13.2"/>
    <row r="705" ht="13.2"/>
    <row r="706" ht="13.2"/>
    <row r="707" ht="13.2"/>
    <row r="708" ht="13.2"/>
    <row r="709" ht="13.2"/>
    <row r="710" ht="13.2"/>
    <row r="711" ht="13.2"/>
    <row r="712" ht="13.2"/>
    <row r="713" ht="13.2"/>
    <row r="714" ht="13.2"/>
    <row r="715" ht="13.2"/>
    <row r="716" ht="13.2"/>
    <row r="717" ht="13.2"/>
    <row r="718" ht="13.2"/>
    <row r="719" ht="13.2"/>
    <row r="720" ht="13.2"/>
    <row r="721" ht="13.2"/>
    <row r="722" ht="13.2"/>
    <row r="723" ht="13.2"/>
    <row r="724" ht="13.2"/>
    <row r="725" ht="13.2"/>
    <row r="726" ht="13.2"/>
    <row r="727" ht="13.2"/>
    <row r="728" ht="13.2"/>
    <row r="729" ht="13.2"/>
    <row r="730" ht="13.2"/>
    <row r="731" ht="13.2"/>
    <row r="732" ht="13.2"/>
    <row r="733" ht="13.2"/>
    <row r="734" ht="13.2"/>
    <row r="735" ht="13.2"/>
    <row r="736" ht="13.2"/>
    <row r="737" ht="13.2"/>
    <row r="738" ht="13.2"/>
    <row r="739" ht="13.2"/>
    <row r="740" ht="13.2"/>
    <row r="741" ht="13.2"/>
    <row r="742" ht="13.2"/>
    <row r="743" ht="13.2"/>
    <row r="744" ht="13.2"/>
    <row r="745" ht="13.2"/>
    <row r="746" ht="13.2"/>
    <row r="747" ht="13.2"/>
    <row r="748" ht="13.2"/>
    <row r="749" ht="13.2"/>
    <row r="750" ht="13.2"/>
    <row r="751" ht="13.2"/>
    <row r="752" ht="13.2"/>
    <row r="753" ht="13.2"/>
    <row r="754" ht="13.2"/>
    <row r="755" ht="13.2"/>
    <row r="756" ht="13.2"/>
    <row r="757" ht="13.2"/>
    <row r="758" ht="13.2"/>
    <row r="759" ht="13.2"/>
    <row r="760" ht="13.2"/>
    <row r="761" ht="13.2"/>
    <row r="762" ht="13.2"/>
    <row r="763" ht="13.2"/>
    <row r="764" ht="13.2"/>
    <row r="765" ht="13.2"/>
    <row r="766" ht="13.2"/>
    <row r="767" ht="13.2"/>
    <row r="768" ht="13.2"/>
    <row r="769" ht="13.2"/>
    <row r="770" ht="13.2"/>
    <row r="771" ht="13.2"/>
    <row r="772" ht="13.2"/>
    <row r="773" ht="13.2"/>
    <row r="774" ht="13.2"/>
    <row r="775" ht="13.2"/>
    <row r="776" ht="13.2"/>
    <row r="777" ht="13.2"/>
    <row r="778" ht="13.2"/>
    <row r="779" ht="13.2"/>
    <row r="780" ht="13.2"/>
    <row r="781" ht="13.2"/>
    <row r="782" ht="13.2"/>
    <row r="783" ht="13.2"/>
    <row r="784" ht="13.2"/>
    <row r="785" ht="13.2"/>
    <row r="786" ht="13.2"/>
    <row r="787" ht="13.2"/>
    <row r="788" ht="13.2"/>
    <row r="789" ht="13.2"/>
    <row r="790" ht="13.2"/>
    <row r="791" ht="13.2"/>
    <row r="792" ht="13.2"/>
    <row r="793" ht="13.2"/>
    <row r="794" ht="13.2"/>
    <row r="795" ht="13.2"/>
    <row r="796" ht="13.2"/>
    <row r="797" ht="13.2"/>
    <row r="798" ht="13.2"/>
    <row r="799" ht="13.2"/>
    <row r="800" ht="13.2"/>
    <row r="801" ht="13.2"/>
    <row r="802" ht="13.2"/>
    <row r="803" ht="13.2"/>
    <row r="804" ht="13.2"/>
    <row r="805" ht="13.2"/>
    <row r="806" ht="13.2"/>
    <row r="807" ht="13.2"/>
    <row r="808" ht="13.2"/>
    <row r="809" ht="13.2"/>
    <row r="810" ht="13.2"/>
    <row r="811" ht="13.2"/>
    <row r="812" ht="13.2"/>
    <row r="813" ht="13.2"/>
    <row r="814" ht="13.2"/>
    <row r="815" ht="13.2"/>
    <row r="816" ht="13.2"/>
    <row r="817" ht="13.2"/>
    <row r="818" ht="13.2"/>
    <row r="819" ht="13.2"/>
    <row r="820" ht="13.2"/>
    <row r="821" ht="13.2"/>
    <row r="822" ht="13.2"/>
    <row r="823" ht="13.2"/>
    <row r="824" ht="13.2"/>
    <row r="825" ht="13.2"/>
    <row r="826" ht="13.2"/>
    <row r="827" ht="13.2"/>
    <row r="828" ht="13.2"/>
    <row r="829" ht="13.2"/>
    <row r="830" ht="13.2"/>
    <row r="831" ht="13.2"/>
    <row r="832" ht="13.2"/>
    <row r="833" ht="13.2"/>
    <row r="834" ht="13.2"/>
    <row r="835" ht="13.2"/>
    <row r="836" ht="13.2"/>
    <row r="837" ht="13.2"/>
    <row r="838" ht="13.2"/>
    <row r="839" ht="13.2"/>
    <row r="840" ht="13.2"/>
    <row r="841" ht="13.2"/>
    <row r="842" ht="13.2"/>
    <row r="843" ht="13.2"/>
    <row r="844" ht="13.2"/>
    <row r="845" ht="13.2"/>
    <row r="846" ht="13.2"/>
    <row r="847" ht="13.2"/>
    <row r="848" ht="13.2"/>
    <row r="849" ht="13.2"/>
    <row r="850" ht="13.2"/>
    <row r="851" ht="13.2"/>
    <row r="852" ht="13.2"/>
    <row r="853" ht="13.2"/>
    <row r="854" ht="13.2"/>
    <row r="855" ht="13.2"/>
    <row r="856" ht="13.2"/>
    <row r="857" ht="13.2"/>
    <row r="858" ht="13.2"/>
    <row r="859" ht="13.2"/>
    <row r="860" ht="13.2"/>
    <row r="861" ht="13.2"/>
    <row r="862" ht="13.2"/>
    <row r="863" ht="13.2"/>
    <row r="864" ht="13.2"/>
    <row r="865" ht="13.2"/>
    <row r="866" ht="13.2"/>
    <row r="867" ht="13.2"/>
    <row r="868" ht="13.2"/>
    <row r="869" ht="13.2"/>
    <row r="870" ht="13.2"/>
    <row r="871" ht="13.2"/>
    <row r="872" ht="13.2"/>
    <row r="873" ht="13.2"/>
    <row r="874" ht="13.2"/>
    <row r="875" ht="13.2"/>
    <row r="876" ht="13.2"/>
    <row r="877" ht="13.2"/>
    <row r="878" ht="13.2"/>
    <row r="879" ht="13.2"/>
    <row r="880" ht="13.2"/>
    <row r="881" ht="13.2"/>
    <row r="882" ht="13.2"/>
    <row r="883" ht="13.2"/>
    <row r="884" ht="13.2"/>
    <row r="885" ht="13.2"/>
    <row r="886" ht="13.2"/>
    <row r="887" ht="13.2"/>
    <row r="888" ht="13.2"/>
    <row r="889" ht="13.2"/>
    <row r="890" ht="13.2"/>
    <row r="891" ht="13.2"/>
    <row r="892" ht="13.2"/>
    <row r="893" ht="13.2"/>
    <row r="894" ht="13.2"/>
    <row r="895" ht="13.2"/>
    <row r="896" ht="13.2"/>
    <row r="897" ht="13.2"/>
    <row r="898" ht="13.2"/>
    <row r="899" ht="13.2"/>
    <row r="900" ht="13.2"/>
    <row r="901" ht="13.2"/>
    <row r="902" ht="13.2"/>
    <row r="903" ht="13.2"/>
    <row r="904" ht="13.2"/>
    <row r="905" ht="13.2"/>
    <row r="906" ht="13.2"/>
    <row r="907" ht="13.2"/>
    <row r="908" ht="13.2"/>
    <row r="909" ht="13.2"/>
    <row r="910" ht="13.2"/>
    <row r="911" ht="13.2"/>
    <row r="912" ht="13.2"/>
    <row r="913" ht="13.2"/>
    <row r="914" ht="13.2"/>
    <row r="915" ht="13.2"/>
    <row r="916" ht="13.2"/>
    <row r="917" ht="13.2"/>
    <row r="918" ht="13.2"/>
    <row r="919" ht="13.2"/>
    <row r="920" ht="13.2"/>
    <row r="921" ht="13.2"/>
    <row r="922" ht="13.2"/>
    <row r="923" ht="13.2"/>
    <row r="924" ht="13.2"/>
    <row r="925" ht="13.2"/>
    <row r="926" ht="13.2"/>
    <row r="927" ht="13.2"/>
    <row r="928" ht="13.2"/>
    <row r="929" ht="13.2"/>
    <row r="930" ht="13.2"/>
    <row r="931" ht="13.2"/>
    <row r="932" ht="13.2"/>
    <row r="933" ht="13.2"/>
    <row r="934" ht="13.2"/>
    <row r="935" ht="13.2"/>
    <row r="936" ht="13.2"/>
    <row r="937" ht="13.2"/>
    <row r="938" ht="13.2"/>
    <row r="939" ht="13.2"/>
    <row r="940" ht="13.2"/>
    <row r="941" ht="13.2"/>
    <row r="942" ht="13.2"/>
    <row r="943" ht="13.2"/>
    <row r="944" ht="13.2"/>
    <row r="945" ht="13.2"/>
    <row r="946" ht="13.2"/>
    <row r="947" ht="13.2"/>
    <row r="948" ht="13.2"/>
    <row r="949" ht="13.2"/>
    <row r="950" ht="13.2"/>
    <row r="951" ht="13.2"/>
    <row r="952" ht="13.2"/>
    <row r="953" ht="13.2"/>
    <row r="954" ht="13.2"/>
    <row r="955" ht="13.2"/>
    <row r="956" ht="13.2"/>
    <row r="957" ht="13.2"/>
    <row r="958" ht="13.2"/>
    <row r="959" ht="13.2"/>
    <row r="960" ht="13.2"/>
    <row r="961" ht="13.2"/>
    <row r="962" ht="13.2"/>
    <row r="963" ht="13.2"/>
    <row r="964" ht="13.2"/>
    <row r="965" ht="13.2"/>
    <row r="966" ht="13.2"/>
    <row r="967" ht="13.2"/>
    <row r="968" ht="13.2"/>
    <row r="969" ht="13.2"/>
    <row r="970" ht="13.2"/>
    <row r="971" ht="13.2"/>
    <row r="972" ht="13.2"/>
    <row r="973" ht="13.2"/>
    <row r="974" ht="13.2"/>
    <row r="975" ht="13.2"/>
    <row r="976" ht="13.2"/>
    <row r="977" ht="13.2"/>
    <row r="978" ht="13.2"/>
    <row r="979" ht="13.2"/>
    <row r="980" ht="13.2"/>
    <row r="981" ht="13.2"/>
    <row r="982" ht="13.2"/>
    <row r="983" ht="13.2"/>
    <row r="984" ht="13.2"/>
    <row r="985" ht="13.2"/>
    <row r="986" ht="13.2"/>
    <row r="987" ht="13.2"/>
    <row r="988" ht="13.2"/>
    <row r="989" ht="13.2"/>
    <row r="990" ht="13.2"/>
    <row r="991" ht="13.2"/>
    <row r="992" ht="13.2"/>
    <row r="993" ht="13.2"/>
    <row r="994" ht="13.2"/>
    <row r="995" ht="13.2"/>
    <row r="996" ht="13.2"/>
    <row r="997" ht="13.2"/>
    <row r="998" ht="13.2"/>
    <row r="999" ht="13.2"/>
    <row r="1000" ht="13.2"/>
    <row r="1001" ht="13.2"/>
    <row r="1002" ht="13.2"/>
    <row r="1003" ht="13.2"/>
  </sheetData>
  <mergeCells count="1">
    <mergeCell ref="A2: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8"/>
  <sheetViews>
    <sheetView zoomScaleNormal="100" workbookViewId="0">
      <selection sqref="A1:F5"/>
    </sheetView>
  </sheetViews>
  <sheetFormatPr defaultColWidth="11.19921875" defaultRowHeight="15" customHeight="1"/>
  <cols>
    <col min="1" max="1" width="26.296875" customWidth="1"/>
    <col min="2" max="2" width="12.3984375" customWidth="1"/>
    <col min="3" max="6" width="8.69921875" customWidth="1"/>
    <col min="7" max="7" width="6.796875" customWidth="1"/>
    <col min="8" max="8" width="9.59765625" customWidth="1"/>
    <col min="9" max="24" width="6.796875" customWidth="1"/>
  </cols>
  <sheetData>
    <row r="1" spans="1:24">
      <c r="A1" s="102" t="s">
        <v>194</v>
      </c>
      <c r="B1" s="3">
        <v>2024</v>
      </c>
      <c r="C1" s="3">
        <v>2025</v>
      </c>
      <c r="D1" s="3">
        <v>2026</v>
      </c>
      <c r="E1" s="3">
        <v>2027</v>
      </c>
      <c r="F1" s="3">
        <v>2028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>
      <c r="A2" s="784" t="s">
        <v>512</v>
      </c>
      <c r="B2" s="783">
        <f>'Прогноз выручки'!B33/1000000</f>
        <v>4.917695644444444E-2</v>
      </c>
      <c r="C2" s="783">
        <f>'Прогноз выручки'!C33/1000000</f>
        <v>1.7851527573333332</v>
      </c>
      <c r="D2" s="783">
        <f>'Прогноз выручки'!D33/1000000</f>
        <v>9.4784121333333324</v>
      </c>
      <c r="E2" s="783">
        <f>'Прогноз выручки'!E33/1000000</f>
        <v>79.332404622222214</v>
      </c>
      <c r="F2" s="783">
        <f>'Прогноз выручки'!F33/1000000</f>
        <v>810.58503786666665</v>
      </c>
    </row>
    <row r="3" spans="1:24">
      <c r="A3" s="5" t="s">
        <v>513</v>
      </c>
      <c r="B3" s="783">
        <f>'Осн. Показ'!B56/1000000</f>
        <v>-0.21544935022222222</v>
      </c>
      <c r="C3" s="783">
        <f>'Осн. Показ'!C56/1000000</f>
        <v>0.10237861427777761</v>
      </c>
      <c r="D3" s="783">
        <f>'Осн. Показ'!D56/1000000</f>
        <v>2.2459815480034715</v>
      </c>
      <c r="E3" s="783">
        <f>'Осн. Показ'!E56/1000000</f>
        <v>30.531274488989794</v>
      </c>
      <c r="F3" s="783">
        <f>'Осн. Показ'!F56/1000000</f>
        <v>358.15241013273311</v>
      </c>
    </row>
    <row r="4" spans="1:24">
      <c r="A4" s="93" t="s">
        <v>195</v>
      </c>
      <c r="B4" s="783">
        <f>'Осн. Показ'!B61/1000000</f>
        <v>-0.19353490577777777</v>
      </c>
      <c r="C4" s="783">
        <f>'Осн. Показ'!C61/1000000</f>
        <v>0.16038505872222206</v>
      </c>
      <c r="D4" s="783">
        <f>'Осн. Показ'!D61/1000000</f>
        <v>1.8614719939583328</v>
      </c>
      <c r="E4" s="783">
        <f>'Осн. Показ'!E61/1000000</f>
        <v>24.54350794674739</v>
      </c>
      <c r="F4" s="783">
        <f>'Осн. Показ'!F61/1000000</f>
        <v>286.69326179507533</v>
      </c>
    </row>
    <row r="5" spans="1:24">
      <c r="A5" s="93" t="s">
        <v>126</v>
      </c>
      <c r="B5" s="783">
        <f>'Осн. Показ'!B81/1000000</f>
        <v>5.0836989522069923E-3</v>
      </c>
      <c r="C5" s="783">
        <f>'Осн. Показ'!C81/1000000</f>
        <v>3.6863827002282981E-2</v>
      </c>
      <c r="D5" s="783">
        <f>'Осн. Показ'!D81/1000000</f>
        <v>1.1403691751889262</v>
      </c>
      <c r="E5" s="783">
        <f>'Осн. Показ'!E81/1000000</f>
        <v>19.740855423975884</v>
      </c>
      <c r="F5" s="783">
        <f>'Осн. Показ'!F81/1000000</f>
        <v>247.60811357130694</v>
      </c>
    </row>
    <row r="7" spans="1:24">
      <c r="B7" s="6"/>
      <c r="C7" s="6"/>
      <c r="D7" s="6"/>
      <c r="E7" s="1"/>
      <c r="F7" s="1"/>
    </row>
    <row r="8" spans="1:24">
      <c r="B8" s="6"/>
      <c r="D8" s="6"/>
      <c r="E8" s="6"/>
    </row>
    <row r="9" spans="1:24">
      <c r="B9" s="6"/>
      <c r="C9" s="6"/>
    </row>
    <row r="11" spans="1:24">
      <c r="A11" s="1"/>
      <c r="B11" s="2"/>
    </row>
    <row r="12" spans="1:24">
      <c r="B12" s="2"/>
    </row>
    <row r="13" spans="1:24">
      <c r="B13" s="2"/>
    </row>
    <row r="14" spans="1:24">
      <c r="B14" s="2"/>
    </row>
    <row r="15" spans="1:24">
      <c r="B15" s="2"/>
    </row>
    <row r="16" spans="1:24">
      <c r="B16" s="2"/>
    </row>
    <row r="17" spans="2:2">
      <c r="B17" s="2"/>
    </row>
    <row r="18" spans="2:2">
      <c r="B18" s="2"/>
    </row>
  </sheetData>
  <pageMargins left="0.7" right="0.7" top="0.75" bottom="0.75" header="0" footer="0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992"/>
  <sheetViews>
    <sheetView topLeftCell="A27" zoomScale="130" zoomScaleNormal="130" workbookViewId="0">
      <selection activeCell="T10" sqref="T10"/>
    </sheetView>
  </sheetViews>
  <sheetFormatPr defaultColWidth="11.3984375" defaultRowHeight="15.75" customHeight="1"/>
  <cols>
    <col min="1" max="1" width="30.3984375" style="105" customWidth="1"/>
    <col min="2" max="3" width="11.3984375" style="105"/>
    <col min="4" max="4" width="23.5" style="105" customWidth="1"/>
    <col min="5" max="5" width="4.296875" style="105" customWidth="1"/>
    <col min="6" max="6" width="22" style="111" customWidth="1"/>
    <col min="7" max="7" width="30" style="105" customWidth="1"/>
    <col min="8" max="8" width="22" style="111" customWidth="1"/>
    <col min="9" max="9" width="30" style="584" customWidth="1"/>
    <col min="10" max="10" width="9.8984375" style="111" customWidth="1"/>
    <col min="11" max="11" width="30.796875" style="105" customWidth="1"/>
    <col min="12" max="12" width="0" style="105" hidden="1" customWidth="1"/>
    <col min="13" max="13" width="22" style="111" hidden="1" customWidth="1"/>
    <col min="14" max="14" width="30" style="305" hidden="1" customWidth="1"/>
    <col min="15" max="15" width="9.8984375" style="111" hidden="1" customWidth="1"/>
    <col min="16" max="16" width="30.796875" style="305" hidden="1" customWidth="1"/>
    <col min="17" max="17" width="9.8984375" style="111" customWidth="1"/>
    <col min="18" max="18" width="30.796875" style="305" customWidth="1"/>
    <col min="19" max="19" width="13.8984375" style="105" customWidth="1"/>
    <col min="20" max="20" width="26.5" style="105" customWidth="1"/>
    <col min="21" max="16384" width="11.3984375" style="105"/>
  </cols>
  <sheetData>
    <row r="1" spans="1:30" ht="64.2" customHeight="1">
      <c r="A1" s="812" t="s">
        <v>441</v>
      </c>
      <c r="B1" s="813"/>
      <c r="C1" s="813"/>
      <c r="D1" s="813"/>
      <c r="E1" s="70"/>
      <c r="F1" s="814" t="s">
        <v>440</v>
      </c>
      <c r="G1" s="814"/>
      <c r="H1" s="814" t="s">
        <v>444</v>
      </c>
      <c r="I1" s="814"/>
      <c r="J1" s="814" t="s">
        <v>420</v>
      </c>
      <c r="K1" s="814"/>
      <c r="M1" s="814" t="s">
        <v>398</v>
      </c>
      <c r="N1" s="814"/>
      <c r="O1" s="814" t="s">
        <v>399</v>
      </c>
      <c r="P1" s="814"/>
      <c r="Q1" s="814" t="s">
        <v>423</v>
      </c>
      <c r="R1" s="814"/>
      <c r="S1" s="814" t="s">
        <v>443</v>
      </c>
      <c r="T1" s="814"/>
      <c r="U1" s="89"/>
      <c r="V1" s="89"/>
      <c r="W1" s="89"/>
      <c r="X1" s="89"/>
      <c r="Y1" s="89"/>
      <c r="Z1" s="89"/>
      <c r="AA1" s="89"/>
      <c r="AB1" s="89"/>
      <c r="AC1" s="89"/>
      <c r="AD1" s="89"/>
    </row>
    <row r="2" spans="1:30" ht="28.8">
      <c r="A2" s="72" t="s">
        <v>90</v>
      </c>
      <c r="B2" s="73"/>
      <c r="C2" s="74"/>
      <c r="D2" s="75" t="s">
        <v>91</v>
      </c>
      <c r="E2" s="76"/>
      <c r="F2" s="115"/>
      <c r="G2" s="116"/>
      <c r="H2" s="115"/>
      <c r="I2" s="116"/>
      <c r="J2" s="115"/>
      <c r="K2" s="117"/>
      <c r="L2" s="89"/>
      <c r="M2" s="115"/>
      <c r="N2" s="116"/>
      <c r="O2" s="115"/>
      <c r="P2" s="117"/>
      <c r="Q2" s="115"/>
      <c r="R2" s="117"/>
      <c r="S2" s="115"/>
      <c r="T2" s="117"/>
      <c r="U2" s="89"/>
      <c r="V2" s="89"/>
      <c r="W2" s="89"/>
      <c r="X2" s="89"/>
      <c r="Y2" s="89"/>
      <c r="Z2" s="89"/>
      <c r="AA2" s="89"/>
      <c r="AB2" s="89"/>
      <c r="AC2" s="89"/>
      <c r="AD2" s="89"/>
    </row>
    <row r="3" spans="1:30" ht="27" customHeight="1">
      <c r="A3" s="77">
        <f>CEILING((A6+A8),1)</f>
        <v>5819</v>
      </c>
      <c r="B3" s="78">
        <f>A3*План!$A$1</f>
        <v>523710</v>
      </c>
      <c r="C3" s="79"/>
      <c r="D3" s="80"/>
      <c r="E3" s="76"/>
      <c r="F3" s="115">
        <v>1.69</v>
      </c>
      <c r="G3" s="748">
        <f>CEILING(A11*F3,1)</f>
        <v>6786</v>
      </c>
      <c r="H3" s="115">
        <v>2</v>
      </c>
      <c r="I3" s="748">
        <f>CEILING(A3*H3,1)</f>
        <v>11638</v>
      </c>
      <c r="J3" s="115">
        <v>2.8</v>
      </c>
      <c r="K3" s="749">
        <f>D41*J3</f>
        <v>16195.454545454544</v>
      </c>
      <c r="L3" s="89"/>
      <c r="M3" s="115">
        <v>1.8</v>
      </c>
      <c r="N3" s="118">
        <f>A3*M3</f>
        <v>10474.200000000001</v>
      </c>
      <c r="O3" s="115">
        <v>3</v>
      </c>
      <c r="P3" s="119">
        <f>(A3*3+D28*3)*O3</f>
        <v>952371</v>
      </c>
      <c r="Q3" s="115">
        <v>5</v>
      </c>
      <c r="R3" s="749">
        <f>(A3*3+D42)*Q3</f>
        <v>213364.54545454544</v>
      </c>
      <c r="S3" s="115">
        <v>4.5</v>
      </c>
      <c r="T3" s="749">
        <f>(A3*3+D42+5000*10)*S3</f>
        <v>417028.09090909088</v>
      </c>
      <c r="U3" s="89"/>
      <c r="V3" s="89"/>
      <c r="W3" s="89"/>
      <c r="X3" s="89"/>
      <c r="Y3" s="89"/>
      <c r="Z3" s="89"/>
      <c r="AA3" s="89"/>
      <c r="AB3" s="89"/>
      <c r="AC3" s="89"/>
      <c r="AD3" s="89"/>
    </row>
    <row r="4" spans="1:30" ht="26.4" customHeight="1">
      <c r="A4" s="81"/>
      <c r="B4" s="81"/>
      <c r="C4" s="82"/>
      <c r="D4" s="80"/>
      <c r="E4" s="76"/>
      <c r="F4" s="107" t="s">
        <v>211</v>
      </c>
      <c r="G4" s="752">
        <f>G3-A11</f>
        <v>2771</v>
      </c>
      <c r="H4" s="107" t="s">
        <v>211</v>
      </c>
      <c r="I4" s="752">
        <f>I3-C11</f>
        <v>11638</v>
      </c>
      <c r="J4" s="108"/>
      <c r="K4" s="750">
        <f>K3-D41</f>
        <v>10411.363636363636</v>
      </c>
      <c r="L4" s="750"/>
      <c r="M4" s="751"/>
      <c r="N4" s="752"/>
      <c r="O4" s="586"/>
      <c r="P4" s="750"/>
      <c r="Q4" s="586"/>
      <c r="R4" s="750">
        <f>R3-R5-A3*3</f>
        <v>170691.63636363635</v>
      </c>
      <c r="S4" s="108"/>
      <c r="T4" s="750">
        <f>T3-T5-A3*3</f>
        <v>324355.18181818177</v>
      </c>
      <c r="U4" s="89"/>
      <c r="V4" s="89"/>
      <c r="W4" s="89"/>
      <c r="X4" s="89"/>
      <c r="Y4" s="89"/>
      <c r="Z4" s="89"/>
      <c r="AA4" s="89"/>
      <c r="AB4" s="89"/>
      <c r="AC4" s="89"/>
      <c r="AD4" s="89"/>
    </row>
    <row r="5" spans="1:30" ht="15.6" customHeight="1">
      <c r="A5" s="83" t="s">
        <v>209</v>
      </c>
      <c r="B5" s="73"/>
      <c r="C5" s="74"/>
      <c r="D5" s="80"/>
      <c r="E5" s="76"/>
      <c r="F5" s="107" t="s">
        <v>212</v>
      </c>
      <c r="G5" s="752">
        <f>100000/88</f>
        <v>1136.3636363636363</v>
      </c>
      <c r="H5" s="107" t="s">
        <v>212</v>
      </c>
      <c r="I5" s="752">
        <f>5000000/88</f>
        <v>56818.181818181816</v>
      </c>
      <c r="J5" s="108"/>
      <c r="K5" s="750">
        <f>D41</f>
        <v>5784.090909090909</v>
      </c>
      <c r="L5" s="750"/>
      <c r="M5" s="751"/>
      <c r="N5" s="752"/>
      <c r="O5" s="586"/>
      <c r="P5" s="750"/>
      <c r="Q5" s="586"/>
      <c r="R5" s="750">
        <f>D42</f>
        <v>25215.909090909092</v>
      </c>
      <c r="S5" s="108"/>
      <c r="T5" s="750">
        <f>D42+50000</f>
        <v>75215.909090909088</v>
      </c>
      <c r="U5" s="89"/>
      <c r="V5" s="89"/>
      <c r="W5" s="89"/>
      <c r="X5" s="89"/>
      <c r="Y5" s="89"/>
      <c r="Z5" s="89"/>
      <c r="AA5" s="89"/>
      <c r="AB5" s="89"/>
      <c r="AC5" s="89"/>
      <c r="AD5" s="89"/>
    </row>
    <row r="6" spans="1:30" ht="28.2" customHeight="1">
      <c r="A6" s="77">
        <f>C19</f>
        <v>459</v>
      </c>
      <c r="B6" s="78">
        <f>A6*План!$A$1</f>
        <v>41310</v>
      </c>
      <c r="C6" s="79"/>
      <c r="D6" s="84">
        <f>A6/A3</f>
        <v>7.8879532565732949E-2</v>
      </c>
      <c r="E6" s="76"/>
      <c r="F6" s="107" t="s">
        <v>213</v>
      </c>
      <c r="G6" s="73">
        <f>CEILING(G5/G4,1)</f>
        <v>1</v>
      </c>
      <c r="H6" s="107" t="s">
        <v>213</v>
      </c>
      <c r="I6" s="73">
        <f>CEILING(I5/I4,1)</f>
        <v>5</v>
      </c>
      <c r="J6" s="108"/>
      <c r="K6" s="73">
        <f>CEILING(K5/K4,1)</f>
        <v>1</v>
      </c>
      <c r="L6" s="89"/>
      <c r="M6" s="107"/>
      <c r="N6" s="73"/>
      <c r="O6" s="108"/>
      <c r="P6" s="121"/>
      <c r="Q6" s="108"/>
      <c r="R6" s="89"/>
      <c r="S6" s="108"/>
      <c r="T6" s="89">
        <f>CEILING(T5/T4,1)</f>
        <v>1</v>
      </c>
      <c r="U6" s="89"/>
      <c r="V6" s="89"/>
      <c r="W6" s="89"/>
      <c r="X6" s="89"/>
      <c r="Y6" s="89"/>
      <c r="Z6" s="89"/>
      <c r="AA6" s="89"/>
      <c r="AB6" s="89"/>
      <c r="AC6" s="89"/>
      <c r="AD6" s="89"/>
    </row>
    <row r="7" spans="1:30" ht="15.75" customHeight="1">
      <c r="A7" s="83" t="s">
        <v>210</v>
      </c>
      <c r="B7" s="73"/>
      <c r="C7" s="74"/>
      <c r="D7" s="84"/>
      <c r="E7" s="76"/>
      <c r="F7" s="108"/>
      <c r="G7" s="87"/>
      <c r="H7" s="108"/>
      <c r="I7" s="87"/>
      <c r="J7" s="108"/>
      <c r="K7" s="89"/>
      <c r="L7" s="89"/>
      <c r="M7" s="108"/>
      <c r="N7" s="87"/>
      <c r="O7" s="108"/>
      <c r="P7" s="89"/>
      <c r="Q7" s="108"/>
      <c r="R7" s="89"/>
      <c r="S7" s="108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</row>
    <row r="8" spans="1:30" ht="23.4" customHeight="1">
      <c r="A8" s="77">
        <f>SUM(D20:D26)</f>
        <v>5359.7272727272721</v>
      </c>
      <c r="B8" s="78">
        <f>A8*88</f>
        <v>471655.99999999994</v>
      </c>
      <c r="C8" s="79"/>
      <c r="D8" s="84">
        <f>A8/A3</f>
        <v>0.92107359902513697</v>
      </c>
      <c r="E8" s="76"/>
      <c r="F8" s="108"/>
      <c r="G8" s="586">
        <f>G3*88</f>
        <v>597168</v>
      </c>
      <c r="H8" s="108"/>
      <c r="I8" s="586">
        <f>I3*88</f>
        <v>1024144</v>
      </c>
      <c r="J8" s="108"/>
      <c r="K8" s="586">
        <f>K3*88</f>
        <v>1425200</v>
      </c>
      <c r="L8" s="121"/>
      <c r="M8" s="108"/>
      <c r="N8" s="120"/>
      <c r="O8" s="108"/>
      <c r="P8" s="89"/>
      <c r="Q8" s="108"/>
      <c r="R8" s="586">
        <f>R3*88</f>
        <v>18776080</v>
      </c>
      <c r="S8" s="108"/>
      <c r="T8" s="586">
        <f>T3*88</f>
        <v>36698472</v>
      </c>
      <c r="U8" s="89"/>
      <c r="V8" s="89"/>
      <c r="W8" s="89"/>
      <c r="X8" s="89"/>
      <c r="Y8" s="89"/>
      <c r="Z8" s="89"/>
      <c r="AA8" s="89"/>
      <c r="AB8" s="89"/>
      <c r="AC8" s="89"/>
      <c r="AD8" s="89"/>
    </row>
    <row r="9" spans="1:30" ht="16.2" customHeight="1">
      <c r="A9" s="812" t="s">
        <v>442</v>
      </c>
      <c r="B9" s="813"/>
      <c r="C9" s="813"/>
      <c r="D9" s="813"/>
      <c r="E9" s="76"/>
      <c r="F9" s="108"/>
      <c r="G9" s="525">
        <f>G4/G3</f>
        <v>0.40834070144414975</v>
      </c>
      <c r="H9" s="108"/>
      <c r="I9" s="525">
        <f>I4/I3</f>
        <v>1</v>
      </c>
      <c r="J9" s="108"/>
      <c r="K9" s="89"/>
      <c r="L9" s="89"/>
      <c r="M9" s="108"/>
      <c r="N9" s="76"/>
      <c r="O9" s="108"/>
      <c r="P9" s="89"/>
      <c r="Q9" s="108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</row>
    <row r="10" spans="1:30" ht="28.8">
      <c r="A10" s="72" t="s">
        <v>90</v>
      </c>
      <c r="B10" s="73"/>
      <c r="C10" s="74"/>
      <c r="D10" s="75" t="s">
        <v>91</v>
      </c>
      <c r="E10" s="82"/>
      <c r="F10" s="108"/>
      <c r="G10" s="88"/>
      <c r="H10" s="108"/>
      <c r="I10" s="88"/>
      <c r="J10" s="108"/>
      <c r="K10" s="89"/>
      <c r="L10" s="89"/>
      <c r="M10" s="108"/>
      <c r="N10" s="88"/>
      <c r="O10" s="108"/>
      <c r="P10" s="89"/>
      <c r="Q10" s="108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</row>
    <row r="11" spans="1:30" ht="31.2">
      <c r="A11" s="77">
        <f>CEILING((A14+A16),1)</f>
        <v>4015</v>
      </c>
      <c r="B11" s="78">
        <f>A11*88</f>
        <v>353320</v>
      </c>
      <c r="C11" s="79"/>
      <c r="D11" s="80"/>
      <c r="E11" s="88"/>
      <c r="F11" s="109"/>
      <c r="G11" s="76"/>
      <c r="H11" s="109"/>
      <c r="I11" s="76"/>
      <c r="J11" s="109"/>
      <c r="K11" s="89"/>
      <c r="L11" s="89"/>
      <c r="M11" s="109"/>
      <c r="N11" s="76"/>
      <c r="O11" s="109"/>
      <c r="P11" s="89"/>
      <c r="Q11" s="10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</row>
    <row r="12" spans="1:30" ht="14.4">
      <c r="A12" s="81"/>
      <c r="B12" s="81"/>
      <c r="C12" s="82"/>
      <c r="D12" s="80"/>
      <c r="E12" s="88"/>
      <c r="F12" s="109"/>
      <c r="G12" s="92"/>
      <c r="H12" s="109"/>
      <c r="I12" s="92"/>
      <c r="J12" s="109"/>
      <c r="K12" s="89"/>
      <c r="L12" s="89"/>
      <c r="M12" s="109"/>
      <c r="N12" s="92"/>
      <c r="O12" s="109"/>
      <c r="P12" s="89"/>
      <c r="Q12" s="10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</row>
    <row r="13" spans="1:30" ht="14.4">
      <c r="A13" s="83" t="s">
        <v>209</v>
      </c>
      <c r="B13" s="73"/>
      <c r="C13" s="74"/>
      <c r="D13" s="80"/>
      <c r="E13" s="88"/>
      <c r="F13" s="109"/>
      <c r="G13" s="76"/>
      <c r="H13" s="109"/>
      <c r="I13" s="76"/>
      <c r="J13" s="109"/>
      <c r="K13" s="89"/>
      <c r="L13" s="89"/>
      <c r="M13" s="109"/>
      <c r="N13" s="76"/>
      <c r="O13" s="109"/>
      <c r="P13" s="89"/>
      <c r="Q13" s="10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</row>
    <row r="14" spans="1:30" ht="31.2">
      <c r="A14" s="77">
        <f>C32</f>
        <v>459</v>
      </c>
      <c r="B14" s="78">
        <f>A14*88</f>
        <v>40392</v>
      </c>
      <c r="C14" s="79"/>
      <c r="D14" s="84">
        <f>A14/A11</f>
        <v>0.11432129514321294</v>
      </c>
      <c r="E14" s="88"/>
      <c r="F14" s="109"/>
      <c r="G14" s="76"/>
      <c r="H14" s="109"/>
      <c r="I14" s="76"/>
      <c r="J14" s="109"/>
      <c r="K14" s="89"/>
      <c r="L14" s="89"/>
      <c r="M14" s="109"/>
      <c r="N14" s="76"/>
      <c r="O14" s="109"/>
      <c r="P14" s="89"/>
      <c r="Q14" s="10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</row>
    <row r="15" spans="1:30" ht="18">
      <c r="A15" s="83" t="s">
        <v>210</v>
      </c>
      <c r="B15" s="73"/>
      <c r="C15" s="74"/>
      <c r="D15" s="84"/>
      <c r="E15" s="88"/>
      <c r="F15" s="109"/>
      <c r="G15" s="76"/>
      <c r="H15" s="109"/>
      <c r="I15" s="76"/>
      <c r="J15" s="109"/>
      <c r="K15" s="89"/>
      <c r="L15" s="89"/>
      <c r="M15" s="109"/>
      <c r="N15" s="76"/>
      <c r="O15" s="109"/>
      <c r="P15" s="89"/>
      <c r="Q15" s="10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</row>
    <row r="16" spans="1:30" ht="31.2">
      <c r="A16" s="77">
        <f>SUM(D33:D39)</f>
        <v>3555.659090909091</v>
      </c>
      <c r="B16" s="78">
        <f>A16*88</f>
        <v>312898</v>
      </c>
      <c r="C16" s="79"/>
      <c r="D16" s="84">
        <f>A16/A11</f>
        <v>0.88559379599230159</v>
      </c>
      <c r="E16" s="88"/>
      <c r="F16" s="109"/>
      <c r="G16" s="76"/>
      <c r="H16" s="109"/>
      <c r="I16" s="76"/>
      <c r="J16" s="109"/>
      <c r="K16" s="89"/>
      <c r="L16" s="89"/>
      <c r="M16" s="109"/>
      <c r="N16" s="76"/>
      <c r="O16" s="109"/>
      <c r="P16" s="89"/>
      <c r="Q16" s="10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</row>
    <row r="17" spans="1:30" ht="15.75" customHeight="1">
      <c r="A17" s="585" t="s">
        <v>438</v>
      </c>
      <c r="B17" s="76"/>
      <c r="C17" s="82"/>
      <c r="D17" s="82"/>
      <c r="E17" s="89"/>
      <c r="F17" s="110"/>
      <c r="G17" s="89"/>
      <c r="H17" s="110"/>
      <c r="I17" s="89"/>
      <c r="J17" s="110"/>
      <c r="K17" s="89"/>
      <c r="L17" s="89"/>
      <c r="M17" s="110"/>
      <c r="N17" s="89"/>
      <c r="O17" s="110"/>
      <c r="P17" s="89"/>
      <c r="Q17" s="110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</row>
    <row r="18" spans="1:30" ht="15.75" customHeight="1">
      <c r="A18" s="76" t="s">
        <v>98</v>
      </c>
      <c r="B18" s="76" t="s">
        <v>99</v>
      </c>
      <c r="C18" s="82" t="s">
        <v>18</v>
      </c>
      <c r="D18" s="82" t="s">
        <v>100</v>
      </c>
      <c r="E18" s="89"/>
      <c r="F18" s="110"/>
      <c r="G18" s="89"/>
      <c r="H18" s="110"/>
      <c r="I18" s="89"/>
      <c r="J18" s="110"/>
      <c r="K18" s="89"/>
      <c r="L18" s="89"/>
      <c r="M18" s="110"/>
      <c r="N18" s="89"/>
      <c r="O18" s="110"/>
      <c r="P18" s="89"/>
      <c r="Q18" s="110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</row>
    <row r="19" spans="1:30" ht="15.75" customHeight="1">
      <c r="A19" s="85" t="s">
        <v>204</v>
      </c>
      <c r="B19" s="86">
        <v>2</v>
      </c>
      <c r="C19" s="87">
        <f>'TAU Easy'!A3</f>
        <v>459</v>
      </c>
      <c r="D19" s="87">
        <f t="shared" ref="D19:D24" si="0">C19*B19</f>
        <v>918</v>
      </c>
      <c r="E19" s="89"/>
      <c r="F19" s="110"/>
      <c r="G19" s="89"/>
      <c r="H19" s="110"/>
      <c r="I19" s="89"/>
      <c r="J19" s="110"/>
      <c r="K19" s="89"/>
      <c r="L19" s="89"/>
      <c r="M19" s="110"/>
      <c r="N19" s="89"/>
      <c r="O19" s="110"/>
      <c r="P19" s="89"/>
      <c r="Q19" s="110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</row>
    <row r="20" spans="1:30" ht="15.75" customHeight="1">
      <c r="A20" s="85" t="s">
        <v>205</v>
      </c>
      <c r="B20" s="86">
        <v>1</v>
      </c>
      <c r="C20" s="87">
        <v>1800</v>
      </c>
      <c r="D20" s="87">
        <f t="shared" si="0"/>
        <v>1800</v>
      </c>
      <c r="E20" s="89"/>
      <c r="F20" s="110"/>
      <c r="G20" s="89"/>
      <c r="H20" s="110"/>
      <c r="I20" s="89"/>
      <c r="J20" s="110"/>
      <c r="K20" s="89"/>
      <c r="L20" s="89"/>
      <c r="M20" s="110"/>
      <c r="N20" s="89"/>
      <c r="O20" s="110"/>
      <c r="P20" s="89"/>
      <c r="Q20" s="110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</row>
    <row r="21" spans="1:30" ht="15.75" customHeight="1">
      <c r="A21" s="85" t="s">
        <v>206</v>
      </c>
      <c r="B21" s="86">
        <v>2</v>
      </c>
      <c r="C21" s="87">
        <v>350</v>
      </c>
      <c r="D21" s="87">
        <f t="shared" si="0"/>
        <v>700</v>
      </c>
      <c r="E21" s="89"/>
      <c r="F21" s="110"/>
      <c r="G21" s="89"/>
      <c r="H21" s="110"/>
      <c r="I21" s="89"/>
      <c r="J21" s="110"/>
      <c r="K21" s="89"/>
      <c r="L21" s="89"/>
      <c r="M21" s="110"/>
      <c r="N21" s="89"/>
      <c r="O21" s="110"/>
      <c r="P21" s="89"/>
      <c r="Q21" s="110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</row>
    <row r="22" spans="1:30" ht="15.75" customHeight="1">
      <c r="A22" s="85" t="s">
        <v>207</v>
      </c>
      <c r="B22" s="86">
        <v>2</v>
      </c>
      <c r="C22" s="87">
        <v>258</v>
      </c>
      <c r="D22" s="87">
        <f t="shared" si="0"/>
        <v>516</v>
      </c>
      <c r="E22" s="89"/>
      <c r="F22" s="110"/>
      <c r="G22" s="89"/>
      <c r="H22" s="110"/>
      <c r="I22" s="89"/>
      <c r="J22" s="110"/>
      <c r="K22" s="89"/>
      <c r="L22" s="89"/>
      <c r="M22" s="110"/>
      <c r="N22" s="89"/>
      <c r="O22" s="110"/>
      <c r="P22" s="89"/>
      <c r="Q22" s="110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</row>
    <row r="23" spans="1:30" ht="15.75" customHeight="1">
      <c r="A23" s="85" t="s">
        <v>208</v>
      </c>
      <c r="B23" s="86">
        <v>1</v>
      </c>
      <c r="C23" s="87">
        <v>15</v>
      </c>
      <c r="D23" s="87">
        <f t="shared" si="0"/>
        <v>15</v>
      </c>
      <c r="E23" s="89"/>
      <c r="F23" s="110"/>
      <c r="G23" s="89"/>
      <c r="H23" s="110"/>
      <c r="I23" s="89"/>
      <c r="J23" s="110"/>
      <c r="K23" s="89"/>
      <c r="L23" s="89"/>
      <c r="M23" s="110"/>
      <c r="N23" s="89"/>
      <c r="O23" s="110"/>
      <c r="P23" s="89"/>
      <c r="Q23" s="110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</row>
    <row r="24" spans="1:30" ht="15.75" customHeight="1">
      <c r="A24" s="85" t="s">
        <v>190</v>
      </c>
      <c r="B24" s="86">
        <v>1</v>
      </c>
      <c r="C24" s="87">
        <f>200000/88</f>
        <v>2272.7272727272725</v>
      </c>
      <c r="D24" s="87">
        <f t="shared" si="0"/>
        <v>2272.7272727272725</v>
      </c>
      <c r="E24" s="89"/>
      <c r="F24" s="110"/>
      <c r="G24" s="89"/>
      <c r="H24" s="110"/>
      <c r="I24" s="89"/>
      <c r="J24" s="110"/>
      <c r="K24" s="89"/>
      <c r="L24" s="89"/>
      <c r="M24" s="110"/>
      <c r="N24" s="89"/>
      <c r="O24" s="110"/>
      <c r="P24" s="89"/>
      <c r="Q24" s="110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</row>
    <row r="25" spans="1:30" ht="15.75" customHeight="1">
      <c r="A25" s="85" t="s">
        <v>22</v>
      </c>
      <c r="B25" s="86">
        <v>1</v>
      </c>
      <c r="C25" s="87">
        <v>30</v>
      </c>
      <c r="D25" s="87">
        <f t="shared" ref="D25:D26" si="1">C25*B25</f>
        <v>30</v>
      </c>
      <c r="E25" s="89"/>
      <c r="F25" s="110"/>
      <c r="G25" s="89"/>
      <c r="H25" s="110"/>
      <c r="I25" s="89"/>
      <c r="J25" s="110"/>
      <c r="K25" s="89"/>
      <c r="L25" s="89"/>
      <c r="M25" s="110"/>
      <c r="N25" s="89"/>
      <c r="O25" s="110"/>
      <c r="P25" s="89"/>
      <c r="Q25" s="110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</row>
    <row r="26" spans="1:30" ht="15.75" customHeight="1">
      <c r="A26" s="85" t="s">
        <v>23</v>
      </c>
      <c r="B26" s="86">
        <v>1</v>
      </c>
      <c r="C26" s="87">
        <v>26</v>
      </c>
      <c r="D26" s="87">
        <f t="shared" si="1"/>
        <v>26</v>
      </c>
      <c r="E26" s="89"/>
      <c r="F26" s="110"/>
      <c r="G26" s="89"/>
      <c r="H26" s="110"/>
      <c r="I26" s="89"/>
      <c r="J26" s="110"/>
      <c r="K26" s="89"/>
      <c r="L26" s="89"/>
      <c r="M26" s="110"/>
      <c r="N26" s="89"/>
      <c r="O26" s="110"/>
      <c r="P26" s="89"/>
      <c r="Q26" s="110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</row>
    <row r="27" spans="1:30" ht="14.4">
      <c r="A27" s="89"/>
      <c r="B27" s="89"/>
      <c r="C27" s="89"/>
      <c r="D27" s="87">
        <f>SUM(D19:D26)</f>
        <v>6277.7272727272721</v>
      </c>
      <c r="E27" s="89"/>
      <c r="F27" s="110"/>
      <c r="G27" s="89"/>
      <c r="H27" s="110"/>
      <c r="I27" s="89"/>
      <c r="J27" s="110"/>
      <c r="K27" s="89"/>
      <c r="L27" s="89"/>
      <c r="M27" s="110"/>
      <c r="N27" s="89"/>
      <c r="O27" s="110"/>
      <c r="P27" s="89"/>
      <c r="Q27" s="110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</row>
    <row r="28" spans="1:30" ht="14.4">
      <c r="A28" s="89" t="s">
        <v>400</v>
      </c>
      <c r="B28" s="89">
        <v>1</v>
      </c>
      <c r="C28" s="89">
        <f>100000</f>
        <v>100000</v>
      </c>
      <c r="D28" s="87">
        <f>CEILING(C28*B28,100)</f>
        <v>100000</v>
      </c>
      <c r="E28" s="89"/>
      <c r="F28" s="110"/>
      <c r="G28" s="89"/>
      <c r="H28" s="110"/>
      <c r="I28" s="89"/>
      <c r="J28" s="110"/>
      <c r="K28" s="89"/>
      <c r="L28" s="89"/>
      <c r="M28" s="110"/>
      <c r="N28" s="89"/>
      <c r="O28" s="110"/>
      <c r="P28" s="89"/>
      <c r="Q28" s="110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</row>
    <row r="29" spans="1:30" ht="13.8">
      <c r="A29" s="89"/>
      <c r="B29" s="89"/>
      <c r="C29" s="89"/>
      <c r="D29" s="89"/>
      <c r="E29" s="89"/>
      <c r="F29" s="110"/>
      <c r="G29" s="89"/>
      <c r="H29" s="110"/>
      <c r="I29" s="89"/>
      <c r="J29" s="110"/>
      <c r="K29" s="89"/>
      <c r="L29" s="89"/>
      <c r="M29" s="110"/>
      <c r="N29" s="89"/>
      <c r="O29" s="110"/>
      <c r="P29" s="89"/>
      <c r="Q29" s="110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</row>
    <row r="30" spans="1:30" ht="14.4">
      <c r="A30" s="585" t="s">
        <v>439</v>
      </c>
      <c r="B30" s="76"/>
      <c r="C30" s="82"/>
      <c r="D30" s="82"/>
      <c r="E30" s="89"/>
      <c r="F30" s="110"/>
      <c r="G30" s="89"/>
      <c r="H30" s="110"/>
      <c r="I30" s="89"/>
      <c r="J30" s="110"/>
      <c r="K30" s="89"/>
      <c r="L30" s="89"/>
      <c r="M30" s="110"/>
      <c r="N30" s="89"/>
      <c r="O30" s="110"/>
      <c r="P30" s="89"/>
      <c r="Q30" s="110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</row>
    <row r="31" spans="1:30" ht="28.8">
      <c r="A31" s="76" t="s">
        <v>98</v>
      </c>
      <c r="B31" s="76" t="s">
        <v>99</v>
      </c>
      <c r="C31" s="82" t="s">
        <v>18</v>
      </c>
      <c r="D31" s="82" t="s">
        <v>100</v>
      </c>
      <c r="E31" s="89"/>
      <c r="F31" s="110"/>
      <c r="G31" s="89"/>
      <c r="H31" s="110"/>
      <c r="I31" s="89"/>
      <c r="J31" s="110"/>
      <c r="K31" s="89"/>
      <c r="L31" s="89"/>
      <c r="M31" s="110"/>
      <c r="N31" s="89"/>
      <c r="O31" s="110"/>
      <c r="P31" s="89"/>
      <c r="Q31" s="110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</row>
    <row r="32" spans="1:30" ht="14.4">
      <c r="A32" s="85" t="s">
        <v>204</v>
      </c>
      <c r="B32" s="86">
        <v>2</v>
      </c>
      <c r="C32" s="87">
        <f>'TAU Easy'!A3</f>
        <v>459</v>
      </c>
      <c r="D32" s="87">
        <f t="shared" ref="D32:D39" si="2">C32*B32</f>
        <v>918</v>
      </c>
      <c r="E32" s="89"/>
      <c r="F32" s="110"/>
      <c r="G32" s="89"/>
      <c r="H32" s="110"/>
      <c r="I32" s="89"/>
      <c r="J32" s="110"/>
      <c r="K32" s="89"/>
      <c r="L32" s="89"/>
      <c r="M32" s="110"/>
      <c r="N32" s="89"/>
      <c r="O32" s="110"/>
      <c r="P32" s="89"/>
      <c r="Q32" s="110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</row>
    <row r="33" spans="1:30" ht="14.4">
      <c r="A33" s="85" t="s">
        <v>205</v>
      </c>
      <c r="B33" s="86">
        <v>1</v>
      </c>
      <c r="C33" s="87">
        <f>259990/88</f>
        <v>2954.431818181818</v>
      </c>
      <c r="D33" s="87">
        <f t="shared" si="2"/>
        <v>2954.431818181818</v>
      </c>
      <c r="E33" s="89"/>
      <c r="F33" s="110"/>
      <c r="G33" s="89"/>
      <c r="H33" s="110"/>
      <c r="I33" s="89"/>
      <c r="J33" s="110"/>
      <c r="K33" s="89"/>
      <c r="L33" s="89"/>
      <c r="M33" s="110"/>
      <c r="N33" s="89"/>
      <c r="O33" s="110"/>
      <c r="P33" s="89"/>
      <c r="Q33" s="110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</row>
    <row r="34" spans="1:30" ht="14.4">
      <c r="A34" s="85" t="s">
        <v>206</v>
      </c>
      <c r="B34" s="86">
        <v>0</v>
      </c>
      <c r="C34" s="87">
        <v>350</v>
      </c>
      <c r="D34" s="87">
        <f t="shared" si="2"/>
        <v>0</v>
      </c>
      <c r="E34" s="89"/>
      <c r="F34" s="110"/>
      <c r="G34" s="89"/>
      <c r="H34" s="110"/>
      <c r="I34" s="89"/>
      <c r="J34" s="110"/>
      <c r="K34" s="89"/>
      <c r="L34" s="89"/>
      <c r="M34" s="110"/>
      <c r="N34" s="89"/>
      <c r="O34" s="110"/>
      <c r="P34" s="89"/>
      <c r="Q34" s="110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</row>
    <row r="35" spans="1:30" ht="14.4">
      <c r="A35" s="85" t="s">
        <v>207</v>
      </c>
      <c r="B35" s="86">
        <v>2</v>
      </c>
      <c r="C35" s="87">
        <f>23990/88</f>
        <v>272.61363636363637</v>
      </c>
      <c r="D35" s="87">
        <f t="shared" si="2"/>
        <v>545.22727272727275</v>
      </c>
      <c r="E35" s="89"/>
      <c r="F35" s="110"/>
      <c r="G35" s="89"/>
      <c r="H35" s="110"/>
      <c r="I35" s="89"/>
      <c r="J35" s="110"/>
      <c r="K35" s="89"/>
      <c r="L35" s="89"/>
      <c r="M35" s="110"/>
      <c r="N35" s="89"/>
      <c r="O35" s="110"/>
      <c r="P35" s="89"/>
      <c r="Q35" s="110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</row>
    <row r="36" spans="1:30" ht="14.4">
      <c r="A36" s="85" t="s">
        <v>208</v>
      </c>
      <c r="B36" s="86">
        <v>0</v>
      </c>
      <c r="C36" s="87">
        <v>15</v>
      </c>
      <c r="D36" s="87">
        <f t="shared" si="2"/>
        <v>0</v>
      </c>
      <c r="E36" s="89"/>
      <c r="F36" s="110"/>
      <c r="G36" s="89"/>
      <c r="H36" s="110"/>
      <c r="I36" s="89"/>
      <c r="J36" s="110"/>
      <c r="K36" s="89"/>
      <c r="L36" s="89"/>
      <c r="M36" s="110"/>
      <c r="N36" s="89"/>
      <c r="O36" s="110"/>
      <c r="P36" s="89"/>
      <c r="Q36" s="110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</row>
    <row r="37" spans="1:30" ht="14.4">
      <c r="A37" s="85" t="s">
        <v>190</v>
      </c>
      <c r="B37" s="86">
        <v>0</v>
      </c>
      <c r="C37" s="87">
        <v>680</v>
      </c>
      <c r="D37" s="87">
        <f t="shared" si="2"/>
        <v>0</v>
      </c>
      <c r="E37" s="89"/>
      <c r="F37" s="110"/>
      <c r="G37" s="89"/>
      <c r="H37" s="110"/>
      <c r="I37" s="89"/>
      <c r="J37" s="110"/>
      <c r="K37" s="89"/>
      <c r="L37" s="89"/>
      <c r="M37" s="110"/>
      <c r="N37" s="89"/>
      <c r="O37" s="110"/>
      <c r="P37" s="89"/>
      <c r="Q37" s="110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</row>
    <row r="38" spans="1:30" ht="14.4">
      <c r="A38" s="85" t="s">
        <v>22</v>
      </c>
      <c r="B38" s="86">
        <v>1</v>
      </c>
      <c r="C38" s="87">
        <v>30</v>
      </c>
      <c r="D38" s="87">
        <f t="shared" si="2"/>
        <v>30</v>
      </c>
      <c r="E38" s="89"/>
      <c r="F38" s="110"/>
      <c r="G38" s="89"/>
      <c r="H38" s="110"/>
      <c r="I38" s="89"/>
      <c r="J38" s="110"/>
      <c r="K38" s="89"/>
      <c r="L38" s="89"/>
      <c r="M38" s="110"/>
      <c r="N38" s="89"/>
      <c r="O38" s="110"/>
      <c r="P38" s="89"/>
      <c r="Q38" s="110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</row>
    <row r="39" spans="1:30" ht="14.4">
      <c r="A39" s="85" t="s">
        <v>23</v>
      </c>
      <c r="B39" s="86">
        <v>1</v>
      </c>
      <c r="C39" s="87">
        <v>26</v>
      </c>
      <c r="D39" s="87">
        <f t="shared" si="2"/>
        <v>26</v>
      </c>
      <c r="E39" s="89"/>
      <c r="F39" s="110"/>
      <c r="G39" s="89"/>
      <c r="H39" s="110"/>
      <c r="I39" s="89"/>
      <c r="J39" s="110"/>
      <c r="K39" s="89"/>
      <c r="L39" s="89"/>
      <c r="M39" s="110"/>
      <c r="N39" s="89"/>
      <c r="O39" s="110"/>
      <c r="P39" s="89"/>
      <c r="Q39" s="110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</row>
    <row r="40" spans="1:30" ht="14.4">
      <c r="A40" s="89"/>
      <c r="B40" s="89"/>
      <c r="C40" s="89"/>
      <c r="D40" s="87">
        <f>SUM(D32:D39)</f>
        <v>4473.659090909091</v>
      </c>
      <c r="E40" s="89"/>
      <c r="F40" s="110"/>
      <c r="G40" s="89"/>
      <c r="H40" s="110"/>
      <c r="I40" s="89"/>
      <c r="J40" s="110"/>
      <c r="K40" s="89"/>
      <c r="L40" s="89"/>
      <c r="M40" s="110"/>
      <c r="N40" s="89"/>
      <c r="O40" s="110"/>
      <c r="P40" s="89"/>
      <c r="Q40" s="110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</row>
    <row r="41" spans="1:30" ht="14.4">
      <c r="A41" s="89" t="s">
        <v>400</v>
      </c>
      <c r="B41" s="89">
        <v>1</v>
      </c>
      <c r="C41" s="89">
        <f>(150000*B41+54000+40000*B41+45000+70000+50000+100000)</f>
        <v>509000</v>
      </c>
      <c r="D41" s="87">
        <f>C41/88</f>
        <v>5784.090909090909</v>
      </c>
      <c r="E41" s="89"/>
      <c r="F41" s="110"/>
      <c r="G41" s="89"/>
      <c r="H41" s="110"/>
      <c r="I41" s="89"/>
      <c r="J41" s="110"/>
      <c r="K41" s="89"/>
      <c r="L41" s="89"/>
      <c r="M41" s="110"/>
      <c r="N41" s="89"/>
      <c r="O41" s="110"/>
      <c r="P41" s="89"/>
      <c r="Q41" s="110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</row>
    <row r="42" spans="1:30" ht="14.4">
      <c r="A42" s="89" t="s">
        <v>468</v>
      </c>
      <c r="B42" s="89">
        <v>10</v>
      </c>
      <c r="C42" s="89">
        <f>(150000*B42+54000+40000*B42+45000+70000+50000+100000)</f>
        <v>2219000</v>
      </c>
      <c r="D42" s="87">
        <f>C42/88</f>
        <v>25215.909090909092</v>
      </c>
      <c r="E42" s="89"/>
      <c r="F42" s="110"/>
      <c r="G42" s="89"/>
      <c r="H42" s="110"/>
      <c r="I42" s="89"/>
      <c r="J42" s="110"/>
      <c r="K42" s="89"/>
      <c r="L42" s="89"/>
      <c r="M42" s="110"/>
      <c r="N42" s="89"/>
      <c r="O42" s="110"/>
      <c r="P42" s="89"/>
      <c r="Q42" s="110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</row>
    <row r="43" spans="1:30" ht="13.8">
      <c r="A43" s="89"/>
      <c r="B43" s="89"/>
      <c r="C43" s="89"/>
      <c r="D43" s="89"/>
      <c r="E43" s="89"/>
      <c r="F43" s="110"/>
      <c r="G43" s="89"/>
      <c r="H43" s="110"/>
      <c r="I43" s="89"/>
      <c r="J43" s="110"/>
      <c r="K43" s="89"/>
      <c r="L43" s="89"/>
      <c r="M43" s="110"/>
      <c r="N43" s="89"/>
      <c r="O43" s="110"/>
      <c r="P43" s="89"/>
      <c r="Q43" s="110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</row>
    <row r="44" spans="1:30" ht="13.8">
      <c r="A44" s="89"/>
      <c r="B44" s="89"/>
      <c r="C44" s="89"/>
      <c r="D44" s="89"/>
      <c r="E44" s="89"/>
      <c r="F44" s="110"/>
      <c r="G44" s="89"/>
      <c r="H44" s="110"/>
      <c r="I44" s="89"/>
      <c r="J44" s="110"/>
      <c r="K44" s="89"/>
      <c r="L44" s="89"/>
      <c r="M44" s="110"/>
      <c r="N44" s="89"/>
      <c r="O44" s="110"/>
      <c r="P44" s="89"/>
      <c r="Q44" s="110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</row>
    <row r="45" spans="1:30" ht="13.8">
      <c r="A45" s="89"/>
      <c r="B45" s="89"/>
      <c r="C45" s="89"/>
      <c r="D45" s="89"/>
      <c r="E45" s="89"/>
      <c r="F45" s="110"/>
      <c r="G45" s="89"/>
      <c r="H45" s="110"/>
      <c r="I45" s="89"/>
      <c r="J45" s="110"/>
      <c r="K45" s="89"/>
      <c r="L45" s="89"/>
      <c r="M45" s="110"/>
      <c r="N45" s="89"/>
      <c r="O45" s="110"/>
      <c r="P45" s="89"/>
      <c r="Q45" s="110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</row>
    <row r="46" spans="1:30" ht="13.8">
      <c r="A46" s="89"/>
      <c r="B46" s="89"/>
      <c r="C46" s="89"/>
      <c r="D46" s="89"/>
      <c r="E46" s="89"/>
      <c r="F46" s="110"/>
      <c r="G46" s="89"/>
      <c r="H46" s="110"/>
      <c r="I46" s="89"/>
      <c r="J46" s="110"/>
      <c r="K46" s="89"/>
      <c r="L46" s="89"/>
      <c r="M46" s="110"/>
      <c r="N46" s="89"/>
      <c r="O46" s="110"/>
      <c r="P46" s="89"/>
      <c r="Q46" s="110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</row>
    <row r="47" spans="1:30" ht="13.8">
      <c r="A47" s="89"/>
      <c r="B47" s="89"/>
      <c r="C47" s="89"/>
      <c r="D47" s="89"/>
      <c r="E47" s="89"/>
      <c r="F47" s="110"/>
      <c r="G47" s="89"/>
      <c r="H47" s="110"/>
      <c r="I47" s="89"/>
      <c r="J47" s="110"/>
      <c r="K47" s="89"/>
      <c r="L47" s="89"/>
      <c r="M47" s="110"/>
      <c r="N47" s="89"/>
      <c r="O47" s="110"/>
      <c r="P47" s="89"/>
      <c r="Q47" s="110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</row>
    <row r="48" spans="1:30" ht="13.8">
      <c r="A48" s="89"/>
      <c r="B48" s="89"/>
      <c r="C48" s="89"/>
      <c r="D48" s="89"/>
      <c r="E48" s="89"/>
      <c r="F48" s="110"/>
      <c r="G48" s="89"/>
      <c r="H48" s="110"/>
      <c r="I48" s="89"/>
      <c r="J48" s="110"/>
      <c r="K48" s="89"/>
      <c r="L48" s="89"/>
      <c r="M48" s="110"/>
      <c r="N48" s="89"/>
      <c r="O48" s="110"/>
      <c r="P48" s="89"/>
      <c r="Q48" s="110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</row>
    <row r="49" spans="1:30" ht="13.8">
      <c r="A49" s="89"/>
      <c r="B49" s="89"/>
      <c r="C49" s="89"/>
      <c r="D49" s="89"/>
      <c r="E49" s="89"/>
      <c r="F49" s="110"/>
      <c r="G49" s="89"/>
      <c r="H49" s="110"/>
      <c r="I49" s="89"/>
      <c r="J49" s="110"/>
      <c r="K49" s="89"/>
      <c r="L49" s="89"/>
      <c r="M49" s="110"/>
      <c r="N49" s="89"/>
      <c r="O49" s="110"/>
      <c r="P49" s="89"/>
      <c r="Q49" s="110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</row>
    <row r="50" spans="1:30" ht="13.8">
      <c r="A50" s="89"/>
      <c r="B50" s="89"/>
      <c r="C50" s="89"/>
      <c r="D50" s="89"/>
      <c r="E50" s="89"/>
      <c r="F50" s="110"/>
      <c r="G50" s="89"/>
      <c r="H50" s="110"/>
      <c r="I50" s="89"/>
      <c r="J50" s="110"/>
      <c r="K50" s="89"/>
      <c r="L50" s="89"/>
      <c r="M50" s="110"/>
      <c r="N50" s="89"/>
      <c r="O50" s="110"/>
      <c r="P50" s="89"/>
      <c r="Q50" s="110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</row>
    <row r="51" spans="1:30" ht="13.8">
      <c r="A51" s="89"/>
      <c r="B51" s="89"/>
      <c r="C51" s="89"/>
      <c r="D51" s="89"/>
      <c r="E51" s="89"/>
      <c r="F51" s="110"/>
      <c r="G51" s="89"/>
      <c r="H51" s="110"/>
      <c r="I51" s="89"/>
      <c r="J51" s="110"/>
      <c r="K51" s="89"/>
      <c r="L51" s="89"/>
      <c r="M51" s="110"/>
      <c r="N51" s="89"/>
      <c r="O51" s="110"/>
      <c r="P51" s="89"/>
      <c r="Q51" s="110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</row>
    <row r="52" spans="1:30" ht="13.8">
      <c r="A52" s="89"/>
      <c r="B52" s="89"/>
      <c r="C52" s="89"/>
      <c r="D52" s="89"/>
      <c r="E52" s="89"/>
      <c r="F52" s="110"/>
      <c r="G52" s="89"/>
      <c r="H52" s="110"/>
      <c r="I52" s="89"/>
      <c r="J52" s="110"/>
      <c r="K52" s="89"/>
      <c r="L52" s="89"/>
      <c r="M52" s="110"/>
      <c r="N52" s="89"/>
      <c r="O52" s="110"/>
      <c r="P52" s="89"/>
      <c r="Q52" s="110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</row>
    <row r="53" spans="1:30" ht="13.8">
      <c r="A53" s="89"/>
      <c r="B53" s="89"/>
      <c r="C53" s="89"/>
      <c r="D53" s="89"/>
      <c r="E53" s="89"/>
      <c r="F53" s="110"/>
      <c r="G53" s="89"/>
      <c r="H53" s="110"/>
      <c r="I53" s="89"/>
      <c r="J53" s="110"/>
      <c r="K53" s="89"/>
      <c r="L53" s="89"/>
      <c r="M53" s="110"/>
      <c r="N53" s="89"/>
      <c r="O53" s="110"/>
      <c r="P53" s="89"/>
      <c r="Q53" s="110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</row>
    <row r="54" spans="1:30" ht="13.8">
      <c r="A54" s="89"/>
      <c r="B54" s="89"/>
      <c r="C54" s="89"/>
      <c r="D54" s="89"/>
      <c r="E54" s="89"/>
      <c r="F54" s="110"/>
      <c r="G54" s="89"/>
      <c r="H54" s="110"/>
      <c r="I54" s="89"/>
      <c r="J54" s="110"/>
      <c r="K54" s="89"/>
      <c r="L54" s="89"/>
      <c r="M54" s="110"/>
      <c r="N54" s="89"/>
      <c r="O54" s="110"/>
      <c r="P54" s="89"/>
      <c r="Q54" s="110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</row>
    <row r="55" spans="1:30" ht="13.8">
      <c r="A55" s="89"/>
      <c r="B55" s="89"/>
      <c r="C55" s="89"/>
      <c r="D55" s="89"/>
      <c r="E55" s="89"/>
      <c r="F55" s="110"/>
      <c r="G55" s="89"/>
      <c r="H55" s="110"/>
      <c r="I55" s="89"/>
      <c r="J55" s="110"/>
      <c r="K55" s="89"/>
      <c r="L55" s="89"/>
      <c r="M55" s="110"/>
      <c r="N55" s="89"/>
      <c r="O55" s="110"/>
      <c r="P55" s="89"/>
      <c r="Q55" s="110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</row>
    <row r="56" spans="1:30" ht="13.8">
      <c r="A56" s="89"/>
      <c r="B56" s="89"/>
      <c r="C56" s="89"/>
      <c r="D56" s="89"/>
      <c r="E56" s="89"/>
      <c r="F56" s="110"/>
      <c r="G56" s="89"/>
      <c r="H56" s="110"/>
      <c r="I56" s="89"/>
      <c r="J56" s="110"/>
      <c r="K56" s="89"/>
      <c r="L56" s="89"/>
      <c r="M56" s="110"/>
      <c r="N56" s="89"/>
      <c r="O56" s="110"/>
      <c r="P56" s="89"/>
      <c r="Q56" s="110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</row>
    <row r="57" spans="1:30" ht="13.8">
      <c r="A57" s="89"/>
      <c r="B57" s="89"/>
      <c r="C57" s="89"/>
      <c r="D57" s="89"/>
      <c r="E57" s="89"/>
      <c r="F57" s="110"/>
      <c r="G57" s="89"/>
      <c r="H57" s="110"/>
      <c r="I57" s="89"/>
      <c r="J57" s="110"/>
      <c r="K57" s="89"/>
      <c r="L57" s="89"/>
      <c r="M57" s="110"/>
      <c r="N57" s="89"/>
      <c r="O57" s="110"/>
      <c r="P57" s="89"/>
      <c r="Q57" s="110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</row>
    <row r="58" spans="1:30" ht="13.8">
      <c r="A58" s="89"/>
      <c r="B58" s="89"/>
      <c r="C58" s="89"/>
      <c r="D58" s="89"/>
      <c r="E58" s="89"/>
      <c r="F58" s="110"/>
      <c r="G58" s="89"/>
      <c r="H58" s="110"/>
      <c r="I58" s="89"/>
      <c r="J58" s="110"/>
      <c r="K58" s="89"/>
      <c r="L58" s="89"/>
      <c r="M58" s="110"/>
      <c r="N58" s="89"/>
      <c r="O58" s="110"/>
      <c r="P58" s="89"/>
      <c r="Q58" s="110"/>
      <c r="R58" s="89"/>
      <c r="S58" s="89"/>
      <c r="T58" s="89"/>
      <c r="U58" s="89"/>
      <c r="V58" s="89"/>
      <c r="W58" s="89"/>
      <c r="X58" s="89"/>
      <c r="Y58" s="89"/>
      <c r="Z58" s="89"/>
      <c r="AA58" s="89"/>
      <c r="AB58" s="89"/>
      <c r="AC58" s="89"/>
      <c r="AD58" s="89"/>
    </row>
    <row r="59" spans="1:30" ht="13.8">
      <c r="A59" s="89"/>
      <c r="B59" s="89"/>
      <c r="C59" s="89"/>
      <c r="D59" s="89"/>
      <c r="E59" s="89"/>
      <c r="F59" s="110"/>
      <c r="G59" s="89"/>
      <c r="H59" s="110"/>
      <c r="I59" s="89"/>
      <c r="J59" s="110"/>
      <c r="K59" s="89"/>
      <c r="L59" s="89"/>
      <c r="M59" s="110"/>
      <c r="N59" s="89"/>
      <c r="O59" s="110"/>
      <c r="P59" s="89"/>
      <c r="Q59" s="110"/>
      <c r="R59" s="89"/>
      <c r="S59" s="89"/>
      <c r="T59" s="89"/>
      <c r="U59" s="89"/>
      <c r="V59" s="89"/>
      <c r="W59" s="89"/>
      <c r="X59" s="89"/>
      <c r="Y59" s="89"/>
      <c r="Z59" s="89"/>
      <c r="AA59" s="89"/>
      <c r="AB59" s="89"/>
      <c r="AC59" s="89"/>
      <c r="AD59" s="89"/>
    </row>
    <row r="60" spans="1:30" ht="13.8">
      <c r="A60" s="89"/>
      <c r="B60" s="89"/>
      <c r="C60" s="89"/>
      <c r="D60" s="89"/>
      <c r="E60" s="89"/>
      <c r="F60" s="110"/>
      <c r="G60" s="89"/>
      <c r="H60" s="110"/>
      <c r="I60" s="89"/>
      <c r="J60" s="110"/>
      <c r="K60" s="89"/>
      <c r="L60" s="89"/>
      <c r="M60" s="110"/>
      <c r="N60" s="89"/>
      <c r="O60" s="110"/>
      <c r="P60" s="89"/>
      <c r="Q60" s="110"/>
      <c r="R60" s="89"/>
      <c r="S60" s="89"/>
      <c r="T60" s="89"/>
      <c r="U60" s="89"/>
      <c r="V60" s="89"/>
      <c r="W60" s="89"/>
      <c r="X60" s="89"/>
      <c r="Y60" s="89"/>
      <c r="Z60" s="89"/>
      <c r="AA60" s="89"/>
      <c r="AB60" s="89"/>
      <c r="AC60" s="89"/>
      <c r="AD60" s="89"/>
    </row>
    <row r="61" spans="1:30" ht="13.8">
      <c r="A61" s="89"/>
      <c r="B61" s="89"/>
      <c r="C61" s="89"/>
      <c r="D61" s="89"/>
      <c r="E61" s="89"/>
      <c r="F61" s="110"/>
      <c r="G61" s="89"/>
      <c r="H61" s="110"/>
      <c r="I61" s="89"/>
      <c r="J61" s="110"/>
      <c r="K61" s="89"/>
      <c r="L61" s="89"/>
      <c r="M61" s="110"/>
      <c r="N61" s="89"/>
      <c r="O61" s="110"/>
      <c r="P61" s="89"/>
      <c r="Q61" s="110"/>
      <c r="R61" s="89"/>
      <c r="S61" s="89"/>
      <c r="T61" s="89"/>
      <c r="U61" s="89"/>
      <c r="V61" s="89"/>
      <c r="W61" s="89"/>
      <c r="X61" s="89"/>
      <c r="Y61" s="89"/>
      <c r="Z61" s="89"/>
      <c r="AA61" s="89"/>
      <c r="AB61" s="89"/>
      <c r="AC61" s="89"/>
      <c r="AD61" s="89"/>
    </row>
    <row r="62" spans="1:30" ht="13.8">
      <c r="A62" s="89"/>
      <c r="B62" s="89"/>
      <c r="C62" s="89"/>
      <c r="D62" s="89"/>
      <c r="E62" s="89"/>
      <c r="F62" s="110"/>
      <c r="G62" s="89"/>
      <c r="H62" s="110"/>
      <c r="I62" s="89"/>
      <c r="J62" s="110"/>
      <c r="K62" s="89"/>
      <c r="L62" s="89"/>
      <c r="M62" s="110"/>
      <c r="N62" s="89"/>
      <c r="O62" s="110"/>
      <c r="P62" s="89"/>
      <c r="Q62" s="110"/>
      <c r="R62" s="89"/>
      <c r="S62" s="89"/>
      <c r="T62" s="89"/>
      <c r="U62" s="89"/>
      <c r="V62" s="89"/>
      <c r="W62" s="89"/>
      <c r="X62" s="89"/>
      <c r="Y62" s="89"/>
      <c r="Z62" s="89"/>
      <c r="AA62" s="89"/>
      <c r="AB62" s="89"/>
      <c r="AC62" s="89"/>
      <c r="AD62" s="89"/>
    </row>
    <row r="63" spans="1:30" ht="13.8">
      <c r="A63" s="89"/>
      <c r="B63" s="89"/>
      <c r="C63" s="89"/>
      <c r="D63" s="89"/>
      <c r="E63" s="89"/>
      <c r="F63" s="110"/>
      <c r="G63" s="89"/>
      <c r="H63" s="110"/>
      <c r="I63" s="89"/>
      <c r="J63" s="110"/>
      <c r="K63" s="89"/>
      <c r="L63" s="89"/>
      <c r="M63" s="110"/>
      <c r="N63" s="89"/>
      <c r="O63" s="110"/>
      <c r="P63" s="89"/>
      <c r="Q63" s="110"/>
      <c r="R63" s="89"/>
      <c r="S63" s="89"/>
      <c r="T63" s="89"/>
      <c r="U63" s="89"/>
      <c r="V63" s="89"/>
      <c r="W63" s="89"/>
      <c r="X63" s="89"/>
      <c r="Y63" s="89"/>
      <c r="Z63" s="89"/>
      <c r="AA63" s="89"/>
      <c r="AB63" s="89"/>
      <c r="AC63" s="89"/>
      <c r="AD63" s="89"/>
    </row>
    <row r="64" spans="1:30" ht="13.8">
      <c r="A64" s="89"/>
      <c r="B64" s="89"/>
      <c r="C64" s="89"/>
      <c r="D64" s="89"/>
      <c r="E64" s="89"/>
      <c r="F64" s="110"/>
      <c r="G64" s="89"/>
      <c r="H64" s="110"/>
      <c r="I64" s="89"/>
      <c r="J64" s="110"/>
      <c r="K64" s="89"/>
      <c r="L64" s="89"/>
      <c r="M64" s="110"/>
      <c r="N64" s="89"/>
      <c r="O64" s="110"/>
      <c r="P64" s="89"/>
      <c r="Q64" s="110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</row>
    <row r="65" spans="1:30" ht="13.8">
      <c r="A65" s="89"/>
      <c r="B65" s="89"/>
      <c r="C65" s="89"/>
      <c r="D65" s="89"/>
      <c r="E65" s="89"/>
      <c r="F65" s="110"/>
      <c r="G65" s="89"/>
      <c r="H65" s="110"/>
      <c r="I65" s="89"/>
      <c r="J65" s="110"/>
      <c r="K65" s="89"/>
      <c r="L65" s="89"/>
      <c r="M65" s="110"/>
      <c r="N65" s="89"/>
      <c r="O65" s="110"/>
      <c r="P65" s="89"/>
      <c r="Q65" s="110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</row>
    <row r="66" spans="1:30" ht="13.8">
      <c r="A66" s="89"/>
      <c r="B66" s="89"/>
      <c r="C66" s="89"/>
      <c r="D66" s="89"/>
      <c r="E66" s="89"/>
      <c r="F66" s="110"/>
      <c r="G66" s="89"/>
      <c r="H66" s="110"/>
      <c r="I66" s="89"/>
      <c r="J66" s="110"/>
      <c r="K66" s="89"/>
      <c r="L66" s="89"/>
      <c r="M66" s="110"/>
      <c r="N66" s="89"/>
      <c r="O66" s="110"/>
      <c r="P66" s="89"/>
      <c r="Q66" s="110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</row>
    <row r="67" spans="1:30" ht="13.8">
      <c r="A67" s="89"/>
      <c r="B67" s="89"/>
      <c r="C67" s="89"/>
      <c r="D67" s="89"/>
      <c r="E67" s="89"/>
      <c r="F67" s="110"/>
      <c r="G67" s="89"/>
      <c r="H67" s="110"/>
      <c r="I67" s="89"/>
      <c r="J67" s="110"/>
      <c r="K67" s="89"/>
      <c r="L67" s="89"/>
      <c r="M67" s="110"/>
      <c r="N67" s="89"/>
      <c r="O67" s="110"/>
      <c r="P67" s="89"/>
      <c r="Q67" s="110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</row>
    <row r="68" spans="1:30" ht="13.8">
      <c r="A68" s="89"/>
      <c r="B68" s="89"/>
      <c r="C68" s="89"/>
      <c r="D68" s="89"/>
      <c r="E68" s="89"/>
      <c r="F68" s="110"/>
      <c r="G68" s="89"/>
      <c r="H68" s="110"/>
      <c r="I68" s="89"/>
      <c r="J68" s="110"/>
      <c r="K68" s="89"/>
      <c r="L68" s="89"/>
      <c r="M68" s="110"/>
      <c r="N68" s="89"/>
      <c r="O68" s="110"/>
      <c r="P68" s="89"/>
      <c r="Q68" s="110"/>
      <c r="R68" s="89"/>
      <c r="S68" s="89"/>
      <c r="T68" s="89"/>
      <c r="U68" s="89"/>
      <c r="V68" s="89"/>
      <c r="W68" s="89"/>
      <c r="X68" s="89"/>
      <c r="Y68" s="89"/>
      <c r="Z68" s="89"/>
      <c r="AA68" s="89"/>
      <c r="AB68" s="89"/>
      <c r="AC68" s="89"/>
      <c r="AD68" s="89"/>
    </row>
    <row r="69" spans="1:30" ht="13.8">
      <c r="A69" s="89"/>
      <c r="B69" s="89"/>
      <c r="C69" s="89"/>
      <c r="D69" s="89"/>
      <c r="E69" s="89"/>
      <c r="F69" s="110"/>
      <c r="G69" s="89"/>
      <c r="H69" s="110"/>
      <c r="I69" s="89"/>
      <c r="J69" s="110"/>
      <c r="K69" s="89"/>
      <c r="L69" s="89"/>
      <c r="M69" s="110"/>
      <c r="N69" s="89"/>
      <c r="O69" s="110"/>
      <c r="P69" s="89"/>
      <c r="Q69" s="110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89"/>
      <c r="AD69" s="89"/>
    </row>
    <row r="70" spans="1:30" ht="13.8">
      <c r="A70" s="89"/>
      <c r="B70" s="89"/>
      <c r="C70" s="89"/>
      <c r="D70" s="89"/>
      <c r="E70" s="89"/>
      <c r="F70" s="110"/>
      <c r="G70" s="89"/>
      <c r="H70" s="110"/>
      <c r="I70" s="89"/>
      <c r="J70" s="110"/>
      <c r="K70" s="89"/>
      <c r="L70" s="89"/>
      <c r="M70" s="110"/>
      <c r="N70" s="89"/>
      <c r="O70" s="110"/>
      <c r="P70" s="89"/>
      <c r="Q70" s="110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89"/>
      <c r="AD70" s="89"/>
    </row>
    <row r="71" spans="1:30" ht="13.8">
      <c r="A71" s="89"/>
      <c r="B71" s="89"/>
      <c r="C71" s="89"/>
      <c r="D71" s="89"/>
      <c r="E71" s="89"/>
      <c r="F71" s="110"/>
      <c r="G71" s="89"/>
      <c r="H71" s="110"/>
      <c r="I71" s="89"/>
      <c r="J71" s="110"/>
      <c r="K71" s="89"/>
      <c r="L71" s="89"/>
      <c r="M71" s="110"/>
      <c r="N71" s="89"/>
      <c r="O71" s="110"/>
      <c r="P71" s="89"/>
      <c r="Q71" s="110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</row>
    <row r="72" spans="1:30" ht="13.8">
      <c r="A72" s="89"/>
      <c r="B72" s="89"/>
      <c r="C72" s="89"/>
      <c r="D72" s="89"/>
      <c r="E72" s="89"/>
      <c r="F72" s="110"/>
      <c r="G72" s="89"/>
      <c r="H72" s="110"/>
      <c r="I72" s="89"/>
      <c r="J72" s="110"/>
      <c r="K72" s="89"/>
      <c r="L72" s="89"/>
      <c r="M72" s="110"/>
      <c r="N72" s="89"/>
      <c r="O72" s="110"/>
      <c r="P72" s="89"/>
      <c r="Q72" s="110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/>
      <c r="AD72" s="89"/>
    </row>
    <row r="73" spans="1:30" ht="13.8">
      <c r="A73" s="89"/>
      <c r="B73" s="89"/>
      <c r="C73" s="89"/>
      <c r="D73" s="89"/>
      <c r="E73" s="89"/>
      <c r="F73" s="110"/>
      <c r="G73" s="89"/>
      <c r="H73" s="110"/>
      <c r="I73" s="89"/>
      <c r="J73" s="110"/>
      <c r="K73" s="89"/>
      <c r="L73" s="89"/>
      <c r="M73" s="110"/>
      <c r="N73" s="89"/>
      <c r="O73" s="110"/>
      <c r="P73" s="89"/>
      <c r="Q73" s="110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</row>
    <row r="74" spans="1:30" ht="13.8">
      <c r="A74" s="89"/>
      <c r="B74" s="89"/>
      <c r="C74" s="89"/>
      <c r="D74" s="89"/>
      <c r="E74" s="89"/>
      <c r="F74" s="110"/>
      <c r="G74" s="89"/>
      <c r="H74" s="110"/>
      <c r="I74" s="89"/>
      <c r="J74" s="110"/>
      <c r="K74" s="89"/>
      <c r="L74" s="89"/>
      <c r="M74" s="110"/>
      <c r="N74" s="89"/>
      <c r="O74" s="110"/>
      <c r="P74" s="89"/>
      <c r="Q74" s="110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</row>
    <row r="75" spans="1:30" ht="13.8">
      <c r="A75" s="89"/>
      <c r="B75" s="89"/>
      <c r="C75" s="89"/>
      <c r="D75" s="89"/>
      <c r="E75" s="89"/>
      <c r="F75" s="110"/>
      <c r="G75" s="89"/>
      <c r="H75" s="110"/>
      <c r="I75" s="89"/>
      <c r="J75" s="110"/>
      <c r="K75" s="89"/>
      <c r="L75" s="89"/>
      <c r="M75" s="110"/>
      <c r="N75" s="89"/>
      <c r="O75" s="110"/>
      <c r="P75" s="89"/>
      <c r="Q75" s="110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</row>
    <row r="76" spans="1:30" ht="13.8">
      <c r="A76" s="89"/>
      <c r="B76" s="89"/>
      <c r="C76" s="89"/>
      <c r="D76" s="89"/>
      <c r="E76" s="89"/>
      <c r="F76" s="110"/>
      <c r="G76" s="89"/>
      <c r="H76" s="110"/>
      <c r="I76" s="89"/>
      <c r="J76" s="110"/>
      <c r="K76" s="89"/>
      <c r="L76" s="89"/>
      <c r="M76" s="110"/>
      <c r="N76" s="89"/>
      <c r="O76" s="110"/>
      <c r="P76" s="89"/>
      <c r="Q76" s="110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</row>
    <row r="77" spans="1:30" ht="13.8">
      <c r="A77" s="89"/>
      <c r="B77" s="89"/>
      <c r="C77" s="89"/>
      <c r="D77" s="89"/>
      <c r="E77" s="89"/>
      <c r="F77" s="110"/>
      <c r="G77" s="89"/>
      <c r="H77" s="110"/>
      <c r="I77" s="89"/>
      <c r="J77" s="110"/>
      <c r="K77" s="89"/>
      <c r="L77" s="89"/>
      <c r="M77" s="110"/>
      <c r="N77" s="89"/>
      <c r="O77" s="110"/>
      <c r="P77" s="89"/>
      <c r="Q77" s="110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</row>
    <row r="78" spans="1:30" ht="13.8">
      <c r="A78" s="89"/>
      <c r="B78" s="89"/>
      <c r="C78" s="89"/>
      <c r="D78" s="89"/>
      <c r="E78" s="89"/>
      <c r="F78" s="110"/>
      <c r="G78" s="89"/>
      <c r="H78" s="110"/>
      <c r="I78" s="89"/>
      <c r="J78" s="110"/>
      <c r="K78" s="89"/>
      <c r="L78" s="89"/>
      <c r="M78" s="110"/>
      <c r="N78" s="89"/>
      <c r="O78" s="110"/>
      <c r="P78" s="89"/>
      <c r="Q78" s="110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</row>
    <row r="79" spans="1:30" ht="13.8">
      <c r="A79" s="89"/>
      <c r="B79" s="89"/>
      <c r="C79" s="89"/>
      <c r="D79" s="89"/>
      <c r="E79" s="89"/>
      <c r="F79" s="110"/>
      <c r="G79" s="89"/>
      <c r="H79" s="110"/>
      <c r="I79" s="89"/>
      <c r="J79" s="110"/>
      <c r="K79" s="89"/>
      <c r="L79" s="89"/>
      <c r="M79" s="110"/>
      <c r="N79" s="89"/>
      <c r="O79" s="110"/>
      <c r="P79" s="89"/>
      <c r="Q79" s="110"/>
      <c r="R79" s="89"/>
      <c r="S79" s="89"/>
      <c r="T79" s="89"/>
      <c r="U79" s="89"/>
      <c r="V79" s="89"/>
      <c r="W79" s="89"/>
      <c r="X79" s="89"/>
      <c r="Y79" s="89"/>
      <c r="Z79" s="89"/>
      <c r="AA79" s="89"/>
      <c r="AB79" s="89"/>
      <c r="AC79" s="89"/>
      <c r="AD79" s="89"/>
    </row>
    <row r="80" spans="1:30" ht="13.8">
      <c r="A80" s="89"/>
      <c r="B80" s="89"/>
      <c r="C80" s="89"/>
      <c r="D80" s="89"/>
      <c r="E80" s="89"/>
      <c r="F80" s="110"/>
      <c r="G80" s="89"/>
      <c r="H80" s="110"/>
      <c r="I80" s="89"/>
      <c r="J80" s="110"/>
      <c r="K80" s="89"/>
      <c r="L80" s="89"/>
      <c r="M80" s="110"/>
      <c r="N80" s="89"/>
      <c r="O80" s="110"/>
      <c r="P80" s="89"/>
      <c r="Q80" s="110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</row>
    <row r="81" spans="1:30" ht="13.8">
      <c r="A81" s="89"/>
      <c r="B81" s="89"/>
      <c r="C81" s="89"/>
      <c r="D81" s="89"/>
      <c r="E81" s="89"/>
      <c r="F81" s="110"/>
      <c r="G81" s="89"/>
      <c r="H81" s="110"/>
      <c r="I81" s="89"/>
      <c r="J81" s="110"/>
      <c r="K81" s="89"/>
      <c r="L81" s="89"/>
      <c r="M81" s="110"/>
      <c r="N81" s="89"/>
      <c r="O81" s="110"/>
      <c r="P81" s="89"/>
      <c r="Q81" s="110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</row>
    <row r="82" spans="1:30" ht="13.8">
      <c r="A82" s="89"/>
      <c r="B82" s="89"/>
      <c r="C82" s="89"/>
      <c r="D82" s="89"/>
      <c r="E82" s="89"/>
      <c r="F82" s="110"/>
      <c r="G82" s="89"/>
      <c r="H82" s="110"/>
      <c r="I82" s="89"/>
      <c r="J82" s="110"/>
      <c r="K82" s="89"/>
      <c r="L82" s="89"/>
      <c r="M82" s="110"/>
      <c r="N82" s="89"/>
      <c r="O82" s="110"/>
      <c r="P82" s="89"/>
      <c r="Q82" s="110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</row>
    <row r="83" spans="1:30" ht="13.8">
      <c r="A83" s="89"/>
      <c r="B83" s="89"/>
      <c r="C83" s="89"/>
      <c r="D83" s="89"/>
      <c r="E83" s="89"/>
      <c r="F83" s="110"/>
      <c r="G83" s="89"/>
      <c r="H83" s="110"/>
      <c r="I83" s="89"/>
      <c r="J83" s="110"/>
      <c r="K83" s="89"/>
      <c r="L83" s="89"/>
      <c r="M83" s="110"/>
      <c r="N83" s="89"/>
      <c r="O83" s="110"/>
      <c r="P83" s="89"/>
      <c r="Q83" s="110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</row>
    <row r="84" spans="1:30" ht="13.8">
      <c r="A84" s="89"/>
      <c r="B84" s="89"/>
      <c r="C84" s="89"/>
      <c r="D84" s="89"/>
      <c r="E84" s="89"/>
      <c r="F84" s="110"/>
      <c r="G84" s="89"/>
      <c r="H84" s="110"/>
      <c r="I84" s="89"/>
      <c r="J84" s="110"/>
      <c r="K84" s="89"/>
      <c r="L84" s="89"/>
      <c r="M84" s="110"/>
      <c r="N84" s="89"/>
      <c r="O84" s="110"/>
      <c r="P84" s="89"/>
      <c r="Q84" s="110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</row>
    <row r="85" spans="1:30" ht="13.8">
      <c r="A85" s="89"/>
      <c r="B85" s="89"/>
      <c r="C85" s="89"/>
      <c r="D85" s="89"/>
      <c r="E85" s="89"/>
      <c r="F85" s="110"/>
      <c r="G85" s="89"/>
      <c r="H85" s="110"/>
      <c r="I85" s="89"/>
      <c r="J85" s="110"/>
      <c r="K85" s="89"/>
      <c r="L85" s="89"/>
      <c r="M85" s="110"/>
      <c r="N85" s="89"/>
      <c r="O85" s="110"/>
      <c r="P85" s="89"/>
      <c r="Q85" s="110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</row>
    <row r="86" spans="1:30" ht="13.8">
      <c r="A86" s="89"/>
      <c r="B86" s="89"/>
      <c r="C86" s="89"/>
      <c r="D86" s="89"/>
      <c r="E86" s="89"/>
      <c r="F86" s="110"/>
      <c r="G86" s="89"/>
      <c r="H86" s="110"/>
      <c r="I86" s="89"/>
      <c r="J86" s="110"/>
      <c r="K86" s="89"/>
      <c r="L86" s="89"/>
      <c r="M86" s="110"/>
      <c r="N86" s="89"/>
      <c r="O86" s="110"/>
      <c r="P86" s="89"/>
      <c r="Q86" s="110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</row>
    <row r="87" spans="1:30" ht="13.8">
      <c r="A87" s="89"/>
      <c r="B87" s="89"/>
      <c r="C87" s="89"/>
      <c r="D87" s="89"/>
      <c r="E87" s="89"/>
      <c r="F87" s="110"/>
      <c r="G87" s="89"/>
      <c r="H87" s="110"/>
      <c r="I87" s="89"/>
      <c r="J87" s="110"/>
      <c r="K87" s="89"/>
      <c r="L87" s="89"/>
      <c r="M87" s="110"/>
      <c r="N87" s="89"/>
      <c r="O87" s="110"/>
      <c r="P87" s="89"/>
      <c r="Q87" s="110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</row>
    <row r="88" spans="1:30" ht="13.8">
      <c r="A88" s="89"/>
      <c r="B88" s="89"/>
      <c r="C88" s="89"/>
      <c r="D88" s="89"/>
      <c r="E88" s="89"/>
      <c r="F88" s="110"/>
      <c r="G88" s="89"/>
      <c r="H88" s="110"/>
      <c r="I88" s="89"/>
      <c r="J88" s="110"/>
      <c r="K88" s="89"/>
      <c r="L88" s="89"/>
      <c r="M88" s="110"/>
      <c r="N88" s="89"/>
      <c r="O88" s="110"/>
      <c r="P88" s="89"/>
      <c r="Q88" s="110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</row>
    <row r="89" spans="1:30" ht="13.8">
      <c r="A89" s="89"/>
      <c r="B89" s="89"/>
      <c r="C89" s="89"/>
      <c r="D89" s="89"/>
      <c r="E89" s="89"/>
      <c r="F89" s="110"/>
      <c r="G89" s="89"/>
      <c r="H89" s="110"/>
      <c r="I89" s="89"/>
      <c r="J89" s="110"/>
      <c r="K89" s="89"/>
      <c r="L89" s="89"/>
      <c r="M89" s="110"/>
      <c r="N89" s="89"/>
      <c r="O89" s="110"/>
      <c r="P89" s="89"/>
      <c r="Q89" s="110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</row>
    <row r="90" spans="1:30" ht="13.8">
      <c r="A90" s="89"/>
      <c r="B90" s="89"/>
      <c r="C90" s="89"/>
      <c r="D90" s="89"/>
      <c r="E90" s="89"/>
      <c r="F90" s="110"/>
      <c r="G90" s="89"/>
      <c r="H90" s="110"/>
      <c r="I90" s="89"/>
      <c r="J90" s="110"/>
      <c r="K90" s="89"/>
      <c r="L90" s="89"/>
      <c r="M90" s="110"/>
      <c r="N90" s="89"/>
      <c r="O90" s="110"/>
      <c r="P90" s="89"/>
      <c r="Q90" s="110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</row>
    <row r="91" spans="1:30" ht="13.8">
      <c r="A91" s="89"/>
      <c r="B91" s="89"/>
      <c r="C91" s="89"/>
      <c r="D91" s="89"/>
      <c r="E91" s="89"/>
      <c r="F91" s="110"/>
      <c r="G91" s="89"/>
      <c r="H91" s="110"/>
      <c r="I91" s="89"/>
      <c r="J91" s="110"/>
      <c r="K91" s="89"/>
      <c r="L91" s="89"/>
      <c r="M91" s="110"/>
      <c r="N91" s="89"/>
      <c r="O91" s="110"/>
      <c r="P91" s="89"/>
      <c r="Q91" s="110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</row>
    <row r="92" spans="1:30" ht="13.8">
      <c r="A92" s="89"/>
      <c r="B92" s="89"/>
      <c r="C92" s="89"/>
      <c r="D92" s="89"/>
      <c r="E92" s="89"/>
      <c r="F92" s="110"/>
      <c r="G92" s="89"/>
      <c r="H92" s="110"/>
      <c r="I92" s="89"/>
      <c r="J92" s="110"/>
      <c r="K92" s="89"/>
      <c r="L92" s="89"/>
      <c r="M92" s="110"/>
      <c r="N92" s="89"/>
      <c r="O92" s="110"/>
      <c r="P92" s="89"/>
      <c r="Q92" s="110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</row>
    <row r="93" spans="1:30" ht="13.8">
      <c r="A93" s="89"/>
      <c r="B93" s="89"/>
      <c r="C93" s="89"/>
      <c r="D93" s="89"/>
      <c r="E93" s="89"/>
      <c r="F93" s="110"/>
      <c r="G93" s="89"/>
      <c r="H93" s="110"/>
      <c r="I93" s="89"/>
      <c r="J93" s="110"/>
      <c r="K93" s="89"/>
      <c r="L93" s="89"/>
      <c r="M93" s="110"/>
      <c r="N93" s="89"/>
      <c r="O93" s="110"/>
      <c r="P93" s="89"/>
      <c r="Q93" s="110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</row>
    <row r="94" spans="1:30" ht="13.8">
      <c r="A94" s="89"/>
      <c r="B94" s="89"/>
      <c r="C94" s="89"/>
      <c r="D94" s="89"/>
      <c r="E94" s="89"/>
      <c r="F94" s="110"/>
      <c r="G94" s="89"/>
      <c r="H94" s="110"/>
      <c r="I94" s="89"/>
      <c r="J94" s="110"/>
      <c r="K94" s="89"/>
      <c r="L94" s="89"/>
      <c r="M94" s="110"/>
      <c r="N94" s="89"/>
      <c r="O94" s="110"/>
      <c r="P94" s="89"/>
      <c r="Q94" s="110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</row>
    <row r="95" spans="1:30" ht="13.8">
      <c r="A95" s="89"/>
      <c r="B95" s="89"/>
      <c r="C95" s="89"/>
      <c r="D95" s="89"/>
      <c r="E95" s="89"/>
      <c r="F95" s="110"/>
      <c r="G95" s="89"/>
      <c r="H95" s="110"/>
      <c r="I95" s="89"/>
      <c r="J95" s="110"/>
      <c r="K95" s="89"/>
      <c r="L95" s="89"/>
      <c r="M95" s="110"/>
      <c r="N95" s="89"/>
      <c r="O95" s="110"/>
      <c r="P95" s="89"/>
      <c r="Q95" s="110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</row>
    <row r="96" spans="1:30" ht="13.8">
      <c r="A96" s="89"/>
      <c r="B96" s="89"/>
      <c r="C96" s="89"/>
      <c r="D96" s="89"/>
      <c r="E96" s="89"/>
      <c r="F96" s="110"/>
      <c r="G96" s="89"/>
      <c r="H96" s="110"/>
      <c r="I96" s="89"/>
      <c r="J96" s="110"/>
      <c r="K96" s="89"/>
      <c r="L96" s="89"/>
      <c r="M96" s="110"/>
      <c r="N96" s="89"/>
      <c r="O96" s="110"/>
      <c r="P96" s="89"/>
      <c r="Q96" s="110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</row>
    <row r="97" spans="1:30" ht="13.8">
      <c r="A97" s="89"/>
      <c r="B97" s="89"/>
      <c r="C97" s="89"/>
      <c r="D97" s="89"/>
      <c r="E97" s="89"/>
      <c r="F97" s="110"/>
      <c r="G97" s="89"/>
      <c r="H97" s="110"/>
      <c r="I97" s="89"/>
      <c r="J97" s="110"/>
      <c r="K97" s="89"/>
      <c r="L97" s="89"/>
      <c r="M97" s="110"/>
      <c r="N97" s="89"/>
      <c r="O97" s="110"/>
      <c r="P97" s="89"/>
      <c r="Q97" s="110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</row>
    <row r="98" spans="1:30" ht="13.8">
      <c r="A98" s="89"/>
      <c r="B98" s="89"/>
      <c r="C98" s="89"/>
      <c r="D98" s="89"/>
      <c r="E98" s="89"/>
      <c r="F98" s="110"/>
      <c r="G98" s="89"/>
      <c r="H98" s="110"/>
      <c r="I98" s="89"/>
      <c r="J98" s="110"/>
      <c r="K98" s="89"/>
      <c r="L98" s="89"/>
      <c r="M98" s="110"/>
      <c r="N98" s="89"/>
      <c r="O98" s="110"/>
      <c r="P98" s="89"/>
      <c r="Q98" s="110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</row>
    <row r="99" spans="1:30" ht="13.8">
      <c r="A99" s="89"/>
      <c r="B99" s="89"/>
      <c r="C99" s="89"/>
      <c r="D99" s="89"/>
      <c r="E99" s="89"/>
      <c r="F99" s="110"/>
      <c r="G99" s="89"/>
      <c r="H99" s="110"/>
      <c r="I99" s="89"/>
      <c r="J99" s="110"/>
      <c r="K99" s="89"/>
      <c r="L99" s="89"/>
      <c r="M99" s="110"/>
      <c r="N99" s="89"/>
      <c r="O99" s="110"/>
      <c r="P99" s="89"/>
      <c r="Q99" s="110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89"/>
    </row>
    <row r="100" spans="1:30" ht="13.8">
      <c r="A100" s="89"/>
      <c r="B100" s="89"/>
      <c r="C100" s="89"/>
      <c r="D100" s="89"/>
      <c r="E100" s="89"/>
      <c r="F100" s="110"/>
      <c r="G100" s="89"/>
      <c r="H100" s="110"/>
      <c r="I100" s="89"/>
      <c r="J100" s="110"/>
      <c r="K100" s="89"/>
      <c r="L100" s="89"/>
      <c r="M100" s="110"/>
      <c r="N100" s="89"/>
      <c r="O100" s="110"/>
      <c r="P100" s="89"/>
      <c r="Q100" s="110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</row>
    <row r="101" spans="1:30" ht="13.8">
      <c r="A101" s="89"/>
      <c r="B101" s="89"/>
      <c r="C101" s="89"/>
      <c r="D101" s="89"/>
      <c r="E101" s="89"/>
      <c r="F101" s="110"/>
      <c r="G101" s="89"/>
      <c r="H101" s="110"/>
      <c r="I101" s="89"/>
      <c r="J101" s="110"/>
      <c r="K101" s="89"/>
      <c r="L101" s="89"/>
      <c r="M101" s="110"/>
      <c r="N101" s="89"/>
      <c r="O101" s="110"/>
      <c r="P101" s="89"/>
      <c r="Q101" s="110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</row>
    <row r="102" spans="1:30" ht="13.8">
      <c r="A102" s="89"/>
      <c r="B102" s="89"/>
      <c r="C102" s="89"/>
      <c r="D102" s="89"/>
      <c r="E102" s="89"/>
      <c r="F102" s="110"/>
      <c r="G102" s="89"/>
      <c r="H102" s="110"/>
      <c r="I102" s="89"/>
      <c r="J102" s="110"/>
      <c r="K102" s="89"/>
      <c r="L102" s="89"/>
      <c r="M102" s="110"/>
      <c r="N102" s="89"/>
      <c r="O102" s="110"/>
      <c r="P102" s="89"/>
      <c r="Q102" s="110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</row>
    <row r="103" spans="1:30" ht="13.8">
      <c r="A103" s="89"/>
      <c r="B103" s="89"/>
      <c r="C103" s="89"/>
      <c r="D103" s="89"/>
      <c r="E103" s="89"/>
      <c r="F103" s="110"/>
      <c r="G103" s="89"/>
      <c r="H103" s="110"/>
      <c r="I103" s="89"/>
      <c r="J103" s="110"/>
      <c r="K103" s="89"/>
      <c r="L103" s="89"/>
      <c r="M103" s="110"/>
      <c r="N103" s="89"/>
      <c r="O103" s="110"/>
      <c r="P103" s="89"/>
      <c r="Q103" s="110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</row>
    <row r="104" spans="1:30" ht="13.8">
      <c r="A104" s="89"/>
      <c r="B104" s="89"/>
      <c r="C104" s="89"/>
      <c r="D104" s="89"/>
      <c r="E104" s="89"/>
      <c r="F104" s="110"/>
      <c r="G104" s="89"/>
      <c r="H104" s="110"/>
      <c r="I104" s="89"/>
      <c r="J104" s="110"/>
      <c r="K104" s="89"/>
      <c r="L104" s="89"/>
      <c r="M104" s="110"/>
      <c r="N104" s="89"/>
      <c r="O104" s="110"/>
      <c r="P104" s="89"/>
      <c r="Q104" s="110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</row>
    <row r="105" spans="1:30" ht="13.8">
      <c r="A105" s="89"/>
      <c r="B105" s="89"/>
      <c r="C105" s="89"/>
      <c r="D105" s="89"/>
      <c r="E105" s="89"/>
      <c r="F105" s="110"/>
      <c r="G105" s="89"/>
      <c r="H105" s="110"/>
      <c r="I105" s="89"/>
      <c r="J105" s="110"/>
      <c r="K105" s="89"/>
      <c r="L105" s="89"/>
      <c r="M105" s="110"/>
      <c r="N105" s="89"/>
      <c r="O105" s="110"/>
      <c r="P105" s="89"/>
      <c r="Q105" s="110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</row>
    <row r="106" spans="1:30" ht="13.8">
      <c r="A106" s="89"/>
      <c r="B106" s="89"/>
      <c r="C106" s="89"/>
      <c r="D106" s="89"/>
      <c r="E106" s="89"/>
      <c r="F106" s="110"/>
      <c r="G106" s="89"/>
      <c r="H106" s="110"/>
      <c r="I106" s="89"/>
      <c r="J106" s="110"/>
      <c r="K106" s="89"/>
      <c r="L106" s="89"/>
      <c r="M106" s="110"/>
      <c r="N106" s="89"/>
      <c r="O106" s="110"/>
      <c r="P106" s="89"/>
      <c r="Q106" s="110"/>
      <c r="R106" s="89"/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C106" s="89"/>
      <c r="AD106" s="89"/>
    </row>
    <row r="107" spans="1:30" ht="13.8">
      <c r="A107" s="89"/>
      <c r="B107" s="89"/>
      <c r="C107" s="89"/>
      <c r="D107" s="89"/>
      <c r="E107" s="89"/>
      <c r="F107" s="110"/>
      <c r="G107" s="89"/>
      <c r="H107" s="110"/>
      <c r="I107" s="89"/>
      <c r="J107" s="110"/>
      <c r="K107" s="89"/>
      <c r="L107" s="89"/>
      <c r="M107" s="110"/>
      <c r="N107" s="89"/>
      <c r="O107" s="110"/>
      <c r="P107" s="89"/>
      <c r="Q107" s="110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</row>
    <row r="108" spans="1:30" ht="13.8">
      <c r="A108" s="89"/>
      <c r="B108" s="89"/>
      <c r="C108" s="89"/>
      <c r="D108" s="89"/>
      <c r="E108" s="89"/>
      <c r="F108" s="110"/>
      <c r="G108" s="89"/>
      <c r="H108" s="110"/>
      <c r="I108" s="89"/>
      <c r="J108" s="110"/>
      <c r="K108" s="89"/>
      <c r="L108" s="89"/>
      <c r="M108" s="110"/>
      <c r="N108" s="89"/>
      <c r="O108" s="110"/>
      <c r="P108" s="89"/>
      <c r="Q108" s="110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</row>
    <row r="109" spans="1:30" ht="13.8">
      <c r="A109" s="89"/>
      <c r="B109" s="89"/>
      <c r="C109" s="89"/>
      <c r="D109" s="89"/>
      <c r="E109" s="89"/>
      <c r="F109" s="110"/>
      <c r="G109" s="89"/>
      <c r="H109" s="110"/>
      <c r="I109" s="89"/>
      <c r="J109" s="110"/>
      <c r="K109" s="89"/>
      <c r="L109" s="89"/>
      <c r="M109" s="110"/>
      <c r="N109" s="89"/>
      <c r="O109" s="110"/>
      <c r="P109" s="89"/>
      <c r="Q109" s="110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</row>
    <row r="110" spans="1:30" ht="13.8">
      <c r="A110" s="89"/>
      <c r="B110" s="89"/>
      <c r="C110" s="89"/>
      <c r="D110" s="89"/>
      <c r="E110" s="89"/>
      <c r="F110" s="110"/>
      <c r="G110" s="89"/>
      <c r="H110" s="110"/>
      <c r="I110" s="89"/>
      <c r="J110" s="110"/>
      <c r="K110" s="89"/>
      <c r="L110" s="89"/>
      <c r="M110" s="110"/>
      <c r="N110" s="89"/>
      <c r="O110" s="110"/>
      <c r="P110" s="89"/>
      <c r="Q110" s="110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</row>
    <row r="111" spans="1:30" ht="13.8">
      <c r="A111" s="89"/>
      <c r="B111" s="89"/>
      <c r="C111" s="89"/>
      <c r="D111" s="89"/>
      <c r="E111" s="89"/>
      <c r="F111" s="110"/>
      <c r="G111" s="89"/>
      <c r="H111" s="110"/>
      <c r="I111" s="89"/>
      <c r="J111" s="110"/>
      <c r="K111" s="89"/>
      <c r="L111" s="89"/>
      <c r="M111" s="110"/>
      <c r="N111" s="89"/>
      <c r="O111" s="110"/>
      <c r="P111" s="89"/>
      <c r="Q111" s="110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</row>
    <row r="112" spans="1:30" ht="13.8">
      <c r="A112" s="89"/>
      <c r="B112" s="89"/>
      <c r="C112" s="89"/>
      <c r="D112" s="89"/>
      <c r="E112" s="89"/>
      <c r="F112" s="110"/>
      <c r="G112" s="89"/>
      <c r="H112" s="110"/>
      <c r="I112" s="89"/>
      <c r="J112" s="110"/>
      <c r="K112" s="89"/>
      <c r="L112" s="89"/>
      <c r="M112" s="110"/>
      <c r="N112" s="89"/>
      <c r="O112" s="110"/>
      <c r="P112" s="89"/>
      <c r="Q112" s="110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</row>
    <row r="113" spans="1:30" ht="13.8">
      <c r="A113" s="89"/>
      <c r="B113" s="89"/>
      <c r="C113" s="89"/>
      <c r="D113" s="89"/>
      <c r="E113" s="89"/>
      <c r="F113" s="110"/>
      <c r="G113" s="89"/>
      <c r="H113" s="110"/>
      <c r="I113" s="89"/>
      <c r="J113" s="110"/>
      <c r="K113" s="89"/>
      <c r="L113" s="89"/>
      <c r="M113" s="110"/>
      <c r="N113" s="89"/>
      <c r="O113" s="110"/>
      <c r="P113" s="89"/>
      <c r="Q113" s="110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</row>
    <row r="114" spans="1:30" ht="13.8">
      <c r="A114" s="89"/>
      <c r="B114" s="89"/>
      <c r="C114" s="89"/>
      <c r="D114" s="89"/>
      <c r="E114" s="89"/>
      <c r="F114" s="110"/>
      <c r="G114" s="89"/>
      <c r="H114" s="110"/>
      <c r="I114" s="89"/>
      <c r="J114" s="110"/>
      <c r="K114" s="89"/>
      <c r="L114" s="89"/>
      <c r="M114" s="110"/>
      <c r="N114" s="89"/>
      <c r="O114" s="110"/>
      <c r="P114" s="89"/>
      <c r="Q114" s="110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</row>
    <row r="115" spans="1:30" ht="13.8">
      <c r="A115" s="89"/>
      <c r="B115" s="89"/>
      <c r="C115" s="89"/>
      <c r="D115" s="89"/>
      <c r="E115" s="89"/>
      <c r="F115" s="110"/>
      <c r="G115" s="89"/>
      <c r="H115" s="110"/>
      <c r="I115" s="89"/>
      <c r="J115" s="110"/>
      <c r="K115" s="89"/>
      <c r="L115" s="89"/>
      <c r="M115" s="110"/>
      <c r="N115" s="89"/>
      <c r="O115" s="110"/>
      <c r="P115" s="89"/>
      <c r="Q115" s="110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</row>
    <row r="116" spans="1:30" ht="13.8">
      <c r="A116" s="89"/>
      <c r="B116" s="89"/>
      <c r="C116" s="89"/>
      <c r="D116" s="89"/>
      <c r="E116" s="89"/>
      <c r="F116" s="110"/>
      <c r="G116" s="89"/>
      <c r="H116" s="110"/>
      <c r="I116" s="89"/>
      <c r="J116" s="110"/>
      <c r="K116" s="89"/>
      <c r="L116" s="89"/>
      <c r="M116" s="110"/>
      <c r="N116" s="89"/>
      <c r="O116" s="110"/>
      <c r="P116" s="89"/>
      <c r="Q116" s="110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</row>
    <row r="117" spans="1:30" ht="13.8">
      <c r="A117" s="89"/>
      <c r="B117" s="89"/>
      <c r="C117" s="89"/>
      <c r="D117" s="89"/>
      <c r="E117" s="89"/>
      <c r="F117" s="110"/>
      <c r="G117" s="89"/>
      <c r="H117" s="110"/>
      <c r="I117" s="89"/>
      <c r="J117" s="110"/>
      <c r="K117" s="89"/>
      <c r="L117" s="89"/>
      <c r="M117" s="110"/>
      <c r="N117" s="89"/>
      <c r="O117" s="110"/>
      <c r="P117" s="89"/>
      <c r="Q117" s="110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</row>
    <row r="118" spans="1:30" ht="13.8">
      <c r="A118" s="89"/>
      <c r="B118" s="89"/>
      <c r="C118" s="89"/>
      <c r="D118" s="89"/>
      <c r="E118" s="89"/>
      <c r="F118" s="110"/>
      <c r="G118" s="89"/>
      <c r="H118" s="110"/>
      <c r="I118" s="89"/>
      <c r="J118" s="110"/>
      <c r="K118" s="89"/>
      <c r="L118" s="89"/>
      <c r="M118" s="110"/>
      <c r="N118" s="89"/>
      <c r="O118" s="110"/>
      <c r="P118" s="89"/>
      <c r="Q118" s="110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</row>
    <row r="119" spans="1:30" ht="13.8">
      <c r="A119" s="89"/>
      <c r="B119" s="89"/>
      <c r="C119" s="89"/>
      <c r="D119" s="89"/>
      <c r="E119" s="89"/>
      <c r="F119" s="110"/>
      <c r="G119" s="89"/>
      <c r="H119" s="110"/>
      <c r="I119" s="89"/>
      <c r="J119" s="110"/>
      <c r="K119" s="89"/>
      <c r="L119" s="89"/>
      <c r="M119" s="110"/>
      <c r="N119" s="89"/>
      <c r="O119" s="110"/>
      <c r="P119" s="89"/>
      <c r="Q119" s="110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</row>
    <row r="120" spans="1:30" ht="13.8">
      <c r="A120" s="89"/>
      <c r="B120" s="89"/>
      <c r="C120" s="89"/>
      <c r="D120" s="89"/>
      <c r="E120" s="89"/>
      <c r="F120" s="110"/>
      <c r="G120" s="89"/>
      <c r="H120" s="110"/>
      <c r="I120" s="89"/>
      <c r="J120" s="110"/>
      <c r="K120" s="89"/>
      <c r="L120" s="89"/>
      <c r="M120" s="110"/>
      <c r="N120" s="89"/>
      <c r="O120" s="110"/>
      <c r="P120" s="89"/>
      <c r="Q120" s="110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</row>
    <row r="121" spans="1:30" ht="13.8">
      <c r="A121" s="89"/>
      <c r="B121" s="89"/>
      <c r="C121" s="89"/>
      <c r="D121" s="89"/>
      <c r="E121" s="89"/>
      <c r="F121" s="110"/>
      <c r="G121" s="89"/>
      <c r="H121" s="110"/>
      <c r="I121" s="89"/>
      <c r="J121" s="110"/>
      <c r="K121" s="89"/>
      <c r="L121" s="89"/>
      <c r="M121" s="110"/>
      <c r="N121" s="89"/>
      <c r="O121" s="110"/>
      <c r="P121" s="89"/>
      <c r="Q121" s="110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</row>
    <row r="122" spans="1:30" ht="13.8">
      <c r="A122" s="89"/>
      <c r="B122" s="89"/>
      <c r="C122" s="89"/>
      <c r="D122" s="89"/>
      <c r="E122" s="89"/>
      <c r="F122" s="110"/>
      <c r="G122" s="89"/>
      <c r="H122" s="110"/>
      <c r="I122" s="89"/>
      <c r="J122" s="110"/>
      <c r="K122" s="89"/>
      <c r="L122" s="89"/>
      <c r="M122" s="110"/>
      <c r="N122" s="89"/>
      <c r="O122" s="110"/>
      <c r="P122" s="89"/>
      <c r="Q122" s="110"/>
      <c r="R122" s="89"/>
      <c r="S122" s="89"/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</row>
    <row r="123" spans="1:30" ht="13.8">
      <c r="A123" s="89"/>
      <c r="B123" s="89"/>
      <c r="C123" s="89"/>
      <c r="D123" s="89"/>
      <c r="E123" s="89"/>
      <c r="F123" s="110"/>
      <c r="G123" s="89"/>
      <c r="H123" s="110"/>
      <c r="I123" s="89"/>
      <c r="J123" s="110"/>
      <c r="K123" s="89"/>
      <c r="L123" s="89"/>
      <c r="M123" s="110"/>
      <c r="N123" s="89"/>
      <c r="O123" s="110"/>
      <c r="P123" s="89"/>
      <c r="Q123" s="110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</row>
    <row r="124" spans="1:30" ht="13.8">
      <c r="A124" s="89"/>
      <c r="B124" s="89"/>
      <c r="C124" s="89"/>
      <c r="D124" s="89"/>
      <c r="E124" s="89"/>
      <c r="F124" s="110"/>
      <c r="G124" s="89"/>
      <c r="H124" s="110"/>
      <c r="I124" s="89"/>
      <c r="J124" s="110"/>
      <c r="K124" s="89"/>
      <c r="L124" s="89"/>
      <c r="M124" s="110"/>
      <c r="N124" s="89"/>
      <c r="O124" s="110"/>
      <c r="P124" s="89"/>
      <c r="Q124" s="110"/>
      <c r="R124" s="89"/>
      <c r="S124" s="89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</row>
    <row r="125" spans="1:30" ht="13.8">
      <c r="A125" s="89"/>
      <c r="B125" s="89"/>
      <c r="C125" s="89"/>
      <c r="D125" s="89"/>
      <c r="E125" s="89"/>
      <c r="F125" s="110"/>
      <c r="G125" s="89"/>
      <c r="H125" s="110"/>
      <c r="I125" s="89"/>
      <c r="J125" s="110"/>
      <c r="K125" s="89"/>
      <c r="L125" s="89"/>
      <c r="M125" s="110"/>
      <c r="N125" s="89"/>
      <c r="O125" s="110"/>
      <c r="P125" s="89"/>
      <c r="Q125" s="110"/>
      <c r="R125" s="89"/>
      <c r="S125" s="89"/>
      <c r="T125" s="89"/>
      <c r="U125" s="89"/>
      <c r="V125" s="89"/>
      <c r="W125" s="89"/>
      <c r="X125" s="89"/>
      <c r="Y125" s="89"/>
      <c r="Z125" s="89"/>
      <c r="AA125" s="89"/>
      <c r="AB125" s="89"/>
      <c r="AC125" s="89"/>
      <c r="AD125" s="89"/>
    </row>
    <row r="126" spans="1:30" ht="13.8">
      <c r="A126" s="89"/>
      <c r="B126" s="89"/>
      <c r="C126" s="89"/>
      <c r="D126" s="89"/>
      <c r="E126" s="89"/>
      <c r="F126" s="110"/>
      <c r="G126" s="89"/>
      <c r="H126" s="110"/>
      <c r="I126" s="89"/>
      <c r="J126" s="110"/>
      <c r="K126" s="89"/>
      <c r="L126" s="89"/>
      <c r="M126" s="110"/>
      <c r="N126" s="89"/>
      <c r="O126" s="110"/>
      <c r="P126" s="89"/>
      <c r="Q126" s="110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</row>
    <row r="127" spans="1:30" ht="13.8">
      <c r="A127" s="89"/>
      <c r="B127" s="89"/>
      <c r="C127" s="89"/>
      <c r="D127" s="89"/>
      <c r="E127" s="89"/>
      <c r="F127" s="110"/>
      <c r="G127" s="89"/>
      <c r="H127" s="110"/>
      <c r="I127" s="89"/>
      <c r="J127" s="110"/>
      <c r="K127" s="89"/>
      <c r="L127" s="89"/>
      <c r="M127" s="110"/>
      <c r="N127" s="89"/>
      <c r="O127" s="110"/>
      <c r="P127" s="89"/>
      <c r="Q127" s="110"/>
      <c r="R127" s="89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</row>
    <row r="128" spans="1:30" ht="13.8">
      <c r="A128" s="89"/>
      <c r="B128" s="89"/>
      <c r="C128" s="89"/>
      <c r="D128" s="89"/>
      <c r="E128" s="89"/>
      <c r="F128" s="110"/>
      <c r="G128" s="89"/>
      <c r="H128" s="110"/>
      <c r="I128" s="89"/>
      <c r="J128" s="110"/>
      <c r="K128" s="89"/>
      <c r="L128" s="89"/>
      <c r="M128" s="110"/>
      <c r="N128" s="89"/>
      <c r="O128" s="110"/>
      <c r="P128" s="89"/>
      <c r="Q128" s="110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</row>
    <row r="129" spans="1:30" ht="13.8">
      <c r="A129" s="89"/>
      <c r="B129" s="89"/>
      <c r="C129" s="89"/>
      <c r="D129" s="89"/>
      <c r="E129" s="89"/>
      <c r="F129" s="110"/>
      <c r="G129" s="89"/>
      <c r="H129" s="110"/>
      <c r="I129" s="89"/>
      <c r="J129" s="110"/>
      <c r="K129" s="89"/>
      <c r="L129" s="89"/>
      <c r="M129" s="110"/>
      <c r="N129" s="89"/>
      <c r="O129" s="110"/>
      <c r="P129" s="89"/>
      <c r="Q129" s="110"/>
      <c r="R129" s="89"/>
      <c r="S129" s="89"/>
      <c r="T129" s="89"/>
      <c r="U129" s="89"/>
      <c r="V129" s="89"/>
      <c r="W129" s="89"/>
      <c r="X129" s="89"/>
      <c r="Y129" s="89"/>
      <c r="Z129" s="89"/>
      <c r="AA129" s="89"/>
      <c r="AB129" s="89"/>
      <c r="AC129" s="89"/>
      <c r="AD129" s="89"/>
    </row>
    <row r="130" spans="1:30" ht="13.8">
      <c r="A130" s="89"/>
      <c r="B130" s="89"/>
      <c r="C130" s="89"/>
      <c r="D130" s="89"/>
      <c r="E130" s="89"/>
      <c r="F130" s="110"/>
      <c r="G130" s="89"/>
      <c r="H130" s="110"/>
      <c r="I130" s="89"/>
      <c r="J130" s="110"/>
      <c r="K130" s="89"/>
      <c r="L130" s="89"/>
      <c r="M130" s="110"/>
      <c r="N130" s="89"/>
      <c r="O130" s="110"/>
      <c r="P130" s="89"/>
      <c r="Q130" s="110"/>
      <c r="R130" s="89"/>
      <c r="S130" s="89"/>
      <c r="T130" s="89"/>
      <c r="U130" s="89"/>
      <c r="V130" s="89"/>
      <c r="W130" s="89"/>
      <c r="X130" s="89"/>
      <c r="Y130" s="89"/>
      <c r="Z130" s="89"/>
      <c r="AA130" s="89"/>
      <c r="AB130" s="89"/>
      <c r="AC130" s="89"/>
      <c r="AD130" s="89"/>
    </row>
    <row r="131" spans="1:30" ht="13.8">
      <c r="A131" s="89"/>
      <c r="B131" s="89"/>
      <c r="C131" s="89"/>
      <c r="D131" s="89"/>
      <c r="E131" s="89"/>
      <c r="F131" s="110"/>
      <c r="G131" s="89"/>
      <c r="H131" s="110"/>
      <c r="I131" s="89"/>
      <c r="J131" s="110"/>
      <c r="K131" s="89"/>
      <c r="L131" s="89"/>
      <c r="M131" s="110"/>
      <c r="N131" s="89"/>
      <c r="O131" s="110"/>
      <c r="P131" s="89"/>
      <c r="Q131" s="110"/>
      <c r="R131" s="89"/>
      <c r="S131" s="89"/>
      <c r="T131" s="89"/>
      <c r="U131" s="89"/>
      <c r="V131" s="89"/>
      <c r="W131" s="89"/>
      <c r="X131" s="89"/>
      <c r="Y131" s="89"/>
      <c r="Z131" s="89"/>
      <c r="AA131" s="89"/>
      <c r="AB131" s="89"/>
      <c r="AC131" s="89"/>
      <c r="AD131" s="89"/>
    </row>
    <row r="132" spans="1:30" ht="13.8">
      <c r="A132" s="89"/>
      <c r="B132" s="89"/>
      <c r="C132" s="89"/>
      <c r="D132" s="89"/>
      <c r="E132" s="89"/>
      <c r="F132" s="110"/>
      <c r="G132" s="89"/>
      <c r="H132" s="110"/>
      <c r="I132" s="89"/>
      <c r="J132" s="110"/>
      <c r="K132" s="89"/>
      <c r="L132" s="89"/>
      <c r="M132" s="110"/>
      <c r="N132" s="89"/>
      <c r="O132" s="110"/>
      <c r="P132" s="89"/>
      <c r="Q132" s="110"/>
      <c r="R132" s="89"/>
      <c r="S132" s="89"/>
      <c r="T132" s="89"/>
      <c r="U132" s="89"/>
      <c r="V132" s="89"/>
      <c r="W132" s="89"/>
      <c r="X132" s="89"/>
      <c r="Y132" s="89"/>
      <c r="Z132" s="89"/>
      <c r="AA132" s="89"/>
      <c r="AB132" s="89"/>
      <c r="AC132" s="89"/>
      <c r="AD132" s="89"/>
    </row>
    <row r="133" spans="1:30" ht="13.8">
      <c r="A133" s="89"/>
      <c r="B133" s="89"/>
      <c r="C133" s="89"/>
      <c r="D133" s="89"/>
      <c r="E133" s="89"/>
      <c r="F133" s="110"/>
      <c r="G133" s="89"/>
      <c r="H133" s="110"/>
      <c r="I133" s="89"/>
      <c r="J133" s="110"/>
      <c r="K133" s="89"/>
      <c r="L133" s="89"/>
      <c r="M133" s="110"/>
      <c r="N133" s="89"/>
      <c r="O133" s="110"/>
      <c r="P133" s="89"/>
      <c r="Q133" s="110"/>
      <c r="R133" s="89"/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C133" s="89"/>
      <c r="AD133" s="89"/>
    </row>
    <row r="134" spans="1:30" ht="13.8">
      <c r="A134" s="89"/>
      <c r="B134" s="89"/>
      <c r="C134" s="89"/>
      <c r="D134" s="89"/>
      <c r="E134" s="89"/>
      <c r="F134" s="110"/>
      <c r="G134" s="89"/>
      <c r="H134" s="110"/>
      <c r="I134" s="89"/>
      <c r="J134" s="110"/>
      <c r="K134" s="89"/>
      <c r="L134" s="89"/>
      <c r="M134" s="110"/>
      <c r="N134" s="89"/>
      <c r="O134" s="110"/>
      <c r="P134" s="89"/>
      <c r="Q134" s="110"/>
      <c r="R134" s="89"/>
      <c r="S134" s="89"/>
      <c r="T134" s="89"/>
      <c r="U134" s="89"/>
      <c r="V134" s="89"/>
      <c r="W134" s="89"/>
      <c r="X134" s="89"/>
      <c r="Y134" s="89"/>
      <c r="Z134" s="89"/>
      <c r="AA134" s="89"/>
      <c r="AB134" s="89"/>
      <c r="AC134" s="89"/>
      <c r="AD134" s="89"/>
    </row>
    <row r="135" spans="1:30" ht="13.8">
      <c r="A135" s="89"/>
      <c r="B135" s="89"/>
      <c r="C135" s="89"/>
      <c r="D135" s="89"/>
      <c r="E135" s="89"/>
      <c r="F135" s="110"/>
      <c r="G135" s="89"/>
      <c r="H135" s="110"/>
      <c r="I135" s="89"/>
      <c r="J135" s="110"/>
      <c r="K135" s="89"/>
      <c r="L135" s="89"/>
      <c r="M135" s="110"/>
      <c r="N135" s="89"/>
      <c r="O135" s="110"/>
      <c r="P135" s="89"/>
      <c r="Q135" s="110"/>
      <c r="R135" s="89"/>
      <c r="S135" s="89"/>
      <c r="T135" s="89"/>
      <c r="U135" s="89"/>
      <c r="V135" s="89"/>
      <c r="W135" s="89"/>
      <c r="X135" s="89"/>
      <c r="Y135" s="89"/>
      <c r="Z135" s="89"/>
      <c r="AA135" s="89"/>
      <c r="AB135" s="89"/>
      <c r="AC135" s="89"/>
      <c r="AD135" s="89"/>
    </row>
    <row r="136" spans="1:30" ht="13.8">
      <c r="A136" s="89"/>
      <c r="B136" s="89"/>
      <c r="C136" s="89"/>
      <c r="D136" s="89"/>
      <c r="E136" s="89"/>
      <c r="F136" s="110"/>
      <c r="G136" s="89"/>
      <c r="H136" s="110"/>
      <c r="I136" s="89"/>
      <c r="J136" s="110"/>
      <c r="K136" s="89"/>
      <c r="L136" s="89"/>
      <c r="M136" s="110"/>
      <c r="N136" s="89"/>
      <c r="O136" s="110"/>
      <c r="P136" s="89"/>
      <c r="Q136" s="110"/>
      <c r="R136" s="89"/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C136" s="89"/>
      <c r="AD136" s="89"/>
    </row>
    <row r="137" spans="1:30" ht="13.8">
      <c r="A137" s="89"/>
      <c r="B137" s="89"/>
      <c r="C137" s="89"/>
      <c r="D137" s="89"/>
      <c r="E137" s="89"/>
      <c r="F137" s="110"/>
      <c r="G137" s="89"/>
      <c r="H137" s="110"/>
      <c r="I137" s="89"/>
      <c r="J137" s="110"/>
      <c r="K137" s="89"/>
      <c r="L137" s="89"/>
      <c r="M137" s="110"/>
      <c r="N137" s="89"/>
      <c r="O137" s="110"/>
      <c r="P137" s="89"/>
      <c r="Q137" s="110"/>
      <c r="R137" s="89"/>
      <c r="S137" s="89"/>
      <c r="T137" s="89"/>
      <c r="U137" s="89"/>
      <c r="V137" s="89"/>
      <c r="W137" s="89"/>
      <c r="X137" s="89"/>
      <c r="Y137" s="89"/>
      <c r="Z137" s="89"/>
      <c r="AA137" s="89"/>
      <c r="AB137" s="89"/>
      <c r="AC137" s="89"/>
      <c r="AD137" s="89"/>
    </row>
    <row r="138" spans="1:30" ht="13.8">
      <c r="A138" s="89"/>
      <c r="B138" s="89"/>
      <c r="C138" s="89"/>
      <c r="D138" s="89"/>
      <c r="E138" s="89"/>
      <c r="F138" s="110"/>
      <c r="G138" s="89"/>
      <c r="H138" s="110"/>
      <c r="I138" s="89"/>
      <c r="J138" s="110"/>
      <c r="K138" s="89"/>
      <c r="L138" s="89"/>
      <c r="M138" s="110"/>
      <c r="N138" s="89"/>
      <c r="O138" s="110"/>
      <c r="P138" s="89"/>
      <c r="Q138" s="110"/>
      <c r="R138" s="89"/>
      <c r="S138" s="89"/>
      <c r="T138" s="89"/>
      <c r="U138" s="89"/>
      <c r="V138" s="89"/>
      <c r="W138" s="89"/>
      <c r="X138" s="89"/>
      <c r="Y138" s="89"/>
      <c r="Z138" s="89"/>
      <c r="AA138" s="89"/>
      <c r="AB138" s="89"/>
      <c r="AC138" s="89"/>
      <c r="AD138" s="89"/>
    </row>
    <row r="139" spans="1:30" ht="13.8">
      <c r="A139" s="89"/>
      <c r="B139" s="89"/>
      <c r="C139" s="89"/>
      <c r="D139" s="89"/>
      <c r="E139" s="89"/>
      <c r="F139" s="110"/>
      <c r="G139" s="89"/>
      <c r="H139" s="110"/>
      <c r="I139" s="89"/>
      <c r="J139" s="110"/>
      <c r="K139" s="89"/>
      <c r="L139" s="89"/>
      <c r="M139" s="110"/>
      <c r="N139" s="89"/>
      <c r="O139" s="110"/>
      <c r="P139" s="89"/>
      <c r="Q139" s="110"/>
      <c r="R139" s="89"/>
      <c r="S139" s="89"/>
      <c r="T139" s="89"/>
      <c r="U139" s="89"/>
      <c r="V139" s="89"/>
      <c r="W139" s="89"/>
      <c r="X139" s="89"/>
      <c r="Y139" s="89"/>
      <c r="Z139" s="89"/>
      <c r="AA139" s="89"/>
      <c r="AB139" s="89"/>
      <c r="AC139" s="89"/>
      <c r="AD139" s="89"/>
    </row>
    <row r="140" spans="1:30" ht="13.8">
      <c r="A140" s="89"/>
      <c r="B140" s="89"/>
      <c r="C140" s="89"/>
      <c r="D140" s="89"/>
      <c r="E140" s="89"/>
      <c r="F140" s="110"/>
      <c r="G140" s="89"/>
      <c r="H140" s="110"/>
      <c r="I140" s="89"/>
      <c r="J140" s="110"/>
      <c r="K140" s="89"/>
      <c r="L140" s="89"/>
      <c r="M140" s="110"/>
      <c r="N140" s="89"/>
      <c r="O140" s="110"/>
      <c r="P140" s="89"/>
      <c r="Q140" s="110"/>
      <c r="R140" s="89"/>
      <c r="S140" s="89"/>
      <c r="T140" s="89"/>
      <c r="U140" s="89"/>
      <c r="V140" s="89"/>
      <c r="W140" s="89"/>
      <c r="X140" s="89"/>
      <c r="Y140" s="89"/>
      <c r="Z140" s="89"/>
      <c r="AA140" s="89"/>
      <c r="AB140" s="89"/>
      <c r="AC140" s="89"/>
      <c r="AD140" s="89"/>
    </row>
    <row r="141" spans="1:30" ht="13.8">
      <c r="A141" s="89"/>
      <c r="B141" s="89"/>
      <c r="C141" s="89"/>
      <c r="D141" s="89"/>
      <c r="E141" s="89"/>
      <c r="F141" s="110"/>
      <c r="G141" s="89"/>
      <c r="H141" s="110"/>
      <c r="I141" s="89"/>
      <c r="J141" s="110"/>
      <c r="K141" s="89"/>
      <c r="L141" s="89"/>
      <c r="M141" s="110"/>
      <c r="N141" s="89"/>
      <c r="O141" s="110"/>
      <c r="P141" s="89"/>
      <c r="Q141" s="110"/>
      <c r="R141" s="89"/>
      <c r="S141" s="89"/>
      <c r="T141" s="89"/>
      <c r="U141" s="89"/>
      <c r="V141" s="89"/>
      <c r="W141" s="89"/>
      <c r="X141" s="89"/>
      <c r="Y141" s="89"/>
      <c r="Z141" s="89"/>
      <c r="AA141" s="89"/>
      <c r="AB141" s="89"/>
      <c r="AC141" s="89"/>
      <c r="AD141" s="89"/>
    </row>
    <row r="142" spans="1:30" ht="13.8">
      <c r="A142" s="89"/>
      <c r="B142" s="89"/>
      <c r="C142" s="89"/>
      <c r="D142" s="89"/>
      <c r="E142" s="89"/>
      <c r="F142" s="110"/>
      <c r="G142" s="89"/>
      <c r="H142" s="110"/>
      <c r="I142" s="89"/>
      <c r="J142" s="110"/>
      <c r="K142" s="89"/>
      <c r="L142" s="89"/>
      <c r="M142" s="110"/>
      <c r="N142" s="89"/>
      <c r="O142" s="110"/>
      <c r="P142" s="89"/>
      <c r="Q142" s="110"/>
      <c r="R142" s="89"/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C142" s="89"/>
      <c r="AD142" s="89"/>
    </row>
    <row r="143" spans="1:30" ht="13.8">
      <c r="A143" s="89"/>
      <c r="B143" s="89"/>
      <c r="C143" s="89"/>
      <c r="D143" s="89"/>
      <c r="E143" s="89"/>
      <c r="F143" s="110"/>
      <c r="G143" s="89"/>
      <c r="H143" s="110"/>
      <c r="I143" s="89"/>
      <c r="J143" s="110"/>
      <c r="K143" s="89"/>
      <c r="L143" s="89"/>
      <c r="M143" s="110"/>
      <c r="N143" s="89"/>
      <c r="O143" s="110"/>
      <c r="P143" s="89"/>
      <c r="Q143" s="110"/>
      <c r="R143" s="89"/>
      <c r="S143" s="89"/>
      <c r="T143" s="89"/>
      <c r="U143" s="89"/>
      <c r="V143" s="89"/>
      <c r="W143" s="89"/>
      <c r="X143" s="89"/>
      <c r="Y143" s="89"/>
      <c r="Z143" s="89"/>
      <c r="AA143" s="89"/>
      <c r="AB143" s="89"/>
      <c r="AC143" s="89"/>
      <c r="AD143" s="89"/>
    </row>
    <row r="144" spans="1:30" ht="13.8">
      <c r="A144" s="89"/>
      <c r="B144" s="89"/>
      <c r="C144" s="89"/>
      <c r="D144" s="89"/>
      <c r="E144" s="89"/>
      <c r="F144" s="110"/>
      <c r="G144" s="89"/>
      <c r="H144" s="110"/>
      <c r="I144" s="89"/>
      <c r="J144" s="110"/>
      <c r="K144" s="89"/>
      <c r="L144" s="89"/>
      <c r="M144" s="110"/>
      <c r="N144" s="89"/>
      <c r="O144" s="110"/>
      <c r="P144" s="89"/>
      <c r="Q144" s="110"/>
      <c r="R144" s="89"/>
      <c r="S144" s="89"/>
      <c r="T144" s="89"/>
      <c r="U144" s="89"/>
      <c r="V144" s="89"/>
      <c r="W144" s="89"/>
      <c r="X144" s="89"/>
      <c r="Y144" s="89"/>
      <c r="Z144" s="89"/>
      <c r="AA144" s="89"/>
      <c r="AB144" s="89"/>
      <c r="AC144" s="89"/>
      <c r="AD144" s="89"/>
    </row>
    <row r="145" spans="1:30" ht="13.8">
      <c r="A145" s="89"/>
      <c r="B145" s="89"/>
      <c r="C145" s="89"/>
      <c r="D145" s="89"/>
      <c r="E145" s="89"/>
      <c r="F145" s="110"/>
      <c r="G145" s="89"/>
      <c r="H145" s="110"/>
      <c r="I145" s="89"/>
      <c r="J145" s="110"/>
      <c r="K145" s="89"/>
      <c r="L145" s="89"/>
      <c r="M145" s="110"/>
      <c r="N145" s="89"/>
      <c r="O145" s="110"/>
      <c r="P145" s="89"/>
      <c r="Q145" s="110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</row>
    <row r="146" spans="1:30" ht="13.8">
      <c r="A146" s="89"/>
      <c r="B146" s="89"/>
      <c r="C146" s="89"/>
      <c r="D146" s="89"/>
      <c r="E146" s="89"/>
      <c r="F146" s="110"/>
      <c r="G146" s="89"/>
      <c r="H146" s="110"/>
      <c r="I146" s="89"/>
      <c r="J146" s="110"/>
      <c r="K146" s="89"/>
      <c r="L146" s="89"/>
      <c r="M146" s="110"/>
      <c r="N146" s="89"/>
      <c r="O146" s="110"/>
      <c r="P146" s="89"/>
      <c r="Q146" s="110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</row>
    <row r="147" spans="1:30" ht="13.8">
      <c r="A147" s="89"/>
      <c r="B147" s="89"/>
      <c r="C147" s="89"/>
      <c r="D147" s="89"/>
      <c r="E147" s="89"/>
      <c r="F147" s="110"/>
      <c r="G147" s="89"/>
      <c r="H147" s="110"/>
      <c r="I147" s="89"/>
      <c r="J147" s="110"/>
      <c r="K147" s="89"/>
      <c r="L147" s="89"/>
      <c r="M147" s="110"/>
      <c r="N147" s="89"/>
      <c r="O147" s="110"/>
      <c r="P147" s="89"/>
      <c r="Q147" s="110"/>
      <c r="R147" s="89"/>
      <c r="S147" s="89"/>
      <c r="T147" s="89"/>
      <c r="U147" s="89"/>
      <c r="V147" s="89"/>
      <c r="W147" s="89"/>
      <c r="X147" s="89"/>
      <c r="Y147" s="89"/>
      <c r="Z147" s="89"/>
      <c r="AA147" s="89"/>
      <c r="AB147" s="89"/>
      <c r="AC147" s="89"/>
      <c r="AD147" s="89"/>
    </row>
    <row r="148" spans="1:30" ht="13.8">
      <c r="A148" s="89"/>
      <c r="B148" s="89"/>
      <c r="C148" s="89"/>
      <c r="D148" s="89"/>
      <c r="E148" s="89"/>
      <c r="F148" s="110"/>
      <c r="G148" s="89"/>
      <c r="H148" s="110"/>
      <c r="I148" s="89"/>
      <c r="J148" s="110"/>
      <c r="K148" s="89"/>
      <c r="L148" s="89"/>
      <c r="M148" s="110"/>
      <c r="N148" s="89"/>
      <c r="O148" s="110"/>
      <c r="P148" s="89"/>
      <c r="Q148" s="110"/>
      <c r="R148" s="89"/>
      <c r="S148" s="89"/>
      <c r="T148" s="89"/>
      <c r="U148" s="89"/>
      <c r="V148" s="89"/>
      <c r="W148" s="89"/>
      <c r="X148" s="89"/>
      <c r="Y148" s="89"/>
      <c r="Z148" s="89"/>
      <c r="AA148" s="89"/>
      <c r="AB148" s="89"/>
      <c r="AC148" s="89"/>
      <c r="AD148" s="89"/>
    </row>
    <row r="149" spans="1:30" ht="13.8">
      <c r="A149" s="89"/>
      <c r="B149" s="89"/>
      <c r="C149" s="89"/>
      <c r="D149" s="89"/>
      <c r="E149" s="89"/>
      <c r="F149" s="110"/>
      <c r="G149" s="89"/>
      <c r="H149" s="110"/>
      <c r="I149" s="89"/>
      <c r="J149" s="110"/>
      <c r="K149" s="89"/>
      <c r="L149" s="89"/>
      <c r="M149" s="110"/>
      <c r="N149" s="89"/>
      <c r="O149" s="110"/>
      <c r="P149" s="89"/>
      <c r="Q149" s="110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</row>
    <row r="150" spans="1:30" ht="13.8">
      <c r="A150" s="89"/>
      <c r="B150" s="89"/>
      <c r="C150" s="89"/>
      <c r="D150" s="89"/>
      <c r="E150" s="89"/>
      <c r="F150" s="110"/>
      <c r="G150" s="89"/>
      <c r="H150" s="110"/>
      <c r="I150" s="89"/>
      <c r="J150" s="110"/>
      <c r="K150" s="89"/>
      <c r="L150" s="89"/>
      <c r="M150" s="110"/>
      <c r="N150" s="89"/>
      <c r="O150" s="110"/>
      <c r="P150" s="89"/>
      <c r="Q150" s="110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</row>
    <row r="151" spans="1:30" ht="13.8">
      <c r="A151" s="89"/>
      <c r="B151" s="89"/>
      <c r="C151" s="89"/>
      <c r="D151" s="89"/>
      <c r="E151" s="89"/>
      <c r="F151" s="110"/>
      <c r="G151" s="89"/>
      <c r="H151" s="110"/>
      <c r="I151" s="89"/>
      <c r="J151" s="110"/>
      <c r="K151" s="89"/>
      <c r="L151" s="89"/>
      <c r="M151" s="110"/>
      <c r="N151" s="89"/>
      <c r="O151" s="110"/>
      <c r="P151" s="89"/>
      <c r="Q151" s="110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</row>
    <row r="152" spans="1:30" ht="13.8">
      <c r="A152" s="89"/>
      <c r="B152" s="89"/>
      <c r="C152" s="89"/>
      <c r="D152" s="89"/>
      <c r="E152" s="89"/>
      <c r="F152" s="110"/>
      <c r="G152" s="89"/>
      <c r="H152" s="110"/>
      <c r="I152" s="89"/>
      <c r="J152" s="110"/>
      <c r="K152" s="89"/>
      <c r="L152" s="89"/>
      <c r="M152" s="110"/>
      <c r="N152" s="89"/>
      <c r="O152" s="110"/>
      <c r="P152" s="89"/>
      <c r="Q152" s="110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</row>
    <row r="153" spans="1:30" ht="13.8">
      <c r="A153" s="89"/>
      <c r="B153" s="89"/>
      <c r="C153" s="89"/>
      <c r="D153" s="89"/>
      <c r="E153" s="89"/>
      <c r="F153" s="110"/>
      <c r="G153" s="89"/>
      <c r="H153" s="110"/>
      <c r="I153" s="89"/>
      <c r="J153" s="110"/>
      <c r="K153" s="89"/>
      <c r="L153" s="89"/>
      <c r="M153" s="110"/>
      <c r="N153" s="89"/>
      <c r="O153" s="110"/>
      <c r="P153" s="89"/>
      <c r="Q153" s="110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</row>
    <row r="154" spans="1:30" ht="13.8">
      <c r="A154" s="89"/>
      <c r="B154" s="89"/>
      <c r="C154" s="89"/>
      <c r="D154" s="89"/>
      <c r="E154" s="89"/>
      <c r="F154" s="110"/>
      <c r="G154" s="89"/>
      <c r="H154" s="110"/>
      <c r="I154" s="89"/>
      <c r="J154" s="110"/>
      <c r="K154" s="89"/>
      <c r="L154" s="89"/>
      <c r="M154" s="110"/>
      <c r="N154" s="89"/>
      <c r="O154" s="110"/>
      <c r="P154" s="89"/>
      <c r="Q154" s="110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</row>
    <row r="155" spans="1:30" ht="13.8">
      <c r="A155" s="89"/>
      <c r="B155" s="89"/>
      <c r="C155" s="89"/>
      <c r="D155" s="89"/>
      <c r="E155" s="89"/>
      <c r="F155" s="110"/>
      <c r="G155" s="89"/>
      <c r="H155" s="110"/>
      <c r="I155" s="89"/>
      <c r="J155" s="110"/>
      <c r="K155" s="89"/>
      <c r="L155" s="89"/>
      <c r="M155" s="110"/>
      <c r="N155" s="89"/>
      <c r="O155" s="110"/>
      <c r="P155" s="89"/>
      <c r="Q155" s="110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</row>
    <row r="156" spans="1:30" ht="13.8">
      <c r="A156" s="89"/>
      <c r="B156" s="89"/>
      <c r="C156" s="89"/>
      <c r="D156" s="89"/>
      <c r="E156" s="89"/>
      <c r="F156" s="110"/>
      <c r="G156" s="89"/>
      <c r="H156" s="110"/>
      <c r="I156" s="89"/>
      <c r="J156" s="110"/>
      <c r="K156" s="89"/>
      <c r="L156" s="89"/>
      <c r="M156" s="110"/>
      <c r="N156" s="89"/>
      <c r="O156" s="110"/>
      <c r="P156" s="89"/>
      <c r="Q156" s="110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</row>
    <row r="157" spans="1:30" ht="13.8">
      <c r="A157" s="89"/>
      <c r="B157" s="89"/>
      <c r="C157" s="89"/>
      <c r="D157" s="89"/>
      <c r="E157" s="89"/>
      <c r="F157" s="110"/>
      <c r="G157" s="89"/>
      <c r="H157" s="110"/>
      <c r="I157" s="89"/>
      <c r="J157" s="110"/>
      <c r="K157" s="89"/>
      <c r="L157" s="89"/>
      <c r="M157" s="110"/>
      <c r="N157" s="89"/>
      <c r="O157" s="110"/>
      <c r="P157" s="89"/>
      <c r="Q157" s="110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</row>
    <row r="158" spans="1:30" ht="13.8">
      <c r="A158" s="89"/>
      <c r="B158" s="89"/>
      <c r="C158" s="89"/>
      <c r="D158" s="89"/>
      <c r="E158" s="89"/>
      <c r="F158" s="110"/>
      <c r="G158" s="89"/>
      <c r="H158" s="110"/>
      <c r="I158" s="89"/>
      <c r="J158" s="110"/>
      <c r="K158" s="89"/>
      <c r="L158" s="89"/>
      <c r="M158" s="110"/>
      <c r="N158" s="89"/>
      <c r="O158" s="110"/>
      <c r="P158" s="89"/>
      <c r="Q158" s="110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</row>
    <row r="159" spans="1:30" ht="13.8">
      <c r="A159" s="89"/>
      <c r="B159" s="89"/>
      <c r="C159" s="89"/>
      <c r="D159" s="89"/>
      <c r="E159" s="89"/>
      <c r="F159" s="110"/>
      <c r="G159" s="89"/>
      <c r="H159" s="110"/>
      <c r="I159" s="89"/>
      <c r="J159" s="110"/>
      <c r="K159" s="89"/>
      <c r="L159" s="89"/>
      <c r="M159" s="110"/>
      <c r="N159" s="89"/>
      <c r="O159" s="110"/>
      <c r="P159" s="89"/>
      <c r="Q159" s="110"/>
      <c r="R159" s="89"/>
      <c r="S159" s="89"/>
      <c r="T159" s="89"/>
      <c r="U159" s="89"/>
      <c r="V159" s="89"/>
      <c r="W159" s="89"/>
      <c r="X159" s="89"/>
      <c r="Y159" s="89"/>
      <c r="Z159" s="89"/>
      <c r="AA159" s="89"/>
      <c r="AB159" s="89"/>
      <c r="AC159" s="89"/>
      <c r="AD159" s="89"/>
    </row>
    <row r="160" spans="1:30" ht="13.8">
      <c r="A160" s="89"/>
      <c r="B160" s="89"/>
      <c r="C160" s="89"/>
      <c r="D160" s="89"/>
      <c r="E160" s="89"/>
      <c r="F160" s="110"/>
      <c r="G160" s="89"/>
      <c r="H160" s="110"/>
      <c r="I160" s="89"/>
      <c r="J160" s="110"/>
      <c r="K160" s="89"/>
      <c r="L160" s="89"/>
      <c r="M160" s="110"/>
      <c r="N160" s="89"/>
      <c r="O160" s="110"/>
      <c r="P160" s="89"/>
      <c r="Q160" s="110"/>
      <c r="R160" s="89"/>
      <c r="S160" s="89"/>
      <c r="T160" s="89"/>
      <c r="U160" s="89"/>
      <c r="V160" s="89"/>
      <c r="W160" s="89"/>
      <c r="X160" s="89"/>
      <c r="Y160" s="89"/>
      <c r="Z160" s="89"/>
      <c r="AA160" s="89"/>
      <c r="AB160" s="89"/>
      <c r="AC160" s="89"/>
      <c r="AD160" s="89"/>
    </row>
    <row r="161" spans="1:30" ht="13.8">
      <c r="A161" s="89"/>
      <c r="B161" s="89"/>
      <c r="C161" s="89"/>
      <c r="D161" s="89"/>
      <c r="E161" s="89"/>
      <c r="F161" s="110"/>
      <c r="G161" s="89"/>
      <c r="H161" s="110"/>
      <c r="I161" s="89"/>
      <c r="J161" s="110"/>
      <c r="K161" s="89"/>
      <c r="L161" s="89"/>
      <c r="M161" s="110"/>
      <c r="N161" s="89"/>
      <c r="O161" s="110"/>
      <c r="P161" s="89"/>
      <c r="Q161" s="110"/>
      <c r="R161" s="89"/>
      <c r="S161" s="89"/>
      <c r="T161" s="89"/>
      <c r="U161" s="89"/>
      <c r="V161" s="89"/>
      <c r="W161" s="89"/>
      <c r="X161" s="89"/>
      <c r="Y161" s="89"/>
      <c r="Z161" s="89"/>
      <c r="AA161" s="89"/>
      <c r="AB161" s="89"/>
      <c r="AC161" s="89"/>
      <c r="AD161" s="89"/>
    </row>
    <row r="162" spans="1:30" ht="13.8">
      <c r="A162" s="89"/>
      <c r="B162" s="89"/>
      <c r="C162" s="89"/>
      <c r="D162" s="89"/>
      <c r="E162" s="89"/>
      <c r="F162" s="110"/>
      <c r="G162" s="89"/>
      <c r="H162" s="110"/>
      <c r="I162" s="89"/>
      <c r="J162" s="110"/>
      <c r="K162" s="89"/>
      <c r="L162" s="89"/>
      <c r="M162" s="110"/>
      <c r="N162" s="89"/>
      <c r="O162" s="110"/>
      <c r="P162" s="89"/>
      <c r="Q162" s="110"/>
      <c r="R162" s="89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</row>
    <row r="163" spans="1:30" ht="13.8">
      <c r="A163" s="89"/>
      <c r="B163" s="89"/>
      <c r="C163" s="89"/>
      <c r="D163" s="89"/>
      <c r="E163" s="89"/>
      <c r="F163" s="110"/>
      <c r="G163" s="89"/>
      <c r="H163" s="110"/>
      <c r="I163" s="89"/>
      <c r="J163" s="110"/>
      <c r="K163" s="89"/>
      <c r="L163" s="89"/>
      <c r="M163" s="110"/>
      <c r="N163" s="89"/>
      <c r="O163" s="110"/>
      <c r="P163" s="89"/>
      <c r="Q163" s="110"/>
      <c r="R163" s="89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89"/>
    </row>
    <row r="164" spans="1:30" ht="13.8">
      <c r="A164" s="89"/>
      <c r="B164" s="89"/>
      <c r="C164" s="89"/>
      <c r="D164" s="89"/>
      <c r="E164" s="89"/>
      <c r="F164" s="110"/>
      <c r="G164" s="89"/>
      <c r="H164" s="110"/>
      <c r="I164" s="89"/>
      <c r="J164" s="110"/>
      <c r="K164" s="89"/>
      <c r="L164" s="89"/>
      <c r="M164" s="110"/>
      <c r="N164" s="89"/>
      <c r="O164" s="110"/>
      <c r="P164" s="89"/>
      <c r="Q164" s="110"/>
      <c r="R164" s="89"/>
      <c r="S164" s="89"/>
      <c r="T164" s="89"/>
      <c r="U164" s="89"/>
      <c r="V164" s="89"/>
      <c r="W164" s="89"/>
      <c r="X164" s="89"/>
      <c r="Y164" s="89"/>
      <c r="Z164" s="89"/>
      <c r="AA164" s="89"/>
      <c r="AB164" s="89"/>
      <c r="AC164" s="89"/>
      <c r="AD164" s="89"/>
    </row>
    <row r="165" spans="1:30" ht="13.8">
      <c r="A165" s="89"/>
      <c r="B165" s="89"/>
      <c r="C165" s="89"/>
      <c r="D165" s="89"/>
      <c r="E165" s="89"/>
      <c r="F165" s="110"/>
      <c r="G165" s="89"/>
      <c r="H165" s="110"/>
      <c r="I165" s="89"/>
      <c r="J165" s="110"/>
      <c r="K165" s="89"/>
      <c r="L165" s="89"/>
      <c r="M165" s="110"/>
      <c r="N165" s="89"/>
      <c r="O165" s="110"/>
      <c r="P165" s="89"/>
      <c r="Q165" s="110"/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</row>
    <row r="166" spans="1:30" ht="13.8">
      <c r="A166" s="89"/>
      <c r="B166" s="89"/>
      <c r="C166" s="89"/>
      <c r="D166" s="89"/>
      <c r="E166" s="89"/>
      <c r="F166" s="110"/>
      <c r="G166" s="89"/>
      <c r="H166" s="110"/>
      <c r="I166" s="89"/>
      <c r="J166" s="110"/>
      <c r="K166" s="89"/>
      <c r="L166" s="89"/>
      <c r="M166" s="110"/>
      <c r="N166" s="89"/>
      <c r="O166" s="110"/>
      <c r="P166" s="89"/>
      <c r="Q166" s="110"/>
      <c r="R166" s="89"/>
      <c r="S166" s="89"/>
      <c r="T166" s="89"/>
      <c r="U166" s="89"/>
      <c r="V166" s="89"/>
      <c r="W166" s="89"/>
      <c r="X166" s="89"/>
      <c r="Y166" s="89"/>
      <c r="Z166" s="89"/>
      <c r="AA166" s="89"/>
      <c r="AB166" s="89"/>
      <c r="AC166" s="89"/>
      <c r="AD166" s="89"/>
    </row>
    <row r="167" spans="1:30" ht="13.8">
      <c r="A167" s="89"/>
      <c r="B167" s="89"/>
      <c r="C167" s="89"/>
      <c r="D167" s="89"/>
      <c r="E167" s="89"/>
      <c r="F167" s="110"/>
      <c r="G167" s="89"/>
      <c r="H167" s="110"/>
      <c r="I167" s="89"/>
      <c r="J167" s="110"/>
      <c r="K167" s="89"/>
      <c r="L167" s="89"/>
      <c r="M167" s="110"/>
      <c r="N167" s="89"/>
      <c r="O167" s="110"/>
      <c r="P167" s="89"/>
      <c r="Q167" s="110"/>
      <c r="R167" s="89"/>
      <c r="S167" s="89"/>
      <c r="T167" s="89"/>
      <c r="U167" s="89"/>
      <c r="V167" s="89"/>
      <c r="W167" s="89"/>
      <c r="X167" s="89"/>
      <c r="Y167" s="89"/>
      <c r="Z167" s="89"/>
      <c r="AA167" s="89"/>
      <c r="AB167" s="89"/>
      <c r="AC167" s="89"/>
      <c r="AD167" s="89"/>
    </row>
    <row r="168" spans="1:30" ht="13.8">
      <c r="A168" s="89"/>
      <c r="B168" s="89"/>
      <c r="C168" s="89"/>
      <c r="D168" s="89"/>
      <c r="E168" s="89"/>
      <c r="F168" s="110"/>
      <c r="G168" s="89"/>
      <c r="H168" s="110"/>
      <c r="I168" s="89"/>
      <c r="J168" s="110"/>
      <c r="K168" s="89"/>
      <c r="L168" s="89"/>
      <c r="M168" s="110"/>
      <c r="N168" s="89"/>
      <c r="O168" s="110"/>
      <c r="P168" s="89"/>
      <c r="Q168" s="110"/>
      <c r="R168" s="89"/>
      <c r="S168" s="89"/>
      <c r="T168" s="89"/>
      <c r="U168" s="89"/>
      <c r="V168" s="89"/>
      <c r="W168" s="89"/>
      <c r="X168" s="89"/>
      <c r="Y168" s="89"/>
      <c r="Z168" s="89"/>
      <c r="AA168" s="89"/>
      <c r="AB168" s="89"/>
      <c r="AC168" s="89"/>
      <c r="AD168" s="89"/>
    </row>
    <row r="169" spans="1:30" ht="13.8">
      <c r="A169" s="89"/>
      <c r="B169" s="89"/>
      <c r="C169" s="89"/>
      <c r="D169" s="89"/>
      <c r="E169" s="89"/>
      <c r="F169" s="110"/>
      <c r="G169" s="89"/>
      <c r="H169" s="110"/>
      <c r="I169" s="89"/>
      <c r="J169" s="110"/>
      <c r="K169" s="89"/>
      <c r="L169" s="89"/>
      <c r="M169" s="110"/>
      <c r="N169" s="89"/>
      <c r="O169" s="110"/>
      <c r="P169" s="89"/>
      <c r="Q169" s="110"/>
      <c r="R169" s="89"/>
      <c r="S169" s="89"/>
      <c r="T169" s="89"/>
      <c r="U169" s="89"/>
      <c r="V169" s="89"/>
      <c r="W169" s="89"/>
      <c r="X169" s="89"/>
      <c r="Y169" s="89"/>
      <c r="Z169" s="89"/>
      <c r="AA169" s="89"/>
      <c r="AB169" s="89"/>
      <c r="AC169" s="89"/>
      <c r="AD169" s="89"/>
    </row>
    <row r="170" spans="1:30" ht="13.8">
      <c r="A170" s="89"/>
      <c r="B170" s="89"/>
      <c r="C170" s="89"/>
      <c r="D170" s="89"/>
      <c r="E170" s="89"/>
      <c r="F170" s="110"/>
      <c r="G170" s="89"/>
      <c r="H170" s="110"/>
      <c r="I170" s="89"/>
      <c r="J170" s="110"/>
      <c r="K170" s="89"/>
      <c r="L170" s="89"/>
      <c r="M170" s="110"/>
      <c r="N170" s="89"/>
      <c r="O170" s="110"/>
      <c r="P170" s="89"/>
      <c r="Q170" s="110"/>
      <c r="R170" s="89"/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C170" s="89"/>
      <c r="AD170" s="89"/>
    </row>
    <row r="171" spans="1:30" ht="13.8">
      <c r="A171" s="89"/>
      <c r="B171" s="89"/>
      <c r="C171" s="89"/>
      <c r="D171" s="89"/>
      <c r="E171" s="89"/>
      <c r="F171" s="110"/>
      <c r="G171" s="89"/>
      <c r="H171" s="110"/>
      <c r="I171" s="89"/>
      <c r="J171" s="110"/>
      <c r="K171" s="89"/>
      <c r="L171" s="89"/>
      <c r="M171" s="110"/>
      <c r="N171" s="89"/>
      <c r="O171" s="110"/>
      <c r="P171" s="89"/>
      <c r="Q171" s="110"/>
      <c r="R171" s="89"/>
      <c r="S171" s="89"/>
      <c r="T171" s="89"/>
      <c r="U171" s="89"/>
      <c r="V171" s="89"/>
      <c r="W171" s="89"/>
      <c r="X171" s="89"/>
      <c r="Y171" s="89"/>
      <c r="Z171" s="89"/>
      <c r="AA171" s="89"/>
      <c r="AB171" s="89"/>
      <c r="AC171" s="89"/>
      <c r="AD171" s="89"/>
    </row>
    <row r="172" spans="1:30" ht="13.8">
      <c r="A172" s="89"/>
      <c r="B172" s="89"/>
      <c r="C172" s="89"/>
      <c r="D172" s="89"/>
      <c r="E172" s="89"/>
      <c r="F172" s="110"/>
      <c r="G172" s="89"/>
      <c r="H172" s="110"/>
      <c r="I172" s="89"/>
      <c r="J172" s="110"/>
      <c r="K172" s="89"/>
      <c r="L172" s="89"/>
      <c r="M172" s="110"/>
      <c r="N172" s="89"/>
      <c r="O172" s="110"/>
      <c r="P172" s="89"/>
      <c r="Q172" s="110"/>
      <c r="R172" s="89"/>
      <c r="S172" s="89"/>
      <c r="T172" s="89"/>
      <c r="U172" s="89"/>
      <c r="V172" s="89"/>
      <c r="W172" s="89"/>
      <c r="X172" s="89"/>
      <c r="Y172" s="89"/>
      <c r="Z172" s="89"/>
      <c r="AA172" s="89"/>
      <c r="AB172" s="89"/>
      <c r="AC172" s="89"/>
      <c r="AD172" s="89"/>
    </row>
    <row r="173" spans="1:30" ht="13.8">
      <c r="A173" s="89"/>
      <c r="B173" s="89"/>
      <c r="C173" s="89"/>
      <c r="D173" s="89"/>
      <c r="E173" s="89"/>
      <c r="F173" s="110"/>
      <c r="G173" s="89"/>
      <c r="H173" s="110"/>
      <c r="I173" s="89"/>
      <c r="J173" s="110"/>
      <c r="K173" s="89"/>
      <c r="L173" s="89"/>
      <c r="M173" s="110"/>
      <c r="N173" s="89"/>
      <c r="O173" s="110"/>
      <c r="P173" s="89"/>
      <c r="Q173" s="110"/>
      <c r="R173" s="89"/>
      <c r="S173" s="89"/>
      <c r="T173" s="89"/>
      <c r="U173" s="89"/>
      <c r="V173" s="89"/>
      <c r="W173" s="89"/>
      <c r="X173" s="89"/>
      <c r="Y173" s="89"/>
      <c r="Z173" s="89"/>
      <c r="AA173" s="89"/>
      <c r="AB173" s="89"/>
      <c r="AC173" s="89"/>
      <c r="AD173" s="89"/>
    </row>
    <row r="174" spans="1:30" ht="13.8">
      <c r="A174" s="89"/>
      <c r="B174" s="89"/>
      <c r="C174" s="89"/>
      <c r="D174" s="89"/>
      <c r="E174" s="89"/>
      <c r="F174" s="110"/>
      <c r="G174" s="89"/>
      <c r="H174" s="110"/>
      <c r="I174" s="89"/>
      <c r="J174" s="110"/>
      <c r="K174" s="89"/>
      <c r="L174" s="89"/>
      <c r="M174" s="110"/>
      <c r="N174" s="89"/>
      <c r="O174" s="110"/>
      <c r="P174" s="89"/>
      <c r="Q174" s="110"/>
      <c r="R174" s="89"/>
      <c r="S174" s="89"/>
      <c r="T174" s="89"/>
      <c r="U174" s="89"/>
      <c r="V174" s="89"/>
      <c r="W174" s="89"/>
      <c r="X174" s="89"/>
      <c r="Y174" s="89"/>
      <c r="Z174" s="89"/>
      <c r="AA174" s="89"/>
      <c r="AB174" s="89"/>
      <c r="AC174" s="89"/>
      <c r="AD174" s="89"/>
    </row>
    <row r="175" spans="1:30" ht="13.8">
      <c r="A175" s="89"/>
      <c r="B175" s="89"/>
      <c r="C175" s="89"/>
      <c r="D175" s="89"/>
      <c r="E175" s="89"/>
      <c r="F175" s="110"/>
      <c r="G175" s="89"/>
      <c r="H175" s="110"/>
      <c r="I175" s="89"/>
      <c r="J175" s="110"/>
      <c r="K175" s="89"/>
      <c r="L175" s="89"/>
      <c r="M175" s="110"/>
      <c r="N175" s="89"/>
      <c r="O175" s="110"/>
      <c r="P175" s="89"/>
      <c r="Q175" s="110"/>
      <c r="R175" s="89"/>
      <c r="S175" s="89"/>
      <c r="T175" s="89"/>
      <c r="U175" s="89"/>
      <c r="V175" s="89"/>
      <c r="W175" s="89"/>
      <c r="X175" s="89"/>
      <c r="Y175" s="89"/>
      <c r="Z175" s="89"/>
      <c r="AA175" s="89"/>
      <c r="AB175" s="89"/>
      <c r="AC175" s="89"/>
      <c r="AD175" s="89"/>
    </row>
    <row r="176" spans="1:30" ht="13.8">
      <c r="A176" s="89"/>
      <c r="B176" s="89"/>
      <c r="C176" s="89"/>
      <c r="D176" s="89"/>
      <c r="E176" s="89"/>
      <c r="F176" s="110"/>
      <c r="G176" s="89"/>
      <c r="H176" s="110"/>
      <c r="I176" s="89"/>
      <c r="J176" s="110"/>
      <c r="K176" s="89"/>
      <c r="L176" s="89"/>
      <c r="M176" s="110"/>
      <c r="N176" s="89"/>
      <c r="O176" s="110"/>
      <c r="P176" s="89"/>
      <c r="Q176" s="110"/>
      <c r="R176" s="89"/>
      <c r="S176" s="89"/>
      <c r="T176" s="89"/>
      <c r="U176" s="89"/>
      <c r="V176" s="89"/>
      <c r="W176" s="89"/>
      <c r="X176" s="89"/>
      <c r="Y176" s="89"/>
      <c r="Z176" s="89"/>
      <c r="AA176" s="89"/>
      <c r="AB176" s="89"/>
      <c r="AC176" s="89"/>
      <c r="AD176" s="89"/>
    </row>
    <row r="177" spans="1:30" ht="13.8">
      <c r="A177" s="89"/>
      <c r="B177" s="89"/>
      <c r="C177" s="89"/>
      <c r="D177" s="89"/>
      <c r="E177" s="89"/>
      <c r="F177" s="110"/>
      <c r="G177" s="89"/>
      <c r="H177" s="110"/>
      <c r="I177" s="89"/>
      <c r="J177" s="110"/>
      <c r="K177" s="89"/>
      <c r="L177" s="89"/>
      <c r="M177" s="110"/>
      <c r="N177" s="89"/>
      <c r="O177" s="110"/>
      <c r="P177" s="89"/>
      <c r="Q177" s="110"/>
      <c r="R177" s="89"/>
      <c r="S177" s="89"/>
      <c r="T177" s="89"/>
      <c r="U177" s="89"/>
      <c r="V177" s="89"/>
      <c r="W177" s="89"/>
      <c r="X177" s="89"/>
      <c r="Y177" s="89"/>
      <c r="Z177" s="89"/>
      <c r="AA177" s="89"/>
      <c r="AB177" s="89"/>
      <c r="AC177" s="89"/>
      <c r="AD177" s="89"/>
    </row>
    <row r="178" spans="1:30" ht="13.8">
      <c r="A178" s="89"/>
      <c r="B178" s="89"/>
      <c r="C178" s="89"/>
      <c r="D178" s="89"/>
      <c r="E178" s="89"/>
      <c r="F178" s="110"/>
      <c r="G178" s="89"/>
      <c r="H178" s="110"/>
      <c r="I178" s="89"/>
      <c r="J178" s="110"/>
      <c r="K178" s="89"/>
      <c r="L178" s="89"/>
      <c r="M178" s="110"/>
      <c r="N178" s="89"/>
      <c r="O178" s="110"/>
      <c r="P178" s="89"/>
      <c r="Q178" s="110"/>
      <c r="R178" s="89"/>
      <c r="S178" s="89"/>
      <c r="T178" s="89"/>
      <c r="U178" s="89"/>
      <c r="V178" s="89"/>
      <c r="W178" s="89"/>
      <c r="X178" s="89"/>
      <c r="Y178" s="89"/>
      <c r="Z178" s="89"/>
      <c r="AA178" s="89"/>
      <c r="AB178" s="89"/>
      <c r="AC178" s="89"/>
      <c r="AD178" s="89"/>
    </row>
    <row r="179" spans="1:30" ht="13.8">
      <c r="A179" s="89"/>
      <c r="B179" s="89"/>
      <c r="C179" s="89"/>
      <c r="D179" s="89"/>
      <c r="E179" s="89"/>
      <c r="F179" s="110"/>
      <c r="G179" s="89"/>
      <c r="H179" s="110"/>
      <c r="I179" s="89"/>
      <c r="J179" s="110"/>
      <c r="K179" s="89"/>
      <c r="L179" s="89"/>
      <c r="M179" s="110"/>
      <c r="N179" s="89"/>
      <c r="O179" s="110"/>
      <c r="P179" s="89"/>
      <c r="Q179" s="110"/>
      <c r="R179" s="89"/>
      <c r="S179" s="89"/>
      <c r="T179" s="89"/>
      <c r="U179" s="89"/>
      <c r="V179" s="89"/>
      <c r="W179" s="89"/>
      <c r="X179" s="89"/>
      <c r="Y179" s="89"/>
      <c r="Z179" s="89"/>
      <c r="AA179" s="89"/>
      <c r="AB179" s="89"/>
      <c r="AC179" s="89"/>
      <c r="AD179" s="89"/>
    </row>
    <row r="180" spans="1:30" ht="13.8">
      <c r="A180" s="89"/>
      <c r="B180" s="89"/>
      <c r="C180" s="89"/>
      <c r="D180" s="89"/>
      <c r="E180" s="89"/>
      <c r="F180" s="110"/>
      <c r="G180" s="89"/>
      <c r="H180" s="110"/>
      <c r="I180" s="89"/>
      <c r="J180" s="110"/>
      <c r="K180" s="89"/>
      <c r="L180" s="89"/>
      <c r="M180" s="110"/>
      <c r="N180" s="89"/>
      <c r="O180" s="110"/>
      <c r="P180" s="89"/>
      <c r="Q180" s="110"/>
      <c r="R180" s="89"/>
      <c r="S180" s="89"/>
      <c r="T180" s="89"/>
      <c r="U180" s="89"/>
      <c r="V180" s="89"/>
      <c r="W180" s="89"/>
      <c r="X180" s="89"/>
      <c r="Y180" s="89"/>
      <c r="Z180" s="89"/>
      <c r="AA180" s="89"/>
      <c r="AB180" s="89"/>
      <c r="AC180" s="89"/>
      <c r="AD180" s="89"/>
    </row>
    <row r="181" spans="1:30" ht="13.8">
      <c r="A181" s="89"/>
      <c r="B181" s="89"/>
      <c r="C181" s="89"/>
      <c r="D181" s="89"/>
      <c r="E181" s="89"/>
      <c r="F181" s="110"/>
      <c r="G181" s="89"/>
      <c r="H181" s="110"/>
      <c r="I181" s="89"/>
      <c r="J181" s="110"/>
      <c r="K181" s="89"/>
      <c r="L181" s="89"/>
      <c r="M181" s="110"/>
      <c r="N181" s="89"/>
      <c r="O181" s="110"/>
      <c r="P181" s="89"/>
      <c r="Q181" s="110"/>
      <c r="R181" s="89"/>
      <c r="S181" s="89"/>
      <c r="T181" s="89"/>
      <c r="U181" s="89"/>
      <c r="V181" s="89"/>
      <c r="W181" s="89"/>
      <c r="X181" s="89"/>
      <c r="Y181" s="89"/>
      <c r="Z181" s="89"/>
      <c r="AA181" s="89"/>
      <c r="AB181" s="89"/>
      <c r="AC181" s="89"/>
      <c r="AD181" s="89"/>
    </row>
    <row r="182" spans="1:30" ht="13.8">
      <c r="A182" s="89"/>
      <c r="B182" s="89"/>
      <c r="C182" s="89"/>
      <c r="D182" s="89"/>
      <c r="E182" s="89"/>
      <c r="F182" s="110"/>
      <c r="G182" s="89"/>
      <c r="H182" s="110"/>
      <c r="I182" s="89"/>
      <c r="J182" s="110"/>
      <c r="K182" s="89"/>
      <c r="L182" s="89"/>
      <c r="M182" s="110"/>
      <c r="N182" s="89"/>
      <c r="O182" s="110"/>
      <c r="P182" s="89"/>
      <c r="Q182" s="110"/>
      <c r="R182" s="89"/>
      <c r="S182" s="89"/>
      <c r="T182" s="89"/>
      <c r="U182" s="89"/>
      <c r="V182" s="89"/>
      <c r="W182" s="89"/>
      <c r="X182" s="89"/>
      <c r="Y182" s="89"/>
      <c r="Z182" s="89"/>
      <c r="AA182" s="89"/>
      <c r="AB182" s="89"/>
      <c r="AC182" s="89"/>
      <c r="AD182" s="89"/>
    </row>
    <row r="183" spans="1:30" ht="13.8">
      <c r="A183" s="89"/>
      <c r="B183" s="89"/>
      <c r="C183" s="89"/>
      <c r="D183" s="89"/>
      <c r="E183" s="89"/>
      <c r="F183" s="110"/>
      <c r="G183" s="89"/>
      <c r="H183" s="110"/>
      <c r="I183" s="89"/>
      <c r="J183" s="110"/>
      <c r="K183" s="89"/>
      <c r="L183" s="89"/>
      <c r="M183" s="110"/>
      <c r="N183" s="89"/>
      <c r="O183" s="110"/>
      <c r="P183" s="89"/>
      <c r="Q183" s="110"/>
      <c r="R183" s="89"/>
      <c r="S183" s="89"/>
      <c r="T183" s="89"/>
      <c r="U183" s="89"/>
      <c r="V183" s="89"/>
      <c r="W183" s="89"/>
      <c r="X183" s="89"/>
      <c r="Y183" s="89"/>
      <c r="Z183" s="89"/>
      <c r="AA183" s="89"/>
      <c r="AB183" s="89"/>
      <c r="AC183" s="89"/>
      <c r="AD183" s="89"/>
    </row>
    <row r="184" spans="1:30" ht="13.8">
      <c r="A184" s="89"/>
      <c r="B184" s="89"/>
      <c r="C184" s="89"/>
      <c r="D184" s="89"/>
      <c r="E184" s="89"/>
      <c r="F184" s="110"/>
      <c r="G184" s="89"/>
      <c r="H184" s="110"/>
      <c r="I184" s="89"/>
      <c r="J184" s="110"/>
      <c r="K184" s="89"/>
      <c r="L184" s="89"/>
      <c r="M184" s="110"/>
      <c r="N184" s="89"/>
      <c r="O184" s="110"/>
      <c r="P184" s="89"/>
      <c r="Q184" s="110"/>
      <c r="R184" s="89"/>
      <c r="S184" s="89"/>
      <c r="T184" s="89"/>
      <c r="U184" s="89"/>
      <c r="V184" s="89"/>
      <c r="W184" s="89"/>
      <c r="X184" s="89"/>
      <c r="Y184" s="89"/>
      <c r="Z184" s="89"/>
      <c r="AA184" s="89"/>
      <c r="AB184" s="89"/>
      <c r="AC184" s="89"/>
      <c r="AD184" s="89"/>
    </row>
    <row r="185" spans="1:30" ht="13.8">
      <c r="A185" s="89"/>
      <c r="B185" s="89"/>
      <c r="C185" s="89"/>
      <c r="D185" s="89"/>
      <c r="E185" s="89"/>
      <c r="F185" s="110"/>
      <c r="G185" s="89"/>
      <c r="H185" s="110"/>
      <c r="I185" s="89"/>
      <c r="J185" s="110"/>
      <c r="K185" s="89"/>
      <c r="L185" s="89"/>
      <c r="M185" s="110"/>
      <c r="N185" s="89"/>
      <c r="O185" s="110"/>
      <c r="P185" s="89"/>
      <c r="Q185" s="110"/>
      <c r="R185" s="89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C185" s="89"/>
      <c r="AD185" s="89"/>
    </row>
    <row r="186" spans="1:30" ht="13.8">
      <c r="A186" s="89"/>
      <c r="B186" s="89"/>
      <c r="C186" s="89"/>
      <c r="D186" s="89"/>
      <c r="E186" s="89"/>
      <c r="F186" s="110"/>
      <c r="G186" s="89"/>
      <c r="H186" s="110"/>
      <c r="I186" s="89"/>
      <c r="J186" s="110"/>
      <c r="K186" s="89"/>
      <c r="L186" s="89"/>
      <c r="M186" s="110"/>
      <c r="N186" s="89"/>
      <c r="O186" s="110"/>
      <c r="P186" s="89"/>
      <c r="Q186" s="110"/>
      <c r="R186" s="89"/>
      <c r="S186" s="89"/>
      <c r="T186" s="89"/>
      <c r="U186" s="89"/>
      <c r="V186" s="89"/>
      <c r="W186" s="89"/>
      <c r="X186" s="89"/>
      <c r="Y186" s="89"/>
      <c r="Z186" s="89"/>
      <c r="AA186" s="89"/>
      <c r="AB186" s="89"/>
      <c r="AC186" s="89"/>
      <c r="AD186" s="89"/>
    </row>
    <row r="187" spans="1:30" ht="13.8">
      <c r="A187" s="89"/>
      <c r="B187" s="89"/>
      <c r="C187" s="89"/>
      <c r="D187" s="89"/>
      <c r="E187" s="89"/>
      <c r="F187" s="110"/>
      <c r="G187" s="89"/>
      <c r="H187" s="110"/>
      <c r="I187" s="89"/>
      <c r="J187" s="110"/>
      <c r="K187" s="89"/>
      <c r="L187" s="89"/>
      <c r="M187" s="110"/>
      <c r="N187" s="89"/>
      <c r="O187" s="110"/>
      <c r="P187" s="89"/>
      <c r="Q187" s="110"/>
      <c r="R187" s="89"/>
      <c r="S187" s="89"/>
      <c r="T187" s="89"/>
      <c r="U187" s="89"/>
      <c r="V187" s="89"/>
      <c r="W187" s="89"/>
      <c r="X187" s="89"/>
      <c r="Y187" s="89"/>
      <c r="Z187" s="89"/>
      <c r="AA187" s="89"/>
      <c r="AB187" s="89"/>
      <c r="AC187" s="89"/>
      <c r="AD187" s="89"/>
    </row>
    <row r="188" spans="1:30" ht="13.8">
      <c r="A188" s="89"/>
      <c r="B188" s="89"/>
      <c r="C188" s="89"/>
      <c r="D188" s="89"/>
      <c r="E188" s="89"/>
      <c r="F188" s="110"/>
      <c r="G188" s="89"/>
      <c r="H188" s="110"/>
      <c r="I188" s="89"/>
      <c r="J188" s="110"/>
      <c r="K188" s="89"/>
      <c r="L188" s="89"/>
      <c r="M188" s="110"/>
      <c r="N188" s="89"/>
      <c r="O188" s="110"/>
      <c r="P188" s="89"/>
      <c r="Q188" s="110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89"/>
    </row>
    <row r="189" spans="1:30" ht="13.8">
      <c r="A189" s="89"/>
      <c r="B189" s="89"/>
      <c r="C189" s="89"/>
      <c r="D189" s="89"/>
      <c r="E189" s="89"/>
      <c r="F189" s="110"/>
      <c r="G189" s="89"/>
      <c r="H189" s="110"/>
      <c r="I189" s="89"/>
      <c r="J189" s="110"/>
      <c r="K189" s="89"/>
      <c r="L189" s="89"/>
      <c r="M189" s="110"/>
      <c r="N189" s="89"/>
      <c r="O189" s="110"/>
      <c r="P189" s="89"/>
      <c r="Q189" s="110"/>
      <c r="R189" s="89"/>
      <c r="S189" s="89"/>
      <c r="T189" s="89"/>
      <c r="U189" s="89"/>
      <c r="V189" s="89"/>
      <c r="W189" s="89"/>
      <c r="X189" s="89"/>
      <c r="Y189" s="89"/>
      <c r="Z189" s="89"/>
      <c r="AA189" s="89"/>
      <c r="AB189" s="89"/>
      <c r="AC189" s="89"/>
      <c r="AD189" s="89"/>
    </row>
    <row r="190" spans="1:30" ht="13.8">
      <c r="A190" s="89"/>
      <c r="B190" s="89"/>
      <c r="C190" s="89"/>
      <c r="D190" s="89"/>
      <c r="E190" s="89"/>
      <c r="F190" s="110"/>
      <c r="G190" s="89"/>
      <c r="H190" s="110"/>
      <c r="I190" s="89"/>
      <c r="J190" s="110"/>
      <c r="K190" s="89"/>
      <c r="L190" s="89"/>
      <c r="M190" s="110"/>
      <c r="N190" s="89"/>
      <c r="O190" s="110"/>
      <c r="P190" s="89"/>
      <c r="Q190" s="110"/>
      <c r="R190" s="89"/>
      <c r="S190" s="89"/>
      <c r="T190" s="89"/>
      <c r="U190" s="89"/>
      <c r="V190" s="89"/>
      <c r="W190" s="89"/>
      <c r="X190" s="89"/>
      <c r="Y190" s="89"/>
      <c r="Z190" s="89"/>
      <c r="AA190" s="89"/>
      <c r="AB190" s="89"/>
      <c r="AC190" s="89"/>
      <c r="AD190" s="89"/>
    </row>
    <row r="191" spans="1:30" ht="13.8">
      <c r="A191" s="89"/>
      <c r="B191" s="89"/>
      <c r="C191" s="89"/>
      <c r="D191" s="89"/>
      <c r="E191" s="89"/>
      <c r="F191" s="110"/>
      <c r="G191" s="89"/>
      <c r="H191" s="110"/>
      <c r="I191" s="89"/>
      <c r="J191" s="110"/>
      <c r="K191" s="89"/>
      <c r="L191" s="89"/>
      <c r="M191" s="110"/>
      <c r="N191" s="89"/>
      <c r="O191" s="110"/>
      <c r="P191" s="89"/>
      <c r="Q191" s="110"/>
      <c r="R191" s="89"/>
      <c r="S191" s="89"/>
      <c r="T191" s="89"/>
      <c r="U191" s="89"/>
      <c r="V191" s="89"/>
      <c r="W191" s="89"/>
      <c r="X191" s="89"/>
      <c r="Y191" s="89"/>
      <c r="Z191" s="89"/>
      <c r="AA191" s="89"/>
      <c r="AB191" s="89"/>
      <c r="AC191" s="89"/>
      <c r="AD191" s="89"/>
    </row>
    <row r="192" spans="1:30" ht="13.8">
      <c r="A192" s="89"/>
      <c r="B192" s="89"/>
      <c r="C192" s="89"/>
      <c r="D192" s="89"/>
      <c r="E192" s="89"/>
      <c r="F192" s="110"/>
      <c r="G192" s="89"/>
      <c r="H192" s="110"/>
      <c r="I192" s="89"/>
      <c r="J192" s="110"/>
      <c r="K192" s="89"/>
      <c r="L192" s="89"/>
      <c r="M192" s="110"/>
      <c r="N192" s="89"/>
      <c r="O192" s="110"/>
      <c r="P192" s="89"/>
      <c r="Q192" s="110"/>
      <c r="R192" s="89"/>
      <c r="S192" s="89"/>
      <c r="T192" s="89"/>
      <c r="U192" s="89"/>
      <c r="V192" s="89"/>
      <c r="W192" s="89"/>
      <c r="X192" s="89"/>
      <c r="Y192" s="89"/>
      <c r="Z192" s="89"/>
      <c r="AA192" s="89"/>
      <c r="AB192" s="89"/>
      <c r="AC192" s="89"/>
      <c r="AD192" s="89"/>
    </row>
    <row r="193" spans="1:30" ht="13.8">
      <c r="A193" s="89"/>
      <c r="B193" s="89"/>
      <c r="C193" s="89"/>
      <c r="D193" s="89"/>
      <c r="E193" s="89"/>
      <c r="F193" s="110"/>
      <c r="G193" s="89"/>
      <c r="H193" s="110"/>
      <c r="I193" s="89"/>
      <c r="J193" s="110"/>
      <c r="K193" s="89"/>
      <c r="L193" s="89"/>
      <c r="M193" s="110"/>
      <c r="N193" s="89"/>
      <c r="O193" s="110"/>
      <c r="P193" s="89"/>
      <c r="Q193" s="110"/>
      <c r="R193" s="89"/>
      <c r="S193" s="89"/>
      <c r="T193" s="89"/>
      <c r="U193" s="89"/>
      <c r="V193" s="89"/>
      <c r="W193" s="89"/>
      <c r="X193" s="89"/>
      <c r="Y193" s="89"/>
      <c r="Z193" s="89"/>
      <c r="AA193" s="89"/>
      <c r="AB193" s="89"/>
      <c r="AC193" s="89"/>
      <c r="AD193" s="89"/>
    </row>
    <row r="194" spans="1:30" ht="13.8">
      <c r="A194" s="89"/>
      <c r="B194" s="89"/>
      <c r="C194" s="89"/>
      <c r="D194" s="89"/>
      <c r="E194" s="89"/>
      <c r="F194" s="110"/>
      <c r="G194" s="89"/>
      <c r="H194" s="110"/>
      <c r="I194" s="89"/>
      <c r="J194" s="110"/>
      <c r="K194" s="89"/>
      <c r="L194" s="89"/>
      <c r="M194" s="110"/>
      <c r="N194" s="89"/>
      <c r="O194" s="110"/>
      <c r="P194" s="89"/>
      <c r="Q194" s="110"/>
      <c r="R194" s="89"/>
      <c r="S194" s="89"/>
      <c r="T194" s="89"/>
      <c r="U194" s="89"/>
      <c r="V194" s="89"/>
      <c r="W194" s="89"/>
      <c r="X194" s="89"/>
      <c r="Y194" s="89"/>
      <c r="Z194" s="89"/>
      <c r="AA194" s="89"/>
      <c r="AB194" s="89"/>
      <c r="AC194" s="89"/>
      <c r="AD194" s="89"/>
    </row>
    <row r="195" spans="1:30" ht="13.8">
      <c r="A195" s="89"/>
      <c r="B195" s="89"/>
      <c r="C195" s="89"/>
      <c r="D195" s="89"/>
      <c r="E195" s="89"/>
      <c r="F195" s="110"/>
      <c r="G195" s="89"/>
      <c r="H195" s="110"/>
      <c r="I195" s="89"/>
      <c r="J195" s="110"/>
      <c r="K195" s="89"/>
      <c r="L195" s="89"/>
      <c r="M195" s="110"/>
      <c r="N195" s="89"/>
      <c r="O195" s="110"/>
      <c r="P195" s="89"/>
      <c r="Q195" s="110"/>
      <c r="R195" s="89"/>
      <c r="S195" s="89"/>
      <c r="T195" s="89"/>
      <c r="U195" s="89"/>
      <c r="V195" s="89"/>
      <c r="W195" s="89"/>
      <c r="X195" s="89"/>
      <c r="Y195" s="89"/>
      <c r="Z195" s="89"/>
      <c r="AA195" s="89"/>
      <c r="AB195" s="89"/>
      <c r="AC195" s="89"/>
      <c r="AD195" s="89"/>
    </row>
    <row r="196" spans="1:30" ht="13.8">
      <c r="A196" s="89"/>
      <c r="B196" s="89"/>
      <c r="C196" s="89"/>
      <c r="D196" s="89"/>
      <c r="E196" s="89"/>
      <c r="F196" s="110"/>
      <c r="G196" s="89"/>
      <c r="H196" s="110"/>
      <c r="I196" s="89"/>
      <c r="J196" s="110"/>
      <c r="K196" s="89"/>
      <c r="L196" s="89"/>
      <c r="M196" s="110"/>
      <c r="N196" s="89"/>
      <c r="O196" s="110"/>
      <c r="P196" s="89"/>
      <c r="Q196" s="110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</row>
    <row r="197" spans="1:30" ht="13.8">
      <c r="A197" s="89"/>
      <c r="B197" s="89"/>
      <c r="C197" s="89"/>
      <c r="D197" s="89"/>
      <c r="E197" s="89"/>
      <c r="F197" s="110"/>
      <c r="G197" s="89"/>
      <c r="H197" s="110"/>
      <c r="I197" s="89"/>
      <c r="J197" s="110"/>
      <c r="K197" s="89"/>
      <c r="L197" s="89"/>
      <c r="M197" s="110"/>
      <c r="N197" s="89"/>
      <c r="O197" s="110"/>
      <c r="P197" s="89"/>
      <c r="Q197" s="110"/>
      <c r="R197" s="89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C197" s="89"/>
      <c r="AD197" s="89"/>
    </row>
    <row r="198" spans="1:30" ht="13.8">
      <c r="A198" s="89"/>
      <c r="B198" s="89"/>
      <c r="C198" s="89"/>
      <c r="D198" s="89"/>
      <c r="E198" s="89"/>
      <c r="F198" s="110"/>
      <c r="G198" s="89"/>
      <c r="H198" s="110"/>
      <c r="I198" s="89"/>
      <c r="J198" s="110"/>
      <c r="K198" s="89"/>
      <c r="L198" s="89"/>
      <c r="M198" s="110"/>
      <c r="N198" s="89"/>
      <c r="O198" s="110"/>
      <c r="P198" s="89"/>
      <c r="Q198" s="110"/>
      <c r="R198" s="89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C198" s="89"/>
      <c r="AD198" s="89"/>
    </row>
    <row r="199" spans="1:30" ht="13.8">
      <c r="A199" s="89"/>
      <c r="B199" s="89"/>
      <c r="C199" s="89"/>
      <c r="D199" s="89"/>
      <c r="E199" s="89"/>
      <c r="F199" s="110"/>
      <c r="G199" s="89"/>
      <c r="H199" s="110"/>
      <c r="I199" s="89"/>
      <c r="J199" s="110"/>
      <c r="K199" s="89"/>
      <c r="L199" s="89"/>
      <c r="M199" s="110"/>
      <c r="N199" s="89"/>
      <c r="O199" s="110"/>
      <c r="P199" s="89"/>
      <c r="Q199" s="110"/>
      <c r="R199" s="89"/>
      <c r="S199" s="89"/>
      <c r="T199" s="89"/>
      <c r="U199" s="89"/>
      <c r="V199" s="89"/>
      <c r="W199" s="89"/>
      <c r="X199" s="89"/>
      <c r="Y199" s="89"/>
      <c r="Z199" s="89"/>
      <c r="AA199" s="89"/>
      <c r="AB199" s="89"/>
      <c r="AC199" s="89"/>
      <c r="AD199" s="89"/>
    </row>
    <row r="200" spans="1:30" ht="13.8">
      <c r="A200" s="89"/>
      <c r="B200" s="89"/>
      <c r="C200" s="89"/>
      <c r="D200" s="89"/>
      <c r="E200" s="89"/>
      <c r="F200" s="110"/>
      <c r="G200" s="89"/>
      <c r="H200" s="110"/>
      <c r="I200" s="89"/>
      <c r="J200" s="110"/>
      <c r="K200" s="89"/>
      <c r="L200" s="89"/>
      <c r="M200" s="110"/>
      <c r="N200" s="89"/>
      <c r="O200" s="110"/>
      <c r="P200" s="89"/>
      <c r="Q200" s="110"/>
      <c r="R200" s="89"/>
      <c r="S200" s="89"/>
      <c r="T200" s="89"/>
      <c r="U200" s="89"/>
      <c r="V200" s="89"/>
      <c r="W200" s="89"/>
      <c r="X200" s="89"/>
      <c r="Y200" s="89"/>
      <c r="Z200" s="89"/>
      <c r="AA200" s="89"/>
      <c r="AB200" s="89"/>
      <c r="AC200" s="89"/>
      <c r="AD200" s="89"/>
    </row>
    <row r="201" spans="1:30" ht="13.8">
      <c r="A201" s="89"/>
      <c r="B201" s="89"/>
      <c r="C201" s="89"/>
      <c r="D201" s="89"/>
      <c r="E201" s="89"/>
      <c r="F201" s="110"/>
      <c r="G201" s="89"/>
      <c r="H201" s="110"/>
      <c r="I201" s="89"/>
      <c r="J201" s="110"/>
      <c r="K201" s="89"/>
      <c r="L201" s="89"/>
      <c r="M201" s="110"/>
      <c r="N201" s="89"/>
      <c r="O201" s="110"/>
      <c r="P201" s="89"/>
      <c r="Q201" s="110"/>
      <c r="R201" s="89"/>
      <c r="S201" s="89"/>
      <c r="T201" s="89"/>
      <c r="U201" s="89"/>
      <c r="V201" s="89"/>
      <c r="W201" s="89"/>
      <c r="X201" s="89"/>
      <c r="Y201" s="89"/>
      <c r="Z201" s="89"/>
      <c r="AA201" s="89"/>
      <c r="AB201" s="89"/>
      <c r="AC201" s="89"/>
      <c r="AD201" s="89"/>
    </row>
    <row r="202" spans="1:30" ht="13.8">
      <c r="A202" s="89"/>
      <c r="B202" s="89"/>
      <c r="C202" s="89"/>
      <c r="D202" s="89"/>
      <c r="E202" s="89"/>
      <c r="F202" s="110"/>
      <c r="G202" s="89"/>
      <c r="H202" s="110"/>
      <c r="I202" s="89"/>
      <c r="J202" s="110"/>
      <c r="K202" s="89"/>
      <c r="L202" s="89"/>
      <c r="M202" s="110"/>
      <c r="N202" s="89"/>
      <c r="O202" s="110"/>
      <c r="P202" s="89"/>
      <c r="Q202" s="110"/>
      <c r="R202" s="89"/>
      <c r="S202" s="89"/>
      <c r="T202" s="89"/>
      <c r="U202" s="89"/>
      <c r="V202" s="89"/>
      <c r="W202" s="89"/>
      <c r="X202" s="89"/>
      <c r="Y202" s="89"/>
      <c r="Z202" s="89"/>
      <c r="AA202" s="89"/>
      <c r="AB202" s="89"/>
      <c r="AC202" s="89"/>
      <c r="AD202" s="89"/>
    </row>
    <row r="203" spans="1:30" ht="13.8">
      <c r="A203" s="89"/>
      <c r="B203" s="89"/>
      <c r="C203" s="89"/>
      <c r="D203" s="89"/>
      <c r="E203" s="89"/>
      <c r="F203" s="110"/>
      <c r="G203" s="89"/>
      <c r="H203" s="110"/>
      <c r="I203" s="89"/>
      <c r="J203" s="110"/>
      <c r="K203" s="89"/>
      <c r="L203" s="89"/>
      <c r="M203" s="110"/>
      <c r="N203" s="89"/>
      <c r="O203" s="110"/>
      <c r="P203" s="89"/>
      <c r="Q203" s="110"/>
      <c r="R203" s="89"/>
      <c r="S203" s="89"/>
      <c r="T203" s="89"/>
      <c r="U203" s="89"/>
      <c r="V203" s="89"/>
      <c r="W203" s="89"/>
      <c r="X203" s="89"/>
      <c r="Y203" s="89"/>
      <c r="Z203" s="89"/>
      <c r="AA203" s="89"/>
      <c r="AB203" s="89"/>
      <c r="AC203" s="89"/>
      <c r="AD203" s="89"/>
    </row>
    <row r="204" spans="1:30" ht="13.8">
      <c r="A204" s="89"/>
      <c r="B204" s="89"/>
      <c r="C204" s="89"/>
      <c r="D204" s="89"/>
      <c r="E204" s="89"/>
      <c r="F204" s="110"/>
      <c r="G204" s="89"/>
      <c r="H204" s="110"/>
      <c r="I204" s="89"/>
      <c r="J204" s="110"/>
      <c r="K204" s="89"/>
      <c r="L204" s="89"/>
      <c r="M204" s="110"/>
      <c r="N204" s="89"/>
      <c r="O204" s="110"/>
      <c r="P204" s="89"/>
      <c r="Q204" s="110"/>
      <c r="R204" s="89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C204" s="89"/>
      <c r="AD204" s="89"/>
    </row>
    <row r="205" spans="1:30" ht="13.8">
      <c r="A205" s="89"/>
      <c r="B205" s="89"/>
      <c r="C205" s="89"/>
      <c r="D205" s="89"/>
      <c r="E205" s="89"/>
      <c r="F205" s="110"/>
      <c r="G205" s="89"/>
      <c r="H205" s="110"/>
      <c r="I205" s="89"/>
      <c r="J205" s="110"/>
      <c r="K205" s="89"/>
      <c r="L205" s="89"/>
      <c r="M205" s="110"/>
      <c r="N205" s="89"/>
      <c r="O205" s="110"/>
      <c r="P205" s="89"/>
      <c r="Q205" s="110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  <c r="AD205" s="89"/>
    </row>
    <row r="206" spans="1:30" ht="13.8">
      <c r="A206" s="89"/>
      <c r="B206" s="89"/>
      <c r="C206" s="89"/>
      <c r="D206" s="89"/>
      <c r="E206" s="89"/>
      <c r="F206" s="110"/>
      <c r="G206" s="89"/>
      <c r="H206" s="110"/>
      <c r="I206" s="89"/>
      <c r="J206" s="110"/>
      <c r="K206" s="89"/>
      <c r="L206" s="89"/>
      <c r="M206" s="110"/>
      <c r="N206" s="89"/>
      <c r="O206" s="110"/>
      <c r="P206" s="89"/>
      <c r="Q206" s="110"/>
      <c r="R206" s="89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C206" s="89"/>
      <c r="AD206" s="89"/>
    </row>
    <row r="207" spans="1:30" ht="13.8">
      <c r="A207" s="89"/>
      <c r="B207" s="89"/>
      <c r="C207" s="89"/>
      <c r="D207" s="89"/>
      <c r="E207" s="89"/>
      <c r="F207" s="110"/>
      <c r="G207" s="89"/>
      <c r="H207" s="110"/>
      <c r="I207" s="89"/>
      <c r="J207" s="110"/>
      <c r="K207" s="89"/>
      <c r="L207" s="89"/>
      <c r="M207" s="110"/>
      <c r="N207" s="89"/>
      <c r="O207" s="110"/>
      <c r="P207" s="89"/>
      <c r="Q207" s="110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</row>
    <row r="208" spans="1:30" ht="13.8">
      <c r="A208" s="89"/>
      <c r="B208" s="89"/>
      <c r="C208" s="89"/>
      <c r="D208" s="89"/>
      <c r="E208" s="89"/>
      <c r="F208" s="110"/>
      <c r="G208" s="89"/>
      <c r="H208" s="110"/>
      <c r="I208" s="89"/>
      <c r="J208" s="110"/>
      <c r="K208" s="89"/>
      <c r="L208" s="89"/>
      <c r="M208" s="110"/>
      <c r="N208" s="89"/>
      <c r="O208" s="110"/>
      <c r="P208" s="89"/>
      <c r="Q208" s="110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</row>
    <row r="209" spans="1:30" ht="13.8">
      <c r="A209" s="89"/>
      <c r="B209" s="89"/>
      <c r="C209" s="89"/>
      <c r="D209" s="89"/>
      <c r="E209" s="89"/>
      <c r="F209" s="110"/>
      <c r="G209" s="89"/>
      <c r="H209" s="110"/>
      <c r="I209" s="89"/>
      <c r="J209" s="110"/>
      <c r="K209" s="89"/>
      <c r="L209" s="89"/>
      <c r="M209" s="110"/>
      <c r="N209" s="89"/>
      <c r="O209" s="110"/>
      <c r="P209" s="89"/>
      <c r="Q209" s="110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</row>
    <row r="210" spans="1:30" ht="13.8">
      <c r="A210" s="89"/>
      <c r="B210" s="89"/>
      <c r="C210" s="89"/>
      <c r="D210" s="89"/>
      <c r="E210" s="89"/>
      <c r="F210" s="110"/>
      <c r="G210" s="89"/>
      <c r="H210" s="110"/>
      <c r="I210" s="89"/>
      <c r="J210" s="110"/>
      <c r="K210" s="89"/>
      <c r="L210" s="89"/>
      <c r="M210" s="110"/>
      <c r="N210" s="89"/>
      <c r="O210" s="110"/>
      <c r="P210" s="89"/>
      <c r="Q210" s="110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</row>
    <row r="211" spans="1:30" ht="13.8">
      <c r="A211" s="89"/>
      <c r="B211" s="89"/>
      <c r="C211" s="89"/>
      <c r="D211" s="89"/>
      <c r="E211" s="89"/>
      <c r="F211" s="110"/>
      <c r="G211" s="89"/>
      <c r="H211" s="110"/>
      <c r="I211" s="89"/>
      <c r="J211" s="110"/>
      <c r="K211" s="89"/>
      <c r="L211" s="89"/>
      <c r="M211" s="110"/>
      <c r="N211" s="89"/>
      <c r="O211" s="110"/>
      <c r="P211" s="89"/>
      <c r="Q211" s="110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</row>
    <row r="212" spans="1:30" ht="13.8">
      <c r="A212" s="89"/>
      <c r="B212" s="89"/>
      <c r="C212" s="89"/>
      <c r="D212" s="89"/>
      <c r="E212" s="89"/>
      <c r="F212" s="110"/>
      <c r="G212" s="89"/>
      <c r="H212" s="110"/>
      <c r="I212" s="89"/>
      <c r="J212" s="110"/>
      <c r="K212" s="89"/>
      <c r="L212" s="89"/>
      <c r="M212" s="110"/>
      <c r="N212" s="89"/>
      <c r="O212" s="110"/>
      <c r="P212" s="89"/>
      <c r="Q212" s="110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</row>
    <row r="213" spans="1:30" ht="13.8">
      <c r="A213" s="89"/>
      <c r="B213" s="89"/>
      <c r="C213" s="89"/>
      <c r="D213" s="89"/>
      <c r="E213" s="89"/>
      <c r="F213" s="110"/>
      <c r="G213" s="89"/>
      <c r="H213" s="110"/>
      <c r="I213" s="89"/>
      <c r="J213" s="110"/>
      <c r="K213" s="89"/>
      <c r="L213" s="89"/>
      <c r="M213" s="110"/>
      <c r="N213" s="89"/>
      <c r="O213" s="110"/>
      <c r="P213" s="89"/>
      <c r="Q213" s="110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</row>
    <row r="214" spans="1:30" ht="13.8">
      <c r="A214" s="89"/>
      <c r="B214" s="89"/>
      <c r="C214" s="89"/>
      <c r="D214" s="89"/>
      <c r="E214" s="89"/>
      <c r="F214" s="110"/>
      <c r="G214" s="89"/>
      <c r="H214" s="110"/>
      <c r="I214" s="89"/>
      <c r="J214" s="110"/>
      <c r="K214" s="89"/>
      <c r="L214" s="89"/>
      <c r="M214" s="110"/>
      <c r="N214" s="89"/>
      <c r="O214" s="110"/>
      <c r="P214" s="89"/>
      <c r="Q214" s="110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</row>
    <row r="215" spans="1:30" ht="13.8">
      <c r="A215" s="89"/>
      <c r="B215" s="89"/>
      <c r="C215" s="89"/>
      <c r="D215" s="89"/>
      <c r="E215" s="89"/>
      <c r="F215" s="110"/>
      <c r="G215" s="89"/>
      <c r="H215" s="110"/>
      <c r="I215" s="89"/>
      <c r="J215" s="110"/>
      <c r="K215" s="89"/>
      <c r="L215" s="89"/>
      <c r="M215" s="110"/>
      <c r="N215" s="89"/>
      <c r="O215" s="110"/>
      <c r="P215" s="89"/>
      <c r="Q215" s="110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</row>
    <row r="216" spans="1:30" ht="13.8">
      <c r="A216" s="89"/>
      <c r="B216" s="89"/>
      <c r="C216" s="89"/>
      <c r="D216" s="89"/>
      <c r="E216" s="89"/>
      <c r="F216" s="110"/>
      <c r="G216" s="89"/>
      <c r="H216" s="110"/>
      <c r="I216" s="89"/>
      <c r="J216" s="110"/>
      <c r="K216" s="89"/>
      <c r="L216" s="89"/>
      <c r="M216" s="110"/>
      <c r="N216" s="89"/>
      <c r="O216" s="110"/>
      <c r="P216" s="89"/>
      <c r="Q216" s="110"/>
      <c r="R216" s="89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C216" s="89"/>
      <c r="AD216" s="89"/>
    </row>
    <row r="217" spans="1:30" ht="13.8">
      <c r="A217" s="89"/>
      <c r="B217" s="89"/>
      <c r="C217" s="89"/>
      <c r="D217" s="89"/>
      <c r="E217" s="89"/>
      <c r="F217" s="110"/>
      <c r="G217" s="89"/>
      <c r="H217" s="110"/>
      <c r="I217" s="89"/>
      <c r="J217" s="110"/>
      <c r="K217" s="89"/>
      <c r="L217" s="89"/>
      <c r="M217" s="110"/>
      <c r="N217" s="89"/>
      <c r="O217" s="110"/>
      <c r="P217" s="89"/>
      <c r="Q217" s="110"/>
      <c r="R217" s="89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C217" s="89"/>
      <c r="AD217" s="89"/>
    </row>
    <row r="218" spans="1:30" ht="13.8">
      <c r="A218" s="89"/>
      <c r="B218" s="89"/>
      <c r="C218" s="89"/>
      <c r="D218" s="89"/>
      <c r="E218" s="89"/>
      <c r="F218" s="110"/>
      <c r="G218" s="89"/>
      <c r="H218" s="110"/>
      <c r="I218" s="89"/>
      <c r="J218" s="110"/>
      <c r="K218" s="89"/>
      <c r="L218" s="89"/>
      <c r="M218" s="110"/>
      <c r="N218" s="89"/>
      <c r="O218" s="110"/>
      <c r="P218" s="89"/>
      <c r="Q218" s="110"/>
      <c r="R218" s="89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</row>
    <row r="219" spans="1:30" ht="13.8">
      <c r="A219" s="89"/>
      <c r="B219" s="89"/>
      <c r="C219" s="89"/>
      <c r="D219" s="89"/>
      <c r="E219" s="89"/>
      <c r="F219" s="110"/>
      <c r="G219" s="89"/>
      <c r="H219" s="110"/>
      <c r="I219" s="89"/>
      <c r="J219" s="110"/>
      <c r="K219" s="89"/>
      <c r="L219" s="89"/>
      <c r="M219" s="110"/>
      <c r="N219" s="89"/>
      <c r="O219" s="110"/>
      <c r="P219" s="89"/>
      <c r="Q219" s="110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</row>
    <row r="220" spans="1:30" ht="13.8">
      <c r="A220" s="89"/>
      <c r="B220" s="89"/>
      <c r="C220" s="89"/>
      <c r="D220" s="89"/>
      <c r="E220" s="89"/>
      <c r="F220" s="110"/>
      <c r="G220" s="89"/>
      <c r="H220" s="110"/>
      <c r="I220" s="89"/>
      <c r="J220" s="110"/>
      <c r="K220" s="89"/>
      <c r="L220" s="89"/>
      <c r="M220" s="110"/>
      <c r="N220" s="89"/>
      <c r="O220" s="110"/>
      <c r="P220" s="89"/>
      <c r="Q220" s="110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</row>
    <row r="221" spans="1:30" ht="13.8">
      <c r="A221" s="89"/>
      <c r="B221" s="89"/>
      <c r="C221" s="89"/>
      <c r="D221" s="89"/>
      <c r="E221" s="89"/>
      <c r="F221" s="110"/>
      <c r="G221" s="89"/>
      <c r="H221" s="110"/>
      <c r="I221" s="89"/>
      <c r="J221" s="110"/>
      <c r="K221" s="89"/>
      <c r="L221" s="89"/>
      <c r="M221" s="110"/>
      <c r="N221" s="89"/>
      <c r="O221" s="110"/>
      <c r="P221" s="89"/>
      <c r="Q221" s="110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</row>
    <row r="222" spans="1:30" ht="13.8">
      <c r="A222" s="89"/>
      <c r="B222" s="89"/>
      <c r="C222" s="89"/>
      <c r="D222" s="89"/>
      <c r="E222" s="89"/>
      <c r="F222" s="110"/>
      <c r="G222" s="89"/>
      <c r="H222" s="110"/>
      <c r="I222" s="89"/>
      <c r="J222" s="110"/>
      <c r="K222" s="89"/>
      <c r="L222" s="89"/>
      <c r="M222" s="110"/>
      <c r="N222" s="89"/>
      <c r="O222" s="110"/>
      <c r="P222" s="89"/>
      <c r="Q222" s="110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</row>
    <row r="223" spans="1:30" ht="13.8">
      <c r="A223" s="89"/>
      <c r="B223" s="89"/>
      <c r="C223" s="89"/>
      <c r="D223" s="89"/>
      <c r="E223" s="89"/>
      <c r="F223" s="110"/>
      <c r="G223" s="89"/>
      <c r="H223" s="110"/>
      <c r="I223" s="89"/>
      <c r="J223" s="110"/>
      <c r="K223" s="89"/>
      <c r="L223" s="89"/>
      <c r="M223" s="110"/>
      <c r="N223" s="89"/>
      <c r="O223" s="110"/>
      <c r="P223" s="89"/>
      <c r="Q223" s="110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</row>
    <row r="224" spans="1:30" ht="13.8">
      <c r="A224" s="89"/>
      <c r="B224" s="89"/>
      <c r="C224" s="89"/>
      <c r="D224" s="89"/>
      <c r="E224" s="89"/>
      <c r="F224" s="110"/>
      <c r="G224" s="89"/>
      <c r="H224" s="110"/>
      <c r="I224" s="89"/>
      <c r="J224" s="110"/>
      <c r="K224" s="89"/>
      <c r="L224" s="89"/>
      <c r="M224" s="110"/>
      <c r="N224" s="89"/>
      <c r="O224" s="110"/>
      <c r="P224" s="89"/>
      <c r="Q224" s="110"/>
      <c r="R224" s="89"/>
      <c r="S224" s="89"/>
      <c r="T224" s="89"/>
      <c r="U224" s="89"/>
      <c r="V224" s="89"/>
      <c r="W224" s="89"/>
      <c r="X224" s="89"/>
      <c r="Y224" s="89"/>
      <c r="Z224" s="89"/>
      <c r="AA224" s="89"/>
      <c r="AB224" s="89"/>
      <c r="AC224" s="89"/>
      <c r="AD224" s="89"/>
    </row>
    <row r="225" spans="1:30" ht="13.8">
      <c r="A225" s="89"/>
      <c r="B225" s="89"/>
      <c r="C225" s="89"/>
      <c r="D225" s="89"/>
      <c r="E225" s="89"/>
      <c r="F225" s="110"/>
      <c r="G225" s="89"/>
      <c r="H225" s="110"/>
      <c r="I225" s="89"/>
      <c r="J225" s="110"/>
      <c r="K225" s="89"/>
      <c r="L225" s="89"/>
      <c r="M225" s="110"/>
      <c r="N225" s="89"/>
      <c r="O225" s="110"/>
      <c r="P225" s="89"/>
      <c r="Q225" s="110"/>
      <c r="R225" s="89"/>
      <c r="S225" s="89"/>
      <c r="T225" s="89"/>
      <c r="U225" s="89"/>
      <c r="V225" s="89"/>
      <c r="W225" s="89"/>
      <c r="X225" s="89"/>
      <c r="Y225" s="89"/>
      <c r="Z225" s="89"/>
      <c r="AA225" s="89"/>
      <c r="AB225" s="89"/>
      <c r="AC225" s="89"/>
      <c r="AD225" s="89"/>
    </row>
    <row r="226" spans="1:30" ht="13.8">
      <c r="A226" s="89"/>
      <c r="B226" s="89"/>
      <c r="C226" s="89"/>
      <c r="D226" s="89"/>
      <c r="E226" s="89"/>
      <c r="F226" s="110"/>
      <c r="G226" s="89"/>
      <c r="H226" s="110"/>
      <c r="I226" s="89"/>
      <c r="J226" s="110"/>
      <c r="K226" s="89"/>
      <c r="L226" s="89"/>
      <c r="M226" s="110"/>
      <c r="N226" s="89"/>
      <c r="O226" s="110"/>
      <c r="P226" s="89"/>
      <c r="Q226" s="110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</row>
    <row r="227" spans="1:30" ht="13.8">
      <c r="A227" s="89"/>
      <c r="B227" s="89"/>
      <c r="C227" s="89"/>
      <c r="D227" s="89"/>
      <c r="E227" s="89"/>
      <c r="F227" s="110"/>
      <c r="G227" s="89"/>
      <c r="H227" s="110"/>
      <c r="I227" s="89"/>
      <c r="J227" s="110"/>
      <c r="K227" s="89"/>
      <c r="L227" s="89"/>
      <c r="M227" s="110"/>
      <c r="N227" s="89"/>
      <c r="O227" s="110"/>
      <c r="P227" s="89"/>
      <c r="Q227" s="110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</row>
    <row r="228" spans="1:30" ht="13.8">
      <c r="A228" s="89"/>
      <c r="B228" s="89"/>
      <c r="C228" s="89"/>
      <c r="D228" s="89"/>
      <c r="E228" s="89"/>
      <c r="F228" s="110"/>
      <c r="G228" s="89"/>
      <c r="H228" s="110"/>
      <c r="I228" s="89"/>
      <c r="J228" s="110"/>
      <c r="K228" s="89"/>
      <c r="L228" s="89"/>
      <c r="M228" s="110"/>
      <c r="N228" s="89"/>
      <c r="O228" s="110"/>
      <c r="P228" s="89"/>
      <c r="Q228" s="110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</row>
    <row r="229" spans="1:30" ht="13.8">
      <c r="A229" s="89"/>
      <c r="B229" s="89"/>
      <c r="C229" s="89"/>
      <c r="D229" s="89"/>
      <c r="E229" s="89"/>
      <c r="F229" s="110"/>
      <c r="G229" s="89"/>
      <c r="H229" s="110"/>
      <c r="I229" s="89"/>
      <c r="J229" s="110"/>
      <c r="K229" s="89"/>
      <c r="L229" s="89"/>
      <c r="M229" s="110"/>
      <c r="N229" s="89"/>
      <c r="O229" s="110"/>
      <c r="P229" s="89"/>
      <c r="Q229" s="110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</row>
    <row r="230" spans="1:30" ht="13.8">
      <c r="A230" s="89"/>
      <c r="B230" s="89"/>
      <c r="C230" s="89"/>
      <c r="D230" s="89"/>
      <c r="E230" s="89"/>
      <c r="F230" s="110"/>
      <c r="G230" s="89"/>
      <c r="H230" s="110"/>
      <c r="I230" s="89"/>
      <c r="J230" s="110"/>
      <c r="K230" s="89"/>
      <c r="L230" s="89"/>
      <c r="M230" s="110"/>
      <c r="N230" s="89"/>
      <c r="O230" s="110"/>
      <c r="P230" s="89"/>
      <c r="Q230" s="110"/>
      <c r="R230" s="89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C230" s="89"/>
      <c r="AD230" s="89"/>
    </row>
    <row r="231" spans="1:30" ht="13.8">
      <c r="A231" s="89"/>
      <c r="B231" s="89"/>
      <c r="C231" s="89"/>
      <c r="D231" s="89"/>
      <c r="E231" s="89"/>
      <c r="F231" s="110"/>
      <c r="G231" s="89"/>
      <c r="H231" s="110"/>
      <c r="I231" s="89"/>
      <c r="J231" s="110"/>
      <c r="K231" s="89"/>
      <c r="L231" s="89"/>
      <c r="M231" s="110"/>
      <c r="N231" s="89"/>
      <c r="O231" s="110"/>
      <c r="P231" s="89"/>
      <c r="Q231" s="110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</row>
    <row r="232" spans="1:30" ht="13.8">
      <c r="A232" s="89"/>
      <c r="B232" s="89"/>
      <c r="C232" s="89"/>
      <c r="D232" s="89"/>
      <c r="E232" s="89"/>
      <c r="F232" s="110"/>
      <c r="G232" s="89"/>
      <c r="H232" s="110"/>
      <c r="I232" s="89"/>
      <c r="J232" s="110"/>
      <c r="K232" s="89"/>
      <c r="L232" s="89"/>
      <c r="M232" s="110"/>
      <c r="N232" s="89"/>
      <c r="O232" s="110"/>
      <c r="P232" s="89"/>
      <c r="Q232" s="110"/>
      <c r="R232" s="89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C232" s="89"/>
      <c r="AD232" s="89"/>
    </row>
    <row r="233" spans="1:30" ht="13.8">
      <c r="A233" s="89"/>
      <c r="B233" s="89"/>
      <c r="C233" s="89"/>
      <c r="D233" s="89"/>
      <c r="E233" s="89"/>
      <c r="F233" s="110"/>
      <c r="G233" s="89"/>
      <c r="H233" s="110"/>
      <c r="I233" s="89"/>
      <c r="J233" s="110"/>
      <c r="K233" s="89"/>
      <c r="L233" s="89"/>
      <c r="M233" s="110"/>
      <c r="N233" s="89"/>
      <c r="O233" s="110"/>
      <c r="P233" s="89"/>
      <c r="Q233" s="110"/>
      <c r="R233" s="89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C233" s="89"/>
      <c r="AD233" s="89"/>
    </row>
    <row r="234" spans="1:30" ht="13.8">
      <c r="A234" s="89"/>
      <c r="B234" s="89"/>
      <c r="C234" s="89"/>
      <c r="D234" s="89"/>
      <c r="E234" s="89"/>
      <c r="F234" s="110"/>
      <c r="G234" s="89"/>
      <c r="H234" s="110"/>
      <c r="I234" s="89"/>
      <c r="J234" s="110"/>
      <c r="K234" s="89"/>
      <c r="L234" s="89"/>
      <c r="M234" s="110"/>
      <c r="N234" s="89"/>
      <c r="O234" s="110"/>
      <c r="P234" s="89"/>
      <c r="Q234" s="110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</row>
    <row r="235" spans="1:30" ht="13.8">
      <c r="A235" s="89"/>
      <c r="B235" s="89"/>
      <c r="C235" s="89"/>
      <c r="D235" s="89"/>
      <c r="E235" s="89"/>
      <c r="F235" s="110"/>
      <c r="G235" s="89"/>
      <c r="H235" s="110"/>
      <c r="I235" s="89"/>
      <c r="J235" s="110"/>
      <c r="K235" s="89"/>
      <c r="L235" s="89"/>
      <c r="M235" s="110"/>
      <c r="N235" s="89"/>
      <c r="O235" s="110"/>
      <c r="P235" s="89"/>
      <c r="Q235" s="110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</row>
    <row r="236" spans="1:30" ht="13.8">
      <c r="A236" s="89"/>
      <c r="B236" s="89"/>
      <c r="C236" s="89"/>
      <c r="D236" s="89"/>
      <c r="E236" s="89"/>
      <c r="F236" s="110"/>
      <c r="G236" s="89"/>
      <c r="H236" s="110"/>
      <c r="I236" s="89"/>
      <c r="J236" s="110"/>
      <c r="K236" s="89"/>
      <c r="L236" s="89"/>
      <c r="M236" s="110"/>
      <c r="N236" s="89"/>
      <c r="O236" s="110"/>
      <c r="P236" s="89"/>
      <c r="Q236" s="110"/>
      <c r="R236" s="89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C236" s="89"/>
      <c r="AD236" s="89"/>
    </row>
    <row r="237" spans="1:30" ht="13.8">
      <c r="A237" s="89"/>
      <c r="B237" s="89"/>
      <c r="C237" s="89"/>
      <c r="D237" s="89"/>
      <c r="E237" s="89"/>
      <c r="F237" s="110"/>
      <c r="G237" s="89"/>
      <c r="H237" s="110"/>
      <c r="I237" s="89"/>
      <c r="J237" s="110"/>
      <c r="K237" s="89"/>
      <c r="L237" s="89"/>
      <c r="M237" s="110"/>
      <c r="N237" s="89"/>
      <c r="O237" s="110"/>
      <c r="P237" s="89"/>
      <c r="Q237" s="110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</row>
    <row r="238" spans="1:30" ht="13.8">
      <c r="A238" s="89"/>
      <c r="B238" s="89"/>
      <c r="C238" s="89"/>
      <c r="D238" s="89"/>
      <c r="E238" s="89"/>
      <c r="F238" s="110"/>
      <c r="G238" s="89"/>
      <c r="H238" s="110"/>
      <c r="I238" s="89"/>
      <c r="J238" s="110"/>
      <c r="K238" s="89"/>
      <c r="L238" s="89"/>
      <c r="M238" s="110"/>
      <c r="N238" s="89"/>
      <c r="O238" s="110"/>
      <c r="P238" s="89"/>
      <c r="Q238" s="110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</row>
    <row r="239" spans="1:30" ht="13.8">
      <c r="A239" s="89"/>
      <c r="B239" s="89"/>
      <c r="C239" s="89"/>
      <c r="D239" s="89"/>
      <c r="E239" s="89"/>
      <c r="F239" s="110"/>
      <c r="G239" s="89"/>
      <c r="H239" s="110"/>
      <c r="I239" s="89"/>
      <c r="J239" s="110"/>
      <c r="K239" s="89"/>
      <c r="L239" s="89"/>
      <c r="M239" s="110"/>
      <c r="N239" s="89"/>
      <c r="O239" s="110"/>
      <c r="P239" s="89"/>
      <c r="Q239" s="110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</row>
    <row r="240" spans="1:30" ht="13.8">
      <c r="A240" s="89"/>
      <c r="B240" s="89"/>
      <c r="C240" s="89"/>
      <c r="D240" s="89"/>
      <c r="E240" s="89"/>
      <c r="F240" s="110"/>
      <c r="G240" s="89"/>
      <c r="H240" s="110"/>
      <c r="I240" s="89"/>
      <c r="J240" s="110"/>
      <c r="K240" s="89"/>
      <c r="L240" s="89"/>
      <c r="M240" s="110"/>
      <c r="N240" s="89"/>
      <c r="O240" s="110"/>
      <c r="P240" s="89"/>
      <c r="Q240" s="110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</row>
    <row r="241" spans="1:30" ht="13.8">
      <c r="A241" s="89"/>
      <c r="B241" s="89"/>
      <c r="C241" s="89"/>
      <c r="D241" s="89"/>
      <c r="E241" s="89"/>
      <c r="F241" s="110"/>
      <c r="G241" s="89"/>
      <c r="H241" s="110"/>
      <c r="I241" s="89"/>
      <c r="J241" s="110"/>
      <c r="K241" s="89"/>
      <c r="L241" s="89"/>
      <c r="M241" s="110"/>
      <c r="N241" s="89"/>
      <c r="O241" s="110"/>
      <c r="P241" s="89"/>
      <c r="Q241" s="110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</row>
    <row r="242" spans="1:30" ht="13.8">
      <c r="A242" s="89"/>
      <c r="B242" s="89"/>
      <c r="C242" s="89"/>
      <c r="D242" s="89"/>
      <c r="E242" s="89"/>
      <c r="F242" s="110"/>
      <c r="G242" s="89"/>
      <c r="H242" s="110"/>
      <c r="I242" s="89"/>
      <c r="J242" s="110"/>
      <c r="K242" s="89"/>
      <c r="L242" s="89"/>
      <c r="M242" s="110"/>
      <c r="N242" s="89"/>
      <c r="O242" s="110"/>
      <c r="P242" s="89"/>
      <c r="Q242" s="110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89"/>
    </row>
    <row r="243" spans="1:30" ht="13.8">
      <c r="A243" s="89"/>
      <c r="B243" s="89"/>
      <c r="C243" s="89"/>
      <c r="D243" s="89"/>
      <c r="E243" s="89"/>
      <c r="F243" s="110"/>
      <c r="G243" s="89"/>
      <c r="H243" s="110"/>
      <c r="I243" s="89"/>
      <c r="J243" s="110"/>
      <c r="K243" s="89"/>
      <c r="L243" s="89"/>
      <c r="M243" s="110"/>
      <c r="N243" s="89"/>
      <c r="O243" s="110"/>
      <c r="P243" s="89"/>
      <c r="Q243" s="110"/>
      <c r="R243" s="89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C243" s="89"/>
      <c r="AD243" s="89"/>
    </row>
    <row r="244" spans="1:30" ht="13.8">
      <c r="A244" s="89"/>
      <c r="B244" s="89"/>
      <c r="C244" s="89"/>
      <c r="D244" s="89"/>
      <c r="E244" s="89"/>
      <c r="F244" s="110"/>
      <c r="G244" s="89"/>
      <c r="H244" s="110"/>
      <c r="I244" s="89"/>
      <c r="J244" s="110"/>
      <c r="K244" s="89"/>
      <c r="L244" s="89"/>
      <c r="M244" s="110"/>
      <c r="N244" s="89"/>
      <c r="O244" s="110"/>
      <c r="P244" s="89"/>
      <c r="Q244" s="110"/>
      <c r="R244" s="89"/>
      <c r="S244" s="89"/>
      <c r="T244" s="89"/>
      <c r="U244" s="89"/>
      <c r="V244" s="89"/>
      <c r="W244" s="89"/>
      <c r="X244" s="89"/>
      <c r="Y244" s="89"/>
      <c r="Z244" s="89"/>
      <c r="AA244" s="89"/>
      <c r="AB244" s="89"/>
      <c r="AC244" s="89"/>
      <c r="AD244" s="89"/>
    </row>
    <row r="245" spans="1:30" ht="13.8">
      <c r="A245" s="89"/>
      <c r="B245" s="89"/>
      <c r="C245" s="89"/>
      <c r="D245" s="89"/>
      <c r="E245" s="89"/>
      <c r="F245" s="110"/>
      <c r="G245" s="89"/>
      <c r="H245" s="110"/>
      <c r="I245" s="89"/>
      <c r="J245" s="110"/>
      <c r="K245" s="89"/>
      <c r="L245" s="89"/>
      <c r="M245" s="110"/>
      <c r="N245" s="89"/>
      <c r="O245" s="110"/>
      <c r="P245" s="89"/>
      <c r="Q245" s="110"/>
      <c r="R245" s="89"/>
      <c r="S245" s="89"/>
      <c r="T245" s="89"/>
      <c r="U245" s="89"/>
      <c r="V245" s="89"/>
      <c r="W245" s="89"/>
      <c r="X245" s="89"/>
      <c r="Y245" s="89"/>
      <c r="Z245" s="89"/>
      <c r="AA245" s="89"/>
      <c r="AB245" s="89"/>
      <c r="AC245" s="89"/>
      <c r="AD245" s="89"/>
    </row>
    <row r="246" spans="1:30" ht="13.8">
      <c r="A246" s="89"/>
      <c r="B246" s="89"/>
      <c r="C246" s="89"/>
      <c r="D246" s="89"/>
      <c r="E246" s="89"/>
      <c r="F246" s="110"/>
      <c r="G246" s="89"/>
      <c r="H246" s="110"/>
      <c r="I246" s="89"/>
      <c r="J246" s="110"/>
      <c r="K246" s="89"/>
      <c r="L246" s="89"/>
      <c r="M246" s="110"/>
      <c r="N246" s="89"/>
      <c r="O246" s="110"/>
      <c r="P246" s="89"/>
      <c r="Q246" s="110"/>
      <c r="R246" s="89"/>
      <c r="S246" s="89"/>
      <c r="T246" s="89"/>
      <c r="U246" s="89"/>
      <c r="V246" s="89"/>
      <c r="W246" s="89"/>
      <c r="X246" s="89"/>
      <c r="Y246" s="89"/>
      <c r="Z246" s="89"/>
      <c r="AA246" s="89"/>
      <c r="AB246" s="89"/>
      <c r="AC246" s="89"/>
      <c r="AD246" s="89"/>
    </row>
    <row r="247" spans="1:30" ht="13.8">
      <c r="A247" s="89"/>
      <c r="B247" s="89"/>
      <c r="C247" s="89"/>
      <c r="D247" s="89"/>
      <c r="E247" s="89"/>
      <c r="F247" s="110"/>
      <c r="G247" s="89"/>
      <c r="H247" s="110"/>
      <c r="I247" s="89"/>
      <c r="J247" s="110"/>
      <c r="K247" s="89"/>
      <c r="L247" s="89"/>
      <c r="M247" s="110"/>
      <c r="N247" s="89"/>
      <c r="O247" s="110"/>
      <c r="P247" s="89"/>
      <c r="Q247" s="110"/>
      <c r="R247" s="89"/>
      <c r="S247" s="89"/>
      <c r="T247" s="89"/>
      <c r="U247" s="89"/>
      <c r="V247" s="89"/>
      <c r="W247" s="89"/>
      <c r="X247" s="89"/>
      <c r="Y247" s="89"/>
      <c r="Z247" s="89"/>
      <c r="AA247" s="89"/>
      <c r="AB247" s="89"/>
      <c r="AC247" s="89"/>
      <c r="AD247" s="89"/>
    </row>
    <row r="248" spans="1:30" ht="13.8">
      <c r="A248" s="89"/>
      <c r="B248" s="89"/>
      <c r="C248" s="89"/>
      <c r="D248" s="89"/>
      <c r="E248" s="89"/>
      <c r="F248" s="110"/>
      <c r="G248" s="89"/>
      <c r="H248" s="110"/>
      <c r="I248" s="89"/>
      <c r="J248" s="110"/>
      <c r="K248" s="89"/>
      <c r="L248" s="89"/>
      <c r="M248" s="110"/>
      <c r="N248" s="89"/>
      <c r="O248" s="110"/>
      <c r="P248" s="89"/>
      <c r="Q248" s="110"/>
      <c r="R248" s="89"/>
      <c r="S248" s="89"/>
      <c r="T248" s="89"/>
      <c r="U248" s="89"/>
      <c r="V248" s="89"/>
      <c r="W248" s="89"/>
      <c r="X248" s="89"/>
      <c r="Y248" s="89"/>
      <c r="Z248" s="89"/>
      <c r="AA248" s="89"/>
      <c r="AB248" s="89"/>
      <c r="AC248" s="89"/>
      <c r="AD248" s="89"/>
    </row>
    <row r="249" spans="1:30" ht="13.8">
      <c r="A249" s="89"/>
      <c r="B249" s="89"/>
      <c r="C249" s="89"/>
      <c r="D249" s="89"/>
      <c r="E249" s="89"/>
      <c r="F249" s="110"/>
      <c r="G249" s="89"/>
      <c r="H249" s="110"/>
      <c r="I249" s="89"/>
      <c r="J249" s="110"/>
      <c r="K249" s="89"/>
      <c r="L249" s="89"/>
      <c r="M249" s="110"/>
      <c r="N249" s="89"/>
      <c r="O249" s="110"/>
      <c r="P249" s="89"/>
      <c r="Q249" s="110"/>
      <c r="R249" s="89"/>
      <c r="S249" s="89"/>
      <c r="T249" s="89"/>
      <c r="U249" s="89"/>
      <c r="V249" s="89"/>
      <c r="W249" s="89"/>
      <c r="X249" s="89"/>
      <c r="Y249" s="89"/>
      <c r="Z249" s="89"/>
      <c r="AA249" s="89"/>
      <c r="AB249" s="89"/>
      <c r="AC249" s="89"/>
      <c r="AD249" s="89"/>
    </row>
    <row r="250" spans="1:30" ht="13.8">
      <c r="A250" s="89"/>
      <c r="B250" s="89"/>
      <c r="C250" s="89"/>
      <c r="D250" s="89"/>
      <c r="E250" s="89"/>
      <c r="F250" s="110"/>
      <c r="G250" s="89"/>
      <c r="H250" s="110"/>
      <c r="I250" s="89"/>
      <c r="J250" s="110"/>
      <c r="K250" s="89"/>
      <c r="L250" s="89"/>
      <c r="M250" s="110"/>
      <c r="N250" s="89"/>
      <c r="O250" s="110"/>
      <c r="P250" s="89"/>
      <c r="Q250" s="110"/>
      <c r="R250" s="89"/>
      <c r="S250" s="89"/>
      <c r="T250" s="89"/>
      <c r="U250" s="89"/>
      <c r="V250" s="89"/>
      <c r="W250" s="89"/>
      <c r="X250" s="89"/>
      <c r="Y250" s="89"/>
      <c r="Z250" s="89"/>
      <c r="AA250" s="89"/>
      <c r="AB250" s="89"/>
      <c r="AC250" s="89"/>
      <c r="AD250" s="89"/>
    </row>
    <row r="251" spans="1:30" ht="13.8">
      <c r="A251" s="89"/>
      <c r="B251" s="89"/>
      <c r="C251" s="89"/>
      <c r="D251" s="89"/>
      <c r="E251" s="89"/>
      <c r="F251" s="110"/>
      <c r="G251" s="89"/>
      <c r="H251" s="110"/>
      <c r="I251" s="89"/>
      <c r="J251" s="110"/>
      <c r="K251" s="89"/>
      <c r="L251" s="89"/>
      <c r="M251" s="110"/>
      <c r="N251" s="89"/>
      <c r="O251" s="110"/>
      <c r="P251" s="89"/>
      <c r="Q251" s="110"/>
      <c r="R251" s="89"/>
      <c r="S251" s="89"/>
      <c r="T251" s="89"/>
      <c r="U251" s="89"/>
      <c r="V251" s="89"/>
      <c r="W251" s="89"/>
      <c r="X251" s="89"/>
      <c r="Y251" s="89"/>
      <c r="Z251" s="89"/>
      <c r="AA251" s="89"/>
      <c r="AB251" s="89"/>
      <c r="AC251" s="89"/>
      <c r="AD251" s="89"/>
    </row>
    <row r="252" spans="1:30" ht="13.8">
      <c r="A252" s="89"/>
      <c r="B252" s="89"/>
      <c r="C252" s="89"/>
      <c r="D252" s="89"/>
      <c r="E252" s="89"/>
      <c r="F252" s="110"/>
      <c r="G252" s="89"/>
      <c r="H252" s="110"/>
      <c r="I252" s="89"/>
      <c r="J252" s="110"/>
      <c r="K252" s="89"/>
      <c r="L252" s="89"/>
      <c r="M252" s="110"/>
      <c r="N252" s="89"/>
      <c r="O252" s="110"/>
      <c r="P252" s="89"/>
      <c r="Q252" s="110"/>
      <c r="R252" s="89"/>
      <c r="S252" s="89"/>
      <c r="T252" s="89"/>
      <c r="U252" s="89"/>
      <c r="V252" s="89"/>
      <c r="W252" s="89"/>
      <c r="X252" s="89"/>
      <c r="Y252" s="89"/>
      <c r="Z252" s="89"/>
      <c r="AA252" s="89"/>
      <c r="AB252" s="89"/>
      <c r="AC252" s="89"/>
      <c r="AD252" s="89"/>
    </row>
    <row r="253" spans="1:30" ht="13.8">
      <c r="A253" s="89"/>
      <c r="B253" s="89"/>
      <c r="C253" s="89"/>
      <c r="D253" s="89"/>
      <c r="E253" s="89"/>
      <c r="F253" s="110"/>
      <c r="G253" s="89"/>
      <c r="H253" s="110"/>
      <c r="I253" s="89"/>
      <c r="J253" s="110"/>
      <c r="K253" s="89"/>
      <c r="L253" s="89"/>
      <c r="M253" s="110"/>
      <c r="N253" s="89"/>
      <c r="O253" s="110"/>
      <c r="P253" s="89"/>
      <c r="Q253" s="110"/>
      <c r="R253" s="89"/>
      <c r="S253" s="89"/>
      <c r="T253" s="89"/>
      <c r="U253" s="89"/>
      <c r="V253" s="89"/>
      <c r="W253" s="89"/>
      <c r="X253" s="89"/>
      <c r="Y253" s="89"/>
      <c r="Z253" s="89"/>
      <c r="AA253" s="89"/>
      <c r="AB253" s="89"/>
      <c r="AC253" s="89"/>
      <c r="AD253" s="89"/>
    </row>
    <row r="254" spans="1:30" ht="13.8">
      <c r="A254" s="89"/>
      <c r="B254" s="89"/>
      <c r="C254" s="89"/>
      <c r="D254" s="89"/>
      <c r="E254" s="89"/>
      <c r="F254" s="110"/>
      <c r="G254" s="89"/>
      <c r="H254" s="110"/>
      <c r="I254" s="89"/>
      <c r="J254" s="110"/>
      <c r="K254" s="89"/>
      <c r="L254" s="89"/>
      <c r="M254" s="110"/>
      <c r="N254" s="89"/>
      <c r="O254" s="110"/>
      <c r="P254" s="89"/>
      <c r="Q254" s="110"/>
      <c r="R254" s="89"/>
      <c r="S254" s="89"/>
      <c r="T254" s="89"/>
      <c r="U254" s="89"/>
      <c r="V254" s="89"/>
      <c r="W254" s="89"/>
      <c r="X254" s="89"/>
      <c r="Y254" s="89"/>
      <c r="Z254" s="89"/>
      <c r="AA254" s="89"/>
      <c r="AB254" s="89"/>
      <c r="AC254" s="89"/>
      <c r="AD254" s="89"/>
    </row>
    <row r="255" spans="1:30" ht="13.8">
      <c r="A255" s="89"/>
      <c r="B255" s="89"/>
      <c r="C255" s="89"/>
      <c r="D255" s="89"/>
      <c r="E255" s="89"/>
      <c r="F255" s="110"/>
      <c r="G255" s="89"/>
      <c r="H255" s="110"/>
      <c r="I255" s="89"/>
      <c r="J255" s="110"/>
      <c r="K255" s="89"/>
      <c r="L255" s="89"/>
      <c r="M255" s="110"/>
      <c r="N255" s="89"/>
      <c r="O255" s="110"/>
      <c r="P255" s="89"/>
      <c r="Q255" s="110"/>
      <c r="R255" s="89"/>
      <c r="S255" s="89"/>
      <c r="T255" s="89"/>
      <c r="U255" s="89"/>
      <c r="V255" s="89"/>
      <c r="W255" s="89"/>
      <c r="X255" s="89"/>
      <c r="Y255" s="89"/>
      <c r="Z255" s="89"/>
      <c r="AA255" s="89"/>
      <c r="AB255" s="89"/>
      <c r="AC255" s="89"/>
      <c r="AD255" s="89"/>
    </row>
    <row r="256" spans="1:30" ht="13.8">
      <c r="A256" s="89"/>
      <c r="B256" s="89"/>
      <c r="C256" s="89"/>
      <c r="D256" s="89"/>
      <c r="E256" s="89"/>
      <c r="F256" s="110"/>
      <c r="G256" s="89"/>
      <c r="H256" s="110"/>
      <c r="I256" s="89"/>
      <c r="J256" s="110"/>
      <c r="K256" s="89"/>
      <c r="L256" s="89"/>
      <c r="M256" s="110"/>
      <c r="N256" s="89"/>
      <c r="O256" s="110"/>
      <c r="P256" s="89"/>
      <c r="Q256" s="110"/>
      <c r="R256" s="89"/>
      <c r="S256" s="89"/>
      <c r="T256" s="89"/>
      <c r="U256" s="89"/>
      <c r="V256" s="89"/>
      <c r="W256" s="89"/>
      <c r="X256" s="89"/>
      <c r="Y256" s="89"/>
      <c r="Z256" s="89"/>
      <c r="AA256" s="89"/>
      <c r="AB256" s="89"/>
      <c r="AC256" s="89"/>
      <c r="AD256" s="89"/>
    </row>
    <row r="257" spans="1:30" ht="13.8">
      <c r="A257" s="89"/>
      <c r="B257" s="89"/>
      <c r="C257" s="89"/>
      <c r="D257" s="89"/>
      <c r="E257" s="89"/>
      <c r="F257" s="110"/>
      <c r="G257" s="89"/>
      <c r="H257" s="110"/>
      <c r="I257" s="89"/>
      <c r="J257" s="110"/>
      <c r="K257" s="89"/>
      <c r="L257" s="89"/>
      <c r="M257" s="110"/>
      <c r="N257" s="89"/>
      <c r="O257" s="110"/>
      <c r="P257" s="89"/>
      <c r="Q257" s="110"/>
      <c r="R257" s="89"/>
      <c r="S257" s="89"/>
      <c r="T257" s="89"/>
      <c r="U257" s="89"/>
      <c r="V257" s="89"/>
      <c r="W257" s="89"/>
      <c r="X257" s="89"/>
      <c r="Y257" s="89"/>
      <c r="Z257" s="89"/>
      <c r="AA257" s="89"/>
      <c r="AB257" s="89"/>
      <c r="AC257" s="89"/>
      <c r="AD257" s="89"/>
    </row>
    <row r="258" spans="1:30" ht="13.8">
      <c r="A258" s="89"/>
      <c r="B258" s="89"/>
      <c r="C258" s="89"/>
      <c r="D258" s="89"/>
      <c r="E258" s="89"/>
      <c r="F258" s="110"/>
      <c r="G258" s="89"/>
      <c r="H258" s="110"/>
      <c r="I258" s="89"/>
      <c r="J258" s="110"/>
      <c r="K258" s="89"/>
      <c r="L258" s="89"/>
      <c r="M258" s="110"/>
      <c r="N258" s="89"/>
      <c r="O258" s="110"/>
      <c r="P258" s="89"/>
      <c r="Q258" s="110"/>
      <c r="R258" s="89"/>
      <c r="S258" s="89"/>
      <c r="T258" s="89"/>
      <c r="U258" s="89"/>
      <c r="V258" s="89"/>
      <c r="W258" s="89"/>
      <c r="X258" s="89"/>
      <c r="Y258" s="89"/>
      <c r="Z258" s="89"/>
      <c r="AA258" s="89"/>
      <c r="AB258" s="89"/>
      <c r="AC258" s="89"/>
      <c r="AD258" s="89"/>
    </row>
    <row r="259" spans="1:30" ht="13.8">
      <c r="A259" s="89"/>
      <c r="B259" s="89"/>
      <c r="C259" s="89"/>
      <c r="D259" s="89"/>
      <c r="E259" s="89"/>
      <c r="F259" s="110"/>
      <c r="G259" s="89"/>
      <c r="H259" s="110"/>
      <c r="I259" s="89"/>
      <c r="J259" s="110"/>
      <c r="K259" s="89"/>
      <c r="L259" s="89"/>
      <c r="M259" s="110"/>
      <c r="N259" s="89"/>
      <c r="O259" s="110"/>
      <c r="P259" s="89"/>
      <c r="Q259" s="110"/>
      <c r="R259" s="89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</row>
    <row r="260" spans="1:30" ht="13.8">
      <c r="A260" s="89"/>
      <c r="B260" s="89"/>
      <c r="C260" s="89"/>
      <c r="D260" s="89"/>
      <c r="E260" s="89"/>
      <c r="F260" s="110"/>
      <c r="G260" s="89"/>
      <c r="H260" s="110"/>
      <c r="I260" s="89"/>
      <c r="J260" s="110"/>
      <c r="K260" s="89"/>
      <c r="L260" s="89"/>
      <c r="M260" s="110"/>
      <c r="N260" s="89"/>
      <c r="O260" s="110"/>
      <c r="P260" s="89"/>
      <c r="Q260" s="110"/>
      <c r="R260" s="89"/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C260" s="89"/>
      <c r="AD260" s="89"/>
    </row>
    <row r="261" spans="1:30" ht="13.8">
      <c r="A261" s="89"/>
      <c r="B261" s="89"/>
      <c r="C261" s="89"/>
      <c r="D261" s="89"/>
      <c r="E261" s="89"/>
      <c r="F261" s="110"/>
      <c r="G261" s="89"/>
      <c r="H261" s="110"/>
      <c r="I261" s="89"/>
      <c r="J261" s="110"/>
      <c r="K261" s="89"/>
      <c r="L261" s="89"/>
      <c r="M261" s="110"/>
      <c r="N261" s="89"/>
      <c r="O261" s="110"/>
      <c r="P261" s="89"/>
      <c r="Q261" s="110"/>
      <c r="R261" s="89"/>
      <c r="S261" s="89"/>
      <c r="T261" s="89"/>
      <c r="U261" s="89"/>
      <c r="V261" s="89"/>
      <c r="W261" s="89"/>
      <c r="X261" s="89"/>
      <c r="Y261" s="89"/>
      <c r="Z261" s="89"/>
      <c r="AA261" s="89"/>
      <c r="AB261" s="89"/>
      <c r="AC261" s="89"/>
      <c r="AD261" s="89"/>
    </row>
    <row r="262" spans="1:30" ht="13.8">
      <c r="A262" s="89"/>
      <c r="B262" s="89"/>
      <c r="C262" s="89"/>
      <c r="D262" s="89"/>
      <c r="E262" s="89"/>
      <c r="F262" s="110"/>
      <c r="G262" s="89"/>
      <c r="H262" s="110"/>
      <c r="I262" s="89"/>
      <c r="J262" s="110"/>
      <c r="K262" s="89"/>
      <c r="L262" s="89"/>
      <c r="M262" s="110"/>
      <c r="N262" s="89"/>
      <c r="O262" s="110"/>
      <c r="P262" s="89"/>
      <c r="Q262" s="110"/>
      <c r="R262" s="89"/>
      <c r="S262" s="89"/>
      <c r="T262" s="89"/>
      <c r="U262" s="89"/>
      <c r="V262" s="89"/>
      <c r="W262" s="89"/>
      <c r="X262" s="89"/>
      <c r="Y262" s="89"/>
      <c r="Z262" s="89"/>
      <c r="AA262" s="89"/>
      <c r="AB262" s="89"/>
      <c r="AC262" s="89"/>
      <c r="AD262" s="89"/>
    </row>
    <row r="263" spans="1:30" ht="13.8">
      <c r="A263" s="89"/>
      <c r="B263" s="89"/>
      <c r="C263" s="89"/>
      <c r="D263" s="89"/>
      <c r="E263" s="89"/>
      <c r="F263" s="110"/>
      <c r="G263" s="89"/>
      <c r="H263" s="110"/>
      <c r="I263" s="89"/>
      <c r="J263" s="110"/>
      <c r="K263" s="89"/>
      <c r="L263" s="89"/>
      <c r="M263" s="110"/>
      <c r="N263" s="89"/>
      <c r="O263" s="110"/>
      <c r="P263" s="89"/>
      <c r="Q263" s="110"/>
      <c r="R263" s="89"/>
      <c r="S263" s="89"/>
      <c r="T263" s="89"/>
      <c r="U263" s="89"/>
      <c r="V263" s="89"/>
      <c r="W263" s="89"/>
      <c r="X263" s="89"/>
      <c r="Y263" s="89"/>
      <c r="Z263" s="89"/>
      <c r="AA263" s="89"/>
      <c r="AB263" s="89"/>
      <c r="AC263" s="89"/>
      <c r="AD263" s="89"/>
    </row>
    <row r="264" spans="1:30" ht="13.8">
      <c r="A264" s="89"/>
      <c r="B264" s="89"/>
      <c r="C264" s="89"/>
      <c r="D264" s="89"/>
      <c r="E264" s="89"/>
      <c r="F264" s="110"/>
      <c r="G264" s="89"/>
      <c r="H264" s="110"/>
      <c r="I264" s="89"/>
      <c r="J264" s="110"/>
      <c r="K264" s="89"/>
      <c r="L264" s="89"/>
      <c r="M264" s="110"/>
      <c r="N264" s="89"/>
      <c r="O264" s="110"/>
      <c r="P264" s="89"/>
      <c r="Q264" s="110"/>
      <c r="R264" s="89"/>
      <c r="S264" s="89"/>
      <c r="T264" s="89"/>
      <c r="U264" s="89"/>
      <c r="V264" s="89"/>
      <c r="W264" s="89"/>
      <c r="X264" s="89"/>
      <c r="Y264" s="89"/>
      <c r="Z264" s="89"/>
      <c r="AA264" s="89"/>
      <c r="AB264" s="89"/>
      <c r="AC264" s="89"/>
      <c r="AD264" s="89"/>
    </row>
    <row r="265" spans="1:30" ht="13.8">
      <c r="A265" s="89"/>
      <c r="B265" s="89"/>
      <c r="C265" s="89"/>
      <c r="D265" s="89"/>
      <c r="E265" s="89"/>
      <c r="F265" s="110"/>
      <c r="G265" s="89"/>
      <c r="H265" s="110"/>
      <c r="I265" s="89"/>
      <c r="J265" s="110"/>
      <c r="K265" s="89"/>
      <c r="L265" s="89"/>
      <c r="M265" s="110"/>
      <c r="N265" s="89"/>
      <c r="O265" s="110"/>
      <c r="P265" s="89"/>
      <c r="Q265" s="110"/>
      <c r="R265" s="89"/>
      <c r="S265" s="89"/>
      <c r="T265" s="89"/>
      <c r="U265" s="89"/>
      <c r="V265" s="89"/>
      <c r="W265" s="89"/>
      <c r="X265" s="89"/>
      <c r="Y265" s="89"/>
      <c r="Z265" s="89"/>
      <c r="AA265" s="89"/>
      <c r="AB265" s="89"/>
      <c r="AC265" s="89"/>
      <c r="AD265" s="89"/>
    </row>
    <row r="266" spans="1:30" ht="13.8">
      <c r="A266" s="89"/>
      <c r="B266" s="89"/>
      <c r="C266" s="89"/>
      <c r="D266" s="89"/>
      <c r="E266" s="89"/>
      <c r="F266" s="110"/>
      <c r="G266" s="89"/>
      <c r="H266" s="110"/>
      <c r="I266" s="89"/>
      <c r="J266" s="110"/>
      <c r="K266" s="89"/>
      <c r="L266" s="89"/>
      <c r="M266" s="110"/>
      <c r="N266" s="89"/>
      <c r="O266" s="110"/>
      <c r="P266" s="89"/>
      <c r="Q266" s="110"/>
      <c r="R266" s="89"/>
      <c r="S266" s="89"/>
      <c r="T266" s="89"/>
      <c r="U266" s="89"/>
      <c r="V266" s="89"/>
      <c r="W266" s="89"/>
      <c r="X266" s="89"/>
      <c r="Y266" s="89"/>
      <c r="Z266" s="89"/>
      <c r="AA266" s="89"/>
      <c r="AB266" s="89"/>
      <c r="AC266" s="89"/>
      <c r="AD266" s="89"/>
    </row>
    <row r="267" spans="1:30" ht="13.8">
      <c r="A267" s="89"/>
      <c r="B267" s="89"/>
      <c r="C267" s="89"/>
      <c r="D267" s="89"/>
      <c r="E267" s="89"/>
      <c r="F267" s="110"/>
      <c r="G267" s="89"/>
      <c r="H267" s="110"/>
      <c r="I267" s="89"/>
      <c r="J267" s="110"/>
      <c r="K267" s="89"/>
      <c r="L267" s="89"/>
      <c r="M267" s="110"/>
      <c r="N267" s="89"/>
      <c r="O267" s="110"/>
      <c r="P267" s="89"/>
      <c r="Q267" s="110"/>
      <c r="R267" s="89"/>
      <c r="S267" s="89"/>
      <c r="T267" s="89"/>
      <c r="U267" s="89"/>
      <c r="V267" s="89"/>
      <c r="W267" s="89"/>
      <c r="X267" s="89"/>
      <c r="Y267" s="89"/>
      <c r="Z267" s="89"/>
      <c r="AA267" s="89"/>
      <c r="AB267" s="89"/>
      <c r="AC267" s="89"/>
      <c r="AD267" s="89"/>
    </row>
    <row r="268" spans="1:30" ht="13.8">
      <c r="A268" s="89"/>
      <c r="B268" s="89"/>
      <c r="C268" s="89"/>
      <c r="D268" s="89"/>
      <c r="E268" s="89"/>
      <c r="F268" s="110"/>
      <c r="G268" s="89"/>
      <c r="H268" s="110"/>
      <c r="I268" s="89"/>
      <c r="J268" s="110"/>
      <c r="K268" s="89"/>
      <c r="L268" s="89"/>
      <c r="M268" s="110"/>
      <c r="N268" s="89"/>
      <c r="O268" s="110"/>
      <c r="P268" s="89"/>
      <c r="Q268" s="110"/>
      <c r="R268" s="89"/>
      <c r="S268" s="89"/>
      <c r="T268" s="89"/>
      <c r="U268" s="89"/>
      <c r="V268" s="89"/>
      <c r="W268" s="89"/>
      <c r="X268" s="89"/>
      <c r="Y268" s="89"/>
      <c r="Z268" s="89"/>
      <c r="AA268" s="89"/>
      <c r="AB268" s="89"/>
      <c r="AC268" s="89"/>
      <c r="AD268" s="89"/>
    </row>
    <row r="269" spans="1:30" ht="13.8">
      <c r="A269" s="89"/>
      <c r="B269" s="89"/>
      <c r="C269" s="89"/>
      <c r="D269" s="89"/>
      <c r="E269" s="89"/>
      <c r="F269" s="110"/>
      <c r="G269" s="89"/>
      <c r="H269" s="110"/>
      <c r="I269" s="89"/>
      <c r="J269" s="110"/>
      <c r="K269" s="89"/>
      <c r="L269" s="89"/>
      <c r="M269" s="110"/>
      <c r="N269" s="89"/>
      <c r="O269" s="110"/>
      <c r="P269" s="89"/>
      <c r="Q269" s="110"/>
      <c r="R269" s="89"/>
      <c r="S269" s="89"/>
      <c r="T269" s="89"/>
      <c r="U269" s="89"/>
      <c r="V269" s="89"/>
      <c r="W269" s="89"/>
      <c r="X269" s="89"/>
      <c r="Y269" s="89"/>
      <c r="Z269" s="89"/>
      <c r="AA269" s="89"/>
      <c r="AB269" s="89"/>
      <c r="AC269" s="89"/>
      <c r="AD269" s="89"/>
    </row>
    <row r="270" spans="1:30" ht="13.8">
      <c r="A270" s="89"/>
      <c r="B270" s="89"/>
      <c r="C270" s="89"/>
      <c r="D270" s="89"/>
      <c r="E270" s="89"/>
      <c r="F270" s="110"/>
      <c r="G270" s="89"/>
      <c r="H270" s="110"/>
      <c r="I270" s="89"/>
      <c r="J270" s="110"/>
      <c r="K270" s="89"/>
      <c r="L270" s="89"/>
      <c r="M270" s="110"/>
      <c r="N270" s="89"/>
      <c r="O270" s="110"/>
      <c r="P270" s="89"/>
      <c r="Q270" s="110"/>
      <c r="R270" s="89"/>
      <c r="S270" s="89"/>
      <c r="T270" s="89"/>
      <c r="U270" s="89"/>
      <c r="V270" s="89"/>
      <c r="W270" s="89"/>
      <c r="X270" s="89"/>
      <c r="Y270" s="89"/>
      <c r="Z270" s="89"/>
      <c r="AA270" s="89"/>
      <c r="AB270" s="89"/>
      <c r="AC270" s="89"/>
      <c r="AD270" s="89"/>
    </row>
    <row r="271" spans="1:30" ht="13.8">
      <c r="A271" s="89"/>
      <c r="B271" s="89"/>
      <c r="C271" s="89"/>
      <c r="D271" s="89"/>
      <c r="E271" s="89"/>
      <c r="F271" s="110"/>
      <c r="G271" s="89"/>
      <c r="H271" s="110"/>
      <c r="I271" s="89"/>
      <c r="J271" s="110"/>
      <c r="K271" s="89"/>
      <c r="L271" s="89"/>
      <c r="M271" s="110"/>
      <c r="N271" s="89"/>
      <c r="O271" s="110"/>
      <c r="P271" s="89"/>
      <c r="Q271" s="110"/>
      <c r="R271" s="89"/>
      <c r="S271" s="89"/>
      <c r="T271" s="89"/>
      <c r="U271" s="89"/>
      <c r="V271" s="89"/>
      <c r="W271" s="89"/>
      <c r="X271" s="89"/>
      <c r="Y271" s="89"/>
      <c r="Z271" s="89"/>
      <c r="AA271" s="89"/>
      <c r="AB271" s="89"/>
      <c r="AC271" s="89"/>
      <c r="AD271" s="89"/>
    </row>
    <row r="272" spans="1:30" ht="13.8">
      <c r="A272" s="89"/>
      <c r="B272" s="89"/>
      <c r="C272" s="89"/>
      <c r="D272" s="89"/>
      <c r="E272" s="89"/>
      <c r="F272" s="110"/>
      <c r="G272" s="89"/>
      <c r="H272" s="110"/>
      <c r="I272" s="89"/>
      <c r="J272" s="110"/>
      <c r="K272" s="89"/>
      <c r="L272" s="89"/>
      <c r="M272" s="110"/>
      <c r="N272" s="89"/>
      <c r="O272" s="110"/>
      <c r="P272" s="89"/>
      <c r="Q272" s="110"/>
      <c r="R272" s="89"/>
      <c r="S272" s="89"/>
      <c r="T272" s="89"/>
      <c r="U272" s="89"/>
      <c r="V272" s="89"/>
      <c r="W272" s="89"/>
      <c r="X272" s="89"/>
      <c r="Y272" s="89"/>
      <c r="Z272" s="89"/>
      <c r="AA272" s="89"/>
      <c r="AB272" s="89"/>
      <c r="AC272" s="89"/>
      <c r="AD272" s="89"/>
    </row>
    <row r="273" spans="1:30" ht="13.8">
      <c r="A273" s="89"/>
      <c r="B273" s="89"/>
      <c r="C273" s="89"/>
      <c r="D273" s="89"/>
      <c r="E273" s="89"/>
      <c r="F273" s="110"/>
      <c r="G273" s="89"/>
      <c r="H273" s="110"/>
      <c r="I273" s="89"/>
      <c r="J273" s="110"/>
      <c r="K273" s="89"/>
      <c r="L273" s="89"/>
      <c r="M273" s="110"/>
      <c r="N273" s="89"/>
      <c r="O273" s="110"/>
      <c r="P273" s="89"/>
      <c r="Q273" s="110"/>
      <c r="R273" s="89"/>
      <c r="S273" s="89"/>
      <c r="T273" s="89"/>
      <c r="U273" s="89"/>
      <c r="V273" s="89"/>
      <c r="W273" s="89"/>
      <c r="X273" s="89"/>
      <c r="Y273" s="89"/>
      <c r="Z273" s="89"/>
      <c r="AA273" s="89"/>
      <c r="AB273" s="89"/>
      <c r="AC273" s="89"/>
      <c r="AD273" s="89"/>
    </row>
    <row r="274" spans="1:30" ht="13.8">
      <c r="A274" s="89"/>
      <c r="B274" s="89"/>
      <c r="C274" s="89"/>
      <c r="D274" s="89"/>
      <c r="E274" s="89"/>
      <c r="F274" s="110"/>
      <c r="G274" s="89"/>
      <c r="H274" s="110"/>
      <c r="I274" s="89"/>
      <c r="J274" s="110"/>
      <c r="K274" s="89"/>
      <c r="L274" s="89"/>
      <c r="M274" s="110"/>
      <c r="N274" s="89"/>
      <c r="O274" s="110"/>
      <c r="P274" s="89"/>
      <c r="Q274" s="110"/>
      <c r="R274" s="89"/>
      <c r="S274" s="89"/>
      <c r="T274" s="89"/>
      <c r="U274" s="89"/>
      <c r="V274" s="89"/>
      <c r="W274" s="89"/>
      <c r="X274" s="89"/>
      <c r="Y274" s="89"/>
      <c r="Z274" s="89"/>
      <c r="AA274" s="89"/>
      <c r="AB274" s="89"/>
      <c r="AC274" s="89"/>
      <c r="AD274" s="89"/>
    </row>
    <row r="275" spans="1:30" ht="13.8">
      <c r="A275" s="89"/>
      <c r="B275" s="89"/>
      <c r="C275" s="89"/>
      <c r="D275" s="89"/>
      <c r="E275" s="89"/>
      <c r="F275" s="110"/>
      <c r="G275" s="89"/>
      <c r="H275" s="110"/>
      <c r="I275" s="89"/>
      <c r="J275" s="110"/>
      <c r="K275" s="89"/>
      <c r="L275" s="89"/>
      <c r="M275" s="110"/>
      <c r="N275" s="89"/>
      <c r="O275" s="110"/>
      <c r="P275" s="89"/>
      <c r="Q275" s="110"/>
      <c r="R275" s="89"/>
      <c r="S275" s="89"/>
      <c r="T275" s="89"/>
      <c r="U275" s="89"/>
      <c r="V275" s="89"/>
      <c r="W275" s="89"/>
      <c r="X275" s="89"/>
      <c r="Y275" s="89"/>
      <c r="Z275" s="89"/>
      <c r="AA275" s="89"/>
      <c r="AB275" s="89"/>
      <c r="AC275" s="89"/>
      <c r="AD275" s="89"/>
    </row>
    <row r="276" spans="1:30" ht="13.8">
      <c r="A276" s="89"/>
      <c r="B276" s="89"/>
      <c r="C276" s="89"/>
      <c r="D276" s="89"/>
      <c r="E276" s="89"/>
      <c r="F276" s="110"/>
      <c r="G276" s="89"/>
      <c r="H276" s="110"/>
      <c r="I276" s="89"/>
      <c r="J276" s="110"/>
      <c r="K276" s="89"/>
      <c r="L276" s="89"/>
      <c r="M276" s="110"/>
      <c r="N276" s="89"/>
      <c r="O276" s="110"/>
      <c r="P276" s="89"/>
      <c r="Q276" s="110"/>
      <c r="R276" s="89"/>
      <c r="S276" s="89"/>
      <c r="T276" s="89"/>
      <c r="U276" s="89"/>
      <c r="V276" s="89"/>
      <c r="W276" s="89"/>
      <c r="X276" s="89"/>
      <c r="Y276" s="89"/>
      <c r="Z276" s="89"/>
      <c r="AA276" s="89"/>
      <c r="AB276" s="89"/>
      <c r="AC276" s="89"/>
      <c r="AD276" s="89"/>
    </row>
    <row r="277" spans="1:30" ht="13.8">
      <c r="A277" s="89"/>
      <c r="B277" s="89"/>
      <c r="C277" s="89"/>
      <c r="D277" s="89"/>
      <c r="E277" s="89"/>
      <c r="F277" s="110"/>
      <c r="G277" s="89"/>
      <c r="H277" s="110"/>
      <c r="I277" s="89"/>
      <c r="J277" s="110"/>
      <c r="K277" s="89"/>
      <c r="L277" s="89"/>
      <c r="M277" s="110"/>
      <c r="N277" s="89"/>
      <c r="O277" s="110"/>
      <c r="P277" s="89"/>
      <c r="Q277" s="110"/>
      <c r="R277" s="89"/>
      <c r="S277" s="89"/>
      <c r="T277" s="89"/>
      <c r="U277" s="89"/>
      <c r="V277" s="89"/>
      <c r="W277" s="89"/>
      <c r="X277" s="89"/>
      <c r="Y277" s="89"/>
      <c r="Z277" s="89"/>
      <c r="AA277" s="89"/>
      <c r="AB277" s="89"/>
      <c r="AC277" s="89"/>
      <c r="AD277" s="89"/>
    </row>
    <row r="278" spans="1:30" ht="13.8">
      <c r="A278" s="89"/>
      <c r="B278" s="89"/>
      <c r="C278" s="89"/>
      <c r="D278" s="89"/>
      <c r="E278" s="89"/>
      <c r="F278" s="110"/>
      <c r="G278" s="89"/>
      <c r="H278" s="110"/>
      <c r="I278" s="89"/>
      <c r="J278" s="110"/>
      <c r="K278" s="89"/>
      <c r="L278" s="89"/>
      <c r="M278" s="110"/>
      <c r="N278" s="89"/>
      <c r="O278" s="110"/>
      <c r="P278" s="89"/>
      <c r="Q278" s="110"/>
      <c r="R278" s="89"/>
      <c r="S278" s="89"/>
      <c r="T278" s="89"/>
      <c r="U278" s="89"/>
      <c r="V278" s="89"/>
      <c r="W278" s="89"/>
      <c r="X278" s="89"/>
      <c r="Y278" s="89"/>
      <c r="Z278" s="89"/>
      <c r="AA278" s="89"/>
      <c r="AB278" s="89"/>
      <c r="AC278" s="89"/>
      <c r="AD278" s="89"/>
    </row>
    <row r="279" spans="1:30" ht="13.8">
      <c r="A279" s="89"/>
      <c r="B279" s="89"/>
      <c r="C279" s="89"/>
      <c r="D279" s="89"/>
      <c r="E279" s="89"/>
      <c r="F279" s="110"/>
      <c r="G279" s="89"/>
      <c r="H279" s="110"/>
      <c r="I279" s="89"/>
      <c r="J279" s="110"/>
      <c r="K279" s="89"/>
      <c r="L279" s="89"/>
      <c r="M279" s="110"/>
      <c r="N279" s="89"/>
      <c r="O279" s="110"/>
      <c r="P279" s="89"/>
      <c r="Q279" s="110"/>
      <c r="R279" s="89"/>
      <c r="S279" s="89"/>
      <c r="T279" s="89"/>
      <c r="U279" s="89"/>
      <c r="V279" s="89"/>
      <c r="W279" s="89"/>
      <c r="X279" s="89"/>
      <c r="Y279" s="89"/>
      <c r="Z279" s="89"/>
      <c r="AA279" s="89"/>
      <c r="AB279" s="89"/>
      <c r="AC279" s="89"/>
      <c r="AD279" s="89"/>
    </row>
    <row r="280" spans="1:30" ht="13.8">
      <c r="A280" s="89"/>
      <c r="B280" s="89"/>
      <c r="C280" s="89"/>
      <c r="D280" s="89"/>
      <c r="E280" s="89"/>
      <c r="F280" s="110"/>
      <c r="G280" s="89"/>
      <c r="H280" s="110"/>
      <c r="I280" s="89"/>
      <c r="J280" s="110"/>
      <c r="K280" s="89"/>
      <c r="L280" s="89"/>
      <c r="M280" s="110"/>
      <c r="N280" s="89"/>
      <c r="O280" s="110"/>
      <c r="P280" s="89"/>
      <c r="Q280" s="110"/>
      <c r="R280" s="89"/>
      <c r="S280" s="89"/>
      <c r="T280" s="89"/>
      <c r="U280" s="89"/>
      <c r="V280" s="89"/>
      <c r="W280" s="89"/>
      <c r="X280" s="89"/>
      <c r="Y280" s="89"/>
      <c r="Z280" s="89"/>
      <c r="AA280" s="89"/>
      <c r="AB280" s="89"/>
      <c r="AC280" s="89"/>
      <c r="AD280" s="89"/>
    </row>
    <row r="281" spans="1:30" ht="13.8">
      <c r="A281" s="89"/>
      <c r="B281" s="89"/>
      <c r="C281" s="89"/>
      <c r="D281" s="89"/>
      <c r="E281" s="89"/>
      <c r="F281" s="110"/>
      <c r="G281" s="89"/>
      <c r="H281" s="110"/>
      <c r="I281" s="89"/>
      <c r="J281" s="110"/>
      <c r="K281" s="89"/>
      <c r="L281" s="89"/>
      <c r="M281" s="110"/>
      <c r="N281" s="89"/>
      <c r="O281" s="110"/>
      <c r="P281" s="89"/>
      <c r="Q281" s="110"/>
      <c r="R281" s="89"/>
      <c r="S281" s="89"/>
      <c r="T281" s="89"/>
      <c r="U281" s="89"/>
      <c r="V281" s="89"/>
      <c r="W281" s="89"/>
      <c r="X281" s="89"/>
      <c r="Y281" s="89"/>
      <c r="Z281" s="89"/>
      <c r="AA281" s="89"/>
      <c r="AB281" s="89"/>
      <c r="AC281" s="89"/>
      <c r="AD281" s="89"/>
    </row>
    <row r="282" spans="1:30" ht="13.8">
      <c r="A282" s="89"/>
      <c r="B282" s="89"/>
      <c r="C282" s="89"/>
      <c r="D282" s="89"/>
      <c r="E282" s="89"/>
      <c r="F282" s="110"/>
      <c r="G282" s="89"/>
      <c r="H282" s="110"/>
      <c r="I282" s="89"/>
      <c r="J282" s="110"/>
      <c r="K282" s="89"/>
      <c r="L282" s="89"/>
      <c r="M282" s="110"/>
      <c r="N282" s="89"/>
      <c r="O282" s="110"/>
      <c r="P282" s="89"/>
      <c r="Q282" s="110"/>
      <c r="R282" s="89"/>
      <c r="S282" s="89"/>
      <c r="T282" s="89"/>
      <c r="U282" s="89"/>
      <c r="V282" s="89"/>
      <c r="W282" s="89"/>
      <c r="X282" s="89"/>
      <c r="Y282" s="89"/>
      <c r="Z282" s="89"/>
      <c r="AA282" s="89"/>
      <c r="AB282" s="89"/>
      <c r="AC282" s="89"/>
      <c r="AD282" s="89"/>
    </row>
    <row r="283" spans="1:30" ht="13.8">
      <c r="A283" s="89"/>
      <c r="B283" s="89"/>
      <c r="C283" s="89"/>
      <c r="D283" s="89"/>
      <c r="E283" s="89"/>
      <c r="F283" s="110"/>
      <c r="G283" s="89"/>
      <c r="H283" s="110"/>
      <c r="I283" s="89"/>
      <c r="J283" s="110"/>
      <c r="K283" s="89"/>
      <c r="L283" s="89"/>
      <c r="M283" s="110"/>
      <c r="N283" s="89"/>
      <c r="O283" s="110"/>
      <c r="P283" s="89"/>
      <c r="Q283" s="110"/>
      <c r="R283" s="89"/>
      <c r="S283" s="89"/>
      <c r="T283" s="89"/>
      <c r="U283" s="89"/>
      <c r="V283" s="89"/>
      <c r="W283" s="89"/>
      <c r="X283" s="89"/>
      <c r="Y283" s="89"/>
      <c r="Z283" s="89"/>
      <c r="AA283" s="89"/>
      <c r="AB283" s="89"/>
      <c r="AC283" s="89"/>
      <c r="AD283" s="89"/>
    </row>
    <row r="284" spans="1:30" ht="13.8">
      <c r="A284" s="89"/>
      <c r="B284" s="89"/>
      <c r="C284" s="89"/>
      <c r="D284" s="89"/>
      <c r="E284" s="89"/>
      <c r="F284" s="110"/>
      <c r="G284" s="89"/>
      <c r="H284" s="110"/>
      <c r="I284" s="89"/>
      <c r="J284" s="110"/>
      <c r="K284" s="89"/>
      <c r="L284" s="89"/>
      <c r="M284" s="110"/>
      <c r="N284" s="89"/>
      <c r="O284" s="110"/>
      <c r="P284" s="89"/>
      <c r="Q284" s="110"/>
      <c r="R284" s="89"/>
      <c r="S284" s="89"/>
      <c r="T284" s="89"/>
      <c r="U284" s="89"/>
      <c r="V284" s="89"/>
      <c r="W284" s="89"/>
      <c r="X284" s="89"/>
      <c r="Y284" s="89"/>
      <c r="Z284" s="89"/>
      <c r="AA284" s="89"/>
      <c r="AB284" s="89"/>
      <c r="AC284" s="89"/>
      <c r="AD284" s="89"/>
    </row>
    <row r="285" spans="1:30" ht="13.8">
      <c r="A285" s="89"/>
      <c r="B285" s="89"/>
      <c r="C285" s="89"/>
      <c r="D285" s="89"/>
      <c r="E285" s="89"/>
      <c r="F285" s="110"/>
      <c r="G285" s="89"/>
      <c r="H285" s="110"/>
      <c r="I285" s="89"/>
      <c r="J285" s="110"/>
      <c r="K285" s="89"/>
      <c r="L285" s="89"/>
      <c r="M285" s="110"/>
      <c r="N285" s="89"/>
      <c r="O285" s="110"/>
      <c r="P285" s="89"/>
      <c r="Q285" s="110"/>
      <c r="R285" s="89"/>
      <c r="S285" s="89"/>
      <c r="T285" s="89"/>
      <c r="U285" s="89"/>
      <c r="V285" s="89"/>
      <c r="W285" s="89"/>
      <c r="X285" s="89"/>
      <c r="Y285" s="89"/>
      <c r="Z285" s="89"/>
      <c r="AA285" s="89"/>
      <c r="AB285" s="89"/>
      <c r="AC285" s="89"/>
      <c r="AD285" s="89"/>
    </row>
    <row r="286" spans="1:30" ht="13.8">
      <c r="A286" s="89"/>
      <c r="B286" s="89"/>
      <c r="C286" s="89"/>
      <c r="D286" s="89"/>
      <c r="E286" s="89"/>
      <c r="F286" s="110"/>
      <c r="G286" s="89"/>
      <c r="H286" s="110"/>
      <c r="I286" s="89"/>
      <c r="J286" s="110"/>
      <c r="K286" s="89"/>
      <c r="L286" s="89"/>
      <c r="M286" s="110"/>
      <c r="N286" s="89"/>
      <c r="O286" s="110"/>
      <c r="P286" s="89"/>
      <c r="Q286" s="110"/>
      <c r="R286" s="89"/>
      <c r="S286" s="89"/>
      <c r="T286" s="89"/>
      <c r="U286" s="89"/>
      <c r="V286" s="89"/>
      <c r="W286" s="89"/>
      <c r="X286" s="89"/>
      <c r="Y286" s="89"/>
      <c r="Z286" s="89"/>
      <c r="AA286" s="89"/>
      <c r="AB286" s="89"/>
      <c r="AC286" s="89"/>
      <c r="AD286" s="89"/>
    </row>
    <row r="287" spans="1:30" ht="13.8">
      <c r="A287" s="89"/>
      <c r="B287" s="89"/>
      <c r="C287" s="89"/>
      <c r="D287" s="89"/>
      <c r="E287" s="89"/>
      <c r="F287" s="110"/>
      <c r="G287" s="89"/>
      <c r="H287" s="110"/>
      <c r="I287" s="89"/>
      <c r="J287" s="110"/>
      <c r="K287" s="89"/>
      <c r="L287" s="89"/>
      <c r="M287" s="110"/>
      <c r="N287" s="89"/>
      <c r="O287" s="110"/>
      <c r="P287" s="89"/>
      <c r="Q287" s="110"/>
      <c r="R287" s="89"/>
      <c r="S287" s="89"/>
      <c r="T287" s="89"/>
      <c r="U287" s="89"/>
      <c r="V287" s="89"/>
      <c r="W287" s="89"/>
      <c r="X287" s="89"/>
      <c r="Y287" s="89"/>
      <c r="Z287" s="89"/>
      <c r="AA287" s="89"/>
      <c r="AB287" s="89"/>
      <c r="AC287" s="89"/>
      <c r="AD287" s="89"/>
    </row>
    <row r="288" spans="1:30" ht="13.8">
      <c r="A288" s="89"/>
      <c r="B288" s="89"/>
      <c r="C288" s="89"/>
      <c r="D288" s="89"/>
      <c r="E288" s="89"/>
      <c r="F288" s="110"/>
      <c r="G288" s="89"/>
      <c r="H288" s="110"/>
      <c r="I288" s="89"/>
      <c r="J288" s="110"/>
      <c r="K288" s="89"/>
      <c r="L288" s="89"/>
      <c r="M288" s="110"/>
      <c r="N288" s="89"/>
      <c r="O288" s="110"/>
      <c r="P288" s="89"/>
      <c r="Q288" s="110"/>
      <c r="R288" s="89"/>
      <c r="S288" s="89"/>
      <c r="T288" s="89"/>
      <c r="U288" s="89"/>
      <c r="V288" s="89"/>
      <c r="W288" s="89"/>
      <c r="X288" s="89"/>
      <c r="Y288" s="89"/>
      <c r="Z288" s="89"/>
      <c r="AA288" s="89"/>
      <c r="AB288" s="89"/>
      <c r="AC288" s="89"/>
      <c r="AD288" s="89"/>
    </row>
    <row r="289" spans="1:30" ht="13.8">
      <c r="A289" s="89"/>
      <c r="B289" s="89"/>
      <c r="C289" s="89"/>
      <c r="D289" s="89"/>
      <c r="E289" s="89"/>
      <c r="F289" s="110"/>
      <c r="G289" s="89"/>
      <c r="H289" s="110"/>
      <c r="I289" s="89"/>
      <c r="J289" s="110"/>
      <c r="K289" s="89"/>
      <c r="L289" s="89"/>
      <c r="M289" s="110"/>
      <c r="N289" s="89"/>
      <c r="O289" s="110"/>
      <c r="P289" s="89"/>
      <c r="Q289" s="110"/>
      <c r="R289" s="89"/>
      <c r="S289" s="89"/>
      <c r="T289" s="89"/>
      <c r="U289" s="89"/>
      <c r="V289" s="89"/>
      <c r="W289" s="89"/>
      <c r="X289" s="89"/>
      <c r="Y289" s="89"/>
      <c r="Z289" s="89"/>
      <c r="AA289" s="89"/>
      <c r="AB289" s="89"/>
      <c r="AC289" s="89"/>
      <c r="AD289" s="89"/>
    </row>
    <row r="290" spans="1:30" ht="13.8">
      <c r="A290" s="89"/>
      <c r="B290" s="89"/>
      <c r="C290" s="89"/>
      <c r="D290" s="89"/>
      <c r="E290" s="89"/>
      <c r="F290" s="110"/>
      <c r="G290" s="89"/>
      <c r="H290" s="110"/>
      <c r="I290" s="89"/>
      <c r="J290" s="110"/>
      <c r="K290" s="89"/>
      <c r="L290" s="89"/>
      <c r="M290" s="110"/>
      <c r="N290" s="89"/>
      <c r="O290" s="110"/>
      <c r="P290" s="89"/>
      <c r="Q290" s="110"/>
      <c r="R290" s="89"/>
      <c r="S290" s="89"/>
      <c r="T290" s="89"/>
      <c r="U290" s="89"/>
      <c r="V290" s="89"/>
      <c r="W290" s="89"/>
      <c r="X290" s="89"/>
      <c r="Y290" s="89"/>
      <c r="Z290" s="89"/>
      <c r="AA290" s="89"/>
      <c r="AB290" s="89"/>
      <c r="AC290" s="89"/>
      <c r="AD290" s="89"/>
    </row>
    <row r="291" spans="1:30" ht="13.8">
      <c r="A291" s="89"/>
      <c r="B291" s="89"/>
      <c r="C291" s="89"/>
      <c r="D291" s="89"/>
      <c r="E291" s="89"/>
      <c r="F291" s="110"/>
      <c r="G291" s="89"/>
      <c r="H291" s="110"/>
      <c r="I291" s="89"/>
      <c r="J291" s="110"/>
      <c r="K291" s="89"/>
      <c r="L291" s="89"/>
      <c r="M291" s="110"/>
      <c r="N291" s="89"/>
      <c r="O291" s="110"/>
      <c r="P291" s="89"/>
      <c r="Q291" s="110"/>
      <c r="R291" s="89"/>
      <c r="S291" s="89"/>
      <c r="T291" s="89"/>
      <c r="U291" s="89"/>
      <c r="V291" s="89"/>
      <c r="W291" s="89"/>
      <c r="X291" s="89"/>
      <c r="Y291" s="89"/>
      <c r="Z291" s="89"/>
      <c r="AA291" s="89"/>
      <c r="AB291" s="89"/>
      <c r="AC291" s="89"/>
      <c r="AD291" s="89"/>
    </row>
    <row r="292" spans="1:30" ht="13.8">
      <c r="A292" s="89"/>
      <c r="B292" s="89"/>
      <c r="C292" s="89"/>
      <c r="D292" s="89"/>
      <c r="E292" s="89"/>
      <c r="F292" s="110"/>
      <c r="G292" s="89"/>
      <c r="H292" s="110"/>
      <c r="I292" s="89"/>
      <c r="J292" s="110"/>
      <c r="K292" s="89"/>
      <c r="L292" s="89"/>
      <c r="M292" s="110"/>
      <c r="N292" s="89"/>
      <c r="O292" s="110"/>
      <c r="P292" s="89"/>
      <c r="Q292" s="110"/>
      <c r="R292" s="89"/>
      <c r="S292" s="89"/>
      <c r="T292" s="89"/>
      <c r="U292" s="89"/>
      <c r="V292" s="89"/>
      <c r="W292" s="89"/>
      <c r="X292" s="89"/>
      <c r="Y292" s="89"/>
      <c r="Z292" s="89"/>
      <c r="AA292" s="89"/>
      <c r="AB292" s="89"/>
      <c r="AC292" s="89"/>
      <c r="AD292" s="89"/>
    </row>
    <row r="293" spans="1:30" ht="13.8">
      <c r="A293" s="89"/>
      <c r="B293" s="89"/>
      <c r="C293" s="89"/>
      <c r="D293" s="89"/>
      <c r="E293" s="89"/>
      <c r="F293" s="110"/>
      <c r="G293" s="89"/>
      <c r="H293" s="110"/>
      <c r="I293" s="89"/>
      <c r="J293" s="110"/>
      <c r="K293" s="89"/>
      <c r="L293" s="89"/>
      <c r="M293" s="110"/>
      <c r="N293" s="89"/>
      <c r="O293" s="110"/>
      <c r="P293" s="89"/>
      <c r="Q293" s="110"/>
      <c r="R293" s="89"/>
      <c r="S293" s="89"/>
      <c r="T293" s="89"/>
      <c r="U293" s="89"/>
      <c r="V293" s="89"/>
      <c r="W293" s="89"/>
      <c r="X293" s="89"/>
      <c r="Y293" s="89"/>
      <c r="Z293" s="89"/>
      <c r="AA293" s="89"/>
      <c r="AB293" s="89"/>
      <c r="AC293" s="89"/>
      <c r="AD293" s="89"/>
    </row>
    <row r="294" spans="1:30" ht="13.8">
      <c r="A294" s="89"/>
      <c r="B294" s="89"/>
      <c r="C294" s="89"/>
      <c r="D294" s="89"/>
      <c r="E294" s="89"/>
      <c r="F294" s="110"/>
      <c r="G294" s="89"/>
      <c r="H294" s="110"/>
      <c r="I294" s="89"/>
      <c r="J294" s="110"/>
      <c r="K294" s="89"/>
      <c r="L294" s="89"/>
      <c r="M294" s="110"/>
      <c r="N294" s="89"/>
      <c r="O294" s="110"/>
      <c r="P294" s="89"/>
      <c r="Q294" s="110"/>
      <c r="R294" s="89"/>
      <c r="S294" s="89"/>
      <c r="T294" s="89"/>
      <c r="U294" s="89"/>
      <c r="V294" s="89"/>
      <c r="W294" s="89"/>
      <c r="X294" s="89"/>
      <c r="Y294" s="89"/>
      <c r="Z294" s="89"/>
      <c r="AA294" s="89"/>
      <c r="AB294" s="89"/>
      <c r="AC294" s="89"/>
      <c r="AD294" s="89"/>
    </row>
    <row r="295" spans="1:30" ht="13.8">
      <c r="A295" s="89"/>
      <c r="B295" s="89"/>
      <c r="C295" s="89"/>
      <c r="D295" s="89"/>
      <c r="E295" s="89"/>
      <c r="F295" s="110"/>
      <c r="G295" s="89"/>
      <c r="H295" s="110"/>
      <c r="I295" s="89"/>
      <c r="J295" s="110"/>
      <c r="K295" s="89"/>
      <c r="L295" s="89"/>
      <c r="M295" s="110"/>
      <c r="N295" s="89"/>
      <c r="O295" s="110"/>
      <c r="P295" s="89"/>
      <c r="Q295" s="110"/>
      <c r="R295" s="89"/>
      <c r="S295" s="89"/>
      <c r="T295" s="89"/>
      <c r="U295" s="89"/>
      <c r="V295" s="89"/>
      <c r="W295" s="89"/>
      <c r="X295" s="89"/>
      <c r="Y295" s="89"/>
      <c r="Z295" s="89"/>
      <c r="AA295" s="89"/>
      <c r="AB295" s="89"/>
      <c r="AC295" s="89"/>
      <c r="AD295" s="89"/>
    </row>
    <row r="296" spans="1:30" ht="13.8">
      <c r="A296" s="89"/>
      <c r="B296" s="89"/>
      <c r="C296" s="89"/>
      <c r="D296" s="89"/>
      <c r="E296" s="89"/>
      <c r="F296" s="110"/>
      <c r="G296" s="89"/>
      <c r="H296" s="110"/>
      <c r="I296" s="89"/>
      <c r="J296" s="110"/>
      <c r="K296" s="89"/>
      <c r="L296" s="89"/>
      <c r="M296" s="110"/>
      <c r="N296" s="89"/>
      <c r="O296" s="110"/>
      <c r="P296" s="89"/>
      <c r="Q296" s="110"/>
      <c r="R296" s="89"/>
      <c r="S296" s="89"/>
      <c r="T296" s="89"/>
      <c r="U296" s="89"/>
      <c r="V296" s="89"/>
      <c r="W296" s="89"/>
      <c r="X296" s="89"/>
      <c r="Y296" s="89"/>
      <c r="Z296" s="89"/>
      <c r="AA296" s="89"/>
      <c r="AB296" s="89"/>
      <c r="AC296" s="89"/>
      <c r="AD296" s="89"/>
    </row>
    <row r="297" spans="1:30" ht="13.8">
      <c r="A297" s="89"/>
      <c r="B297" s="89"/>
      <c r="C297" s="89"/>
      <c r="D297" s="89"/>
      <c r="E297" s="89"/>
      <c r="F297" s="110"/>
      <c r="G297" s="89"/>
      <c r="H297" s="110"/>
      <c r="I297" s="89"/>
      <c r="J297" s="110"/>
      <c r="K297" s="89"/>
      <c r="L297" s="89"/>
      <c r="M297" s="110"/>
      <c r="N297" s="89"/>
      <c r="O297" s="110"/>
      <c r="P297" s="89"/>
      <c r="Q297" s="110"/>
      <c r="R297" s="89"/>
      <c r="S297" s="89"/>
      <c r="T297" s="89"/>
      <c r="U297" s="89"/>
      <c r="V297" s="89"/>
      <c r="W297" s="89"/>
      <c r="X297" s="89"/>
      <c r="Y297" s="89"/>
      <c r="Z297" s="89"/>
      <c r="AA297" s="89"/>
      <c r="AB297" s="89"/>
      <c r="AC297" s="89"/>
      <c r="AD297" s="89"/>
    </row>
    <row r="298" spans="1:30" ht="13.8">
      <c r="A298" s="89"/>
      <c r="B298" s="89"/>
      <c r="C298" s="89"/>
      <c r="D298" s="89"/>
      <c r="E298" s="89"/>
      <c r="F298" s="110"/>
      <c r="G298" s="89"/>
      <c r="H298" s="110"/>
      <c r="I298" s="89"/>
      <c r="J298" s="110"/>
      <c r="K298" s="89"/>
      <c r="L298" s="89"/>
      <c r="M298" s="110"/>
      <c r="N298" s="89"/>
      <c r="O298" s="110"/>
      <c r="P298" s="89"/>
      <c r="Q298" s="110"/>
      <c r="R298" s="89"/>
      <c r="S298" s="89"/>
      <c r="T298" s="89"/>
      <c r="U298" s="89"/>
      <c r="V298" s="89"/>
      <c r="W298" s="89"/>
      <c r="X298" s="89"/>
      <c r="Y298" s="89"/>
      <c r="Z298" s="89"/>
      <c r="AA298" s="89"/>
      <c r="AB298" s="89"/>
      <c r="AC298" s="89"/>
      <c r="AD298" s="89"/>
    </row>
    <row r="299" spans="1:30" ht="13.8">
      <c r="A299" s="89"/>
      <c r="B299" s="89"/>
      <c r="C299" s="89"/>
      <c r="D299" s="89"/>
      <c r="E299" s="89"/>
      <c r="F299" s="110"/>
      <c r="G299" s="89"/>
      <c r="H299" s="110"/>
      <c r="I299" s="89"/>
      <c r="J299" s="110"/>
      <c r="K299" s="89"/>
      <c r="L299" s="89"/>
      <c r="M299" s="110"/>
      <c r="N299" s="89"/>
      <c r="O299" s="110"/>
      <c r="P299" s="89"/>
      <c r="Q299" s="110"/>
      <c r="R299" s="89"/>
      <c r="S299" s="89"/>
      <c r="T299" s="89"/>
      <c r="U299" s="89"/>
      <c r="V299" s="89"/>
      <c r="W299" s="89"/>
      <c r="X299" s="89"/>
      <c r="Y299" s="89"/>
      <c r="Z299" s="89"/>
      <c r="AA299" s="89"/>
      <c r="AB299" s="89"/>
      <c r="AC299" s="89"/>
      <c r="AD299" s="89"/>
    </row>
    <row r="300" spans="1:30" ht="13.8">
      <c r="A300" s="89"/>
      <c r="B300" s="89"/>
      <c r="C300" s="89"/>
      <c r="D300" s="89"/>
      <c r="E300" s="89"/>
      <c r="F300" s="110"/>
      <c r="G300" s="89"/>
      <c r="H300" s="110"/>
      <c r="I300" s="89"/>
      <c r="J300" s="110"/>
      <c r="K300" s="89"/>
      <c r="L300" s="89"/>
      <c r="M300" s="110"/>
      <c r="N300" s="89"/>
      <c r="O300" s="110"/>
      <c r="P300" s="89"/>
      <c r="Q300" s="110"/>
      <c r="R300" s="89"/>
      <c r="S300" s="89"/>
      <c r="T300" s="89"/>
      <c r="U300" s="89"/>
      <c r="V300" s="89"/>
      <c r="W300" s="89"/>
      <c r="X300" s="89"/>
      <c r="Y300" s="89"/>
      <c r="Z300" s="89"/>
      <c r="AA300" s="89"/>
      <c r="AB300" s="89"/>
      <c r="AC300" s="89"/>
      <c r="AD300" s="89"/>
    </row>
    <row r="301" spans="1:30" ht="13.8">
      <c r="A301" s="89"/>
      <c r="B301" s="89"/>
      <c r="C301" s="89"/>
      <c r="D301" s="89"/>
      <c r="E301" s="89"/>
      <c r="F301" s="110"/>
      <c r="G301" s="89"/>
      <c r="H301" s="110"/>
      <c r="I301" s="89"/>
      <c r="J301" s="110"/>
      <c r="K301" s="89"/>
      <c r="L301" s="89"/>
      <c r="M301" s="110"/>
      <c r="N301" s="89"/>
      <c r="O301" s="110"/>
      <c r="P301" s="89"/>
      <c r="Q301" s="110"/>
      <c r="R301" s="89"/>
      <c r="S301" s="89"/>
      <c r="T301" s="89"/>
      <c r="U301" s="89"/>
      <c r="V301" s="89"/>
      <c r="W301" s="89"/>
      <c r="X301" s="89"/>
      <c r="Y301" s="89"/>
      <c r="Z301" s="89"/>
      <c r="AA301" s="89"/>
      <c r="AB301" s="89"/>
      <c r="AC301" s="89"/>
      <c r="AD301" s="89"/>
    </row>
    <row r="302" spans="1:30" ht="13.8">
      <c r="A302" s="89"/>
      <c r="B302" s="89"/>
      <c r="C302" s="89"/>
      <c r="D302" s="89"/>
      <c r="E302" s="89"/>
      <c r="F302" s="110"/>
      <c r="G302" s="89"/>
      <c r="H302" s="110"/>
      <c r="I302" s="89"/>
      <c r="J302" s="110"/>
      <c r="K302" s="89"/>
      <c r="L302" s="89"/>
      <c r="M302" s="110"/>
      <c r="N302" s="89"/>
      <c r="O302" s="110"/>
      <c r="P302" s="89"/>
      <c r="Q302" s="110"/>
      <c r="R302" s="89"/>
      <c r="S302" s="89"/>
      <c r="T302" s="89"/>
      <c r="U302" s="89"/>
      <c r="V302" s="89"/>
      <c r="W302" s="89"/>
      <c r="X302" s="89"/>
      <c r="Y302" s="89"/>
      <c r="Z302" s="89"/>
      <c r="AA302" s="89"/>
      <c r="AB302" s="89"/>
      <c r="AC302" s="89"/>
      <c r="AD302" s="89"/>
    </row>
    <row r="303" spans="1:30" ht="13.8">
      <c r="A303" s="89"/>
      <c r="B303" s="89"/>
      <c r="C303" s="89"/>
      <c r="D303" s="89"/>
      <c r="E303" s="89"/>
      <c r="F303" s="110"/>
      <c r="G303" s="89"/>
      <c r="H303" s="110"/>
      <c r="I303" s="89"/>
      <c r="J303" s="110"/>
      <c r="K303" s="89"/>
      <c r="L303" s="89"/>
      <c r="M303" s="110"/>
      <c r="N303" s="89"/>
      <c r="O303" s="110"/>
      <c r="P303" s="89"/>
      <c r="Q303" s="110"/>
      <c r="R303" s="89"/>
      <c r="S303" s="89"/>
      <c r="T303" s="89"/>
      <c r="U303" s="89"/>
      <c r="V303" s="89"/>
      <c r="W303" s="89"/>
      <c r="X303" s="89"/>
      <c r="Y303" s="89"/>
      <c r="Z303" s="89"/>
      <c r="AA303" s="89"/>
      <c r="AB303" s="89"/>
      <c r="AC303" s="89"/>
      <c r="AD303" s="89"/>
    </row>
    <row r="304" spans="1:30" ht="13.8">
      <c r="A304" s="89"/>
      <c r="B304" s="89"/>
      <c r="C304" s="89"/>
      <c r="D304" s="89"/>
      <c r="E304" s="89"/>
      <c r="F304" s="110"/>
      <c r="G304" s="89"/>
      <c r="H304" s="110"/>
      <c r="I304" s="89"/>
      <c r="J304" s="110"/>
      <c r="K304" s="89"/>
      <c r="L304" s="89"/>
      <c r="M304" s="110"/>
      <c r="N304" s="89"/>
      <c r="O304" s="110"/>
      <c r="P304" s="89"/>
      <c r="Q304" s="110"/>
      <c r="R304" s="89"/>
      <c r="S304" s="89"/>
      <c r="T304" s="89"/>
      <c r="U304" s="89"/>
      <c r="V304" s="89"/>
      <c r="W304" s="89"/>
      <c r="X304" s="89"/>
      <c r="Y304" s="89"/>
      <c r="Z304" s="89"/>
      <c r="AA304" s="89"/>
      <c r="AB304" s="89"/>
      <c r="AC304" s="89"/>
      <c r="AD304" s="89"/>
    </row>
    <row r="305" spans="1:30" ht="13.8">
      <c r="A305" s="89"/>
      <c r="B305" s="89"/>
      <c r="C305" s="89"/>
      <c r="D305" s="89"/>
      <c r="E305" s="89"/>
      <c r="F305" s="110"/>
      <c r="G305" s="89"/>
      <c r="H305" s="110"/>
      <c r="I305" s="89"/>
      <c r="J305" s="110"/>
      <c r="K305" s="89"/>
      <c r="L305" s="89"/>
      <c r="M305" s="110"/>
      <c r="N305" s="89"/>
      <c r="O305" s="110"/>
      <c r="P305" s="89"/>
      <c r="Q305" s="110"/>
      <c r="R305" s="89"/>
      <c r="S305" s="89"/>
      <c r="T305" s="89"/>
      <c r="U305" s="89"/>
      <c r="V305" s="89"/>
      <c r="W305" s="89"/>
      <c r="X305" s="89"/>
      <c r="Y305" s="89"/>
      <c r="Z305" s="89"/>
      <c r="AA305" s="89"/>
      <c r="AB305" s="89"/>
      <c r="AC305" s="89"/>
      <c r="AD305" s="89"/>
    </row>
    <row r="306" spans="1:30" ht="13.8">
      <c r="A306" s="89"/>
      <c r="B306" s="89"/>
      <c r="C306" s="89"/>
      <c r="D306" s="89"/>
      <c r="E306" s="89"/>
      <c r="F306" s="110"/>
      <c r="G306" s="89"/>
      <c r="H306" s="110"/>
      <c r="I306" s="89"/>
      <c r="J306" s="110"/>
      <c r="K306" s="89"/>
      <c r="L306" s="89"/>
      <c r="M306" s="110"/>
      <c r="N306" s="89"/>
      <c r="O306" s="110"/>
      <c r="P306" s="89"/>
      <c r="Q306" s="110"/>
      <c r="R306" s="89"/>
      <c r="S306" s="89"/>
      <c r="T306" s="89"/>
      <c r="U306" s="89"/>
      <c r="V306" s="89"/>
      <c r="W306" s="89"/>
      <c r="X306" s="89"/>
      <c r="Y306" s="89"/>
      <c r="Z306" s="89"/>
      <c r="AA306" s="89"/>
      <c r="AB306" s="89"/>
      <c r="AC306" s="89"/>
      <c r="AD306" s="89"/>
    </row>
    <row r="307" spans="1:30" ht="13.8">
      <c r="A307" s="89"/>
      <c r="B307" s="89"/>
      <c r="C307" s="89"/>
      <c r="D307" s="89"/>
      <c r="E307" s="89"/>
      <c r="F307" s="110"/>
      <c r="G307" s="89"/>
      <c r="H307" s="110"/>
      <c r="I307" s="89"/>
      <c r="J307" s="110"/>
      <c r="K307" s="89"/>
      <c r="L307" s="89"/>
      <c r="M307" s="110"/>
      <c r="N307" s="89"/>
      <c r="O307" s="110"/>
      <c r="P307" s="89"/>
      <c r="Q307" s="110"/>
      <c r="R307" s="89"/>
      <c r="S307" s="89"/>
      <c r="T307" s="89"/>
      <c r="U307" s="89"/>
      <c r="V307" s="89"/>
      <c r="W307" s="89"/>
      <c r="X307" s="89"/>
      <c r="Y307" s="89"/>
      <c r="Z307" s="89"/>
      <c r="AA307" s="89"/>
      <c r="AB307" s="89"/>
      <c r="AC307" s="89"/>
      <c r="AD307" s="89"/>
    </row>
    <row r="308" spans="1:30" ht="13.8">
      <c r="A308" s="89"/>
      <c r="B308" s="89"/>
      <c r="C308" s="89"/>
      <c r="D308" s="89"/>
      <c r="E308" s="89"/>
      <c r="F308" s="110"/>
      <c r="G308" s="89"/>
      <c r="H308" s="110"/>
      <c r="I308" s="89"/>
      <c r="J308" s="110"/>
      <c r="K308" s="89"/>
      <c r="L308" s="89"/>
      <c r="M308" s="110"/>
      <c r="N308" s="89"/>
      <c r="O308" s="110"/>
      <c r="P308" s="89"/>
      <c r="Q308" s="110"/>
      <c r="R308" s="89"/>
      <c r="S308" s="89"/>
      <c r="T308" s="89"/>
      <c r="U308" s="89"/>
      <c r="V308" s="89"/>
      <c r="W308" s="89"/>
      <c r="X308" s="89"/>
      <c r="Y308" s="89"/>
      <c r="Z308" s="89"/>
      <c r="AA308" s="89"/>
      <c r="AB308" s="89"/>
      <c r="AC308" s="89"/>
      <c r="AD308" s="89"/>
    </row>
    <row r="309" spans="1:30" ht="13.8">
      <c r="A309" s="89"/>
      <c r="B309" s="89"/>
      <c r="C309" s="89"/>
      <c r="D309" s="89"/>
      <c r="E309" s="89"/>
      <c r="F309" s="110"/>
      <c r="G309" s="89"/>
      <c r="H309" s="110"/>
      <c r="I309" s="89"/>
      <c r="J309" s="110"/>
      <c r="K309" s="89"/>
      <c r="L309" s="89"/>
      <c r="M309" s="110"/>
      <c r="N309" s="89"/>
      <c r="O309" s="110"/>
      <c r="P309" s="89"/>
      <c r="Q309" s="110"/>
      <c r="R309" s="89"/>
      <c r="S309" s="89"/>
      <c r="T309" s="89"/>
      <c r="U309" s="89"/>
      <c r="V309" s="89"/>
      <c r="W309" s="89"/>
      <c r="X309" s="89"/>
      <c r="Y309" s="89"/>
      <c r="Z309" s="89"/>
      <c r="AA309" s="89"/>
      <c r="AB309" s="89"/>
      <c r="AC309" s="89"/>
      <c r="AD309" s="89"/>
    </row>
    <row r="310" spans="1:30" ht="13.8">
      <c r="A310" s="89"/>
      <c r="B310" s="89"/>
      <c r="C310" s="89"/>
      <c r="D310" s="89"/>
      <c r="E310" s="89"/>
      <c r="F310" s="110"/>
      <c r="G310" s="89"/>
      <c r="H310" s="110"/>
      <c r="I310" s="89"/>
      <c r="J310" s="110"/>
      <c r="K310" s="89"/>
      <c r="L310" s="89"/>
      <c r="M310" s="110"/>
      <c r="N310" s="89"/>
      <c r="O310" s="110"/>
      <c r="P310" s="89"/>
      <c r="Q310" s="110"/>
      <c r="R310" s="89"/>
      <c r="S310" s="89"/>
      <c r="T310" s="89"/>
      <c r="U310" s="89"/>
      <c r="V310" s="89"/>
      <c r="W310" s="89"/>
      <c r="X310" s="89"/>
      <c r="Y310" s="89"/>
      <c r="Z310" s="89"/>
      <c r="AA310" s="89"/>
      <c r="AB310" s="89"/>
      <c r="AC310" s="89"/>
      <c r="AD310" s="89"/>
    </row>
    <row r="311" spans="1:30" ht="13.8">
      <c r="A311" s="89"/>
      <c r="B311" s="89"/>
      <c r="C311" s="89"/>
      <c r="D311" s="89"/>
      <c r="E311" s="89"/>
      <c r="F311" s="110"/>
      <c r="G311" s="89"/>
      <c r="H311" s="110"/>
      <c r="I311" s="89"/>
      <c r="J311" s="110"/>
      <c r="K311" s="89"/>
      <c r="L311" s="89"/>
      <c r="M311" s="110"/>
      <c r="N311" s="89"/>
      <c r="O311" s="110"/>
      <c r="P311" s="89"/>
      <c r="Q311" s="110"/>
      <c r="R311" s="89"/>
      <c r="S311" s="89"/>
      <c r="T311" s="89"/>
      <c r="U311" s="89"/>
      <c r="V311" s="89"/>
      <c r="W311" s="89"/>
      <c r="X311" s="89"/>
      <c r="Y311" s="89"/>
      <c r="Z311" s="89"/>
      <c r="AA311" s="89"/>
      <c r="AB311" s="89"/>
      <c r="AC311" s="89"/>
      <c r="AD311" s="89"/>
    </row>
    <row r="312" spans="1:30" ht="13.8">
      <c r="A312" s="89"/>
      <c r="B312" s="89"/>
      <c r="C312" s="89"/>
      <c r="D312" s="89"/>
      <c r="E312" s="89"/>
      <c r="F312" s="110"/>
      <c r="G312" s="89"/>
      <c r="H312" s="110"/>
      <c r="I312" s="89"/>
      <c r="J312" s="110"/>
      <c r="K312" s="89"/>
      <c r="L312" s="89"/>
      <c r="M312" s="110"/>
      <c r="N312" s="89"/>
      <c r="O312" s="110"/>
      <c r="P312" s="89"/>
      <c r="Q312" s="110"/>
      <c r="R312" s="89"/>
      <c r="S312" s="89"/>
      <c r="T312" s="89"/>
      <c r="U312" s="89"/>
      <c r="V312" s="89"/>
      <c r="W312" s="89"/>
      <c r="X312" s="89"/>
      <c r="Y312" s="89"/>
      <c r="Z312" s="89"/>
      <c r="AA312" s="89"/>
      <c r="AB312" s="89"/>
      <c r="AC312" s="89"/>
      <c r="AD312" s="89"/>
    </row>
    <row r="313" spans="1:30" ht="13.8">
      <c r="A313" s="89"/>
      <c r="B313" s="89"/>
      <c r="C313" s="89"/>
      <c r="D313" s="89"/>
      <c r="E313" s="89"/>
      <c r="F313" s="110"/>
      <c r="G313" s="89"/>
      <c r="H313" s="110"/>
      <c r="I313" s="89"/>
      <c r="J313" s="110"/>
      <c r="K313" s="89"/>
      <c r="L313" s="89"/>
      <c r="M313" s="110"/>
      <c r="N313" s="89"/>
      <c r="O313" s="110"/>
      <c r="P313" s="89"/>
      <c r="Q313" s="110"/>
      <c r="R313" s="89"/>
      <c r="S313" s="89"/>
      <c r="T313" s="89"/>
      <c r="U313" s="89"/>
      <c r="V313" s="89"/>
      <c r="W313" s="89"/>
      <c r="X313" s="89"/>
      <c r="Y313" s="89"/>
      <c r="Z313" s="89"/>
      <c r="AA313" s="89"/>
      <c r="AB313" s="89"/>
      <c r="AC313" s="89"/>
      <c r="AD313" s="89"/>
    </row>
    <row r="314" spans="1:30" ht="13.8">
      <c r="A314" s="89"/>
      <c r="B314" s="89"/>
      <c r="C314" s="89"/>
      <c r="D314" s="89"/>
      <c r="E314" s="89"/>
      <c r="F314" s="110"/>
      <c r="G314" s="89"/>
      <c r="H314" s="110"/>
      <c r="I314" s="89"/>
      <c r="J314" s="110"/>
      <c r="K314" s="89"/>
      <c r="L314" s="89"/>
      <c r="M314" s="110"/>
      <c r="N314" s="89"/>
      <c r="O314" s="110"/>
      <c r="P314" s="89"/>
      <c r="Q314" s="110"/>
      <c r="R314" s="89"/>
      <c r="S314" s="89"/>
      <c r="T314" s="89"/>
      <c r="U314" s="89"/>
      <c r="V314" s="89"/>
      <c r="W314" s="89"/>
      <c r="X314" s="89"/>
      <c r="Y314" s="89"/>
      <c r="Z314" s="89"/>
      <c r="AA314" s="89"/>
      <c r="AB314" s="89"/>
      <c r="AC314" s="89"/>
      <c r="AD314" s="89"/>
    </row>
    <row r="315" spans="1:30" ht="13.8">
      <c r="A315" s="89"/>
      <c r="B315" s="89"/>
      <c r="C315" s="89"/>
      <c r="D315" s="89"/>
      <c r="E315" s="89"/>
      <c r="F315" s="110"/>
      <c r="G315" s="89"/>
      <c r="H315" s="110"/>
      <c r="I315" s="89"/>
      <c r="J315" s="110"/>
      <c r="K315" s="89"/>
      <c r="L315" s="89"/>
      <c r="M315" s="110"/>
      <c r="N315" s="89"/>
      <c r="O315" s="110"/>
      <c r="P315" s="89"/>
      <c r="Q315" s="110"/>
      <c r="R315" s="89"/>
      <c r="S315" s="89"/>
      <c r="T315" s="89"/>
      <c r="U315" s="89"/>
      <c r="V315" s="89"/>
      <c r="W315" s="89"/>
      <c r="X315" s="89"/>
      <c r="Y315" s="89"/>
      <c r="Z315" s="89"/>
      <c r="AA315" s="89"/>
      <c r="AB315" s="89"/>
      <c r="AC315" s="89"/>
      <c r="AD315" s="89"/>
    </row>
    <row r="316" spans="1:30" ht="13.8">
      <c r="A316" s="89"/>
      <c r="B316" s="89"/>
      <c r="C316" s="89"/>
      <c r="D316" s="89"/>
      <c r="E316" s="89"/>
      <c r="F316" s="110"/>
      <c r="G316" s="89"/>
      <c r="H316" s="110"/>
      <c r="I316" s="89"/>
      <c r="J316" s="110"/>
      <c r="K316" s="89"/>
      <c r="L316" s="89"/>
      <c r="M316" s="110"/>
      <c r="N316" s="89"/>
      <c r="O316" s="110"/>
      <c r="P316" s="89"/>
      <c r="Q316" s="110"/>
      <c r="R316" s="89"/>
      <c r="S316" s="89"/>
      <c r="T316" s="89"/>
      <c r="U316" s="89"/>
      <c r="V316" s="89"/>
      <c r="W316" s="89"/>
      <c r="X316" s="89"/>
      <c r="Y316" s="89"/>
      <c r="Z316" s="89"/>
      <c r="AA316" s="89"/>
      <c r="AB316" s="89"/>
      <c r="AC316" s="89"/>
      <c r="AD316" s="89"/>
    </row>
    <row r="317" spans="1:30" ht="13.8">
      <c r="A317" s="89"/>
      <c r="B317" s="89"/>
      <c r="C317" s="89"/>
      <c r="D317" s="89"/>
      <c r="E317" s="89"/>
      <c r="F317" s="110"/>
      <c r="G317" s="89"/>
      <c r="H317" s="110"/>
      <c r="I317" s="89"/>
      <c r="J317" s="110"/>
      <c r="K317" s="89"/>
      <c r="L317" s="89"/>
      <c r="M317" s="110"/>
      <c r="N317" s="89"/>
      <c r="O317" s="110"/>
      <c r="P317" s="89"/>
      <c r="Q317" s="110"/>
      <c r="R317" s="89"/>
      <c r="S317" s="89"/>
      <c r="T317" s="89"/>
      <c r="U317" s="89"/>
      <c r="V317" s="89"/>
      <c r="W317" s="89"/>
      <c r="X317" s="89"/>
      <c r="Y317" s="89"/>
      <c r="Z317" s="89"/>
      <c r="AA317" s="89"/>
      <c r="AB317" s="89"/>
      <c r="AC317" s="89"/>
      <c r="AD317" s="89"/>
    </row>
    <row r="318" spans="1:30" ht="13.8">
      <c r="A318" s="89"/>
      <c r="B318" s="89"/>
      <c r="C318" s="89"/>
      <c r="D318" s="89"/>
      <c r="E318" s="89"/>
      <c r="F318" s="110"/>
      <c r="G318" s="89"/>
      <c r="H318" s="110"/>
      <c r="I318" s="89"/>
      <c r="J318" s="110"/>
      <c r="K318" s="89"/>
      <c r="L318" s="89"/>
      <c r="M318" s="110"/>
      <c r="N318" s="89"/>
      <c r="O318" s="110"/>
      <c r="P318" s="89"/>
      <c r="Q318" s="110"/>
      <c r="R318" s="89"/>
      <c r="S318" s="89"/>
      <c r="T318" s="89"/>
      <c r="U318" s="89"/>
      <c r="V318" s="89"/>
      <c r="W318" s="89"/>
      <c r="X318" s="89"/>
      <c r="Y318" s="89"/>
      <c r="Z318" s="89"/>
      <c r="AA318" s="89"/>
      <c r="AB318" s="89"/>
      <c r="AC318" s="89"/>
      <c r="AD318" s="89"/>
    </row>
    <row r="319" spans="1:30" ht="13.8">
      <c r="A319" s="89"/>
      <c r="B319" s="89"/>
      <c r="C319" s="89"/>
      <c r="D319" s="89"/>
      <c r="E319" s="89"/>
      <c r="F319" s="110"/>
      <c r="G319" s="89"/>
      <c r="H319" s="110"/>
      <c r="I319" s="89"/>
      <c r="J319" s="110"/>
      <c r="K319" s="89"/>
      <c r="L319" s="89"/>
      <c r="M319" s="110"/>
      <c r="N319" s="89"/>
      <c r="O319" s="110"/>
      <c r="P319" s="89"/>
      <c r="Q319" s="110"/>
      <c r="R319" s="89"/>
      <c r="S319" s="89"/>
      <c r="T319" s="89"/>
      <c r="U319" s="89"/>
      <c r="V319" s="89"/>
      <c r="W319" s="89"/>
      <c r="X319" s="89"/>
      <c r="Y319" s="89"/>
      <c r="Z319" s="89"/>
      <c r="AA319" s="89"/>
      <c r="AB319" s="89"/>
      <c r="AC319" s="89"/>
      <c r="AD319" s="89"/>
    </row>
    <row r="320" spans="1:30" ht="13.8">
      <c r="A320" s="89"/>
      <c r="B320" s="89"/>
      <c r="C320" s="89"/>
      <c r="D320" s="89"/>
      <c r="E320" s="89"/>
      <c r="F320" s="110"/>
      <c r="G320" s="89"/>
      <c r="H320" s="110"/>
      <c r="I320" s="89"/>
      <c r="J320" s="110"/>
      <c r="K320" s="89"/>
      <c r="L320" s="89"/>
      <c r="M320" s="110"/>
      <c r="N320" s="89"/>
      <c r="O320" s="110"/>
      <c r="P320" s="89"/>
      <c r="Q320" s="110"/>
      <c r="R320" s="89"/>
      <c r="S320" s="89"/>
      <c r="T320" s="89"/>
      <c r="U320" s="89"/>
      <c r="V320" s="89"/>
      <c r="W320" s="89"/>
      <c r="X320" s="89"/>
      <c r="Y320" s="89"/>
      <c r="Z320" s="89"/>
      <c r="AA320" s="89"/>
      <c r="AB320" s="89"/>
      <c r="AC320" s="89"/>
      <c r="AD320" s="89"/>
    </row>
    <row r="321" spans="1:30" ht="13.8">
      <c r="A321" s="89"/>
      <c r="B321" s="89"/>
      <c r="C321" s="89"/>
      <c r="D321" s="89"/>
      <c r="E321" s="89"/>
      <c r="F321" s="110"/>
      <c r="G321" s="89"/>
      <c r="H321" s="110"/>
      <c r="I321" s="89"/>
      <c r="J321" s="110"/>
      <c r="K321" s="89"/>
      <c r="L321" s="89"/>
      <c r="M321" s="110"/>
      <c r="N321" s="89"/>
      <c r="O321" s="110"/>
      <c r="P321" s="89"/>
      <c r="Q321" s="110"/>
      <c r="R321" s="89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</row>
    <row r="322" spans="1:30" ht="13.8">
      <c r="A322" s="89"/>
      <c r="B322" s="89"/>
      <c r="C322" s="89"/>
      <c r="D322" s="89"/>
      <c r="E322" s="89"/>
      <c r="F322" s="110"/>
      <c r="G322" s="89"/>
      <c r="H322" s="110"/>
      <c r="I322" s="89"/>
      <c r="J322" s="110"/>
      <c r="K322" s="89"/>
      <c r="L322" s="89"/>
      <c r="M322" s="110"/>
      <c r="N322" s="89"/>
      <c r="O322" s="110"/>
      <c r="P322" s="89"/>
      <c r="Q322" s="110"/>
      <c r="R322" s="89"/>
      <c r="S322" s="89"/>
      <c r="T322" s="89"/>
      <c r="U322" s="89"/>
      <c r="V322" s="89"/>
      <c r="W322" s="89"/>
      <c r="X322" s="89"/>
      <c r="Y322" s="89"/>
      <c r="Z322" s="89"/>
      <c r="AA322" s="89"/>
      <c r="AB322" s="89"/>
      <c r="AC322" s="89"/>
      <c r="AD322" s="89"/>
    </row>
    <row r="323" spans="1:30" ht="13.8">
      <c r="A323" s="89"/>
      <c r="B323" s="89"/>
      <c r="C323" s="89"/>
      <c r="D323" s="89"/>
      <c r="E323" s="89"/>
      <c r="F323" s="110"/>
      <c r="G323" s="89"/>
      <c r="H323" s="110"/>
      <c r="I323" s="89"/>
      <c r="J323" s="110"/>
      <c r="K323" s="89"/>
      <c r="L323" s="89"/>
      <c r="M323" s="110"/>
      <c r="N323" s="89"/>
      <c r="O323" s="110"/>
      <c r="P323" s="89"/>
      <c r="Q323" s="110"/>
      <c r="R323" s="89"/>
      <c r="S323" s="89"/>
      <c r="T323" s="89"/>
      <c r="U323" s="89"/>
      <c r="V323" s="89"/>
      <c r="W323" s="89"/>
      <c r="X323" s="89"/>
      <c r="Y323" s="89"/>
      <c r="Z323" s="89"/>
      <c r="AA323" s="89"/>
      <c r="AB323" s="89"/>
      <c r="AC323" s="89"/>
      <c r="AD323" s="89"/>
    </row>
    <row r="324" spans="1:30" ht="13.8">
      <c r="A324" s="89"/>
      <c r="B324" s="89"/>
      <c r="C324" s="89"/>
      <c r="D324" s="89"/>
      <c r="E324" s="89"/>
      <c r="F324" s="110"/>
      <c r="G324" s="89"/>
      <c r="H324" s="110"/>
      <c r="I324" s="89"/>
      <c r="J324" s="110"/>
      <c r="K324" s="89"/>
      <c r="L324" s="89"/>
      <c r="M324" s="110"/>
      <c r="N324" s="89"/>
      <c r="O324" s="110"/>
      <c r="P324" s="89"/>
      <c r="Q324" s="110"/>
      <c r="R324" s="89"/>
      <c r="S324" s="89"/>
      <c r="T324" s="89"/>
      <c r="U324" s="89"/>
      <c r="V324" s="89"/>
      <c r="W324" s="89"/>
      <c r="X324" s="89"/>
      <c r="Y324" s="89"/>
      <c r="Z324" s="89"/>
      <c r="AA324" s="89"/>
      <c r="AB324" s="89"/>
      <c r="AC324" s="89"/>
      <c r="AD324" s="89"/>
    </row>
    <row r="325" spans="1:30" ht="13.8">
      <c r="A325" s="89"/>
      <c r="B325" s="89"/>
      <c r="C325" s="89"/>
      <c r="D325" s="89"/>
      <c r="E325" s="89"/>
      <c r="F325" s="110"/>
      <c r="G325" s="89"/>
      <c r="H325" s="110"/>
      <c r="I325" s="89"/>
      <c r="J325" s="110"/>
      <c r="K325" s="89"/>
      <c r="L325" s="89"/>
      <c r="M325" s="110"/>
      <c r="N325" s="89"/>
      <c r="O325" s="110"/>
      <c r="P325" s="89"/>
      <c r="Q325" s="110"/>
      <c r="R325" s="89"/>
      <c r="S325" s="89"/>
      <c r="T325" s="89"/>
      <c r="U325" s="89"/>
      <c r="V325" s="89"/>
      <c r="W325" s="89"/>
      <c r="X325" s="89"/>
      <c r="Y325" s="89"/>
      <c r="Z325" s="89"/>
      <c r="AA325" s="89"/>
      <c r="AB325" s="89"/>
      <c r="AC325" s="89"/>
      <c r="AD325" s="89"/>
    </row>
    <row r="326" spans="1:30" ht="13.8">
      <c r="A326" s="89"/>
      <c r="B326" s="89"/>
      <c r="C326" s="89"/>
      <c r="D326" s="89"/>
      <c r="E326" s="89"/>
      <c r="F326" s="110"/>
      <c r="G326" s="89"/>
      <c r="H326" s="110"/>
      <c r="I326" s="89"/>
      <c r="J326" s="110"/>
      <c r="K326" s="89"/>
      <c r="L326" s="89"/>
      <c r="M326" s="110"/>
      <c r="N326" s="89"/>
      <c r="O326" s="110"/>
      <c r="P326" s="89"/>
      <c r="Q326" s="110"/>
      <c r="R326" s="89"/>
      <c r="S326" s="89"/>
      <c r="T326" s="89"/>
      <c r="U326" s="89"/>
      <c r="V326" s="89"/>
      <c r="W326" s="89"/>
      <c r="X326" s="89"/>
      <c r="Y326" s="89"/>
      <c r="Z326" s="89"/>
      <c r="AA326" s="89"/>
      <c r="AB326" s="89"/>
      <c r="AC326" s="89"/>
      <c r="AD326" s="89"/>
    </row>
    <row r="327" spans="1:30" ht="13.8">
      <c r="A327" s="89"/>
      <c r="B327" s="89"/>
      <c r="C327" s="89"/>
      <c r="D327" s="89"/>
      <c r="E327" s="89"/>
      <c r="F327" s="110"/>
      <c r="G327" s="89"/>
      <c r="H327" s="110"/>
      <c r="I327" s="89"/>
      <c r="J327" s="110"/>
      <c r="K327" s="89"/>
      <c r="L327" s="89"/>
      <c r="M327" s="110"/>
      <c r="N327" s="89"/>
      <c r="O327" s="110"/>
      <c r="P327" s="89"/>
      <c r="Q327" s="110"/>
      <c r="R327" s="89"/>
      <c r="S327" s="89"/>
      <c r="T327" s="89"/>
      <c r="U327" s="89"/>
      <c r="V327" s="89"/>
      <c r="W327" s="89"/>
      <c r="X327" s="89"/>
      <c r="Y327" s="89"/>
      <c r="Z327" s="89"/>
      <c r="AA327" s="89"/>
      <c r="AB327" s="89"/>
      <c r="AC327" s="89"/>
      <c r="AD327" s="89"/>
    </row>
    <row r="328" spans="1:30" ht="13.8">
      <c r="A328" s="89"/>
      <c r="B328" s="89"/>
      <c r="C328" s="89"/>
      <c r="D328" s="89"/>
      <c r="E328" s="89"/>
      <c r="F328" s="110"/>
      <c r="G328" s="89"/>
      <c r="H328" s="110"/>
      <c r="I328" s="89"/>
      <c r="J328" s="110"/>
      <c r="K328" s="89"/>
      <c r="L328" s="89"/>
      <c r="M328" s="110"/>
      <c r="N328" s="89"/>
      <c r="O328" s="110"/>
      <c r="P328" s="89"/>
      <c r="Q328" s="110"/>
      <c r="R328" s="89"/>
      <c r="S328" s="89"/>
      <c r="T328" s="89"/>
      <c r="U328" s="89"/>
      <c r="V328" s="89"/>
      <c r="W328" s="89"/>
      <c r="X328" s="89"/>
      <c r="Y328" s="89"/>
      <c r="Z328" s="89"/>
      <c r="AA328" s="89"/>
      <c r="AB328" s="89"/>
      <c r="AC328" s="89"/>
      <c r="AD328" s="89"/>
    </row>
    <row r="329" spans="1:30" ht="13.8">
      <c r="A329" s="89"/>
      <c r="B329" s="89"/>
      <c r="C329" s="89"/>
      <c r="D329" s="89"/>
      <c r="E329" s="89"/>
      <c r="F329" s="110"/>
      <c r="G329" s="89"/>
      <c r="H329" s="110"/>
      <c r="I329" s="89"/>
      <c r="J329" s="110"/>
      <c r="K329" s="89"/>
      <c r="L329" s="89"/>
      <c r="M329" s="110"/>
      <c r="N329" s="89"/>
      <c r="O329" s="110"/>
      <c r="P329" s="89"/>
      <c r="Q329" s="110"/>
      <c r="R329" s="89"/>
      <c r="S329" s="89"/>
      <c r="T329" s="89"/>
      <c r="U329" s="89"/>
      <c r="V329" s="89"/>
      <c r="W329" s="89"/>
      <c r="X329" s="89"/>
      <c r="Y329" s="89"/>
      <c r="Z329" s="89"/>
      <c r="AA329" s="89"/>
      <c r="AB329" s="89"/>
      <c r="AC329" s="89"/>
      <c r="AD329" s="89"/>
    </row>
    <row r="330" spans="1:30" ht="13.8">
      <c r="A330" s="89"/>
      <c r="B330" s="89"/>
      <c r="C330" s="89"/>
      <c r="D330" s="89"/>
      <c r="E330" s="89"/>
      <c r="F330" s="110"/>
      <c r="G330" s="89"/>
      <c r="H330" s="110"/>
      <c r="I330" s="89"/>
      <c r="J330" s="110"/>
      <c r="K330" s="89"/>
      <c r="L330" s="89"/>
      <c r="M330" s="110"/>
      <c r="N330" s="89"/>
      <c r="O330" s="110"/>
      <c r="P330" s="89"/>
      <c r="Q330" s="110"/>
      <c r="R330" s="89"/>
      <c r="S330" s="89"/>
      <c r="T330" s="89"/>
      <c r="U330" s="89"/>
      <c r="V330" s="89"/>
      <c r="W330" s="89"/>
      <c r="X330" s="89"/>
      <c r="Y330" s="89"/>
      <c r="Z330" s="89"/>
      <c r="AA330" s="89"/>
      <c r="AB330" s="89"/>
      <c r="AC330" s="89"/>
      <c r="AD330" s="89"/>
    </row>
    <row r="331" spans="1:30" ht="13.8">
      <c r="A331" s="89"/>
      <c r="B331" s="89"/>
      <c r="C331" s="89"/>
      <c r="D331" s="89"/>
      <c r="E331" s="89"/>
      <c r="F331" s="110"/>
      <c r="G331" s="89"/>
      <c r="H331" s="110"/>
      <c r="I331" s="89"/>
      <c r="J331" s="110"/>
      <c r="K331" s="89"/>
      <c r="L331" s="89"/>
      <c r="M331" s="110"/>
      <c r="N331" s="89"/>
      <c r="O331" s="110"/>
      <c r="P331" s="89"/>
      <c r="Q331" s="110"/>
      <c r="R331" s="89"/>
      <c r="S331" s="89"/>
      <c r="T331" s="89"/>
      <c r="U331" s="89"/>
      <c r="V331" s="89"/>
      <c r="W331" s="89"/>
      <c r="X331" s="89"/>
      <c r="Y331" s="89"/>
      <c r="Z331" s="89"/>
      <c r="AA331" s="89"/>
      <c r="AB331" s="89"/>
      <c r="AC331" s="89"/>
      <c r="AD331" s="89"/>
    </row>
    <row r="332" spans="1:30" ht="13.8">
      <c r="A332" s="89"/>
      <c r="B332" s="89"/>
      <c r="C332" s="89"/>
      <c r="D332" s="89"/>
      <c r="E332" s="89"/>
      <c r="F332" s="110"/>
      <c r="G332" s="89"/>
      <c r="H332" s="110"/>
      <c r="I332" s="89"/>
      <c r="J332" s="110"/>
      <c r="K332" s="89"/>
      <c r="L332" s="89"/>
      <c r="M332" s="110"/>
      <c r="N332" s="89"/>
      <c r="O332" s="110"/>
      <c r="P332" s="89"/>
      <c r="Q332" s="110"/>
      <c r="R332" s="89"/>
      <c r="S332" s="89"/>
      <c r="T332" s="89"/>
      <c r="U332" s="89"/>
      <c r="V332" s="89"/>
      <c r="W332" s="89"/>
      <c r="X332" s="89"/>
      <c r="Y332" s="89"/>
      <c r="Z332" s="89"/>
      <c r="AA332" s="89"/>
      <c r="AB332" s="89"/>
      <c r="AC332" s="89"/>
      <c r="AD332" s="89"/>
    </row>
    <row r="333" spans="1:30" ht="13.8">
      <c r="A333" s="89"/>
      <c r="B333" s="89"/>
      <c r="C333" s="89"/>
      <c r="D333" s="89"/>
      <c r="E333" s="89"/>
      <c r="F333" s="110"/>
      <c r="G333" s="89"/>
      <c r="H333" s="110"/>
      <c r="I333" s="89"/>
      <c r="J333" s="110"/>
      <c r="K333" s="89"/>
      <c r="L333" s="89"/>
      <c r="M333" s="110"/>
      <c r="N333" s="89"/>
      <c r="O333" s="110"/>
      <c r="P333" s="89"/>
      <c r="Q333" s="110"/>
      <c r="R333" s="89"/>
      <c r="S333" s="89"/>
      <c r="T333" s="89"/>
      <c r="U333" s="89"/>
      <c r="V333" s="89"/>
      <c r="W333" s="89"/>
      <c r="X333" s="89"/>
      <c r="Y333" s="89"/>
      <c r="Z333" s="89"/>
      <c r="AA333" s="89"/>
      <c r="AB333" s="89"/>
      <c r="AC333" s="89"/>
      <c r="AD333" s="89"/>
    </row>
    <row r="334" spans="1:30" ht="13.8">
      <c r="A334" s="89"/>
      <c r="B334" s="89"/>
      <c r="C334" s="89"/>
      <c r="D334" s="89"/>
      <c r="E334" s="89"/>
      <c r="F334" s="110"/>
      <c r="G334" s="89"/>
      <c r="H334" s="110"/>
      <c r="I334" s="89"/>
      <c r="J334" s="110"/>
      <c r="K334" s="89"/>
      <c r="L334" s="89"/>
      <c r="M334" s="110"/>
      <c r="N334" s="89"/>
      <c r="O334" s="110"/>
      <c r="P334" s="89"/>
      <c r="Q334" s="110"/>
      <c r="R334" s="89"/>
      <c r="S334" s="89"/>
      <c r="T334" s="89"/>
      <c r="U334" s="89"/>
      <c r="V334" s="89"/>
      <c r="W334" s="89"/>
      <c r="X334" s="89"/>
      <c r="Y334" s="89"/>
      <c r="Z334" s="89"/>
      <c r="AA334" s="89"/>
      <c r="AB334" s="89"/>
      <c r="AC334" s="89"/>
      <c r="AD334" s="89"/>
    </row>
    <row r="335" spans="1:30" ht="13.8">
      <c r="A335" s="89"/>
      <c r="B335" s="89"/>
      <c r="C335" s="89"/>
      <c r="D335" s="89"/>
      <c r="E335" s="89"/>
      <c r="F335" s="110"/>
      <c r="G335" s="89"/>
      <c r="H335" s="110"/>
      <c r="I335" s="89"/>
      <c r="J335" s="110"/>
      <c r="K335" s="89"/>
      <c r="L335" s="89"/>
      <c r="M335" s="110"/>
      <c r="N335" s="89"/>
      <c r="O335" s="110"/>
      <c r="P335" s="89"/>
      <c r="Q335" s="110"/>
      <c r="R335" s="89"/>
      <c r="S335" s="89"/>
      <c r="T335" s="89"/>
      <c r="U335" s="89"/>
      <c r="V335" s="89"/>
      <c r="W335" s="89"/>
      <c r="X335" s="89"/>
      <c r="Y335" s="89"/>
      <c r="Z335" s="89"/>
      <c r="AA335" s="89"/>
      <c r="AB335" s="89"/>
      <c r="AC335" s="89"/>
      <c r="AD335" s="89"/>
    </row>
    <row r="336" spans="1:30" ht="13.8">
      <c r="A336" s="89"/>
      <c r="B336" s="89"/>
      <c r="C336" s="89"/>
      <c r="D336" s="89"/>
      <c r="E336" s="89"/>
      <c r="F336" s="110"/>
      <c r="G336" s="89"/>
      <c r="H336" s="110"/>
      <c r="I336" s="89"/>
      <c r="J336" s="110"/>
      <c r="K336" s="89"/>
      <c r="L336" s="89"/>
      <c r="M336" s="110"/>
      <c r="N336" s="89"/>
      <c r="O336" s="110"/>
      <c r="P336" s="89"/>
      <c r="Q336" s="110"/>
      <c r="R336" s="89"/>
      <c r="S336" s="89"/>
      <c r="T336" s="89"/>
      <c r="U336" s="89"/>
      <c r="V336" s="89"/>
      <c r="W336" s="89"/>
      <c r="X336" s="89"/>
      <c r="Y336" s="89"/>
      <c r="Z336" s="89"/>
      <c r="AA336" s="89"/>
      <c r="AB336" s="89"/>
      <c r="AC336" s="89"/>
      <c r="AD336" s="89"/>
    </row>
    <row r="337" spans="1:30" ht="13.8">
      <c r="A337" s="89"/>
      <c r="B337" s="89"/>
      <c r="C337" s="89"/>
      <c r="D337" s="89"/>
      <c r="E337" s="89"/>
      <c r="F337" s="110"/>
      <c r="G337" s="89"/>
      <c r="H337" s="110"/>
      <c r="I337" s="89"/>
      <c r="J337" s="110"/>
      <c r="K337" s="89"/>
      <c r="L337" s="89"/>
      <c r="M337" s="110"/>
      <c r="N337" s="89"/>
      <c r="O337" s="110"/>
      <c r="P337" s="89"/>
      <c r="Q337" s="110"/>
      <c r="R337" s="89"/>
      <c r="S337" s="89"/>
      <c r="T337" s="89"/>
      <c r="U337" s="89"/>
      <c r="V337" s="89"/>
      <c r="W337" s="89"/>
      <c r="X337" s="89"/>
      <c r="Y337" s="89"/>
      <c r="Z337" s="89"/>
      <c r="AA337" s="89"/>
      <c r="AB337" s="89"/>
      <c r="AC337" s="89"/>
      <c r="AD337" s="89"/>
    </row>
    <row r="338" spans="1:30" ht="13.8">
      <c r="A338" s="89"/>
      <c r="B338" s="89"/>
      <c r="C338" s="89"/>
      <c r="D338" s="89"/>
      <c r="E338" s="89"/>
      <c r="F338" s="110"/>
      <c r="G338" s="89"/>
      <c r="H338" s="110"/>
      <c r="I338" s="89"/>
      <c r="J338" s="110"/>
      <c r="K338" s="89"/>
      <c r="L338" s="89"/>
      <c r="M338" s="110"/>
      <c r="N338" s="89"/>
      <c r="O338" s="110"/>
      <c r="P338" s="89"/>
      <c r="Q338" s="110"/>
      <c r="R338" s="89"/>
      <c r="S338" s="89"/>
      <c r="T338" s="89"/>
      <c r="U338" s="89"/>
      <c r="V338" s="89"/>
      <c r="W338" s="89"/>
      <c r="X338" s="89"/>
      <c r="Y338" s="89"/>
      <c r="Z338" s="89"/>
      <c r="AA338" s="89"/>
      <c r="AB338" s="89"/>
      <c r="AC338" s="89"/>
      <c r="AD338" s="89"/>
    </row>
    <row r="339" spans="1:30" ht="13.8">
      <c r="A339" s="89"/>
      <c r="B339" s="89"/>
      <c r="C339" s="89"/>
      <c r="D339" s="89"/>
      <c r="E339" s="89"/>
      <c r="F339" s="110"/>
      <c r="G339" s="89"/>
      <c r="H339" s="110"/>
      <c r="I339" s="89"/>
      <c r="J339" s="110"/>
      <c r="K339" s="89"/>
      <c r="L339" s="89"/>
      <c r="M339" s="110"/>
      <c r="N339" s="89"/>
      <c r="O339" s="110"/>
      <c r="P339" s="89"/>
      <c r="Q339" s="110"/>
      <c r="R339" s="89"/>
      <c r="S339" s="89"/>
      <c r="T339" s="89"/>
      <c r="U339" s="89"/>
      <c r="V339" s="89"/>
      <c r="W339" s="89"/>
      <c r="X339" s="89"/>
      <c r="Y339" s="89"/>
      <c r="Z339" s="89"/>
      <c r="AA339" s="89"/>
      <c r="AB339" s="89"/>
      <c r="AC339" s="89"/>
      <c r="AD339" s="89"/>
    </row>
    <row r="340" spans="1:30" ht="13.8">
      <c r="A340" s="89"/>
      <c r="B340" s="89"/>
      <c r="C340" s="89"/>
      <c r="D340" s="89"/>
      <c r="E340" s="89"/>
      <c r="F340" s="110"/>
      <c r="G340" s="89"/>
      <c r="H340" s="110"/>
      <c r="I340" s="89"/>
      <c r="J340" s="110"/>
      <c r="K340" s="89"/>
      <c r="L340" s="89"/>
      <c r="M340" s="110"/>
      <c r="N340" s="89"/>
      <c r="O340" s="110"/>
      <c r="P340" s="89"/>
      <c r="Q340" s="110"/>
      <c r="R340" s="89"/>
      <c r="S340" s="89"/>
      <c r="T340" s="89"/>
      <c r="U340" s="89"/>
      <c r="V340" s="89"/>
      <c r="W340" s="89"/>
      <c r="X340" s="89"/>
      <c r="Y340" s="89"/>
      <c r="Z340" s="89"/>
      <c r="AA340" s="89"/>
      <c r="AB340" s="89"/>
      <c r="AC340" s="89"/>
      <c r="AD340" s="89"/>
    </row>
    <row r="341" spans="1:30" ht="13.8">
      <c r="A341" s="89"/>
      <c r="B341" s="89"/>
      <c r="C341" s="89"/>
      <c r="D341" s="89"/>
      <c r="E341" s="89"/>
      <c r="F341" s="110"/>
      <c r="G341" s="89"/>
      <c r="H341" s="110"/>
      <c r="I341" s="89"/>
      <c r="J341" s="110"/>
      <c r="K341" s="89"/>
      <c r="L341" s="89"/>
      <c r="M341" s="110"/>
      <c r="N341" s="89"/>
      <c r="O341" s="110"/>
      <c r="P341" s="89"/>
      <c r="Q341" s="110"/>
      <c r="R341" s="89"/>
      <c r="S341" s="89"/>
      <c r="T341" s="89"/>
      <c r="U341" s="89"/>
      <c r="V341" s="89"/>
      <c r="W341" s="89"/>
      <c r="X341" s="89"/>
      <c r="Y341" s="89"/>
      <c r="Z341" s="89"/>
      <c r="AA341" s="89"/>
      <c r="AB341" s="89"/>
      <c r="AC341" s="89"/>
      <c r="AD341" s="89"/>
    </row>
    <row r="342" spans="1:30" ht="13.8">
      <c r="A342" s="89"/>
      <c r="B342" s="89"/>
      <c r="C342" s="89"/>
      <c r="D342" s="89"/>
      <c r="E342" s="89"/>
      <c r="F342" s="110"/>
      <c r="G342" s="89"/>
      <c r="H342" s="110"/>
      <c r="I342" s="89"/>
      <c r="J342" s="110"/>
      <c r="K342" s="89"/>
      <c r="L342" s="89"/>
      <c r="M342" s="110"/>
      <c r="N342" s="89"/>
      <c r="O342" s="110"/>
      <c r="P342" s="89"/>
      <c r="Q342" s="110"/>
      <c r="R342" s="89"/>
      <c r="S342" s="89"/>
      <c r="T342" s="89"/>
      <c r="U342" s="89"/>
      <c r="V342" s="89"/>
      <c r="W342" s="89"/>
      <c r="X342" s="89"/>
      <c r="Y342" s="89"/>
      <c r="Z342" s="89"/>
      <c r="AA342" s="89"/>
      <c r="AB342" s="89"/>
      <c r="AC342" s="89"/>
      <c r="AD342" s="89"/>
    </row>
    <row r="343" spans="1:30" ht="13.8">
      <c r="A343" s="89"/>
      <c r="B343" s="89"/>
      <c r="C343" s="89"/>
      <c r="D343" s="89"/>
      <c r="E343" s="89"/>
      <c r="F343" s="110"/>
      <c r="G343" s="89"/>
      <c r="H343" s="110"/>
      <c r="I343" s="89"/>
      <c r="J343" s="110"/>
      <c r="K343" s="89"/>
      <c r="L343" s="89"/>
      <c r="M343" s="110"/>
      <c r="N343" s="89"/>
      <c r="O343" s="110"/>
      <c r="P343" s="89"/>
      <c r="Q343" s="110"/>
      <c r="R343" s="89"/>
      <c r="S343" s="89"/>
      <c r="T343" s="89"/>
      <c r="U343" s="89"/>
      <c r="V343" s="89"/>
      <c r="W343" s="89"/>
      <c r="X343" s="89"/>
      <c r="Y343" s="89"/>
      <c r="Z343" s="89"/>
      <c r="AA343" s="89"/>
      <c r="AB343" s="89"/>
      <c r="AC343" s="89"/>
      <c r="AD343" s="89"/>
    </row>
    <row r="344" spans="1:30" ht="13.8">
      <c r="A344" s="89"/>
      <c r="B344" s="89"/>
      <c r="C344" s="89"/>
      <c r="D344" s="89"/>
      <c r="E344" s="89"/>
      <c r="F344" s="110"/>
      <c r="G344" s="89"/>
      <c r="H344" s="110"/>
      <c r="I344" s="89"/>
      <c r="J344" s="110"/>
      <c r="K344" s="89"/>
      <c r="L344" s="89"/>
      <c r="M344" s="110"/>
      <c r="N344" s="89"/>
      <c r="O344" s="110"/>
      <c r="P344" s="89"/>
      <c r="Q344" s="110"/>
      <c r="R344" s="89"/>
      <c r="S344" s="89"/>
      <c r="T344" s="89"/>
      <c r="U344" s="89"/>
      <c r="V344" s="89"/>
      <c r="W344" s="89"/>
      <c r="X344" s="89"/>
      <c r="Y344" s="89"/>
      <c r="Z344" s="89"/>
      <c r="AA344" s="89"/>
      <c r="AB344" s="89"/>
      <c r="AC344" s="89"/>
      <c r="AD344" s="89"/>
    </row>
    <row r="345" spans="1:30" ht="13.8">
      <c r="A345" s="89"/>
      <c r="B345" s="89"/>
      <c r="C345" s="89"/>
      <c r="D345" s="89"/>
      <c r="E345" s="89"/>
      <c r="F345" s="110"/>
      <c r="G345" s="89"/>
      <c r="H345" s="110"/>
      <c r="I345" s="89"/>
      <c r="J345" s="110"/>
      <c r="K345" s="89"/>
      <c r="L345" s="89"/>
      <c r="M345" s="110"/>
      <c r="N345" s="89"/>
      <c r="O345" s="110"/>
      <c r="P345" s="89"/>
      <c r="Q345" s="110"/>
      <c r="R345" s="89"/>
      <c r="S345" s="89"/>
      <c r="T345" s="89"/>
      <c r="U345" s="89"/>
      <c r="V345" s="89"/>
      <c r="W345" s="89"/>
      <c r="X345" s="89"/>
      <c r="Y345" s="89"/>
      <c r="Z345" s="89"/>
      <c r="AA345" s="89"/>
      <c r="AB345" s="89"/>
      <c r="AC345" s="89"/>
      <c r="AD345" s="89"/>
    </row>
    <row r="346" spans="1:30" ht="13.8">
      <c r="A346" s="89"/>
      <c r="B346" s="89"/>
      <c r="C346" s="89"/>
      <c r="D346" s="89"/>
      <c r="E346" s="89"/>
      <c r="F346" s="110"/>
      <c r="G346" s="89"/>
      <c r="H346" s="110"/>
      <c r="I346" s="89"/>
      <c r="J346" s="110"/>
      <c r="K346" s="89"/>
      <c r="L346" s="89"/>
      <c r="M346" s="110"/>
      <c r="N346" s="89"/>
      <c r="O346" s="110"/>
      <c r="P346" s="89"/>
      <c r="Q346" s="110"/>
      <c r="R346" s="89"/>
      <c r="S346" s="89"/>
      <c r="T346" s="89"/>
      <c r="U346" s="89"/>
      <c r="V346" s="89"/>
      <c r="W346" s="89"/>
      <c r="X346" s="89"/>
      <c r="Y346" s="89"/>
      <c r="Z346" s="89"/>
      <c r="AA346" s="89"/>
      <c r="AB346" s="89"/>
      <c r="AC346" s="89"/>
      <c r="AD346" s="89"/>
    </row>
    <row r="347" spans="1:30" ht="13.8">
      <c r="A347" s="89"/>
      <c r="B347" s="89"/>
      <c r="C347" s="89"/>
      <c r="D347" s="89"/>
      <c r="E347" s="89"/>
      <c r="F347" s="110"/>
      <c r="G347" s="89"/>
      <c r="H347" s="110"/>
      <c r="I347" s="89"/>
      <c r="J347" s="110"/>
      <c r="K347" s="89"/>
      <c r="L347" s="89"/>
      <c r="M347" s="110"/>
      <c r="N347" s="89"/>
      <c r="O347" s="110"/>
      <c r="P347" s="89"/>
      <c r="Q347" s="110"/>
      <c r="R347" s="89"/>
      <c r="S347" s="89"/>
      <c r="T347" s="89"/>
      <c r="U347" s="89"/>
      <c r="V347" s="89"/>
      <c r="W347" s="89"/>
      <c r="X347" s="89"/>
      <c r="Y347" s="89"/>
      <c r="Z347" s="89"/>
      <c r="AA347" s="89"/>
      <c r="AB347" s="89"/>
      <c r="AC347" s="89"/>
      <c r="AD347" s="89"/>
    </row>
    <row r="348" spans="1:30" ht="13.8">
      <c r="A348" s="89"/>
      <c r="B348" s="89"/>
      <c r="C348" s="89"/>
      <c r="D348" s="89"/>
      <c r="E348" s="89"/>
      <c r="F348" s="110"/>
      <c r="G348" s="89"/>
      <c r="H348" s="110"/>
      <c r="I348" s="89"/>
      <c r="J348" s="110"/>
      <c r="K348" s="89"/>
      <c r="L348" s="89"/>
      <c r="M348" s="110"/>
      <c r="N348" s="89"/>
      <c r="O348" s="110"/>
      <c r="P348" s="89"/>
      <c r="Q348" s="110"/>
      <c r="R348" s="89"/>
      <c r="S348" s="89"/>
      <c r="T348" s="89"/>
      <c r="U348" s="89"/>
      <c r="V348" s="89"/>
      <c r="W348" s="89"/>
      <c r="X348" s="89"/>
      <c r="Y348" s="89"/>
      <c r="Z348" s="89"/>
      <c r="AA348" s="89"/>
      <c r="AB348" s="89"/>
      <c r="AC348" s="89"/>
      <c r="AD348" s="89"/>
    </row>
    <row r="349" spans="1:30" ht="13.8">
      <c r="A349" s="89"/>
      <c r="B349" s="89"/>
      <c r="C349" s="89"/>
      <c r="D349" s="89"/>
      <c r="E349" s="89"/>
      <c r="F349" s="110"/>
      <c r="G349" s="89"/>
      <c r="H349" s="110"/>
      <c r="I349" s="89"/>
      <c r="J349" s="110"/>
      <c r="K349" s="89"/>
      <c r="L349" s="89"/>
      <c r="M349" s="110"/>
      <c r="N349" s="89"/>
      <c r="O349" s="110"/>
      <c r="P349" s="89"/>
      <c r="Q349" s="110"/>
      <c r="R349" s="89"/>
      <c r="S349" s="89"/>
      <c r="T349" s="89"/>
      <c r="U349" s="89"/>
      <c r="V349" s="89"/>
      <c r="W349" s="89"/>
      <c r="X349" s="89"/>
      <c r="Y349" s="89"/>
      <c r="Z349" s="89"/>
      <c r="AA349" s="89"/>
      <c r="AB349" s="89"/>
      <c r="AC349" s="89"/>
      <c r="AD349" s="89"/>
    </row>
    <row r="350" spans="1:30" ht="13.8">
      <c r="A350" s="89"/>
      <c r="B350" s="89"/>
      <c r="C350" s="89"/>
      <c r="D350" s="89"/>
      <c r="E350" s="89"/>
      <c r="F350" s="110"/>
      <c r="G350" s="89"/>
      <c r="H350" s="110"/>
      <c r="I350" s="89"/>
      <c r="J350" s="110"/>
      <c r="K350" s="89"/>
      <c r="L350" s="89"/>
      <c r="M350" s="110"/>
      <c r="N350" s="89"/>
      <c r="O350" s="110"/>
      <c r="P350" s="89"/>
      <c r="Q350" s="110"/>
      <c r="R350" s="89"/>
      <c r="S350" s="89"/>
      <c r="T350" s="89"/>
      <c r="U350" s="89"/>
      <c r="V350" s="89"/>
      <c r="W350" s="89"/>
      <c r="X350" s="89"/>
      <c r="Y350" s="89"/>
      <c r="Z350" s="89"/>
      <c r="AA350" s="89"/>
      <c r="AB350" s="89"/>
      <c r="AC350" s="89"/>
      <c r="AD350" s="89"/>
    </row>
    <row r="351" spans="1:30" ht="13.8">
      <c r="A351" s="89"/>
      <c r="B351" s="89"/>
      <c r="C351" s="89"/>
      <c r="D351" s="89"/>
      <c r="E351" s="89"/>
      <c r="F351" s="110"/>
      <c r="G351" s="89"/>
      <c r="H351" s="110"/>
      <c r="I351" s="89"/>
      <c r="J351" s="110"/>
      <c r="K351" s="89"/>
      <c r="L351" s="89"/>
      <c r="M351" s="110"/>
      <c r="N351" s="89"/>
      <c r="O351" s="110"/>
      <c r="P351" s="89"/>
      <c r="Q351" s="110"/>
      <c r="R351" s="89"/>
      <c r="S351" s="89"/>
      <c r="T351" s="89"/>
      <c r="U351" s="89"/>
      <c r="V351" s="89"/>
      <c r="W351" s="89"/>
      <c r="X351" s="89"/>
      <c r="Y351" s="89"/>
      <c r="Z351" s="89"/>
      <c r="AA351" s="89"/>
      <c r="AB351" s="89"/>
      <c r="AC351" s="89"/>
      <c r="AD351" s="89"/>
    </row>
    <row r="352" spans="1:30" ht="13.8">
      <c r="A352" s="89"/>
      <c r="B352" s="89"/>
      <c r="C352" s="89"/>
      <c r="D352" s="89"/>
      <c r="E352" s="89"/>
      <c r="F352" s="110"/>
      <c r="G352" s="89"/>
      <c r="H352" s="110"/>
      <c r="I352" s="89"/>
      <c r="J352" s="110"/>
      <c r="K352" s="89"/>
      <c r="L352" s="89"/>
      <c r="M352" s="110"/>
      <c r="N352" s="89"/>
      <c r="O352" s="110"/>
      <c r="P352" s="89"/>
      <c r="Q352" s="110"/>
      <c r="R352" s="89"/>
      <c r="S352" s="89"/>
      <c r="T352" s="89"/>
      <c r="U352" s="89"/>
      <c r="V352" s="89"/>
      <c r="W352" s="89"/>
      <c r="X352" s="89"/>
      <c r="Y352" s="89"/>
      <c r="Z352" s="89"/>
      <c r="AA352" s="89"/>
      <c r="AB352" s="89"/>
      <c r="AC352" s="89"/>
      <c r="AD352" s="89"/>
    </row>
    <row r="353" spans="1:30" ht="13.8">
      <c r="A353" s="89"/>
      <c r="B353" s="89"/>
      <c r="C353" s="89"/>
      <c r="D353" s="89"/>
      <c r="E353" s="89"/>
      <c r="F353" s="110"/>
      <c r="G353" s="89"/>
      <c r="H353" s="110"/>
      <c r="I353" s="89"/>
      <c r="J353" s="110"/>
      <c r="K353" s="89"/>
      <c r="L353" s="89"/>
      <c r="M353" s="110"/>
      <c r="N353" s="89"/>
      <c r="O353" s="110"/>
      <c r="P353" s="89"/>
      <c r="Q353" s="110"/>
      <c r="R353" s="89"/>
      <c r="S353" s="89"/>
      <c r="T353" s="89"/>
      <c r="U353" s="89"/>
      <c r="V353" s="89"/>
      <c r="W353" s="89"/>
      <c r="X353" s="89"/>
      <c r="Y353" s="89"/>
      <c r="Z353" s="89"/>
      <c r="AA353" s="89"/>
      <c r="AB353" s="89"/>
      <c r="AC353" s="89"/>
      <c r="AD353" s="89"/>
    </row>
    <row r="354" spans="1:30" ht="13.8">
      <c r="A354" s="89"/>
      <c r="B354" s="89"/>
      <c r="C354" s="89"/>
      <c r="D354" s="89"/>
      <c r="E354" s="89"/>
      <c r="F354" s="110"/>
      <c r="G354" s="89"/>
      <c r="H354" s="110"/>
      <c r="I354" s="89"/>
      <c r="J354" s="110"/>
      <c r="K354" s="89"/>
      <c r="L354" s="89"/>
      <c r="M354" s="110"/>
      <c r="N354" s="89"/>
      <c r="O354" s="110"/>
      <c r="P354" s="89"/>
      <c r="Q354" s="110"/>
      <c r="R354" s="89"/>
      <c r="S354" s="89"/>
      <c r="T354" s="89"/>
      <c r="U354" s="89"/>
      <c r="V354" s="89"/>
      <c r="W354" s="89"/>
      <c r="X354" s="89"/>
      <c r="Y354" s="89"/>
      <c r="Z354" s="89"/>
      <c r="AA354" s="89"/>
      <c r="AB354" s="89"/>
      <c r="AC354" s="89"/>
      <c r="AD354" s="89"/>
    </row>
    <row r="355" spans="1:30" ht="13.8">
      <c r="A355" s="89"/>
      <c r="B355" s="89"/>
      <c r="C355" s="89"/>
      <c r="D355" s="89"/>
      <c r="E355" s="89"/>
      <c r="F355" s="110"/>
      <c r="G355" s="89"/>
      <c r="H355" s="110"/>
      <c r="I355" s="89"/>
      <c r="J355" s="110"/>
      <c r="K355" s="89"/>
      <c r="L355" s="89"/>
      <c r="M355" s="110"/>
      <c r="N355" s="89"/>
      <c r="O355" s="110"/>
      <c r="P355" s="89"/>
      <c r="Q355" s="110"/>
      <c r="R355" s="89"/>
      <c r="S355" s="89"/>
      <c r="T355" s="89"/>
      <c r="U355" s="89"/>
      <c r="V355" s="89"/>
      <c r="W355" s="89"/>
      <c r="X355" s="89"/>
      <c r="Y355" s="89"/>
      <c r="Z355" s="89"/>
      <c r="AA355" s="89"/>
      <c r="AB355" s="89"/>
      <c r="AC355" s="89"/>
      <c r="AD355" s="89"/>
    </row>
    <row r="356" spans="1:30" ht="13.8">
      <c r="A356" s="89"/>
      <c r="B356" s="89"/>
      <c r="C356" s="89"/>
      <c r="D356" s="89"/>
      <c r="E356" s="89"/>
      <c r="F356" s="110"/>
      <c r="G356" s="89"/>
      <c r="H356" s="110"/>
      <c r="I356" s="89"/>
      <c r="J356" s="110"/>
      <c r="K356" s="89"/>
      <c r="L356" s="89"/>
      <c r="M356" s="110"/>
      <c r="N356" s="89"/>
      <c r="O356" s="110"/>
      <c r="P356" s="89"/>
      <c r="Q356" s="110"/>
      <c r="R356" s="89"/>
      <c r="S356" s="89"/>
      <c r="T356" s="89"/>
      <c r="U356" s="89"/>
      <c r="V356" s="89"/>
      <c r="W356" s="89"/>
      <c r="X356" s="89"/>
      <c r="Y356" s="89"/>
      <c r="Z356" s="89"/>
      <c r="AA356" s="89"/>
      <c r="AB356" s="89"/>
      <c r="AC356" s="89"/>
      <c r="AD356" s="89"/>
    </row>
    <row r="357" spans="1:30" ht="13.8">
      <c r="A357" s="89"/>
      <c r="B357" s="89"/>
      <c r="C357" s="89"/>
      <c r="D357" s="89"/>
      <c r="E357" s="89"/>
      <c r="F357" s="110"/>
      <c r="G357" s="89"/>
      <c r="H357" s="110"/>
      <c r="I357" s="89"/>
      <c r="J357" s="110"/>
      <c r="K357" s="89"/>
      <c r="L357" s="89"/>
      <c r="M357" s="110"/>
      <c r="N357" s="89"/>
      <c r="O357" s="110"/>
      <c r="P357" s="89"/>
      <c r="Q357" s="110"/>
      <c r="R357" s="89"/>
      <c r="S357" s="89"/>
      <c r="T357" s="89"/>
      <c r="U357" s="89"/>
      <c r="V357" s="89"/>
      <c r="W357" s="89"/>
      <c r="X357" s="89"/>
      <c r="Y357" s="89"/>
      <c r="Z357" s="89"/>
      <c r="AA357" s="89"/>
      <c r="AB357" s="89"/>
      <c r="AC357" s="89"/>
      <c r="AD357" s="89"/>
    </row>
    <row r="358" spans="1:30" ht="13.8">
      <c r="A358" s="89"/>
      <c r="B358" s="89"/>
      <c r="C358" s="89"/>
      <c r="D358" s="89"/>
      <c r="E358" s="89"/>
      <c r="F358" s="110"/>
      <c r="G358" s="89"/>
      <c r="H358" s="110"/>
      <c r="I358" s="89"/>
      <c r="J358" s="110"/>
      <c r="K358" s="89"/>
      <c r="L358" s="89"/>
      <c r="M358" s="110"/>
      <c r="N358" s="89"/>
      <c r="O358" s="110"/>
      <c r="P358" s="89"/>
      <c r="Q358" s="110"/>
      <c r="R358" s="89"/>
      <c r="S358" s="89"/>
      <c r="T358" s="89"/>
      <c r="U358" s="89"/>
      <c r="V358" s="89"/>
      <c r="W358" s="89"/>
      <c r="X358" s="89"/>
      <c r="Y358" s="89"/>
      <c r="Z358" s="89"/>
      <c r="AA358" s="89"/>
      <c r="AB358" s="89"/>
      <c r="AC358" s="89"/>
      <c r="AD358" s="89"/>
    </row>
    <row r="359" spans="1:30" ht="13.8">
      <c r="A359" s="89"/>
      <c r="B359" s="89"/>
      <c r="C359" s="89"/>
      <c r="D359" s="89"/>
      <c r="E359" s="89"/>
      <c r="F359" s="110"/>
      <c r="G359" s="89"/>
      <c r="H359" s="110"/>
      <c r="I359" s="89"/>
      <c r="J359" s="110"/>
      <c r="K359" s="89"/>
      <c r="L359" s="89"/>
      <c r="M359" s="110"/>
      <c r="N359" s="89"/>
      <c r="O359" s="110"/>
      <c r="P359" s="89"/>
      <c r="Q359" s="110"/>
      <c r="R359" s="89"/>
      <c r="S359" s="89"/>
      <c r="T359" s="89"/>
      <c r="U359" s="89"/>
      <c r="V359" s="89"/>
      <c r="W359" s="89"/>
      <c r="X359" s="89"/>
      <c r="Y359" s="89"/>
      <c r="Z359" s="89"/>
      <c r="AA359" s="89"/>
      <c r="AB359" s="89"/>
      <c r="AC359" s="89"/>
      <c r="AD359" s="89"/>
    </row>
    <row r="360" spans="1:30" ht="13.8">
      <c r="A360" s="89"/>
      <c r="B360" s="89"/>
      <c r="C360" s="89"/>
      <c r="D360" s="89"/>
      <c r="E360" s="89"/>
      <c r="F360" s="110"/>
      <c r="G360" s="89"/>
      <c r="H360" s="110"/>
      <c r="I360" s="89"/>
      <c r="J360" s="110"/>
      <c r="K360" s="89"/>
      <c r="L360" s="89"/>
      <c r="M360" s="110"/>
      <c r="N360" s="89"/>
      <c r="O360" s="110"/>
      <c r="P360" s="89"/>
      <c r="Q360" s="110"/>
      <c r="R360" s="89"/>
      <c r="S360" s="89"/>
      <c r="T360" s="89"/>
      <c r="U360" s="89"/>
      <c r="V360" s="89"/>
      <c r="W360" s="89"/>
      <c r="X360" s="89"/>
      <c r="Y360" s="89"/>
      <c r="Z360" s="89"/>
      <c r="AA360" s="89"/>
      <c r="AB360" s="89"/>
      <c r="AC360" s="89"/>
      <c r="AD360" s="89"/>
    </row>
    <row r="361" spans="1:30" ht="13.8">
      <c r="A361" s="89"/>
      <c r="B361" s="89"/>
      <c r="C361" s="89"/>
      <c r="D361" s="89"/>
      <c r="E361" s="89"/>
      <c r="F361" s="110"/>
      <c r="G361" s="89"/>
      <c r="H361" s="110"/>
      <c r="I361" s="89"/>
      <c r="J361" s="110"/>
      <c r="K361" s="89"/>
      <c r="L361" s="89"/>
      <c r="M361" s="110"/>
      <c r="N361" s="89"/>
      <c r="O361" s="110"/>
      <c r="P361" s="89"/>
      <c r="Q361" s="110"/>
      <c r="R361" s="89"/>
      <c r="S361" s="89"/>
      <c r="T361" s="89"/>
      <c r="U361" s="89"/>
      <c r="V361" s="89"/>
      <c r="W361" s="89"/>
      <c r="X361" s="89"/>
      <c r="Y361" s="89"/>
      <c r="Z361" s="89"/>
      <c r="AA361" s="89"/>
      <c r="AB361" s="89"/>
      <c r="AC361" s="89"/>
      <c r="AD361" s="89"/>
    </row>
    <row r="362" spans="1:30" ht="13.8">
      <c r="A362" s="89"/>
      <c r="B362" s="89"/>
      <c r="C362" s="89"/>
      <c r="D362" s="89"/>
      <c r="E362" s="89"/>
      <c r="F362" s="110"/>
      <c r="G362" s="89"/>
      <c r="H362" s="110"/>
      <c r="I362" s="89"/>
      <c r="J362" s="110"/>
      <c r="K362" s="89"/>
      <c r="L362" s="89"/>
      <c r="M362" s="110"/>
      <c r="N362" s="89"/>
      <c r="O362" s="110"/>
      <c r="P362" s="89"/>
      <c r="Q362" s="110"/>
      <c r="R362" s="89"/>
      <c r="S362" s="89"/>
      <c r="T362" s="89"/>
      <c r="U362" s="89"/>
      <c r="V362" s="89"/>
      <c r="W362" s="89"/>
      <c r="X362" s="89"/>
      <c r="Y362" s="89"/>
      <c r="Z362" s="89"/>
      <c r="AA362" s="89"/>
      <c r="AB362" s="89"/>
      <c r="AC362" s="89"/>
      <c r="AD362" s="89"/>
    </row>
    <row r="363" spans="1:30" ht="13.8">
      <c r="A363" s="89"/>
      <c r="B363" s="89"/>
      <c r="C363" s="89"/>
      <c r="D363" s="89"/>
      <c r="E363" s="89"/>
      <c r="F363" s="110"/>
      <c r="G363" s="89"/>
      <c r="H363" s="110"/>
      <c r="I363" s="89"/>
      <c r="J363" s="110"/>
      <c r="K363" s="89"/>
      <c r="L363" s="89"/>
      <c r="M363" s="110"/>
      <c r="N363" s="89"/>
      <c r="O363" s="110"/>
      <c r="P363" s="89"/>
      <c r="Q363" s="110"/>
      <c r="R363" s="89"/>
      <c r="S363" s="89"/>
      <c r="T363" s="89"/>
      <c r="U363" s="89"/>
      <c r="V363" s="89"/>
      <c r="W363" s="89"/>
      <c r="X363" s="89"/>
      <c r="Y363" s="89"/>
      <c r="Z363" s="89"/>
      <c r="AA363" s="89"/>
      <c r="AB363" s="89"/>
      <c r="AC363" s="89"/>
      <c r="AD363" s="89"/>
    </row>
    <row r="364" spans="1:30" ht="13.8">
      <c r="A364" s="89"/>
      <c r="B364" s="89"/>
      <c r="C364" s="89"/>
      <c r="D364" s="89"/>
      <c r="E364" s="89"/>
      <c r="F364" s="110"/>
      <c r="G364" s="89"/>
      <c r="H364" s="110"/>
      <c r="I364" s="89"/>
      <c r="J364" s="110"/>
      <c r="K364" s="89"/>
      <c r="L364" s="89"/>
      <c r="M364" s="110"/>
      <c r="N364" s="89"/>
      <c r="O364" s="110"/>
      <c r="P364" s="89"/>
      <c r="Q364" s="110"/>
      <c r="R364" s="89"/>
      <c r="S364" s="89"/>
      <c r="T364" s="89"/>
      <c r="U364" s="89"/>
      <c r="V364" s="89"/>
      <c r="W364" s="89"/>
      <c r="X364" s="89"/>
      <c r="Y364" s="89"/>
      <c r="Z364" s="89"/>
      <c r="AA364" s="89"/>
      <c r="AB364" s="89"/>
      <c r="AC364" s="89"/>
      <c r="AD364" s="89"/>
    </row>
    <row r="365" spans="1:30" ht="13.8">
      <c r="A365" s="89"/>
      <c r="B365" s="89"/>
      <c r="C365" s="89"/>
      <c r="D365" s="89"/>
      <c r="E365" s="89"/>
      <c r="F365" s="110"/>
      <c r="G365" s="89"/>
      <c r="H365" s="110"/>
      <c r="I365" s="89"/>
      <c r="J365" s="110"/>
      <c r="K365" s="89"/>
      <c r="L365" s="89"/>
      <c r="M365" s="110"/>
      <c r="N365" s="89"/>
      <c r="O365" s="110"/>
      <c r="P365" s="89"/>
      <c r="Q365" s="110"/>
      <c r="R365" s="89"/>
      <c r="S365" s="89"/>
      <c r="T365" s="89"/>
      <c r="U365" s="89"/>
      <c r="V365" s="89"/>
      <c r="W365" s="89"/>
      <c r="X365" s="89"/>
      <c r="Y365" s="89"/>
      <c r="Z365" s="89"/>
      <c r="AA365" s="89"/>
      <c r="AB365" s="89"/>
      <c r="AC365" s="89"/>
      <c r="AD365" s="89"/>
    </row>
    <row r="366" spans="1:30" ht="13.8">
      <c r="A366" s="89"/>
      <c r="B366" s="89"/>
      <c r="C366" s="89"/>
      <c r="D366" s="89"/>
      <c r="E366" s="89"/>
      <c r="F366" s="110"/>
      <c r="G366" s="89"/>
      <c r="H366" s="110"/>
      <c r="I366" s="89"/>
      <c r="J366" s="110"/>
      <c r="K366" s="89"/>
      <c r="L366" s="89"/>
      <c r="M366" s="110"/>
      <c r="N366" s="89"/>
      <c r="O366" s="110"/>
      <c r="P366" s="89"/>
      <c r="Q366" s="110"/>
      <c r="R366" s="89"/>
      <c r="S366" s="89"/>
      <c r="T366" s="89"/>
      <c r="U366" s="89"/>
      <c r="V366" s="89"/>
      <c r="W366" s="89"/>
      <c r="X366" s="89"/>
      <c r="Y366" s="89"/>
      <c r="Z366" s="89"/>
      <c r="AA366" s="89"/>
      <c r="AB366" s="89"/>
      <c r="AC366" s="89"/>
      <c r="AD366" s="89"/>
    </row>
    <row r="367" spans="1:30" ht="13.8">
      <c r="A367" s="89"/>
      <c r="B367" s="89"/>
      <c r="C367" s="89"/>
      <c r="D367" s="89"/>
      <c r="E367" s="89"/>
      <c r="F367" s="110"/>
      <c r="G367" s="89"/>
      <c r="H367" s="110"/>
      <c r="I367" s="89"/>
      <c r="J367" s="110"/>
      <c r="K367" s="89"/>
      <c r="L367" s="89"/>
      <c r="M367" s="110"/>
      <c r="N367" s="89"/>
      <c r="O367" s="110"/>
      <c r="P367" s="89"/>
      <c r="Q367" s="110"/>
      <c r="R367" s="89"/>
      <c r="S367" s="89"/>
      <c r="T367" s="89"/>
      <c r="U367" s="89"/>
      <c r="V367" s="89"/>
      <c r="W367" s="89"/>
      <c r="X367" s="89"/>
      <c r="Y367" s="89"/>
      <c r="Z367" s="89"/>
      <c r="AA367" s="89"/>
      <c r="AB367" s="89"/>
      <c r="AC367" s="89"/>
      <c r="AD367" s="89"/>
    </row>
    <row r="368" spans="1:30" ht="13.8">
      <c r="A368" s="89"/>
      <c r="B368" s="89"/>
      <c r="C368" s="89"/>
      <c r="D368" s="89"/>
      <c r="E368" s="89"/>
      <c r="F368" s="110"/>
      <c r="G368" s="89"/>
      <c r="H368" s="110"/>
      <c r="I368" s="89"/>
      <c r="J368" s="110"/>
      <c r="K368" s="89"/>
      <c r="L368" s="89"/>
      <c r="M368" s="110"/>
      <c r="N368" s="89"/>
      <c r="O368" s="110"/>
      <c r="P368" s="89"/>
      <c r="Q368" s="110"/>
      <c r="R368" s="89"/>
      <c r="S368" s="89"/>
      <c r="T368" s="89"/>
      <c r="U368" s="89"/>
      <c r="V368" s="89"/>
      <c r="W368" s="89"/>
      <c r="X368" s="89"/>
      <c r="Y368" s="89"/>
      <c r="Z368" s="89"/>
      <c r="AA368" s="89"/>
      <c r="AB368" s="89"/>
      <c r="AC368" s="89"/>
      <c r="AD368" s="89"/>
    </row>
    <row r="369" spans="1:30" ht="13.8">
      <c r="A369" s="89"/>
      <c r="B369" s="89"/>
      <c r="C369" s="89"/>
      <c r="D369" s="89"/>
      <c r="E369" s="89"/>
      <c r="F369" s="110"/>
      <c r="G369" s="89"/>
      <c r="H369" s="110"/>
      <c r="I369" s="89"/>
      <c r="J369" s="110"/>
      <c r="K369" s="89"/>
      <c r="L369" s="89"/>
      <c r="M369" s="110"/>
      <c r="N369" s="89"/>
      <c r="O369" s="110"/>
      <c r="P369" s="89"/>
      <c r="Q369" s="110"/>
      <c r="R369" s="89"/>
      <c r="S369" s="89"/>
      <c r="T369" s="89"/>
      <c r="U369" s="89"/>
      <c r="V369" s="89"/>
      <c r="W369" s="89"/>
      <c r="X369" s="89"/>
      <c r="Y369" s="89"/>
      <c r="Z369" s="89"/>
      <c r="AA369" s="89"/>
      <c r="AB369" s="89"/>
      <c r="AC369" s="89"/>
      <c r="AD369" s="89"/>
    </row>
    <row r="370" spans="1:30" ht="13.8">
      <c r="A370" s="89"/>
      <c r="B370" s="89"/>
      <c r="C370" s="89"/>
      <c r="D370" s="89"/>
      <c r="E370" s="89"/>
      <c r="F370" s="110"/>
      <c r="G370" s="89"/>
      <c r="H370" s="110"/>
      <c r="I370" s="89"/>
      <c r="J370" s="110"/>
      <c r="K370" s="89"/>
      <c r="L370" s="89"/>
      <c r="M370" s="110"/>
      <c r="N370" s="89"/>
      <c r="O370" s="110"/>
      <c r="P370" s="89"/>
      <c r="Q370" s="110"/>
      <c r="R370" s="89"/>
      <c r="S370" s="89"/>
      <c r="T370" s="89"/>
      <c r="U370" s="89"/>
      <c r="V370" s="89"/>
      <c r="W370" s="89"/>
      <c r="X370" s="89"/>
      <c r="Y370" s="89"/>
      <c r="Z370" s="89"/>
      <c r="AA370" s="89"/>
      <c r="AB370" s="89"/>
      <c r="AC370" s="89"/>
      <c r="AD370" s="89"/>
    </row>
    <row r="371" spans="1:30" ht="13.8">
      <c r="A371" s="89"/>
      <c r="B371" s="89"/>
      <c r="C371" s="89"/>
      <c r="D371" s="89"/>
      <c r="E371" s="89"/>
      <c r="F371" s="110"/>
      <c r="G371" s="89"/>
      <c r="H371" s="110"/>
      <c r="I371" s="89"/>
      <c r="J371" s="110"/>
      <c r="K371" s="89"/>
      <c r="L371" s="89"/>
      <c r="M371" s="110"/>
      <c r="N371" s="89"/>
      <c r="O371" s="110"/>
      <c r="P371" s="89"/>
      <c r="Q371" s="110"/>
      <c r="R371" s="89"/>
      <c r="S371" s="89"/>
      <c r="T371" s="89"/>
      <c r="U371" s="89"/>
      <c r="V371" s="89"/>
      <c r="W371" s="89"/>
      <c r="X371" s="89"/>
      <c r="Y371" s="89"/>
      <c r="Z371" s="89"/>
      <c r="AA371" s="89"/>
      <c r="AB371" s="89"/>
      <c r="AC371" s="89"/>
      <c r="AD371" s="89"/>
    </row>
    <row r="372" spans="1:30" ht="13.8">
      <c r="A372" s="89"/>
      <c r="B372" s="89"/>
      <c r="C372" s="89"/>
      <c r="D372" s="89"/>
      <c r="E372" s="89"/>
      <c r="F372" s="110"/>
      <c r="G372" s="89"/>
      <c r="H372" s="110"/>
      <c r="I372" s="89"/>
      <c r="J372" s="110"/>
      <c r="K372" s="89"/>
      <c r="L372" s="89"/>
      <c r="M372" s="110"/>
      <c r="N372" s="89"/>
      <c r="O372" s="110"/>
      <c r="P372" s="89"/>
      <c r="Q372" s="110"/>
      <c r="R372" s="89"/>
      <c r="S372" s="89"/>
      <c r="T372" s="89"/>
      <c r="U372" s="89"/>
      <c r="V372" s="89"/>
      <c r="W372" s="89"/>
      <c r="X372" s="89"/>
      <c r="Y372" s="89"/>
      <c r="Z372" s="89"/>
      <c r="AA372" s="89"/>
      <c r="AB372" s="89"/>
      <c r="AC372" s="89"/>
      <c r="AD372" s="89"/>
    </row>
    <row r="373" spans="1:30" ht="13.8">
      <c r="A373" s="89"/>
      <c r="B373" s="89"/>
      <c r="C373" s="89"/>
      <c r="D373" s="89"/>
      <c r="E373" s="89"/>
      <c r="F373" s="110"/>
      <c r="G373" s="89"/>
      <c r="H373" s="110"/>
      <c r="I373" s="89"/>
      <c r="J373" s="110"/>
      <c r="K373" s="89"/>
      <c r="L373" s="89"/>
      <c r="M373" s="110"/>
      <c r="N373" s="89"/>
      <c r="O373" s="110"/>
      <c r="P373" s="89"/>
      <c r="Q373" s="110"/>
      <c r="R373" s="89"/>
      <c r="S373" s="89"/>
      <c r="T373" s="89"/>
      <c r="U373" s="89"/>
      <c r="V373" s="89"/>
      <c r="W373" s="89"/>
      <c r="X373" s="89"/>
      <c r="Y373" s="89"/>
      <c r="Z373" s="89"/>
      <c r="AA373" s="89"/>
      <c r="AB373" s="89"/>
      <c r="AC373" s="89"/>
      <c r="AD373" s="89"/>
    </row>
    <row r="374" spans="1:30" ht="13.8">
      <c r="A374" s="89"/>
      <c r="B374" s="89"/>
      <c r="C374" s="89"/>
      <c r="D374" s="89"/>
      <c r="E374" s="89"/>
      <c r="F374" s="110"/>
      <c r="G374" s="89"/>
      <c r="H374" s="110"/>
      <c r="I374" s="89"/>
      <c r="J374" s="110"/>
      <c r="K374" s="89"/>
      <c r="L374" s="89"/>
      <c r="M374" s="110"/>
      <c r="N374" s="89"/>
      <c r="O374" s="110"/>
      <c r="P374" s="89"/>
      <c r="Q374" s="110"/>
      <c r="R374" s="89"/>
      <c r="S374" s="89"/>
      <c r="T374" s="89"/>
      <c r="U374" s="89"/>
      <c r="V374" s="89"/>
      <c r="W374" s="89"/>
      <c r="X374" s="89"/>
      <c r="Y374" s="89"/>
      <c r="Z374" s="89"/>
      <c r="AA374" s="89"/>
      <c r="AB374" s="89"/>
      <c r="AC374" s="89"/>
      <c r="AD374" s="89"/>
    </row>
    <row r="375" spans="1:30" ht="13.8">
      <c r="A375" s="89"/>
      <c r="B375" s="89"/>
      <c r="C375" s="89"/>
      <c r="D375" s="89"/>
      <c r="E375" s="89"/>
      <c r="F375" s="110"/>
      <c r="G375" s="89"/>
      <c r="H375" s="110"/>
      <c r="I375" s="89"/>
      <c r="J375" s="110"/>
      <c r="K375" s="89"/>
      <c r="L375" s="89"/>
      <c r="M375" s="110"/>
      <c r="N375" s="89"/>
      <c r="O375" s="110"/>
      <c r="P375" s="89"/>
      <c r="Q375" s="110"/>
      <c r="R375" s="89"/>
      <c r="S375" s="89"/>
      <c r="T375" s="89"/>
      <c r="U375" s="89"/>
      <c r="V375" s="89"/>
      <c r="W375" s="89"/>
      <c r="X375" s="89"/>
      <c r="Y375" s="89"/>
      <c r="Z375" s="89"/>
      <c r="AA375" s="89"/>
      <c r="AB375" s="89"/>
      <c r="AC375" s="89"/>
      <c r="AD375" s="89"/>
    </row>
    <row r="376" spans="1:30" ht="13.8">
      <c r="A376" s="89"/>
      <c r="B376" s="89"/>
      <c r="C376" s="89"/>
      <c r="D376" s="89"/>
      <c r="E376" s="89"/>
      <c r="F376" s="110"/>
      <c r="G376" s="89"/>
      <c r="H376" s="110"/>
      <c r="I376" s="89"/>
      <c r="J376" s="110"/>
      <c r="K376" s="89"/>
      <c r="L376" s="89"/>
      <c r="M376" s="110"/>
      <c r="N376" s="89"/>
      <c r="O376" s="110"/>
      <c r="P376" s="89"/>
      <c r="Q376" s="110"/>
      <c r="R376" s="89"/>
      <c r="S376" s="89"/>
      <c r="T376" s="89"/>
      <c r="U376" s="89"/>
      <c r="V376" s="89"/>
      <c r="W376" s="89"/>
      <c r="X376" s="89"/>
      <c r="Y376" s="89"/>
      <c r="Z376" s="89"/>
      <c r="AA376" s="89"/>
      <c r="AB376" s="89"/>
      <c r="AC376" s="89"/>
      <c r="AD376" s="89"/>
    </row>
    <row r="377" spans="1:30" ht="13.8">
      <c r="A377" s="89"/>
      <c r="B377" s="89"/>
      <c r="C377" s="89"/>
      <c r="D377" s="89"/>
      <c r="E377" s="89"/>
      <c r="F377" s="110"/>
      <c r="G377" s="89"/>
      <c r="H377" s="110"/>
      <c r="I377" s="89"/>
      <c r="J377" s="110"/>
      <c r="K377" s="89"/>
      <c r="L377" s="89"/>
      <c r="M377" s="110"/>
      <c r="N377" s="89"/>
      <c r="O377" s="110"/>
      <c r="P377" s="89"/>
      <c r="Q377" s="110"/>
      <c r="R377" s="89"/>
      <c r="S377" s="89"/>
      <c r="T377" s="89"/>
      <c r="U377" s="89"/>
      <c r="V377" s="89"/>
      <c r="W377" s="89"/>
      <c r="X377" s="89"/>
      <c r="Y377" s="89"/>
      <c r="Z377" s="89"/>
      <c r="AA377" s="89"/>
      <c r="AB377" s="89"/>
      <c r="AC377" s="89"/>
      <c r="AD377" s="89"/>
    </row>
    <row r="378" spans="1:30" ht="13.8">
      <c r="A378" s="89"/>
      <c r="B378" s="89"/>
      <c r="C378" s="89"/>
      <c r="D378" s="89"/>
      <c r="E378" s="89"/>
      <c r="F378" s="110"/>
      <c r="G378" s="89"/>
      <c r="H378" s="110"/>
      <c r="I378" s="89"/>
      <c r="J378" s="110"/>
      <c r="K378" s="89"/>
      <c r="L378" s="89"/>
      <c r="M378" s="110"/>
      <c r="N378" s="89"/>
      <c r="O378" s="110"/>
      <c r="P378" s="89"/>
      <c r="Q378" s="110"/>
      <c r="R378" s="89"/>
      <c r="S378" s="89"/>
      <c r="T378" s="89"/>
      <c r="U378" s="89"/>
      <c r="V378" s="89"/>
      <c r="W378" s="89"/>
      <c r="X378" s="89"/>
      <c r="Y378" s="89"/>
      <c r="Z378" s="89"/>
      <c r="AA378" s="89"/>
      <c r="AB378" s="89"/>
      <c r="AC378" s="89"/>
      <c r="AD378" s="89"/>
    </row>
    <row r="379" spans="1:30" ht="13.8">
      <c r="A379" s="89"/>
      <c r="B379" s="89"/>
      <c r="C379" s="89"/>
      <c r="D379" s="89"/>
      <c r="E379" s="89"/>
      <c r="F379" s="110"/>
      <c r="G379" s="89"/>
      <c r="H379" s="110"/>
      <c r="I379" s="89"/>
      <c r="J379" s="110"/>
      <c r="K379" s="89"/>
      <c r="L379" s="89"/>
      <c r="M379" s="110"/>
      <c r="N379" s="89"/>
      <c r="O379" s="110"/>
      <c r="P379" s="89"/>
      <c r="Q379" s="110"/>
      <c r="R379" s="89"/>
      <c r="S379" s="89"/>
      <c r="T379" s="89"/>
      <c r="U379" s="89"/>
      <c r="V379" s="89"/>
      <c r="W379" s="89"/>
      <c r="X379" s="89"/>
      <c r="Y379" s="89"/>
      <c r="Z379" s="89"/>
      <c r="AA379" s="89"/>
      <c r="AB379" s="89"/>
      <c r="AC379" s="89"/>
      <c r="AD379" s="89"/>
    </row>
    <row r="380" spans="1:30" ht="13.8">
      <c r="A380" s="89"/>
      <c r="B380" s="89"/>
      <c r="C380" s="89"/>
      <c r="D380" s="89"/>
      <c r="E380" s="89"/>
      <c r="F380" s="110"/>
      <c r="G380" s="89"/>
      <c r="H380" s="110"/>
      <c r="I380" s="89"/>
      <c r="J380" s="110"/>
      <c r="K380" s="89"/>
      <c r="L380" s="89"/>
      <c r="M380" s="110"/>
      <c r="N380" s="89"/>
      <c r="O380" s="110"/>
      <c r="P380" s="89"/>
      <c r="Q380" s="110"/>
      <c r="R380" s="89"/>
      <c r="S380" s="89"/>
      <c r="T380" s="89"/>
      <c r="U380" s="89"/>
      <c r="V380" s="89"/>
      <c r="W380" s="89"/>
      <c r="X380" s="89"/>
      <c r="Y380" s="89"/>
      <c r="Z380" s="89"/>
      <c r="AA380" s="89"/>
      <c r="AB380" s="89"/>
      <c r="AC380" s="89"/>
      <c r="AD380" s="89"/>
    </row>
    <row r="381" spans="1:30" ht="13.8">
      <c r="A381" s="89"/>
      <c r="B381" s="89"/>
      <c r="C381" s="89"/>
      <c r="D381" s="89"/>
      <c r="E381" s="89"/>
      <c r="F381" s="110"/>
      <c r="G381" s="89"/>
      <c r="H381" s="110"/>
      <c r="I381" s="89"/>
      <c r="J381" s="110"/>
      <c r="K381" s="89"/>
      <c r="L381" s="89"/>
      <c r="M381" s="110"/>
      <c r="N381" s="89"/>
      <c r="O381" s="110"/>
      <c r="P381" s="89"/>
      <c r="Q381" s="110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89"/>
      <c r="AC381" s="89"/>
      <c r="AD381" s="89"/>
    </row>
    <row r="382" spans="1:30" ht="13.8">
      <c r="A382" s="89"/>
      <c r="B382" s="89"/>
      <c r="C382" s="89"/>
      <c r="D382" s="89"/>
      <c r="E382" s="89"/>
      <c r="F382" s="110"/>
      <c r="G382" s="89"/>
      <c r="H382" s="110"/>
      <c r="I382" s="89"/>
      <c r="J382" s="110"/>
      <c r="K382" s="89"/>
      <c r="L382" s="89"/>
      <c r="M382" s="110"/>
      <c r="N382" s="89"/>
      <c r="O382" s="110"/>
      <c r="P382" s="89"/>
      <c r="Q382" s="110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89"/>
      <c r="AC382" s="89"/>
      <c r="AD382" s="89"/>
    </row>
    <row r="383" spans="1:30" ht="13.8">
      <c r="A383" s="89"/>
      <c r="B383" s="89"/>
      <c r="C383" s="89"/>
      <c r="D383" s="89"/>
      <c r="E383" s="89"/>
      <c r="F383" s="110"/>
      <c r="G383" s="89"/>
      <c r="H383" s="110"/>
      <c r="I383" s="89"/>
      <c r="J383" s="110"/>
      <c r="K383" s="89"/>
      <c r="L383" s="89"/>
      <c r="M383" s="110"/>
      <c r="N383" s="89"/>
      <c r="O383" s="110"/>
      <c r="P383" s="89"/>
      <c r="Q383" s="110"/>
      <c r="R383" s="89"/>
      <c r="S383" s="89"/>
      <c r="T383" s="89"/>
      <c r="U383" s="89"/>
      <c r="V383" s="89"/>
      <c r="W383" s="89"/>
      <c r="X383" s="89"/>
      <c r="Y383" s="89"/>
      <c r="Z383" s="89"/>
      <c r="AA383" s="89"/>
      <c r="AB383" s="89"/>
      <c r="AC383" s="89"/>
      <c r="AD383" s="89"/>
    </row>
    <row r="384" spans="1:30" ht="13.8">
      <c r="A384" s="89"/>
      <c r="B384" s="89"/>
      <c r="C384" s="89"/>
      <c r="D384" s="89"/>
      <c r="E384" s="89"/>
      <c r="F384" s="110"/>
      <c r="G384" s="89"/>
      <c r="H384" s="110"/>
      <c r="I384" s="89"/>
      <c r="J384" s="110"/>
      <c r="K384" s="89"/>
      <c r="L384" s="89"/>
      <c r="M384" s="110"/>
      <c r="N384" s="89"/>
      <c r="O384" s="110"/>
      <c r="P384" s="89"/>
      <c r="Q384" s="110"/>
      <c r="R384" s="89"/>
      <c r="S384" s="89"/>
      <c r="T384" s="89"/>
      <c r="U384" s="89"/>
      <c r="V384" s="89"/>
      <c r="W384" s="89"/>
      <c r="X384" s="89"/>
      <c r="Y384" s="89"/>
      <c r="Z384" s="89"/>
      <c r="AA384" s="89"/>
      <c r="AB384" s="89"/>
      <c r="AC384" s="89"/>
      <c r="AD384" s="89"/>
    </row>
    <row r="385" spans="1:30" ht="13.8">
      <c r="A385" s="89"/>
      <c r="B385" s="89"/>
      <c r="C385" s="89"/>
      <c r="D385" s="89"/>
      <c r="E385" s="89"/>
      <c r="F385" s="110"/>
      <c r="G385" s="89"/>
      <c r="H385" s="110"/>
      <c r="I385" s="89"/>
      <c r="J385" s="110"/>
      <c r="K385" s="89"/>
      <c r="L385" s="89"/>
      <c r="M385" s="110"/>
      <c r="N385" s="89"/>
      <c r="O385" s="110"/>
      <c r="P385" s="89"/>
      <c r="Q385" s="110"/>
      <c r="R385" s="89"/>
      <c r="S385" s="89"/>
      <c r="T385" s="89"/>
      <c r="U385" s="89"/>
      <c r="V385" s="89"/>
      <c r="W385" s="89"/>
      <c r="X385" s="89"/>
      <c r="Y385" s="89"/>
      <c r="Z385" s="89"/>
      <c r="AA385" s="89"/>
      <c r="AB385" s="89"/>
      <c r="AC385" s="89"/>
      <c r="AD385" s="89"/>
    </row>
    <row r="386" spans="1:30" ht="13.8">
      <c r="A386" s="89"/>
      <c r="B386" s="89"/>
      <c r="C386" s="89"/>
      <c r="D386" s="89"/>
      <c r="E386" s="89"/>
      <c r="F386" s="110"/>
      <c r="G386" s="89"/>
      <c r="H386" s="110"/>
      <c r="I386" s="89"/>
      <c r="J386" s="110"/>
      <c r="K386" s="89"/>
      <c r="L386" s="89"/>
      <c r="M386" s="110"/>
      <c r="N386" s="89"/>
      <c r="O386" s="110"/>
      <c r="P386" s="89"/>
      <c r="Q386" s="110"/>
      <c r="R386" s="89"/>
      <c r="S386" s="89"/>
      <c r="T386" s="89"/>
      <c r="U386" s="89"/>
      <c r="V386" s="89"/>
      <c r="W386" s="89"/>
      <c r="X386" s="89"/>
      <c r="Y386" s="89"/>
      <c r="Z386" s="89"/>
      <c r="AA386" s="89"/>
      <c r="AB386" s="89"/>
      <c r="AC386" s="89"/>
      <c r="AD386" s="89"/>
    </row>
    <row r="387" spans="1:30" ht="13.8">
      <c r="A387" s="89"/>
      <c r="B387" s="89"/>
      <c r="C387" s="89"/>
      <c r="D387" s="89"/>
      <c r="E387" s="89"/>
      <c r="F387" s="110"/>
      <c r="G387" s="89"/>
      <c r="H387" s="110"/>
      <c r="I387" s="89"/>
      <c r="J387" s="110"/>
      <c r="K387" s="89"/>
      <c r="L387" s="89"/>
      <c r="M387" s="110"/>
      <c r="N387" s="89"/>
      <c r="O387" s="110"/>
      <c r="P387" s="89"/>
      <c r="Q387" s="110"/>
      <c r="R387" s="89"/>
      <c r="S387" s="89"/>
      <c r="T387" s="89"/>
      <c r="U387" s="89"/>
      <c r="V387" s="89"/>
      <c r="W387" s="89"/>
      <c r="X387" s="89"/>
      <c r="Y387" s="89"/>
      <c r="Z387" s="89"/>
      <c r="AA387" s="89"/>
      <c r="AB387" s="89"/>
      <c r="AC387" s="89"/>
      <c r="AD387" s="89"/>
    </row>
    <row r="388" spans="1:30" ht="13.8">
      <c r="A388" s="89"/>
      <c r="B388" s="89"/>
      <c r="C388" s="89"/>
      <c r="D388" s="89"/>
      <c r="E388" s="89"/>
      <c r="F388" s="110"/>
      <c r="G388" s="89"/>
      <c r="H388" s="110"/>
      <c r="I388" s="89"/>
      <c r="J388" s="110"/>
      <c r="K388" s="89"/>
      <c r="L388" s="89"/>
      <c r="M388" s="110"/>
      <c r="N388" s="89"/>
      <c r="O388" s="110"/>
      <c r="P388" s="89"/>
      <c r="Q388" s="110"/>
      <c r="R388" s="89"/>
      <c r="S388" s="89"/>
      <c r="T388" s="89"/>
      <c r="U388" s="89"/>
      <c r="V388" s="89"/>
      <c r="W388" s="89"/>
      <c r="X388" s="89"/>
      <c r="Y388" s="89"/>
      <c r="Z388" s="89"/>
      <c r="AA388" s="89"/>
      <c r="AB388" s="89"/>
      <c r="AC388" s="89"/>
      <c r="AD388" s="89"/>
    </row>
    <row r="389" spans="1:30" ht="13.8">
      <c r="A389" s="89"/>
      <c r="B389" s="89"/>
      <c r="C389" s="89"/>
      <c r="D389" s="89"/>
      <c r="E389" s="89"/>
      <c r="F389" s="110"/>
      <c r="G389" s="89"/>
      <c r="H389" s="110"/>
      <c r="I389" s="89"/>
      <c r="J389" s="110"/>
      <c r="K389" s="89"/>
      <c r="L389" s="89"/>
      <c r="M389" s="110"/>
      <c r="N389" s="89"/>
      <c r="O389" s="110"/>
      <c r="P389" s="89"/>
      <c r="Q389" s="110"/>
      <c r="R389" s="89"/>
      <c r="S389" s="89"/>
      <c r="T389" s="89"/>
      <c r="U389" s="89"/>
      <c r="V389" s="89"/>
      <c r="W389" s="89"/>
      <c r="X389" s="89"/>
      <c r="Y389" s="89"/>
      <c r="Z389" s="89"/>
      <c r="AA389" s="89"/>
      <c r="AB389" s="89"/>
      <c r="AC389" s="89"/>
      <c r="AD389" s="89"/>
    </row>
    <row r="390" spans="1:30" ht="13.8">
      <c r="A390" s="89"/>
      <c r="B390" s="89"/>
      <c r="C390" s="89"/>
      <c r="D390" s="89"/>
      <c r="E390" s="89"/>
      <c r="F390" s="110"/>
      <c r="G390" s="89"/>
      <c r="H390" s="110"/>
      <c r="I390" s="89"/>
      <c r="J390" s="110"/>
      <c r="K390" s="89"/>
      <c r="L390" s="89"/>
      <c r="M390" s="110"/>
      <c r="N390" s="89"/>
      <c r="O390" s="110"/>
      <c r="P390" s="89"/>
      <c r="Q390" s="110"/>
      <c r="R390" s="89"/>
      <c r="S390" s="89"/>
      <c r="T390" s="89"/>
      <c r="U390" s="89"/>
      <c r="V390" s="89"/>
      <c r="W390" s="89"/>
      <c r="X390" s="89"/>
      <c r="Y390" s="89"/>
      <c r="Z390" s="89"/>
      <c r="AA390" s="89"/>
      <c r="AB390" s="89"/>
      <c r="AC390" s="89"/>
      <c r="AD390" s="89"/>
    </row>
    <row r="391" spans="1:30" ht="13.8">
      <c r="A391" s="89"/>
      <c r="B391" s="89"/>
      <c r="C391" s="89"/>
      <c r="D391" s="89"/>
      <c r="E391" s="89"/>
      <c r="F391" s="110"/>
      <c r="G391" s="89"/>
      <c r="H391" s="110"/>
      <c r="I391" s="89"/>
      <c r="J391" s="110"/>
      <c r="K391" s="89"/>
      <c r="L391" s="89"/>
      <c r="M391" s="110"/>
      <c r="N391" s="89"/>
      <c r="O391" s="110"/>
      <c r="P391" s="89"/>
      <c r="Q391" s="110"/>
      <c r="R391" s="89"/>
      <c r="S391" s="89"/>
      <c r="T391" s="89"/>
      <c r="U391" s="89"/>
      <c r="V391" s="89"/>
      <c r="W391" s="89"/>
      <c r="X391" s="89"/>
      <c r="Y391" s="89"/>
      <c r="Z391" s="89"/>
      <c r="AA391" s="89"/>
      <c r="AB391" s="89"/>
      <c r="AC391" s="89"/>
      <c r="AD391" s="89"/>
    </row>
    <row r="392" spans="1:30" ht="13.8">
      <c r="A392" s="89"/>
      <c r="B392" s="89"/>
      <c r="C392" s="89"/>
      <c r="D392" s="89"/>
      <c r="E392" s="89"/>
      <c r="F392" s="110"/>
      <c r="G392" s="89"/>
      <c r="H392" s="110"/>
      <c r="I392" s="89"/>
      <c r="J392" s="110"/>
      <c r="K392" s="89"/>
      <c r="L392" s="89"/>
      <c r="M392" s="110"/>
      <c r="N392" s="89"/>
      <c r="O392" s="110"/>
      <c r="P392" s="89"/>
      <c r="Q392" s="110"/>
      <c r="R392" s="89"/>
      <c r="S392" s="89"/>
      <c r="T392" s="89"/>
      <c r="U392" s="89"/>
      <c r="V392" s="89"/>
      <c r="W392" s="89"/>
      <c r="X392" s="89"/>
      <c r="Y392" s="89"/>
      <c r="Z392" s="89"/>
      <c r="AA392" s="89"/>
      <c r="AB392" s="89"/>
      <c r="AC392" s="89"/>
      <c r="AD392" s="89"/>
    </row>
    <row r="393" spans="1:30" ht="13.8">
      <c r="A393" s="89"/>
      <c r="B393" s="89"/>
      <c r="C393" s="89"/>
      <c r="D393" s="89"/>
      <c r="E393" s="89"/>
      <c r="F393" s="110"/>
      <c r="G393" s="89"/>
      <c r="H393" s="110"/>
      <c r="I393" s="89"/>
      <c r="J393" s="110"/>
      <c r="K393" s="89"/>
      <c r="L393" s="89"/>
      <c r="M393" s="110"/>
      <c r="N393" s="89"/>
      <c r="O393" s="110"/>
      <c r="P393" s="89"/>
      <c r="Q393" s="110"/>
      <c r="R393" s="89"/>
      <c r="S393" s="89"/>
      <c r="T393" s="89"/>
      <c r="U393" s="89"/>
      <c r="V393" s="89"/>
      <c r="W393" s="89"/>
      <c r="X393" s="89"/>
      <c r="Y393" s="89"/>
      <c r="Z393" s="89"/>
      <c r="AA393" s="89"/>
      <c r="AB393" s="89"/>
      <c r="AC393" s="89"/>
      <c r="AD393" s="89"/>
    </row>
    <row r="394" spans="1:30" ht="13.8">
      <c r="A394" s="89"/>
      <c r="B394" s="89"/>
      <c r="C394" s="89"/>
      <c r="D394" s="89"/>
      <c r="E394" s="89"/>
      <c r="F394" s="110"/>
      <c r="G394" s="89"/>
      <c r="H394" s="110"/>
      <c r="I394" s="89"/>
      <c r="J394" s="110"/>
      <c r="K394" s="89"/>
      <c r="L394" s="89"/>
      <c r="M394" s="110"/>
      <c r="N394" s="89"/>
      <c r="O394" s="110"/>
      <c r="P394" s="89"/>
      <c r="Q394" s="110"/>
      <c r="R394" s="89"/>
      <c r="S394" s="89"/>
      <c r="T394" s="89"/>
      <c r="U394" s="89"/>
      <c r="V394" s="89"/>
      <c r="W394" s="89"/>
      <c r="X394" s="89"/>
      <c r="Y394" s="89"/>
      <c r="Z394" s="89"/>
      <c r="AA394" s="89"/>
      <c r="AB394" s="89"/>
      <c r="AC394" s="89"/>
      <c r="AD394" s="89"/>
    </row>
    <row r="395" spans="1:30" ht="13.8">
      <c r="A395" s="89"/>
      <c r="B395" s="89"/>
      <c r="C395" s="89"/>
      <c r="D395" s="89"/>
      <c r="E395" s="89"/>
      <c r="F395" s="110"/>
      <c r="G395" s="89"/>
      <c r="H395" s="110"/>
      <c r="I395" s="89"/>
      <c r="J395" s="110"/>
      <c r="K395" s="89"/>
      <c r="L395" s="89"/>
      <c r="M395" s="110"/>
      <c r="N395" s="89"/>
      <c r="O395" s="110"/>
      <c r="P395" s="89"/>
      <c r="Q395" s="110"/>
      <c r="R395" s="89"/>
      <c r="S395" s="89"/>
      <c r="T395" s="89"/>
      <c r="U395" s="89"/>
      <c r="V395" s="89"/>
      <c r="W395" s="89"/>
      <c r="X395" s="89"/>
      <c r="Y395" s="89"/>
      <c r="Z395" s="89"/>
      <c r="AA395" s="89"/>
      <c r="AB395" s="89"/>
      <c r="AC395" s="89"/>
      <c r="AD395" s="89"/>
    </row>
    <row r="396" spans="1:30" ht="13.8">
      <c r="A396" s="89"/>
      <c r="B396" s="89"/>
      <c r="C396" s="89"/>
      <c r="D396" s="89"/>
      <c r="E396" s="89"/>
      <c r="F396" s="110"/>
      <c r="G396" s="89"/>
      <c r="H396" s="110"/>
      <c r="I396" s="89"/>
      <c r="J396" s="110"/>
      <c r="K396" s="89"/>
      <c r="L396" s="89"/>
      <c r="M396" s="110"/>
      <c r="N396" s="89"/>
      <c r="O396" s="110"/>
      <c r="P396" s="89"/>
      <c r="Q396" s="110"/>
      <c r="R396" s="89"/>
      <c r="S396" s="89"/>
      <c r="T396" s="89"/>
      <c r="U396" s="89"/>
      <c r="V396" s="89"/>
      <c r="W396" s="89"/>
      <c r="X396" s="89"/>
      <c r="Y396" s="89"/>
      <c r="Z396" s="89"/>
      <c r="AA396" s="89"/>
      <c r="AB396" s="89"/>
      <c r="AC396" s="89"/>
      <c r="AD396" s="89"/>
    </row>
    <row r="397" spans="1:30" ht="13.8">
      <c r="A397" s="89"/>
      <c r="B397" s="89"/>
      <c r="C397" s="89"/>
      <c r="D397" s="89"/>
      <c r="E397" s="89"/>
      <c r="F397" s="110"/>
      <c r="G397" s="89"/>
      <c r="H397" s="110"/>
      <c r="I397" s="89"/>
      <c r="J397" s="110"/>
      <c r="K397" s="89"/>
      <c r="L397" s="89"/>
      <c r="M397" s="110"/>
      <c r="N397" s="89"/>
      <c r="O397" s="110"/>
      <c r="P397" s="89"/>
      <c r="Q397" s="110"/>
      <c r="R397" s="89"/>
      <c r="S397" s="89"/>
      <c r="T397" s="89"/>
      <c r="U397" s="89"/>
      <c r="V397" s="89"/>
      <c r="W397" s="89"/>
      <c r="X397" s="89"/>
      <c r="Y397" s="89"/>
      <c r="Z397" s="89"/>
      <c r="AA397" s="89"/>
      <c r="AB397" s="89"/>
      <c r="AC397" s="89"/>
      <c r="AD397" s="89"/>
    </row>
    <row r="398" spans="1:30" ht="13.8">
      <c r="A398" s="89"/>
      <c r="B398" s="89"/>
      <c r="C398" s="89"/>
      <c r="D398" s="89"/>
      <c r="E398" s="89"/>
      <c r="F398" s="110"/>
      <c r="G398" s="89"/>
      <c r="H398" s="110"/>
      <c r="I398" s="89"/>
      <c r="J398" s="110"/>
      <c r="K398" s="89"/>
      <c r="L398" s="89"/>
      <c r="M398" s="110"/>
      <c r="N398" s="89"/>
      <c r="O398" s="110"/>
      <c r="P398" s="89"/>
      <c r="Q398" s="110"/>
      <c r="R398" s="89"/>
      <c r="S398" s="89"/>
      <c r="T398" s="89"/>
      <c r="U398" s="89"/>
      <c r="V398" s="89"/>
      <c r="W398" s="89"/>
      <c r="X398" s="89"/>
      <c r="Y398" s="89"/>
      <c r="Z398" s="89"/>
      <c r="AA398" s="89"/>
      <c r="AB398" s="89"/>
      <c r="AC398" s="89"/>
      <c r="AD398" s="89"/>
    </row>
    <row r="399" spans="1:30" ht="13.8">
      <c r="A399" s="89"/>
      <c r="B399" s="89"/>
      <c r="C399" s="89"/>
      <c r="D399" s="89"/>
      <c r="E399" s="89"/>
      <c r="F399" s="110"/>
      <c r="G399" s="89"/>
      <c r="H399" s="110"/>
      <c r="I399" s="89"/>
      <c r="J399" s="110"/>
      <c r="K399" s="89"/>
      <c r="L399" s="89"/>
      <c r="M399" s="110"/>
      <c r="N399" s="89"/>
      <c r="O399" s="110"/>
      <c r="P399" s="89"/>
      <c r="Q399" s="110"/>
      <c r="R399" s="89"/>
      <c r="S399" s="89"/>
      <c r="T399" s="89"/>
      <c r="U399" s="89"/>
      <c r="V399" s="89"/>
      <c r="W399" s="89"/>
      <c r="X399" s="89"/>
      <c r="Y399" s="89"/>
      <c r="Z399" s="89"/>
      <c r="AA399" s="89"/>
      <c r="AB399" s="89"/>
      <c r="AC399" s="89"/>
      <c r="AD399" s="89"/>
    </row>
    <row r="400" spans="1:30" ht="13.8">
      <c r="A400" s="89"/>
      <c r="B400" s="89"/>
      <c r="C400" s="89"/>
      <c r="D400" s="89"/>
      <c r="E400" s="89"/>
      <c r="F400" s="110"/>
      <c r="G400" s="89"/>
      <c r="H400" s="110"/>
      <c r="I400" s="89"/>
      <c r="J400" s="110"/>
      <c r="K400" s="89"/>
      <c r="L400" s="89"/>
      <c r="M400" s="110"/>
      <c r="N400" s="89"/>
      <c r="O400" s="110"/>
      <c r="P400" s="89"/>
      <c r="Q400" s="110"/>
      <c r="R400" s="89"/>
      <c r="S400" s="89"/>
      <c r="T400" s="89"/>
      <c r="U400" s="89"/>
      <c r="V400" s="89"/>
      <c r="W400" s="89"/>
      <c r="X400" s="89"/>
      <c r="Y400" s="89"/>
      <c r="Z400" s="89"/>
      <c r="AA400" s="89"/>
      <c r="AB400" s="89"/>
      <c r="AC400" s="89"/>
      <c r="AD400" s="89"/>
    </row>
    <row r="401" spans="1:30" ht="13.8">
      <c r="A401" s="89"/>
      <c r="B401" s="89"/>
      <c r="C401" s="89"/>
      <c r="D401" s="89"/>
      <c r="E401" s="89"/>
      <c r="F401" s="110"/>
      <c r="G401" s="89"/>
      <c r="H401" s="110"/>
      <c r="I401" s="89"/>
      <c r="J401" s="110"/>
      <c r="K401" s="89"/>
      <c r="L401" s="89"/>
      <c r="M401" s="110"/>
      <c r="N401" s="89"/>
      <c r="O401" s="110"/>
      <c r="P401" s="89"/>
      <c r="Q401" s="110"/>
      <c r="R401" s="89"/>
      <c r="S401" s="89"/>
      <c r="T401" s="89"/>
      <c r="U401" s="89"/>
      <c r="V401" s="89"/>
      <c r="W401" s="89"/>
      <c r="X401" s="89"/>
      <c r="Y401" s="89"/>
      <c r="Z401" s="89"/>
      <c r="AA401" s="89"/>
      <c r="AB401" s="89"/>
      <c r="AC401" s="89"/>
      <c r="AD401" s="89"/>
    </row>
    <row r="402" spans="1:30" ht="13.8">
      <c r="A402" s="89"/>
      <c r="B402" s="89"/>
      <c r="C402" s="89"/>
      <c r="D402" s="89"/>
      <c r="E402" s="89"/>
      <c r="F402" s="110"/>
      <c r="G402" s="89"/>
      <c r="H402" s="110"/>
      <c r="I402" s="89"/>
      <c r="J402" s="110"/>
      <c r="K402" s="89"/>
      <c r="L402" s="89"/>
      <c r="M402" s="110"/>
      <c r="N402" s="89"/>
      <c r="O402" s="110"/>
      <c r="P402" s="89"/>
      <c r="Q402" s="110"/>
      <c r="R402" s="89"/>
      <c r="S402" s="89"/>
      <c r="T402" s="89"/>
      <c r="U402" s="89"/>
      <c r="V402" s="89"/>
      <c r="W402" s="89"/>
      <c r="X402" s="89"/>
      <c r="Y402" s="89"/>
      <c r="Z402" s="89"/>
      <c r="AA402" s="89"/>
      <c r="AB402" s="89"/>
      <c r="AC402" s="89"/>
      <c r="AD402" s="89"/>
    </row>
    <row r="403" spans="1:30" ht="13.8">
      <c r="A403" s="89"/>
      <c r="B403" s="89"/>
      <c r="C403" s="89"/>
      <c r="D403" s="89"/>
      <c r="E403" s="89"/>
      <c r="F403" s="110"/>
      <c r="G403" s="89"/>
      <c r="H403" s="110"/>
      <c r="I403" s="89"/>
      <c r="J403" s="110"/>
      <c r="K403" s="89"/>
      <c r="L403" s="89"/>
      <c r="M403" s="110"/>
      <c r="N403" s="89"/>
      <c r="O403" s="110"/>
      <c r="P403" s="89"/>
      <c r="Q403" s="110"/>
      <c r="R403" s="89"/>
      <c r="S403" s="89"/>
      <c r="T403" s="89"/>
      <c r="U403" s="89"/>
      <c r="V403" s="89"/>
      <c r="W403" s="89"/>
      <c r="X403" s="89"/>
      <c r="Y403" s="89"/>
      <c r="Z403" s="89"/>
      <c r="AA403" s="89"/>
      <c r="AB403" s="89"/>
      <c r="AC403" s="89"/>
      <c r="AD403" s="89"/>
    </row>
    <row r="404" spans="1:30" ht="13.8">
      <c r="A404" s="89"/>
      <c r="B404" s="89"/>
      <c r="C404" s="89"/>
      <c r="D404" s="89"/>
      <c r="E404" s="89"/>
      <c r="F404" s="110"/>
      <c r="G404" s="89"/>
      <c r="H404" s="110"/>
      <c r="I404" s="89"/>
      <c r="J404" s="110"/>
      <c r="K404" s="89"/>
      <c r="L404" s="89"/>
      <c r="M404" s="110"/>
      <c r="N404" s="89"/>
      <c r="O404" s="110"/>
      <c r="P404" s="89"/>
      <c r="Q404" s="110"/>
      <c r="R404" s="89"/>
      <c r="S404" s="89"/>
      <c r="T404" s="89"/>
      <c r="U404" s="89"/>
      <c r="V404" s="89"/>
      <c r="W404" s="89"/>
      <c r="X404" s="89"/>
      <c r="Y404" s="89"/>
      <c r="Z404" s="89"/>
      <c r="AA404" s="89"/>
      <c r="AB404" s="89"/>
      <c r="AC404" s="89"/>
      <c r="AD404" s="89"/>
    </row>
    <row r="405" spans="1:30" ht="13.8">
      <c r="A405" s="89"/>
      <c r="B405" s="89"/>
      <c r="C405" s="89"/>
      <c r="D405" s="89"/>
      <c r="E405" s="89"/>
      <c r="F405" s="110"/>
      <c r="G405" s="89"/>
      <c r="H405" s="110"/>
      <c r="I405" s="89"/>
      <c r="J405" s="110"/>
      <c r="K405" s="89"/>
      <c r="L405" s="89"/>
      <c r="M405" s="110"/>
      <c r="N405" s="89"/>
      <c r="O405" s="110"/>
      <c r="P405" s="89"/>
      <c r="Q405" s="110"/>
      <c r="R405" s="89"/>
      <c r="S405" s="89"/>
      <c r="T405" s="89"/>
      <c r="U405" s="89"/>
      <c r="V405" s="89"/>
      <c r="W405" s="89"/>
      <c r="X405" s="89"/>
      <c r="Y405" s="89"/>
      <c r="Z405" s="89"/>
      <c r="AA405" s="89"/>
      <c r="AB405" s="89"/>
      <c r="AC405" s="89"/>
      <c r="AD405" s="89"/>
    </row>
    <row r="406" spans="1:30" ht="13.8">
      <c r="A406" s="89"/>
      <c r="B406" s="89"/>
      <c r="C406" s="89"/>
      <c r="D406" s="89"/>
      <c r="E406" s="89"/>
      <c r="F406" s="110"/>
      <c r="G406" s="89"/>
      <c r="H406" s="110"/>
      <c r="I406" s="89"/>
      <c r="J406" s="110"/>
      <c r="K406" s="89"/>
      <c r="L406" s="89"/>
      <c r="M406" s="110"/>
      <c r="N406" s="89"/>
      <c r="O406" s="110"/>
      <c r="P406" s="89"/>
      <c r="Q406" s="110"/>
      <c r="R406" s="89"/>
      <c r="S406" s="89"/>
      <c r="T406" s="89"/>
      <c r="U406" s="89"/>
      <c r="V406" s="89"/>
      <c r="W406" s="89"/>
      <c r="X406" s="89"/>
      <c r="Y406" s="89"/>
      <c r="Z406" s="89"/>
      <c r="AA406" s="89"/>
      <c r="AB406" s="89"/>
      <c r="AC406" s="89"/>
      <c r="AD406" s="89"/>
    </row>
    <row r="407" spans="1:30" ht="13.8">
      <c r="A407" s="89"/>
      <c r="B407" s="89"/>
      <c r="C407" s="89"/>
      <c r="D407" s="89"/>
      <c r="E407" s="89"/>
      <c r="F407" s="110"/>
      <c r="G407" s="89"/>
      <c r="H407" s="110"/>
      <c r="I407" s="89"/>
      <c r="J407" s="110"/>
      <c r="K407" s="89"/>
      <c r="L407" s="89"/>
      <c r="M407" s="110"/>
      <c r="N407" s="89"/>
      <c r="O407" s="110"/>
      <c r="P407" s="89"/>
      <c r="Q407" s="110"/>
      <c r="R407" s="89"/>
      <c r="S407" s="89"/>
      <c r="T407" s="89"/>
      <c r="U407" s="89"/>
      <c r="V407" s="89"/>
      <c r="W407" s="89"/>
      <c r="X407" s="89"/>
      <c r="Y407" s="89"/>
      <c r="Z407" s="89"/>
      <c r="AA407" s="89"/>
      <c r="AB407" s="89"/>
      <c r="AC407" s="89"/>
      <c r="AD407" s="89"/>
    </row>
    <row r="408" spans="1:30" ht="13.8">
      <c r="A408" s="89"/>
      <c r="B408" s="89"/>
      <c r="C408" s="89"/>
      <c r="D408" s="89"/>
      <c r="E408" s="89"/>
      <c r="F408" s="110"/>
      <c r="G408" s="89"/>
      <c r="H408" s="110"/>
      <c r="I408" s="89"/>
      <c r="J408" s="110"/>
      <c r="K408" s="89"/>
      <c r="L408" s="89"/>
      <c r="M408" s="110"/>
      <c r="N408" s="89"/>
      <c r="O408" s="110"/>
      <c r="P408" s="89"/>
      <c r="Q408" s="110"/>
      <c r="R408" s="89"/>
      <c r="S408" s="89"/>
      <c r="T408" s="89"/>
      <c r="U408" s="89"/>
      <c r="V408" s="89"/>
      <c r="W408" s="89"/>
      <c r="X408" s="89"/>
      <c r="Y408" s="89"/>
      <c r="Z408" s="89"/>
      <c r="AA408" s="89"/>
      <c r="AB408" s="89"/>
      <c r="AC408" s="89"/>
      <c r="AD408" s="89"/>
    </row>
    <row r="409" spans="1:30" ht="13.8">
      <c r="A409" s="89"/>
      <c r="B409" s="89"/>
      <c r="C409" s="89"/>
      <c r="D409" s="89"/>
      <c r="E409" s="89"/>
      <c r="F409" s="110"/>
      <c r="G409" s="89"/>
      <c r="H409" s="110"/>
      <c r="I409" s="89"/>
      <c r="J409" s="110"/>
      <c r="K409" s="89"/>
      <c r="L409" s="89"/>
      <c r="M409" s="110"/>
      <c r="N409" s="89"/>
      <c r="O409" s="110"/>
      <c r="P409" s="89"/>
      <c r="Q409" s="110"/>
      <c r="R409" s="89"/>
      <c r="S409" s="89"/>
      <c r="T409" s="89"/>
      <c r="U409" s="89"/>
      <c r="V409" s="89"/>
      <c r="W409" s="89"/>
      <c r="X409" s="89"/>
      <c r="Y409" s="89"/>
      <c r="Z409" s="89"/>
      <c r="AA409" s="89"/>
      <c r="AB409" s="89"/>
      <c r="AC409" s="89"/>
      <c r="AD409" s="89"/>
    </row>
    <row r="410" spans="1:30" ht="13.8">
      <c r="A410" s="89"/>
      <c r="B410" s="89"/>
      <c r="C410" s="89"/>
      <c r="D410" s="89"/>
      <c r="E410" s="89"/>
      <c r="F410" s="110"/>
      <c r="G410" s="89"/>
      <c r="H410" s="110"/>
      <c r="I410" s="89"/>
      <c r="J410" s="110"/>
      <c r="K410" s="89"/>
      <c r="L410" s="89"/>
      <c r="M410" s="110"/>
      <c r="N410" s="89"/>
      <c r="O410" s="110"/>
      <c r="P410" s="89"/>
      <c r="Q410" s="110"/>
      <c r="R410" s="89"/>
      <c r="S410" s="89"/>
      <c r="T410" s="89"/>
      <c r="U410" s="89"/>
      <c r="V410" s="89"/>
      <c r="W410" s="89"/>
      <c r="X410" s="89"/>
      <c r="Y410" s="89"/>
      <c r="Z410" s="89"/>
      <c r="AA410" s="89"/>
      <c r="AB410" s="89"/>
      <c r="AC410" s="89"/>
      <c r="AD410" s="89"/>
    </row>
    <row r="411" spans="1:30" ht="13.8">
      <c r="A411" s="89"/>
      <c r="B411" s="89"/>
      <c r="C411" s="89"/>
      <c r="D411" s="89"/>
      <c r="E411" s="89"/>
      <c r="F411" s="110"/>
      <c r="G411" s="89"/>
      <c r="H411" s="110"/>
      <c r="I411" s="89"/>
      <c r="J411" s="110"/>
      <c r="K411" s="89"/>
      <c r="L411" s="89"/>
      <c r="M411" s="110"/>
      <c r="N411" s="89"/>
      <c r="O411" s="110"/>
      <c r="P411" s="89"/>
      <c r="Q411" s="110"/>
      <c r="R411" s="89"/>
      <c r="S411" s="89"/>
      <c r="T411" s="89"/>
      <c r="U411" s="89"/>
      <c r="V411" s="89"/>
      <c r="W411" s="89"/>
      <c r="X411" s="89"/>
      <c r="Y411" s="89"/>
      <c r="Z411" s="89"/>
      <c r="AA411" s="89"/>
      <c r="AB411" s="89"/>
      <c r="AC411" s="89"/>
      <c r="AD411" s="89"/>
    </row>
    <row r="412" spans="1:30" ht="13.8">
      <c r="A412" s="89"/>
      <c r="B412" s="89"/>
      <c r="C412" s="89"/>
      <c r="D412" s="89"/>
      <c r="E412" s="89"/>
      <c r="F412" s="110"/>
      <c r="G412" s="89"/>
      <c r="H412" s="110"/>
      <c r="I412" s="89"/>
      <c r="J412" s="110"/>
      <c r="K412" s="89"/>
      <c r="L412" s="89"/>
      <c r="M412" s="110"/>
      <c r="N412" s="89"/>
      <c r="O412" s="110"/>
      <c r="P412" s="89"/>
      <c r="Q412" s="110"/>
      <c r="R412" s="89"/>
      <c r="S412" s="89"/>
      <c r="T412" s="89"/>
      <c r="U412" s="89"/>
      <c r="V412" s="89"/>
      <c r="W412" s="89"/>
      <c r="X412" s="89"/>
      <c r="Y412" s="89"/>
      <c r="Z412" s="89"/>
      <c r="AA412" s="89"/>
      <c r="AB412" s="89"/>
      <c r="AC412" s="89"/>
      <c r="AD412" s="89"/>
    </row>
    <row r="413" spans="1:30" ht="13.8">
      <c r="A413" s="89"/>
      <c r="B413" s="89"/>
      <c r="C413" s="89"/>
      <c r="D413" s="89"/>
      <c r="E413" s="89"/>
      <c r="F413" s="110"/>
      <c r="G413" s="89"/>
      <c r="H413" s="110"/>
      <c r="I413" s="89"/>
      <c r="J413" s="110"/>
      <c r="K413" s="89"/>
      <c r="L413" s="89"/>
      <c r="M413" s="110"/>
      <c r="N413" s="89"/>
      <c r="O413" s="110"/>
      <c r="P413" s="89"/>
      <c r="Q413" s="110"/>
      <c r="R413" s="89"/>
      <c r="S413" s="89"/>
      <c r="T413" s="89"/>
      <c r="U413" s="89"/>
      <c r="V413" s="89"/>
      <c r="W413" s="89"/>
      <c r="X413" s="89"/>
      <c r="Y413" s="89"/>
      <c r="Z413" s="89"/>
      <c r="AA413" s="89"/>
      <c r="AB413" s="89"/>
      <c r="AC413" s="89"/>
      <c r="AD413" s="89"/>
    </row>
    <row r="414" spans="1:30" ht="13.8">
      <c r="A414" s="89"/>
      <c r="B414" s="89"/>
      <c r="C414" s="89"/>
      <c r="D414" s="89"/>
      <c r="E414" s="89"/>
      <c r="F414" s="110"/>
      <c r="G414" s="89"/>
      <c r="H414" s="110"/>
      <c r="I414" s="89"/>
      <c r="J414" s="110"/>
      <c r="K414" s="89"/>
      <c r="L414" s="89"/>
      <c r="M414" s="110"/>
      <c r="N414" s="89"/>
      <c r="O414" s="110"/>
      <c r="P414" s="89"/>
      <c r="Q414" s="110"/>
      <c r="R414" s="89"/>
      <c r="S414" s="89"/>
      <c r="T414" s="89"/>
      <c r="U414" s="89"/>
      <c r="V414" s="89"/>
      <c r="W414" s="89"/>
      <c r="X414" s="89"/>
      <c r="Y414" s="89"/>
      <c r="Z414" s="89"/>
      <c r="AA414" s="89"/>
      <c r="AB414" s="89"/>
      <c r="AC414" s="89"/>
      <c r="AD414" s="89"/>
    </row>
    <row r="415" spans="1:30" ht="13.8">
      <c r="A415" s="89"/>
      <c r="B415" s="89"/>
      <c r="C415" s="89"/>
      <c r="D415" s="89"/>
      <c r="E415" s="89"/>
      <c r="F415" s="110"/>
      <c r="G415" s="89"/>
      <c r="H415" s="110"/>
      <c r="I415" s="89"/>
      <c r="J415" s="110"/>
      <c r="K415" s="89"/>
      <c r="L415" s="89"/>
      <c r="M415" s="110"/>
      <c r="N415" s="89"/>
      <c r="O415" s="110"/>
      <c r="P415" s="89"/>
      <c r="Q415" s="110"/>
      <c r="R415" s="89"/>
      <c r="S415" s="89"/>
      <c r="T415" s="89"/>
      <c r="U415" s="89"/>
      <c r="V415" s="89"/>
      <c r="W415" s="89"/>
      <c r="X415" s="89"/>
      <c r="Y415" s="89"/>
      <c r="Z415" s="89"/>
      <c r="AA415" s="89"/>
      <c r="AB415" s="89"/>
      <c r="AC415" s="89"/>
      <c r="AD415" s="89"/>
    </row>
    <row r="416" spans="1:30" ht="13.8">
      <c r="A416" s="89"/>
      <c r="B416" s="89"/>
      <c r="C416" s="89"/>
      <c r="D416" s="89"/>
      <c r="E416" s="89"/>
      <c r="F416" s="110"/>
      <c r="G416" s="89"/>
      <c r="H416" s="110"/>
      <c r="I416" s="89"/>
      <c r="J416" s="110"/>
      <c r="K416" s="89"/>
      <c r="L416" s="89"/>
      <c r="M416" s="110"/>
      <c r="N416" s="89"/>
      <c r="O416" s="110"/>
      <c r="P416" s="89"/>
      <c r="Q416" s="110"/>
      <c r="R416" s="89"/>
      <c r="S416" s="89"/>
      <c r="T416" s="89"/>
      <c r="U416" s="89"/>
      <c r="V416" s="89"/>
      <c r="W416" s="89"/>
      <c r="X416" s="89"/>
      <c r="Y416" s="89"/>
      <c r="Z416" s="89"/>
      <c r="AA416" s="89"/>
      <c r="AB416" s="89"/>
      <c r="AC416" s="89"/>
      <c r="AD416" s="89"/>
    </row>
    <row r="417" spans="1:30" ht="13.8">
      <c r="A417" s="89"/>
      <c r="B417" s="89"/>
      <c r="C417" s="89"/>
      <c r="D417" s="89"/>
      <c r="E417" s="89"/>
      <c r="F417" s="110"/>
      <c r="G417" s="89"/>
      <c r="H417" s="110"/>
      <c r="I417" s="89"/>
      <c r="J417" s="110"/>
      <c r="K417" s="89"/>
      <c r="L417" s="89"/>
      <c r="M417" s="110"/>
      <c r="N417" s="89"/>
      <c r="O417" s="110"/>
      <c r="P417" s="89"/>
      <c r="Q417" s="110"/>
      <c r="R417" s="89"/>
      <c r="S417" s="89"/>
      <c r="T417" s="89"/>
      <c r="U417" s="89"/>
      <c r="V417" s="89"/>
      <c r="W417" s="89"/>
      <c r="X417" s="89"/>
      <c r="Y417" s="89"/>
      <c r="Z417" s="89"/>
      <c r="AA417" s="89"/>
      <c r="AB417" s="89"/>
      <c r="AC417" s="89"/>
      <c r="AD417" s="89"/>
    </row>
    <row r="418" spans="1:30" ht="13.8">
      <c r="A418" s="89"/>
      <c r="B418" s="89"/>
      <c r="C418" s="89"/>
      <c r="D418" s="89"/>
      <c r="E418" s="89"/>
      <c r="F418" s="110"/>
      <c r="G418" s="89"/>
      <c r="H418" s="110"/>
      <c r="I418" s="89"/>
      <c r="J418" s="110"/>
      <c r="K418" s="89"/>
      <c r="L418" s="89"/>
      <c r="M418" s="110"/>
      <c r="N418" s="89"/>
      <c r="O418" s="110"/>
      <c r="P418" s="89"/>
      <c r="Q418" s="110"/>
      <c r="R418" s="89"/>
      <c r="S418" s="89"/>
      <c r="T418" s="89"/>
      <c r="U418" s="89"/>
      <c r="V418" s="89"/>
      <c r="W418" s="89"/>
      <c r="X418" s="89"/>
      <c r="Y418" s="89"/>
      <c r="Z418" s="89"/>
      <c r="AA418" s="89"/>
      <c r="AB418" s="89"/>
      <c r="AC418" s="89"/>
      <c r="AD418" s="89"/>
    </row>
    <row r="419" spans="1:30" ht="13.8">
      <c r="A419" s="89"/>
      <c r="B419" s="89"/>
      <c r="C419" s="89"/>
      <c r="D419" s="89"/>
      <c r="E419" s="89"/>
      <c r="F419" s="110"/>
      <c r="G419" s="89"/>
      <c r="H419" s="110"/>
      <c r="I419" s="89"/>
      <c r="J419" s="110"/>
      <c r="K419" s="89"/>
      <c r="L419" s="89"/>
      <c r="M419" s="110"/>
      <c r="N419" s="89"/>
      <c r="O419" s="110"/>
      <c r="P419" s="89"/>
      <c r="Q419" s="110"/>
      <c r="R419" s="89"/>
      <c r="S419" s="89"/>
      <c r="T419" s="89"/>
      <c r="U419" s="89"/>
      <c r="V419" s="89"/>
      <c r="W419" s="89"/>
      <c r="X419" s="89"/>
      <c r="Y419" s="89"/>
      <c r="Z419" s="89"/>
      <c r="AA419" s="89"/>
      <c r="AB419" s="89"/>
      <c r="AC419" s="89"/>
      <c r="AD419" s="89"/>
    </row>
    <row r="420" spans="1:30" ht="13.8">
      <c r="A420" s="89"/>
      <c r="B420" s="89"/>
      <c r="C420" s="89"/>
      <c r="D420" s="89"/>
      <c r="E420" s="89"/>
      <c r="F420" s="110"/>
      <c r="G420" s="89"/>
      <c r="H420" s="110"/>
      <c r="I420" s="89"/>
      <c r="J420" s="110"/>
      <c r="K420" s="89"/>
      <c r="L420" s="89"/>
      <c r="M420" s="110"/>
      <c r="N420" s="89"/>
      <c r="O420" s="110"/>
      <c r="P420" s="89"/>
      <c r="Q420" s="110"/>
      <c r="R420" s="89"/>
      <c r="S420" s="89"/>
      <c r="T420" s="89"/>
      <c r="U420" s="89"/>
      <c r="V420" s="89"/>
      <c r="W420" s="89"/>
      <c r="X420" s="89"/>
      <c r="Y420" s="89"/>
      <c r="Z420" s="89"/>
      <c r="AA420" s="89"/>
      <c r="AB420" s="89"/>
      <c r="AC420" s="89"/>
      <c r="AD420" s="89"/>
    </row>
    <row r="421" spans="1:30" ht="13.8">
      <c r="A421" s="89"/>
      <c r="B421" s="89"/>
      <c r="C421" s="89"/>
      <c r="D421" s="89"/>
      <c r="E421" s="89"/>
      <c r="F421" s="110"/>
      <c r="G421" s="89"/>
      <c r="H421" s="110"/>
      <c r="I421" s="89"/>
      <c r="J421" s="110"/>
      <c r="K421" s="89"/>
      <c r="L421" s="89"/>
      <c r="M421" s="110"/>
      <c r="N421" s="89"/>
      <c r="O421" s="110"/>
      <c r="P421" s="89"/>
      <c r="Q421" s="110"/>
      <c r="R421" s="89"/>
      <c r="S421" s="89"/>
      <c r="T421" s="89"/>
      <c r="U421" s="89"/>
      <c r="V421" s="89"/>
      <c r="W421" s="89"/>
      <c r="X421" s="89"/>
      <c r="Y421" s="89"/>
      <c r="Z421" s="89"/>
      <c r="AA421" s="89"/>
      <c r="AB421" s="89"/>
      <c r="AC421" s="89"/>
      <c r="AD421" s="89"/>
    </row>
    <row r="422" spans="1:30" ht="13.8">
      <c r="A422" s="89"/>
      <c r="B422" s="89"/>
      <c r="C422" s="89"/>
      <c r="D422" s="89"/>
      <c r="E422" s="89"/>
      <c r="F422" s="110"/>
      <c r="G422" s="89"/>
      <c r="H422" s="110"/>
      <c r="I422" s="89"/>
      <c r="J422" s="110"/>
      <c r="K422" s="89"/>
      <c r="L422" s="89"/>
      <c r="M422" s="110"/>
      <c r="N422" s="89"/>
      <c r="O422" s="110"/>
      <c r="P422" s="89"/>
      <c r="Q422" s="110"/>
      <c r="R422" s="89"/>
      <c r="S422" s="89"/>
      <c r="T422" s="89"/>
      <c r="U422" s="89"/>
      <c r="V422" s="89"/>
      <c r="W422" s="89"/>
      <c r="X422" s="89"/>
      <c r="Y422" s="89"/>
      <c r="Z422" s="89"/>
      <c r="AA422" s="89"/>
      <c r="AB422" s="89"/>
      <c r="AC422" s="89"/>
      <c r="AD422" s="89"/>
    </row>
    <row r="423" spans="1:30" ht="13.8">
      <c r="A423" s="89"/>
      <c r="B423" s="89"/>
      <c r="C423" s="89"/>
      <c r="D423" s="89"/>
      <c r="E423" s="89"/>
      <c r="F423" s="110"/>
      <c r="G423" s="89"/>
      <c r="H423" s="110"/>
      <c r="I423" s="89"/>
      <c r="J423" s="110"/>
      <c r="K423" s="89"/>
      <c r="L423" s="89"/>
      <c r="M423" s="110"/>
      <c r="N423" s="89"/>
      <c r="O423" s="110"/>
      <c r="P423" s="89"/>
      <c r="Q423" s="110"/>
      <c r="R423" s="89"/>
      <c r="S423" s="89"/>
      <c r="T423" s="89"/>
      <c r="U423" s="89"/>
      <c r="V423" s="89"/>
      <c r="W423" s="89"/>
      <c r="X423" s="89"/>
      <c r="Y423" s="89"/>
      <c r="Z423" s="89"/>
      <c r="AA423" s="89"/>
      <c r="AB423" s="89"/>
      <c r="AC423" s="89"/>
      <c r="AD423" s="89"/>
    </row>
    <row r="424" spans="1:30" ht="13.8">
      <c r="A424" s="89"/>
      <c r="B424" s="89"/>
      <c r="C424" s="89"/>
      <c r="D424" s="89"/>
      <c r="E424" s="89"/>
      <c r="F424" s="110"/>
      <c r="G424" s="89"/>
      <c r="H424" s="110"/>
      <c r="I424" s="89"/>
      <c r="J424" s="110"/>
      <c r="K424" s="89"/>
      <c r="L424" s="89"/>
      <c r="M424" s="110"/>
      <c r="N424" s="89"/>
      <c r="O424" s="110"/>
      <c r="P424" s="89"/>
      <c r="Q424" s="110"/>
      <c r="R424" s="89"/>
      <c r="S424" s="89"/>
      <c r="T424" s="89"/>
      <c r="U424" s="89"/>
      <c r="V424" s="89"/>
      <c r="W424" s="89"/>
      <c r="X424" s="89"/>
      <c r="Y424" s="89"/>
      <c r="Z424" s="89"/>
      <c r="AA424" s="89"/>
      <c r="AB424" s="89"/>
      <c r="AC424" s="89"/>
      <c r="AD424" s="89"/>
    </row>
    <row r="425" spans="1:30" ht="13.8">
      <c r="A425" s="89"/>
      <c r="B425" s="89"/>
      <c r="C425" s="89"/>
      <c r="D425" s="89"/>
      <c r="E425" s="89"/>
      <c r="F425" s="110"/>
      <c r="G425" s="89"/>
      <c r="H425" s="110"/>
      <c r="I425" s="89"/>
      <c r="J425" s="110"/>
      <c r="K425" s="89"/>
      <c r="L425" s="89"/>
      <c r="M425" s="110"/>
      <c r="N425" s="89"/>
      <c r="O425" s="110"/>
      <c r="P425" s="89"/>
      <c r="Q425" s="110"/>
      <c r="R425" s="89"/>
      <c r="S425" s="89"/>
      <c r="T425" s="89"/>
      <c r="U425" s="89"/>
      <c r="V425" s="89"/>
      <c r="W425" s="89"/>
      <c r="X425" s="89"/>
      <c r="Y425" s="89"/>
      <c r="Z425" s="89"/>
      <c r="AA425" s="89"/>
      <c r="AB425" s="89"/>
      <c r="AC425" s="89"/>
      <c r="AD425" s="89"/>
    </row>
    <row r="426" spans="1:30" ht="13.8">
      <c r="A426" s="89"/>
      <c r="B426" s="89"/>
      <c r="C426" s="89"/>
      <c r="D426" s="89"/>
      <c r="E426" s="89"/>
      <c r="F426" s="110"/>
      <c r="G426" s="89"/>
      <c r="H426" s="110"/>
      <c r="I426" s="89"/>
      <c r="J426" s="110"/>
      <c r="K426" s="89"/>
      <c r="L426" s="89"/>
      <c r="M426" s="110"/>
      <c r="N426" s="89"/>
      <c r="O426" s="110"/>
      <c r="P426" s="89"/>
      <c r="Q426" s="110"/>
      <c r="R426" s="89"/>
      <c r="S426" s="89"/>
      <c r="T426" s="89"/>
      <c r="U426" s="89"/>
      <c r="V426" s="89"/>
      <c r="W426" s="89"/>
      <c r="X426" s="89"/>
      <c r="Y426" s="89"/>
      <c r="Z426" s="89"/>
      <c r="AA426" s="89"/>
      <c r="AB426" s="89"/>
      <c r="AC426" s="89"/>
      <c r="AD426" s="89"/>
    </row>
    <row r="427" spans="1:30" ht="13.8">
      <c r="A427" s="89"/>
      <c r="B427" s="89"/>
      <c r="C427" s="89"/>
      <c r="D427" s="89"/>
      <c r="E427" s="89"/>
      <c r="F427" s="110"/>
      <c r="G427" s="89"/>
      <c r="H427" s="110"/>
      <c r="I427" s="89"/>
      <c r="J427" s="110"/>
      <c r="K427" s="89"/>
      <c r="L427" s="89"/>
      <c r="M427" s="110"/>
      <c r="N427" s="89"/>
      <c r="O427" s="110"/>
      <c r="P427" s="89"/>
      <c r="Q427" s="110"/>
      <c r="R427" s="89"/>
      <c r="S427" s="89"/>
      <c r="T427" s="89"/>
      <c r="U427" s="89"/>
      <c r="V427" s="89"/>
      <c r="W427" s="89"/>
      <c r="X427" s="89"/>
      <c r="Y427" s="89"/>
      <c r="Z427" s="89"/>
      <c r="AA427" s="89"/>
      <c r="AB427" s="89"/>
      <c r="AC427" s="89"/>
      <c r="AD427" s="89"/>
    </row>
    <row r="428" spans="1:30" ht="13.8">
      <c r="A428" s="89"/>
      <c r="B428" s="89"/>
      <c r="C428" s="89"/>
      <c r="D428" s="89"/>
      <c r="E428" s="89"/>
      <c r="F428" s="110"/>
      <c r="G428" s="89"/>
      <c r="H428" s="110"/>
      <c r="I428" s="89"/>
      <c r="J428" s="110"/>
      <c r="K428" s="89"/>
      <c r="L428" s="89"/>
      <c r="M428" s="110"/>
      <c r="N428" s="89"/>
      <c r="O428" s="110"/>
      <c r="P428" s="89"/>
      <c r="Q428" s="110"/>
      <c r="R428" s="89"/>
      <c r="S428" s="89"/>
      <c r="T428" s="89"/>
      <c r="U428" s="89"/>
      <c r="V428" s="89"/>
      <c r="W428" s="89"/>
      <c r="X428" s="89"/>
      <c r="Y428" s="89"/>
      <c r="Z428" s="89"/>
      <c r="AA428" s="89"/>
      <c r="AB428" s="89"/>
      <c r="AC428" s="89"/>
      <c r="AD428" s="89"/>
    </row>
    <row r="429" spans="1:30" ht="13.8">
      <c r="A429" s="89"/>
      <c r="B429" s="89"/>
      <c r="C429" s="89"/>
      <c r="D429" s="89"/>
      <c r="E429" s="89"/>
      <c r="F429" s="110"/>
      <c r="G429" s="89"/>
      <c r="H429" s="110"/>
      <c r="I429" s="89"/>
      <c r="J429" s="110"/>
      <c r="K429" s="89"/>
      <c r="L429" s="89"/>
      <c r="M429" s="110"/>
      <c r="N429" s="89"/>
      <c r="O429" s="110"/>
      <c r="P429" s="89"/>
      <c r="Q429" s="110"/>
      <c r="R429" s="89"/>
      <c r="S429" s="89"/>
      <c r="T429" s="89"/>
      <c r="U429" s="89"/>
      <c r="V429" s="89"/>
      <c r="W429" s="89"/>
      <c r="X429" s="89"/>
      <c r="Y429" s="89"/>
      <c r="Z429" s="89"/>
      <c r="AA429" s="89"/>
      <c r="AB429" s="89"/>
      <c r="AC429" s="89"/>
      <c r="AD429" s="89"/>
    </row>
    <row r="430" spans="1:30" ht="13.8">
      <c r="A430" s="89"/>
      <c r="B430" s="89"/>
      <c r="C430" s="89"/>
      <c r="D430" s="89"/>
      <c r="E430" s="89"/>
      <c r="F430" s="110"/>
      <c r="G430" s="89"/>
      <c r="H430" s="110"/>
      <c r="I430" s="89"/>
      <c r="J430" s="110"/>
      <c r="K430" s="89"/>
      <c r="L430" s="89"/>
      <c r="M430" s="110"/>
      <c r="N430" s="89"/>
      <c r="O430" s="110"/>
      <c r="P430" s="89"/>
      <c r="Q430" s="110"/>
      <c r="R430" s="89"/>
      <c r="S430" s="89"/>
      <c r="T430" s="89"/>
      <c r="U430" s="89"/>
      <c r="V430" s="89"/>
      <c r="W430" s="89"/>
      <c r="X430" s="89"/>
      <c r="Y430" s="89"/>
      <c r="Z430" s="89"/>
      <c r="AA430" s="89"/>
      <c r="AB430" s="89"/>
      <c r="AC430" s="89"/>
      <c r="AD430" s="89"/>
    </row>
    <row r="431" spans="1:30" ht="13.8">
      <c r="A431" s="89"/>
      <c r="B431" s="89"/>
      <c r="C431" s="89"/>
      <c r="D431" s="89"/>
      <c r="E431" s="89"/>
      <c r="F431" s="110"/>
      <c r="G431" s="89"/>
      <c r="H431" s="110"/>
      <c r="I431" s="89"/>
      <c r="J431" s="110"/>
      <c r="K431" s="89"/>
      <c r="L431" s="89"/>
      <c r="M431" s="110"/>
      <c r="N431" s="89"/>
      <c r="O431" s="110"/>
      <c r="P431" s="89"/>
      <c r="Q431" s="110"/>
      <c r="R431" s="89"/>
      <c r="S431" s="89"/>
      <c r="T431" s="89"/>
      <c r="U431" s="89"/>
      <c r="V431" s="89"/>
      <c r="W431" s="89"/>
      <c r="X431" s="89"/>
      <c r="Y431" s="89"/>
      <c r="Z431" s="89"/>
      <c r="AA431" s="89"/>
      <c r="AB431" s="89"/>
      <c r="AC431" s="89"/>
      <c r="AD431" s="89"/>
    </row>
    <row r="432" spans="1:30" ht="13.8">
      <c r="A432" s="89"/>
      <c r="B432" s="89"/>
      <c r="C432" s="89"/>
      <c r="D432" s="89"/>
      <c r="E432" s="89"/>
      <c r="F432" s="110"/>
      <c r="G432" s="89"/>
      <c r="H432" s="110"/>
      <c r="I432" s="89"/>
      <c r="J432" s="110"/>
      <c r="K432" s="89"/>
      <c r="L432" s="89"/>
      <c r="M432" s="110"/>
      <c r="N432" s="89"/>
      <c r="O432" s="110"/>
      <c r="P432" s="89"/>
      <c r="Q432" s="110"/>
      <c r="R432" s="89"/>
      <c r="S432" s="89"/>
      <c r="T432" s="89"/>
      <c r="U432" s="89"/>
      <c r="V432" s="89"/>
      <c r="W432" s="89"/>
      <c r="X432" s="89"/>
      <c r="Y432" s="89"/>
      <c r="Z432" s="89"/>
      <c r="AA432" s="89"/>
      <c r="AB432" s="89"/>
      <c r="AC432" s="89"/>
      <c r="AD432" s="89"/>
    </row>
    <row r="433" spans="1:30" ht="13.8">
      <c r="A433" s="89"/>
      <c r="B433" s="89"/>
      <c r="C433" s="89"/>
      <c r="D433" s="89"/>
      <c r="E433" s="89"/>
      <c r="F433" s="110"/>
      <c r="G433" s="89"/>
      <c r="H433" s="110"/>
      <c r="I433" s="89"/>
      <c r="J433" s="110"/>
      <c r="K433" s="89"/>
      <c r="L433" s="89"/>
      <c r="M433" s="110"/>
      <c r="N433" s="89"/>
      <c r="O433" s="110"/>
      <c r="P433" s="89"/>
      <c r="Q433" s="110"/>
      <c r="R433" s="89"/>
      <c r="S433" s="89"/>
      <c r="T433" s="89"/>
      <c r="U433" s="89"/>
      <c r="V433" s="89"/>
      <c r="W433" s="89"/>
      <c r="X433" s="89"/>
      <c r="Y433" s="89"/>
      <c r="Z433" s="89"/>
      <c r="AA433" s="89"/>
      <c r="AB433" s="89"/>
      <c r="AC433" s="89"/>
      <c r="AD433" s="89"/>
    </row>
    <row r="434" spans="1:30" ht="13.8">
      <c r="A434" s="89"/>
      <c r="B434" s="89"/>
      <c r="C434" s="89"/>
      <c r="D434" s="89"/>
      <c r="E434" s="89"/>
      <c r="F434" s="110"/>
      <c r="G434" s="89"/>
      <c r="H434" s="110"/>
      <c r="I434" s="89"/>
      <c r="J434" s="110"/>
      <c r="K434" s="89"/>
      <c r="L434" s="89"/>
      <c r="M434" s="110"/>
      <c r="N434" s="89"/>
      <c r="O434" s="110"/>
      <c r="P434" s="89"/>
      <c r="Q434" s="110"/>
      <c r="R434" s="89"/>
      <c r="S434" s="89"/>
      <c r="T434" s="89"/>
      <c r="U434" s="89"/>
      <c r="V434" s="89"/>
      <c r="W434" s="89"/>
      <c r="X434" s="89"/>
      <c r="Y434" s="89"/>
      <c r="Z434" s="89"/>
      <c r="AA434" s="89"/>
      <c r="AB434" s="89"/>
      <c r="AC434" s="89"/>
      <c r="AD434" s="89"/>
    </row>
    <row r="435" spans="1:30" ht="13.8">
      <c r="A435" s="89"/>
      <c r="B435" s="89"/>
      <c r="C435" s="89"/>
      <c r="D435" s="89"/>
      <c r="E435" s="89"/>
      <c r="F435" s="110"/>
      <c r="G435" s="89"/>
      <c r="H435" s="110"/>
      <c r="I435" s="89"/>
      <c r="J435" s="110"/>
      <c r="K435" s="89"/>
      <c r="L435" s="89"/>
      <c r="M435" s="110"/>
      <c r="N435" s="89"/>
      <c r="O435" s="110"/>
      <c r="P435" s="89"/>
      <c r="Q435" s="110"/>
      <c r="R435" s="89"/>
      <c r="S435" s="89"/>
      <c r="T435" s="89"/>
      <c r="U435" s="89"/>
      <c r="V435" s="89"/>
      <c r="W435" s="89"/>
      <c r="X435" s="89"/>
      <c r="Y435" s="89"/>
      <c r="Z435" s="89"/>
      <c r="AA435" s="89"/>
      <c r="AB435" s="89"/>
      <c r="AC435" s="89"/>
      <c r="AD435" s="89"/>
    </row>
    <row r="436" spans="1:30" ht="13.8">
      <c r="A436" s="89"/>
      <c r="B436" s="89"/>
      <c r="C436" s="89"/>
      <c r="D436" s="89"/>
      <c r="E436" s="89"/>
      <c r="F436" s="110"/>
      <c r="G436" s="89"/>
      <c r="H436" s="110"/>
      <c r="I436" s="89"/>
      <c r="J436" s="110"/>
      <c r="K436" s="89"/>
      <c r="L436" s="89"/>
      <c r="M436" s="110"/>
      <c r="N436" s="89"/>
      <c r="O436" s="110"/>
      <c r="P436" s="89"/>
      <c r="Q436" s="110"/>
      <c r="R436" s="89"/>
      <c r="S436" s="89"/>
      <c r="T436" s="89"/>
      <c r="U436" s="89"/>
      <c r="V436" s="89"/>
      <c r="W436" s="89"/>
      <c r="X436" s="89"/>
      <c r="Y436" s="89"/>
      <c r="Z436" s="89"/>
      <c r="AA436" s="89"/>
      <c r="AB436" s="89"/>
      <c r="AC436" s="89"/>
      <c r="AD436" s="89"/>
    </row>
    <row r="437" spans="1:30" ht="13.8">
      <c r="A437" s="89"/>
      <c r="B437" s="89"/>
      <c r="C437" s="89"/>
      <c r="D437" s="89"/>
      <c r="E437" s="89"/>
      <c r="F437" s="110"/>
      <c r="G437" s="89"/>
      <c r="H437" s="110"/>
      <c r="I437" s="89"/>
      <c r="J437" s="110"/>
      <c r="K437" s="89"/>
      <c r="L437" s="89"/>
      <c r="M437" s="110"/>
      <c r="N437" s="89"/>
      <c r="O437" s="110"/>
      <c r="P437" s="89"/>
      <c r="Q437" s="110"/>
      <c r="R437" s="89"/>
      <c r="S437" s="89"/>
      <c r="T437" s="89"/>
      <c r="U437" s="89"/>
      <c r="V437" s="89"/>
      <c r="W437" s="89"/>
      <c r="X437" s="89"/>
      <c r="Y437" s="89"/>
      <c r="Z437" s="89"/>
      <c r="AA437" s="89"/>
      <c r="AB437" s="89"/>
      <c r="AC437" s="89"/>
      <c r="AD437" s="89"/>
    </row>
    <row r="438" spans="1:30" ht="13.8">
      <c r="A438" s="89"/>
      <c r="B438" s="89"/>
      <c r="C438" s="89"/>
      <c r="D438" s="89"/>
      <c r="E438" s="89"/>
      <c r="F438" s="110"/>
      <c r="G438" s="89"/>
      <c r="H438" s="110"/>
      <c r="I438" s="89"/>
      <c r="J438" s="110"/>
      <c r="K438" s="89"/>
      <c r="L438" s="89"/>
      <c r="M438" s="110"/>
      <c r="N438" s="89"/>
      <c r="O438" s="110"/>
      <c r="P438" s="89"/>
      <c r="Q438" s="110"/>
      <c r="R438" s="89"/>
      <c r="S438" s="89"/>
      <c r="T438" s="89"/>
      <c r="U438" s="89"/>
      <c r="V438" s="89"/>
      <c r="W438" s="89"/>
      <c r="X438" s="89"/>
      <c r="Y438" s="89"/>
      <c r="Z438" s="89"/>
      <c r="AA438" s="89"/>
      <c r="AB438" s="89"/>
      <c r="AC438" s="89"/>
      <c r="AD438" s="89"/>
    </row>
    <row r="439" spans="1:30" ht="13.8">
      <c r="A439" s="89"/>
      <c r="B439" s="89"/>
      <c r="C439" s="89"/>
      <c r="D439" s="89"/>
      <c r="E439" s="89"/>
      <c r="F439" s="110"/>
      <c r="G439" s="89"/>
      <c r="H439" s="110"/>
      <c r="I439" s="89"/>
      <c r="J439" s="110"/>
      <c r="K439" s="89"/>
      <c r="L439" s="89"/>
      <c r="M439" s="110"/>
      <c r="N439" s="89"/>
      <c r="O439" s="110"/>
      <c r="P439" s="89"/>
      <c r="Q439" s="110"/>
      <c r="R439" s="89"/>
      <c r="S439" s="89"/>
      <c r="T439" s="89"/>
      <c r="U439" s="89"/>
      <c r="V439" s="89"/>
      <c r="W439" s="89"/>
      <c r="X439" s="89"/>
      <c r="Y439" s="89"/>
      <c r="Z439" s="89"/>
      <c r="AA439" s="89"/>
      <c r="AB439" s="89"/>
      <c r="AC439" s="89"/>
      <c r="AD439" s="89"/>
    </row>
    <row r="440" spans="1:30" ht="13.8">
      <c r="A440" s="89"/>
      <c r="B440" s="89"/>
      <c r="C440" s="89"/>
      <c r="D440" s="89"/>
      <c r="E440" s="89"/>
      <c r="F440" s="110"/>
      <c r="G440" s="89"/>
      <c r="H440" s="110"/>
      <c r="I440" s="89"/>
      <c r="J440" s="110"/>
      <c r="K440" s="89"/>
      <c r="L440" s="89"/>
      <c r="M440" s="110"/>
      <c r="N440" s="89"/>
      <c r="O440" s="110"/>
      <c r="P440" s="89"/>
      <c r="Q440" s="110"/>
      <c r="R440" s="89"/>
      <c r="S440" s="89"/>
      <c r="T440" s="89"/>
      <c r="U440" s="89"/>
      <c r="V440" s="89"/>
      <c r="W440" s="89"/>
      <c r="X440" s="89"/>
      <c r="Y440" s="89"/>
      <c r="Z440" s="89"/>
      <c r="AA440" s="89"/>
      <c r="AB440" s="89"/>
      <c r="AC440" s="89"/>
      <c r="AD440" s="89"/>
    </row>
    <row r="441" spans="1:30" ht="13.8">
      <c r="A441" s="89"/>
      <c r="B441" s="89"/>
      <c r="C441" s="89"/>
      <c r="D441" s="89"/>
      <c r="E441" s="89"/>
      <c r="F441" s="110"/>
      <c r="G441" s="89"/>
      <c r="H441" s="110"/>
      <c r="I441" s="89"/>
      <c r="J441" s="110"/>
      <c r="K441" s="89"/>
      <c r="L441" s="89"/>
      <c r="M441" s="110"/>
      <c r="N441" s="89"/>
      <c r="O441" s="110"/>
      <c r="P441" s="89"/>
      <c r="Q441" s="110"/>
      <c r="R441" s="89"/>
      <c r="S441" s="89"/>
      <c r="T441" s="89"/>
      <c r="U441" s="89"/>
      <c r="V441" s="89"/>
      <c r="W441" s="89"/>
      <c r="X441" s="89"/>
      <c r="Y441" s="89"/>
      <c r="Z441" s="89"/>
      <c r="AA441" s="89"/>
      <c r="AB441" s="89"/>
      <c r="AC441" s="89"/>
      <c r="AD441" s="89"/>
    </row>
    <row r="442" spans="1:30" ht="13.8">
      <c r="A442" s="89"/>
      <c r="B442" s="89"/>
      <c r="C442" s="89"/>
      <c r="D442" s="89"/>
      <c r="E442" s="89"/>
      <c r="F442" s="110"/>
      <c r="G442" s="89"/>
      <c r="H442" s="110"/>
      <c r="I442" s="89"/>
      <c r="J442" s="110"/>
      <c r="K442" s="89"/>
      <c r="L442" s="89"/>
      <c r="M442" s="110"/>
      <c r="N442" s="89"/>
      <c r="O442" s="110"/>
      <c r="P442" s="89"/>
      <c r="Q442" s="110"/>
      <c r="R442" s="89"/>
      <c r="S442" s="89"/>
      <c r="T442" s="89"/>
      <c r="U442" s="89"/>
      <c r="V442" s="89"/>
      <c r="W442" s="89"/>
      <c r="X442" s="89"/>
      <c r="Y442" s="89"/>
      <c r="Z442" s="89"/>
      <c r="AA442" s="89"/>
      <c r="AB442" s="89"/>
      <c r="AC442" s="89"/>
      <c r="AD442" s="89"/>
    </row>
    <row r="443" spans="1:30" ht="13.8">
      <c r="A443" s="89"/>
      <c r="B443" s="89"/>
      <c r="C443" s="89"/>
      <c r="D443" s="89"/>
      <c r="E443" s="89"/>
      <c r="F443" s="110"/>
      <c r="G443" s="89"/>
      <c r="H443" s="110"/>
      <c r="I443" s="89"/>
      <c r="J443" s="110"/>
      <c r="K443" s="89"/>
      <c r="L443" s="89"/>
      <c r="M443" s="110"/>
      <c r="N443" s="89"/>
      <c r="O443" s="110"/>
      <c r="P443" s="89"/>
      <c r="Q443" s="110"/>
      <c r="R443" s="89"/>
      <c r="S443" s="89"/>
      <c r="T443" s="89"/>
      <c r="U443" s="89"/>
      <c r="V443" s="89"/>
      <c r="W443" s="89"/>
      <c r="X443" s="89"/>
      <c r="Y443" s="89"/>
      <c r="Z443" s="89"/>
      <c r="AA443" s="89"/>
      <c r="AB443" s="89"/>
      <c r="AC443" s="89"/>
      <c r="AD443" s="89"/>
    </row>
    <row r="444" spans="1:30" ht="13.8">
      <c r="A444" s="89"/>
      <c r="B444" s="89"/>
      <c r="C444" s="89"/>
      <c r="D444" s="89"/>
      <c r="E444" s="89"/>
      <c r="F444" s="110"/>
      <c r="G444" s="89"/>
      <c r="H444" s="110"/>
      <c r="I444" s="89"/>
      <c r="J444" s="110"/>
      <c r="K444" s="89"/>
      <c r="L444" s="89"/>
      <c r="M444" s="110"/>
      <c r="N444" s="89"/>
      <c r="O444" s="110"/>
      <c r="P444" s="89"/>
      <c r="Q444" s="110"/>
      <c r="R444" s="89"/>
      <c r="S444" s="89"/>
      <c r="T444" s="89"/>
      <c r="U444" s="89"/>
      <c r="V444" s="89"/>
      <c r="W444" s="89"/>
      <c r="X444" s="89"/>
      <c r="Y444" s="89"/>
      <c r="Z444" s="89"/>
      <c r="AA444" s="89"/>
      <c r="AB444" s="89"/>
      <c r="AC444" s="89"/>
      <c r="AD444" s="89"/>
    </row>
    <row r="445" spans="1:30" ht="13.8">
      <c r="A445" s="89"/>
      <c r="B445" s="89"/>
      <c r="C445" s="89"/>
      <c r="D445" s="89"/>
      <c r="E445" s="89"/>
      <c r="F445" s="110"/>
      <c r="G445" s="89"/>
      <c r="H445" s="110"/>
      <c r="I445" s="89"/>
      <c r="J445" s="110"/>
      <c r="K445" s="89"/>
      <c r="L445" s="89"/>
      <c r="M445" s="110"/>
      <c r="N445" s="89"/>
      <c r="O445" s="110"/>
      <c r="P445" s="89"/>
      <c r="Q445" s="110"/>
      <c r="R445" s="89"/>
      <c r="S445" s="89"/>
      <c r="T445" s="89"/>
      <c r="U445" s="89"/>
      <c r="V445" s="89"/>
      <c r="W445" s="89"/>
      <c r="X445" s="89"/>
      <c r="Y445" s="89"/>
      <c r="Z445" s="89"/>
      <c r="AA445" s="89"/>
      <c r="AB445" s="89"/>
      <c r="AC445" s="89"/>
      <c r="AD445" s="89"/>
    </row>
    <row r="446" spans="1:30" ht="13.8">
      <c r="A446" s="89"/>
      <c r="B446" s="89"/>
      <c r="C446" s="89"/>
      <c r="D446" s="89"/>
      <c r="E446" s="89"/>
      <c r="F446" s="110"/>
      <c r="G446" s="89"/>
      <c r="H446" s="110"/>
      <c r="I446" s="89"/>
      <c r="J446" s="110"/>
      <c r="K446" s="89"/>
      <c r="L446" s="89"/>
      <c r="M446" s="110"/>
      <c r="N446" s="89"/>
      <c r="O446" s="110"/>
      <c r="P446" s="89"/>
      <c r="Q446" s="110"/>
      <c r="R446" s="89"/>
      <c r="S446" s="89"/>
      <c r="T446" s="89"/>
      <c r="U446" s="89"/>
      <c r="V446" s="89"/>
      <c r="W446" s="89"/>
      <c r="X446" s="89"/>
      <c r="Y446" s="89"/>
      <c r="Z446" s="89"/>
      <c r="AA446" s="89"/>
      <c r="AB446" s="89"/>
      <c r="AC446" s="89"/>
      <c r="AD446" s="89"/>
    </row>
    <row r="447" spans="1:30" ht="13.8">
      <c r="A447" s="89"/>
      <c r="B447" s="89"/>
      <c r="C447" s="89"/>
      <c r="D447" s="89"/>
      <c r="E447" s="89"/>
      <c r="F447" s="110"/>
      <c r="G447" s="89"/>
      <c r="H447" s="110"/>
      <c r="I447" s="89"/>
      <c r="J447" s="110"/>
      <c r="K447" s="89"/>
      <c r="L447" s="89"/>
      <c r="M447" s="110"/>
      <c r="N447" s="89"/>
      <c r="O447" s="110"/>
      <c r="P447" s="89"/>
      <c r="Q447" s="110"/>
      <c r="R447" s="89"/>
      <c r="S447" s="89"/>
      <c r="T447" s="89"/>
      <c r="U447" s="89"/>
      <c r="V447" s="89"/>
      <c r="W447" s="89"/>
      <c r="X447" s="89"/>
      <c r="Y447" s="89"/>
      <c r="Z447" s="89"/>
      <c r="AA447" s="89"/>
      <c r="AB447" s="89"/>
      <c r="AC447" s="89"/>
      <c r="AD447" s="89"/>
    </row>
    <row r="448" spans="1:30" ht="13.8">
      <c r="A448" s="89"/>
      <c r="B448" s="89"/>
      <c r="C448" s="89"/>
      <c r="D448" s="89"/>
      <c r="E448" s="89"/>
      <c r="F448" s="110"/>
      <c r="G448" s="89"/>
      <c r="H448" s="110"/>
      <c r="I448" s="89"/>
      <c r="J448" s="110"/>
      <c r="K448" s="89"/>
      <c r="L448" s="89"/>
      <c r="M448" s="110"/>
      <c r="N448" s="89"/>
      <c r="O448" s="110"/>
      <c r="P448" s="89"/>
      <c r="Q448" s="110"/>
      <c r="R448" s="89"/>
      <c r="S448" s="89"/>
      <c r="T448" s="89"/>
      <c r="U448" s="89"/>
      <c r="V448" s="89"/>
      <c r="W448" s="89"/>
      <c r="X448" s="89"/>
      <c r="Y448" s="89"/>
      <c r="Z448" s="89"/>
      <c r="AA448" s="89"/>
      <c r="AB448" s="89"/>
      <c r="AC448" s="89"/>
      <c r="AD448" s="89"/>
    </row>
    <row r="449" spans="1:30" ht="13.8">
      <c r="A449" s="89"/>
      <c r="B449" s="89"/>
      <c r="C449" s="89"/>
      <c r="D449" s="89"/>
      <c r="E449" s="89"/>
      <c r="F449" s="110"/>
      <c r="G449" s="89"/>
      <c r="H449" s="110"/>
      <c r="I449" s="89"/>
      <c r="J449" s="110"/>
      <c r="K449" s="89"/>
      <c r="L449" s="89"/>
      <c r="M449" s="110"/>
      <c r="N449" s="89"/>
      <c r="O449" s="110"/>
      <c r="P449" s="89"/>
      <c r="Q449" s="110"/>
      <c r="R449" s="89"/>
      <c r="S449" s="89"/>
      <c r="T449" s="89"/>
      <c r="U449" s="89"/>
      <c r="V449" s="89"/>
      <c r="W449" s="89"/>
      <c r="X449" s="89"/>
      <c r="Y449" s="89"/>
      <c r="Z449" s="89"/>
      <c r="AA449" s="89"/>
      <c r="AB449" s="89"/>
      <c r="AC449" s="89"/>
      <c r="AD449" s="89"/>
    </row>
    <row r="450" spans="1:30" ht="13.8">
      <c r="A450" s="89"/>
      <c r="B450" s="89"/>
      <c r="C450" s="89"/>
      <c r="D450" s="89"/>
      <c r="E450" s="89"/>
      <c r="F450" s="110"/>
      <c r="G450" s="89"/>
      <c r="H450" s="110"/>
      <c r="I450" s="89"/>
      <c r="J450" s="110"/>
      <c r="K450" s="89"/>
      <c r="L450" s="89"/>
      <c r="M450" s="110"/>
      <c r="N450" s="89"/>
      <c r="O450" s="110"/>
      <c r="P450" s="89"/>
      <c r="Q450" s="110"/>
      <c r="R450" s="89"/>
      <c r="S450" s="89"/>
      <c r="T450" s="89"/>
      <c r="U450" s="89"/>
      <c r="V450" s="89"/>
      <c r="W450" s="89"/>
      <c r="X450" s="89"/>
      <c r="Y450" s="89"/>
      <c r="Z450" s="89"/>
      <c r="AA450" s="89"/>
      <c r="AB450" s="89"/>
      <c r="AC450" s="89"/>
      <c r="AD450" s="89"/>
    </row>
    <row r="451" spans="1:30" ht="13.8">
      <c r="A451" s="89"/>
      <c r="B451" s="89"/>
      <c r="C451" s="89"/>
      <c r="D451" s="89"/>
      <c r="E451" s="89"/>
      <c r="F451" s="110"/>
      <c r="G451" s="89"/>
      <c r="H451" s="110"/>
      <c r="I451" s="89"/>
      <c r="J451" s="110"/>
      <c r="K451" s="89"/>
      <c r="L451" s="89"/>
      <c r="M451" s="110"/>
      <c r="N451" s="89"/>
      <c r="O451" s="110"/>
      <c r="P451" s="89"/>
      <c r="Q451" s="110"/>
      <c r="R451" s="89"/>
      <c r="S451" s="89"/>
      <c r="T451" s="89"/>
      <c r="U451" s="89"/>
      <c r="V451" s="89"/>
      <c r="W451" s="89"/>
      <c r="X451" s="89"/>
      <c r="Y451" s="89"/>
      <c r="Z451" s="89"/>
      <c r="AA451" s="89"/>
      <c r="AB451" s="89"/>
      <c r="AC451" s="89"/>
      <c r="AD451" s="89"/>
    </row>
    <row r="452" spans="1:30" ht="13.8">
      <c r="A452" s="89"/>
      <c r="B452" s="89"/>
      <c r="C452" s="89"/>
      <c r="D452" s="89"/>
      <c r="E452" s="89"/>
      <c r="F452" s="110"/>
      <c r="G452" s="89"/>
      <c r="H452" s="110"/>
      <c r="I452" s="89"/>
      <c r="J452" s="110"/>
      <c r="K452" s="89"/>
      <c r="L452" s="89"/>
      <c r="M452" s="110"/>
      <c r="N452" s="89"/>
      <c r="O452" s="110"/>
      <c r="P452" s="89"/>
      <c r="Q452" s="110"/>
      <c r="R452" s="89"/>
      <c r="S452" s="89"/>
      <c r="T452" s="89"/>
      <c r="U452" s="89"/>
      <c r="V452" s="89"/>
      <c r="W452" s="89"/>
      <c r="X452" s="89"/>
      <c r="Y452" s="89"/>
      <c r="Z452" s="89"/>
      <c r="AA452" s="89"/>
      <c r="AB452" s="89"/>
      <c r="AC452" s="89"/>
      <c r="AD452" s="89"/>
    </row>
    <row r="453" spans="1:30" ht="13.8">
      <c r="A453" s="89"/>
      <c r="B453" s="89"/>
      <c r="C453" s="89"/>
      <c r="D453" s="89"/>
      <c r="E453" s="89"/>
      <c r="F453" s="110"/>
      <c r="G453" s="89"/>
      <c r="H453" s="110"/>
      <c r="I453" s="89"/>
      <c r="J453" s="110"/>
      <c r="K453" s="89"/>
      <c r="L453" s="89"/>
      <c r="M453" s="110"/>
      <c r="N453" s="89"/>
      <c r="O453" s="110"/>
      <c r="P453" s="89"/>
      <c r="Q453" s="110"/>
      <c r="R453" s="89"/>
      <c r="S453" s="89"/>
      <c r="T453" s="89"/>
      <c r="U453" s="89"/>
      <c r="V453" s="89"/>
      <c r="W453" s="89"/>
      <c r="X453" s="89"/>
      <c r="Y453" s="89"/>
      <c r="Z453" s="89"/>
      <c r="AA453" s="89"/>
      <c r="AB453" s="89"/>
      <c r="AC453" s="89"/>
      <c r="AD453" s="89"/>
    </row>
    <row r="454" spans="1:30" ht="13.8">
      <c r="A454" s="89"/>
      <c r="B454" s="89"/>
      <c r="C454" s="89"/>
      <c r="D454" s="89"/>
      <c r="E454" s="89"/>
      <c r="F454" s="110"/>
      <c r="G454" s="89"/>
      <c r="H454" s="110"/>
      <c r="I454" s="89"/>
      <c r="J454" s="110"/>
      <c r="K454" s="89"/>
      <c r="L454" s="89"/>
      <c r="M454" s="110"/>
      <c r="N454" s="89"/>
      <c r="O454" s="110"/>
      <c r="P454" s="89"/>
      <c r="Q454" s="110"/>
      <c r="R454" s="89"/>
      <c r="S454" s="89"/>
      <c r="T454" s="89"/>
      <c r="U454" s="89"/>
      <c r="V454" s="89"/>
      <c r="W454" s="89"/>
      <c r="X454" s="89"/>
      <c r="Y454" s="89"/>
      <c r="Z454" s="89"/>
      <c r="AA454" s="89"/>
      <c r="AB454" s="89"/>
      <c r="AC454" s="89"/>
      <c r="AD454" s="89"/>
    </row>
    <row r="455" spans="1:30" ht="13.8">
      <c r="A455" s="89"/>
      <c r="B455" s="89"/>
      <c r="C455" s="89"/>
      <c r="D455" s="89"/>
      <c r="E455" s="89"/>
      <c r="F455" s="110"/>
      <c r="G455" s="89"/>
      <c r="H455" s="110"/>
      <c r="I455" s="89"/>
      <c r="J455" s="110"/>
      <c r="K455" s="89"/>
      <c r="L455" s="89"/>
      <c r="M455" s="110"/>
      <c r="N455" s="89"/>
      <c r="O455" s="110"/>
      <c r="P455" s="89"/>
      <c r="Q455" s="110"/>
      <c r="R455" s="89"/>
      <c r="S455" s="89"/>
      <c r="T455" s="89"/>
      <c r="U455" s="89"/>
      <c r="V455" s="89"/>
      <c r="W455" s="89"/>
      <c r="X455" s="89"/>
      <c r="Y455" s="89"/>
      <c r="Z455" s="89"/>
      <c r="AA455" s="89"/>
      <c r="AB455" s="89"/>
      <c r="AC455" s="89"/>
      <c r="AD455" s="89"/>
    </row>
    <row r="456" spans="1:30" ht="13.8">
      <c r="A456" s="89"/>
      <c r="B456" s="89"/>
      <c r="C456" s="89"/>
      <c r="D456" s="89"/>
      <c r="E456" s="89"/>
      <c r="F456" s="110"/>
      <c r="G456" s="89"/>
      <c r="H456" s="110"/>
      <c r="I456" s="89"/>
      <c r="J456" s="110"/>
      <c r="K456" s="89"/>
      <c r="L456" s="89"/>
      <c r="M456" s="110"/>
      <c r="N456" s="89"/>
      <c r="O456" s="110"/>
      <c r="P456" s="89"/>
      <c r="Q456" s="110"/>
      <c r="R456" s="89"/>
      <c r="S456" s="89"/>
      <c r="T456" s="89"/>
      <c r="U456" s="89"/>
      <c r="V456" s="89"/>
      <c r="W456" s="89"/>
      <c r="X456" s="89"/>
      <c r="Y456" s="89"/>
      <c r="Z456" s="89"/>
      <c r="AA456" s="89"/>
      <c r="AB456" s="89"/>
      <c r="AC456" s="89"/>
      <c r="AD456" s="89"/>
    </row>
    <row r="457" spans="1:30" ht="13.8">
      <c r="A457" s="89"/>
      <c r="B457" s="89"/>
      <c r="C457" s="89"/>
      <c r="D457" s="89"/>
      <c r="E457" s="89"/>
      <c r="F457" s="110"/>
      <c r="G457" s="89"/>
      <c r="H457" s="110"/>
      <c r="I457" s="89"/>
      <c r="J457" s="110"/>
      <c r="K457" s="89"/>
      <c r="L457" s="89"/>
      <c r="M457" s="110"/>
      <c r="N457" s="89"/>
      <c r="O457" s="110"/>
      <c r="P457" s="89"/>
      <c r="Q457" s="110"/>
      <c r="R457" s="89"/>
      <c r="S457" s="89"/>
      <c r="T457" s="89"/>
      <c r="U457" s="89"/>
      <c r="V457" s="89"/>
      <c r="W457" s="89"/>
      <c r="X457" s="89"/>
      <c r="Y457" s="89"/>
      <c r="Z457" s="89"/>
      <c r="AA457" s="89"/>
      <c r="AB457" s="89"/>
      <c r="AC457" s="89"/>
      <c r="AD457" s="89"/>
    </row>
    <row r="458" spans="1:30" ht="13.8">
      <c r="A458" s="89"/>
      <c r="B458" s="89"/>
      <c r="C458" s="89"/>
      <c r="D458" s="89"/>
      <c r="E458" s="89"/>
      <c r="F458" s="110"/>
      <c r="G458" s="89"/>
      <c r="H458" s="110"/>
      <c r="I458" s="89"/>
      <c r="J458" s="110"/>
      <c r="K458" s="89"/>
      <c r="L458" s="89"/>
      <c r="M458" s="110"/>
      <c r="N458" s="89"/>
      <c r="O458" s="110"/>
      <c r="P458" s="89"/>
      <c r="Q458" s="110"/>
      <c r="R458" s="89"/>
      <c r="S458" s="89"/>
      <c r="T458" s="89"/>
      <c r="U458" s="89"/>
      <c r="V458" s="89"/>
      <c r="W458" s="89"/>
      <c r="X458" s="89"/>
      <c r="Y458" s="89"/>
      <c r="Z458" s="89"/>
      <c r="AA458" s="89"/>
      <c r="AB458" s="89"/>
      <c r="AC458" s="89"/>
      <c r="AD458" s="89"/>
    </row>
    <row r="459" spans="1:30" ht="13.8">
      <c r="A459" s="89"/>
      <c r="B459" s="89"/>
      <c r="C459" s="89"/>
      <c r="D459" s="89"/>
      <c r="E459" s="89"/>
      <c r="F459" s="110"/>
      <c r="G459" s="89"/>
      <c r="H459" s="110"/>
      <c r="I459" s="89"/>
      <c r="J459" s="110"/>
      <c r="K459" s="89"/>
      <c r="L459" s="89"/>
      <c r="M459" s="110"/>
      <c r="N459" s="89"/>
      <c r="O459" s="110"/>
      <c r="P459" s="89"/>
      <c r="Q459" s="110"/>
      <c r="R459" s="89"/>
      <c r="S459" s="89"/>
      <c r="T459" s="89"/>
      <c r="U459" s="89"/>
      <c r="V459" s="89"/>
      <c r="W459" s="89"/>
      <c r="X459" s="89"/>
      <c r="Y459" s="89"/>
      <c r="Z459" s="89"/>
      <c r="AA459" s="89"/>
      <c r="AB459" s="89"/>
      <c r="AC459" s="89"/>
      <c r="AD459" s="89"/>
    </row>
    <row r="460" spans="1:30" ht="13.8">
      <c r="A460" s="89"/>
      <c r="B460" s="89"/>
      <c r="C460" s="89"/>
      <c r="D460" s="89"/>
      <c r="E460" s="89"/>
      <c r="F460" s="110"/>
      <c r="G460" s="89"/>
      <c r="H460" s="110"/>
      <c r="I460" s="89"/>
      <c r="J460" s="110"/>
      <c r="K460" s="89"/>
      <c r="L460" s="89"/>
      <c r="M460" s="110"/>
      <c r="N460" s="89"/>
      <c r="O460" s="110"/>
      <c r="P460" s="89"/>
      <c r="Q460" s="110"/>
      <c r="R460" s="89"/>
      <c r="S460" s="89"/>
      <c r="T460" s="89"/>
      <c r="U460" s="89"/>
      <c r="V460" s="89"/>
      <c r="W460" s="89"/>
      <c r="X460" s="89"/>
      <c r="Y460" s="89"/>
      <c r="Z460" s="89"/>
      <c r="AA460" s="89"/>
      <c r="AB460" s="89"/>
      <c r="AC460" s="89"/>
      <c r="AD460" s="89"/>
    </row>
    <row r="461" spans="1:30" ht="13.8">
      <c r="A461" s="89"/>
      <c r="B461" s="89"/>
      <c r="C461" s="89"/>
      <c r="D461" s="89"/>
      <c r="E461" s="89"/>
      <c r="F461" s="110"/>
      <c r="G461" s="89"/>
      <c r="H461" s="110"/>
      <c r="I461" s="89"/>
      <c r="J461" s="110"/>
      <c r="K461" s="89"/>
      <c r="L461" s="89"/>
      <c r="M461" s="110"/>
      <c r="N461" s="89"/>
      <c r="O461" s="110"/>
      <c r="P461" s="89"/>
      <c r="Q461" s="110"/>
      <c r="R461" s="89"/>
      <c r="S461" s="89"/>
      <c r="T461" s="89"/>
      <c r="U461" s="89"/>
      <c r="V461" s="89"/>
      <c r="W461" s="89"/>
      <c r="X461" s="89"/>
      <c r="Y461" s="89"/>
      <c r="Z461" s="89"/>
      <c r="AA461" s="89"/>
      <c r="AB461" s="89"/>
      <c r="AC461" s="89"/>
      <c r="AD461" s="89"/>
    </row>
    <row r="462" spans="1:30" ht="13.8">
      <c r="A462" s="89"/>
      <c r="B462" s="89"/>
      <c r="C462" s="89"/>
      <c r="D462" s="89"/>
      <c r="E462" s="89"/>
      <c r="F462" s="110"/>
      <c r="G462" s="89"/>
      <c r="H462" s="110"/>
      <c r="I462" s="89"/>
      <c r="J462" s="110"/>
      <c r="K462" s="89"/>
      <c r="L462" s="89"/>
      <c r="M462" s="110"/>
      <c r="N462" s="89"/>
      <c r="O462" s="110"/>
      <c r="P462" s="89"/>
      <c r="Q462" s="110"/>
      <c r="R462" s="89"/>
      <c r="S462" s="89"/>
      <c r="T462" s="89"/>
      <c r="U462" s="89"/>
      <c r="V462" s="89"/>
      <c r="W462" s="89"/>
      <c r="X462" s="89"/>
      <c r="Y462" s="89"/>
      <c r="Z462" s="89"/>
      <c r="AA462" s="89"/>
      <c r="AB462" s="89"/>
      <c r="AC462" s="89"/>
      <c r="AD462" s="89"/>
    </row>
    <row r="463" spans="1:30" ht="13.8">
      <c r="A463" s="89"/>
      <c r="B463" s="89"/>
      <c r="C463" s="89"/>
      <c r="D463" s="89"/>
      <c r="E463" s="89"/>
      <c r="F463" s="110"/>
      <c r="G463" s="89"/>
      <c r="H463" s="110"/>
      <c r="I463" s="89"/>
      <c r="J463" s="110"/>
      <c r="K463" s="89"/>
      <c r="L463" s="89"/>
      <c r="M463" s="110"/>
      <c r="N463" s="89"/>
      <c r="O463" s="110"/>
      <c r="P463" s="89"/>
      <c r="Q463" s="110"/>
      <c r="R463" s="89"/>
      <c r="S463" s="89"/>
      <c r="T463" s="89"/>
      <c r="U463" s="89"/>
      <c r="V463" s="89"/>
      <c r="W463" s="89"/>
      <c r="X463" s="89"/>
      <c r="Y463" s="89"/>
      <c r="Z463" s="89"/>
      <c r="AA463" s="89"/>
      <c r="AB463" s="89"/>
      <c r="AC463" s="89"/>
      <c r="AD463" s="89"/>
    </row>
    <row r="464" spans="1:30" ht="13.8">
      <c r="A464" s="89"/>
      <c r="B464" s="89"/>
      <c r="C464" s="89"/>
      <c r="D464" s="89"/>
      <c r="E464" s="89"/>
      <c r="F464" s="110"/>
      <c r="G464" s="89"/>
      <c r="H464" s="110"/>
      <c r="I464" s="89"/>
      <c r="J464" s="110"/>
      <c r="K464" s="89"/>
      <c r="L464" s="89"/>
      <c r="M464" s="110"/>
      <c r="N464" s="89"/>
      <c r="O464" s="110"/>
      <c r="P464" s="89"/>
      <c r="Q464" s="110"/>
      <c r="R464" s="89"/>
      <c r="S464" s="89"/>
      <c r="T464" s="89"/>
      <c r="U464" s="89"/>
      <c r="V464" s="89"/>
      <c r="W464" s="89"/>
      <c r="X464" s="89"/>
      <c r="Y464" s="89"/>
      <c r="Z464" s="89"/>
      <c r="AA464" s="89"/>
      <c r="AB464" s="89"/>
      <c r="AC464" s="89"/>
      <c r="AD464" s="89"/>
    </row>
    <row r="465" spans="1:30" ht="13.8">
      <c r="A465" s="89"/>
      <c r="B465" s="89"/>
      <c r="C465" s="89"/>
      <c r="D465" s="89"/>
      <c r="E465" s="89"/>
      <c r="F465" s="110"/>
      <c r="G465" s="89"/>
      <c r="H465" s="110"/>
      <c r="I465" s="89"/>
      <c r="J465" s="110"/>
      <c r="K465" s="89"/>
      <c r="L465" s="89"/>
      <c r="M465" s="110"/>
      <c r="N465" s="89"/>
      <c r="O465" s="110"/>
      <c r="P465" s="89"/>
      <c r="Q465" s="110"/>
      <c r="R465" s="89"/>
      <c r="S465" s="89"/>
      <c r="T465" s="89"/>
      <c r="U465" s="89"/>
      <c r="V465" s="89"/>
      <c r="W465" s="89"/>
      <c r="X465" s="89"/>
      <c r="Y465" s="89"/>
      <c r="Z465" s="89"/>
      <c r="AA465" s="89"/>
      <c r="AB465" s="89"/>
      <c r="AC465" s="89"/>
      <c r="AD465" s="89"/>
    </row>
    <row r="466" spans="1:30" ht="13.8">
      <c r="A466" s="89"/>
      <c r="B466" s="89"/>
      <c r="C466" s="89"/>
      <c r="D466" s="89"/>
      <c r="E466" s="89"/>
      <c r="F466" s="110"/>
      <c r="G466" s="89"/>
      <c r="H466" s="110"/>
      <c r="I466" s="89"/>
      <c r="J466" s="110"/>
      <c r="K466" s="89"/>
      <c r="L466" s="89"/>
      <c r="M466" s="110"/>
      <c r="N466" s="89"/>
      <c r="O466" s="110"/>
      <c r="P466" s="89"/>
      <c r="Q466" s="110"/>
      <c r="R466" s="89"/>
      <c r="S466" s="89"/>
      <c r="T466" s="89"/>
      <c r="U466" s="89"/>
      <c r="V466" s="89"/>
      <c r="W466" s="89"/>
      <c r="X466" s="89"/>
      <c r="Y466" s="89"/>
      <c r="Z466" s="89"/>
      <c r="AA466" s="89"/>
      <c r="AB466" s="89"/>
      <c r="AC466" s="89"/>
      <c r="AD466" s="89"/>
    </row>
    <row r="467" spans="1:30" ht="13.8">
      <c r="A467" s="89"/>
      <c r="B467" s="89"/>
      <c r="C467" s="89"/>
      <c r="D467" s="89"/>
      <c r="E467" s="89"/>
      <c r="F467" s="110"/>
      <c r="G467" s="89"/>
      <c r="H467" s="110"/>
      <c r="I467" s="89"/>
      <c r="J467" s="110"/>
      <c r="K467" s="89"/>
      <c r="L467" s="89"/>
      <c r="M467" s="110"/>
      <c r="N467" s="89"/>
      <c r="O467" s="110"/>
      <c r="P467" s="89"/>
      <c r="Q467" s="110"/>
      <c r="R467" s="89"/>
      <c r="S467" s="89"/>
      <c r="T467" s="89"/>
      <c r="U467" s="89"/>
      <c r="V467" s="89"/>
      <c r="W467" s="89"/>
      <c r="X467" s="89"/>
      <c r="Y467" s="89"/>
      <c r="Z467" s="89"/>
      <c r="AA467" s="89"/>
      <c r="AB467" s="89"/>
      <c r="AC467" s="89"/>
      <c r="AD467" s="89"/>
    </row>
    <row r="468" spans="1:30" ht="13.8">
      <c r="A468" s="89"/>
      <c r="B468" s="89"/>
      <c r="C468" s="89"/>
      <c r="D468" s="89"/>
      <c r="E468" s="89"/>
      <c r="F468" s="110"/>
      <c r="G468" s="89"/>
      <c r="H468" s="110"/>
      <c r="I468" s="89"/>
      <c r="J468" s="110"/>
      <c r="K468" s="89"/>
      <c r="L468" s="89"/>
      <c r="M468" s="110"/>
      <c r="N468" s="89"/>
      <c r="O468" s="110"/>
      <c r="P468" s="89"/>
      <c r="Q468" s="110"/>
      <c r="R468" s="89"/>
      <c r="S468" s="89"/>
      <c r="T468" s="89"/>
      <c r="U468" s="89"/>
      <c r="V468" s="89"/>
      <c r="W468" s="89"/>
      <c r="X468" s="89"/>
      <c r="Y468" s="89"/>
      <c r="Z468" s="89"/>
      <c r="AA468" s="89"/>
      <c r="AB468" s="89"/>
      <c r="AC468" s="89"/>
      <c r="AD468" s="89"/>
    </row>
    <row r="469" spans="1:30" ht="13.8">
      <c r="A469" s="89"/>
      <c r="B469" s="89"/>
      <c r="C469" s="89"/>
      <c r="D469" s="89"/>
      <c r="E469" s="89"/>
      <c r="F469" s="110"/>
      <c r="G469" s="89"/>
      <c r="H469" s="110"/>
      <c r="I469" s="89"/>
      <c r="J469" s="110"/>
      <c r="K469" s="89"/>
      <c r="L469" s="89"/>
      <c r="M469" s="110"/>
      <c r="N469" s="89"/>
      <c r="O469" s="110"/>
      <c r="P469" s="89"/>
      <c r="Q469" s="110"/>
      <c r="R469" s="89"/>
      <c r="S469" s="89"/>
      <c r="T469" s="89"/>
      <c r="U469" s="89"/>
      <c r="V469" s="89"/>
      <c r="W469" s="89"/>
      <c r="X469" s="89"/>
      <c r="Y469" s="89"/>
      <c r="Z469" s="89"/>
      <c r="AA469" s="89"/>
      <c r="AB469" s="89"/>
      <c r="AC469" s="89"/>
      <c r="AD469" s="89"/>
    </row>
    <row r="470" spans="1:30" ht="13.8">
      <c r="A470" s="89"/>
      <c r="B470" s="89"/>
      <c r="C470" s="89"/>
      <c r="D470" s="89"/>
      <c r="E470" s="89"/>
      <c r="F470" s="110"/>
      <c r="G470" s="89"/>
      <c r="H470" s="110"/>
      <c r="I470" s="89"/>
      <c r="J470" s="110"/>
      <c r="K470" s="89"/>
      <c r="L470" s="89"/>
      <c r="M470" s="110"/>
      <c r="N470" s="89"/>
      <c r="O470" s="110"/>
      <c r="P470" s="89"/>
      <c r="Q470" s="110"/>
      <c r="R470" s="89"/>
      <c r="S470" s="89"/>
      <c r="T470" s="89"/>
      <c r="U470" s="89"/>
      <c r="V470" s="89"/>
      <c r="W470" s="89"/>
      <c r="X470" s="89"/>
      <c r="Y470" s="89"/>
      <c r="Z470" s="89"/>
      <c r="AA470" s="89"/>
      <c r="AB470" s="89"/>
      <c r="AC470" s="89"/>
      <c r="AD470" s="89"/>
    </row>
    <row r="471" spans="1:30" ht="13.8">
      <c r="A471" s="89"/>
      <c r="B471" s="89"/>
      <c r="C471" s="89"/>
      <c r="D471" s="89"/>
      <c r="E471" s="89"/>
      <c r="F471" s="110"/>
      <c r="G471" s="89"/>
      <c r="H471" s="110"/>
      <c r="I471" s="89"/>
      <c r="J471" s="110"/>
      <c r="K471" s="89"/>
      <c r="L471" s="89"/>
      <c r="M471" s="110"/>
      <c r="N471" s="89"/>
      <c r="O471" s="110"/>
      <c r="P471" s="89"/>
      <c r="Q471" s="110"/>
      <c r="R471" s="89"/>
      <c r="S471" s="89"/>
      <c r="T471" s="89"/>
      <c r="U471" s="89"/>
      <c r="V471" s="89"/>
      <c r="W471" s="89"/>
      <c r="X471" s="89"/>
      <c r="Y471" s="89"/>
      <c r="Z471" s="89"/>
      <c r="AA471" s="89"/>
      <c r="AB471" s="89"/>
      <c r="AC471" s="89"/>
      <c r="AD471" s="89"/>
    </row>
    <row r="472" spans="1:30" ht="13.8">
      <c r="A472" s="89"/>
      <c r="B472" s="89"/>
      <c r="C472" s="89"/>
      <c r="D472" s="89"/>
      <c r="E472" s="89"/>
      <c r="F472" s="110"/>
      <c r="G472" s="89"/>
      <c r="H472" s="110"/>
      <c r="I472" s="89"/>
      <c r="J472" s="110"/>
      <c r="K472" s="89"/>
      <c r="L472" s="89"/>
      <c r="M472" s="110"/>
      <c r="N472" s="89"/>
      <c r="O472" s="110"/>
      <c r="P472" s="89"/>
      <c r="Q472" s="110"/>
      <c r="R472" s="89"/>
      <c r="S472" s="89"/>
      <c r="T472" s="89"/>
      <c r="U472" s="89"/>
      <c r="V472" s="89"/>
      <c r="W472" s="89"/>
      <c r="X472" s="89"/>
      <c r="Y472" s="89"/>
      <c r="Z472" s="89"/>
      <c r="AA472" s="89"/>
      <c r="AB472" s="89"/>
      <c r="AC472" s="89"/>
      <c r="AD472" s="89"/>
    </row>
    <row r="473" spans="1:30" ht="13.8">
      <c r="A473" s="89"/>
      <c r="B473" s="89"/>
      <c r="C473" s="89"/>
      <c r="D473" s="89"/>
      <c r="E473" s="89"/>
      <c r="F473" s="110"/>
      <c r="G473" s="89"/>
      <c r="H473" s="110"/>
      <c r="I473" s="89"/>
      <c r="J473" s="110"/>
      <c r="K473" s="89"/>
      <c r="L473" s="89"/>
      <c r="M473" s="110"/>
      <c r="N473" s="89"/>
      <c r="O473" s="110"/>
      <c r="P473" s="89"/>
      <c r="Q473" s="110"/>
      <c r="R473" s="89"/>
      <c r="S473" s="89"/>
      <c r="T473" s="89"/>
      <c r="U473" s="89"/>
      <c r="V473" s="89"/>
      <c r="W473" s="89"/>
      <c r="X473" s="89"/>
      <c r="Y473" s="89"/>
      <c r="Z473" s="89"/>
      <c r="AA473" s="89"/>
      <c r="AB473" s="89"/>
      <c r="AC473" s="89"/>
      <c r="AD473" s="89"/>
    </row>
    <row r="474" spans="1:30" ht="13.8">
      <c r="A474" s="89"/>
      <c r="B474" s="89"/>
      <c r="C474" s="89"/>
      <c r="D474" s="89"/>
      <c r="E474" s="89"/>
      <c r="F474" s="110"/>
      <c r="G474" s="89"/>
      <c r="H474" s="110"/>
      <c r="I474" s="89"/>
      <c r="J474" s="110"/>
      <c r="K474" s="89"/>
      <c r="L474" s="89"/>
      <c r="M474" s="110"/>
      <c r="N474" s="89"/>
      <c r="O474" s="110"/>
      <c r="P474" s="89"/>
      <c r="Q474" s="110"/>
      <c r="R474" s="89"/>
      <c r="S474" s="89"/>
      <c r="T474" s="89"/>
      <c r="U474" s="89"/>
      <c r="V474" s="89"/>
      <c r="W474" s="89"/>
      <c r="X474" s="89"/>
      <c r="Y474" s="89"/>
      <c r="Z474" s="89"/>
      <c r="AA474" s="89"/>
      <c r="AB474" s="89"/>
      <c r="AC474" s="89"/>
      <c r="AD474" s="89"/>
    </row>
    <row r="475" spans="1:30" ht="13.8">
      <c r="A475" s="89"/>
      <c r="B475" s="89"/>
      <c r="C475" s="89"/>
      <c r="D475" s="89"/>
      <c r="E475" s="89"/>
      <c r="F475" s="110"/>
      <c r="G475" s="89"/>
      <c r="H475" s="110"/>
      <c r="I475" s="89"/>
      <c r="J475" s="110"/>
      <c r="K475" s="89"/>
      <c r="L475" s="89"/>
      <c r="M475" s="110"/>
      <c r="N475" s="89"/>
      <c r="O475" s="110"/>
      <c r="P475" s="89"/>
      <c r="Q475" s="110"/>
      <c r="R475" s="89"/>
      <c r="S475" s="89"/>
      <c r="T475" s="89"/>
      <c r="U475" s="89"/>
      <c r="V475" s="89"/>
      <c r="W475" s="89"/>
      <c r="X475" s="89"/>
      <c r="Y475" s="89"/>
      <c r="Z475" s="89"/>
      <c r="AA475" s="89"/>
      <c r="AB475" s="89"/>
      <c r="AC475" s="89"/>
      <c r="AD475" s="89"/>
    </row>
    <row r="476" spans="1:30" ht="13.8">
      <c r="A476" s="89"/>
      <c r="B476" s="89"/>
      <c r="C476" s="89"/>
      <c r="D476" s="89"/>
      <c r="E476" s="89"/>
      <c r="F476" s="110"/>
      <c r="G476" s="89"/>
      <c r="H476" s="110"/>
      <c r="I476" s="89"/>
      <c r="J476" s="110"/>
      <c r="K476" s="89"/>
      <c r="L476" s="89"/>
      <c r="M476" s="110"/>
      <c r="N476" s="89"/>
      <c r="O476" s="110"/>
      <c r="P476" s="89"/>
      <c r="Q476" s="110"/>
      <c r="R476" s="89"/>
      <c r="S476" s="89"/>
      <c r="T476" s="89"/>
      <c r="U476" s="89"/>
      <c r="V476" s="89"/>
      <c r="W476" s="89"/>
      <c r="X476" s="89"/>
      <c r="Y476" s="89"/>
      <c r="Z476" s="89"/>
      <c r="AA476" s="89"/>
      <c r="AB476" s="89"/>
      <c r="AC476" s="89"/>
      <c r="AD476" s="89"/>
    </row>
    <row r="477" spans="1:30" ht="13.8">
      <c r="A477" s="89"/>
      <c r="B477" s="89"/>
      <c r="C477" s="89"/>
      <c r="D477" s="89"/>
      <c r="E477" s="89"/>
      <c r="F477" s="110"/>
      <c r="G477" s="89"/>
      <c r="H477" s="110"/>
      <c r="I477" s="89"/>
      <c r="J477" s="110"/>
      <c r="K477" s="89"/>
      <c r="L477" s="89"/>
      <c r="M477" s="110"/>
      <c r="N477" s="89"/>
      <c r="O477" s="110"/>
      <c r="P477" s="89"/>
      <c r="Q477" s="110"/>
      <c r="R477" s="89"/>
      <c r="S477" s="89"/>
      <c r="T477" s="89"/>
      <c r="U477" s="89"/>
      <c r="V477" s="89"/>
      <c r="W477" s="89"/>
      <c r="X477" s="89"/>
      <c r="Y477" s="89"/>
      <c r="Z477" s="89"/>
      <c r="AA477" s="89"/>
      <c r="AB477" s="89"/>
      <c r="AC477" s="89"/>
      <c r="AD477" s="89"/>
    </row>
    <row r="478" spans="1:30" ht="13.8">
      <c r="A478" s="89"/>
      <c r="B478" s="89"/>
      <c r="C478" s="89"/>
      <c r="D478" s="89"/>
      <c r="E478" s="89"/>
      <c r="F478" s="110"/>
      <c r="G478" s="89"/>
      <c r="H478" s="110"/>
      <c r="I478" s="89"/>
      <c r="J478" s="110"/>
      <c r="K478" s="89"/>
      <c r="L478" s="89"/>
      <c r="M478" s="110"/>
      <c r="N478" s="89"/>
      <c r="O478" s="110"/>
      <c r="P478" s="89"/>
      <c r="Q478" s="110"/>
      <c r="R478" s="89"/>
      <c r="S478" s="89"/>
      <c r="T478" s="89"/>
      <c r="U478" s="89"/>
      <c r="V478" s="89"/>
      <c r="W478" s="89"/>
      <c r="X478" s="89"/>
      <c r="Y478" s="89"/>
      <c r="Z478" s="89"/>
      <c r="AA478" s="89"/>
      <c r="AB478" s="89"/>
      <c r="AC478" s="89"/>
      <c r="AD478" s="89"/>
    </row>
    <row r="479" spans="1:30" ht="13.8">
      <c r="A479" s="89"/>
      <c r="B479" s="89"/>
      <c r="C479" s="89"/>
      <c r="D479" s="89"/>
      <c r="E479" s="89"/>
      <c r="F479" s="110"/>
      <c r="G479" s="89"/>
      <c r="H479" s="110"/>
      <c r="I479" s="89"/>
      <c r="J479" s="110"/>
      <c r="K479" s="89"/>
      <c r="L479" s="89"/>
      <c r="M479" s="110"/>
      <c r="N479" s="89"/>
      <c r="O479" s="110"/>
      <c r="P479" s="89"/>
      <c r="Q479" s="110"/>
      <c r="R479" s="89"/>
      <c r="S479" s="89"/>
      <c r="T479" s="89"/>
      <c r="U479" s="89"/>
      <c r="V479" s="89"/>
      <c r="W479" s="89"/>
      <c r="X479" s="89"/>
      <c r="Y479" s="89"/>
      <c r="Z479" s="89"/>
      <c r="AA479" s="89"/>
      <c r="AB479" s="89"/>
      <c r="AC479" s="89"/>
      <c r="AD479" s="89"/>
    </row>
    <row r="480" spans="1:30" ht="13.8">
      <c r="A480" s="89"/>
      <c r="B480" s="89"/>
      <c r="C480" s="89"/>
      <c r="D480" s="89"/>
      <c r="E480" s="89"/>
      <c r="F480" s="110"/>
      <c r="G480" s="89"/>
      <c r="H480" s="110"/>
      <c r="I480" s="89"/>
      <c r="J480" s="110"/>
      <c r="K480" s="89"/>
      <c r="L480" s="89"/>
      <c r="M480" s="110"/>
      <c r="N480" s="89"/>
      <c r="O480" s="110"/>
      <c r="P480" s="89"/>
      <c r="Q480" s="110"/>
      <c r="R480" s="89"/>
      <c r="S480" s="89"/>
      <c r="T480" s="89"/>
      <c r="U480" s="89"/>
      <c r="V480" s="89"/>
      <c r="W480" s="89"/>
      <c r="X480" s="89"/>
      <c r="Y480" s="89"/>
      <c r="Z480" s="89"/>
      <c r="AA480" s="89"/>
      <c r="AB480" s="89"/>
      <c r="AC480" s="89"/>
      <c r="AD480" s="89"/>
    </row>
    <row r="481" spans="1:30" ht="13.8">
      <c r="A481" s="89"/>
      <c r="B481" s="89"/>
      <c r="C481" s="89"/>
      <c r="D481" s="89"/>
      <c r="E481" s="89"/>
      <c r="F481" s="110"/>
      <c r="G481" s="89"/>
      <c r="H481" s="110"/>
      <c r="I481" s="89"/>
      <c r="J481" s="110"/>
      <c r="K481" s="89"/>
      <c r="L481" s="89"/>
      <c r="M481" s="110"/>
      <c r="N481" s="89"/>
      <c r="O481" s="110"/>
      <c r="P481" s="89"/>
      <c r="Q481" s="110"/>
      <c r="R481" s="89"/>
      <c r="S481" s="89"/>
      <c r="T481" s="89"/>
      <c r="U481" s="89"/>
      <c r="V481" s="89"/>
      <c r="W481" s="89"/>
      <c r="X481" s="89"/>
      <c r="Y481" s="89"/>
      <c r="Z481" s="89"/>
      <c r="AA481" s="89"/>
      <c r="AB481" s="89"/>
      <c r="AC481" s="89"/>
      <c r="AD481" s="89"/>
    </row>
    <row r="482" spans="1:30" ht="13.8">
      <c r="A482" s="89"/>
      <c r="B482" s="89"/>
      <c r="C482" s="89"/>
      <c r="D482" s="89"/>
      <c r="E482" s="89"/>
      <c r="F482" s="110"/>
      <c r="G482" s="89"/>
      <c r="H482" s="110"/>
      <c r="I482" s="89"/>
      <c r="J482" s="110"/>
      <c r="K482" s="89"/>
      <c r="L482" s="89"/>
      <c r="M482" s="110"/>
      <c r="N482" s="89"/>
      <c r="O482" s="110"/>
      <c r="P482" s="89"/>
      <c r="Q482" s="110"/>
      <c r="R482" s="89"/>
      <c r="S482" s="89"/>
      <c r="T482" s="89"/>
      <c r="U482" s="89"/>
      <c r="V482" s="89"/>
      <c r="W482" s="89"/>
      <c r="X482" s="89"/>
      <c r="Y482" s="89"/>
      <c r="Z482" s="89"/>
      <c r="AA482" s="89"/>
      <c r="AB482" s="89"/>
      <c r="AC482" s="89"/>
      <c r="AD482" s="89"/>
    </row>
    <row r="483" spans="1:30" ht="13.8">
      <c r="A483" s="89"/>
      <c r="B483" s="89"/>
      <c r="C483" s="89"/>
      <c r="D483" s="89"/>
      <c r="E483" s="89"/>
      <c r="F483" s="110"/>
      <c r="G483" s="89"/>
      <c r="H483" s="110"/>
      <c r="I483" s="89"/>
      <c r="J483" s="110"/>
      <c r="K483" s="89"/>
      <c r="L483" s="89"/>
      <c r="M483" s="110"/>
      <c r="N483" s="89"/>
      <c r="O483" s="110"/>
      <c r="P483" s="89"/>
      <c r="Q483" s="110"/>
      <c r="R483" s="89"/>
      <c r="S483" s="89"/>
      <c r="T483" s="89"/>
      <c r="U483" s="89"/>
      <c r="V483" s="89"/>
      <c r="W483" s="89"/>
      <c r="X483" s="89"/>
      <c r="Y483" s="89"/>
      <c r="Z483" s="89"/>
      <c r="AA483" s="89"/>
      <c r="AB483" s="89"/>
      <c r="AC483" s="89"/>
      <c r="AD483" s="89"/>
    </row>
    <row r="484" spans="1:30" ht="13.8">
      <c r="A484" s="89"/>
      <c r="B484" s="89"/>
      <c r="C484" s="89"/>
      <c r="D484" s="89"/>
      <c r="E484" s="89"/>
      <c r="F484" s="110"/>
      <c r="G484" s="89"/>
      <c r="H484" s="110"/>
      <c r="I484" s="89"/>
      <c r="J484" s="110"/>
      <c r="K484" s="89"/>
      <c r="L484" s="89"/>
      <c r="M484" s="110"/>
      <c r="N484" s="89"/>
      <c r="O484" s="110"/>
      <c r="P484" s="89"/>
      <c r="Q484" s="110"/>
      <c r="R484" s="89"/>
      <c r="S484" s="89"/>
      <c r="T484" s="89"/>
      <c r="U484" s="89"/>
      <c r="V484" s="89"/>
      <c r="W484" s="89"/>
      <c r="X484" s="89"/>
      <c r="Y484" s="89"/>
      <c r="Z484" s="89"/>
      <c r="AA484" s="89"/>
      <c r="AB484" s="89"/>
      <c r="AC484" s="89"/>
      <c r="AD484" s="89"/>
    </row>
    <row r="485" spans="1:30" ht="13.8">
      <c r="A485" s="89"/>
      <c r="B485" s="89"/>
      <c r="C485" s="89"/>
      <c r="D485" s="89"/>
      <c r="E485" s="89"/>
      <c r="F485" s="110"/>
      <c r="G485" s="89"/>
      <c r="H485" s="110"/>
      <c r="I485" s="89"/>
      <c r="J485" s="110"/>
      <c r="K485" s="89"/>
      <c r="L485" s="89"/>
      <c r="M485" s="110"/>
      <c r="N485" s="89"/>
      <c r="O485" s="110"/>
      <c r="P485" s="89"/>
      <c r="Q485" s="110"/>
      <c r="R485" s="89"/>
      <c r="S485" s="89"/>
      <c r="T485" s="89"/>
      <c r="U485" s="89"/>
      <c r="V485" s="89"/>
      <c r="W485" s="89"/>
      <c r="X485" s="89"/>
      <c r="Y485" s="89"/>
      <c r="Z485" s="89"/>
      <c r="AA485" s="89"/>
      <c r="AB485" s="89"/>
      <c r="AC485" s="89"/>
      <c r="AD485" s="89"/>
    </row>
    <row r="486" spans="1:30" ht="13.8">
      <c r="A486" s="89"/>
      <c r="B486" s="89"/>
      <c r="C486" s="89"/>
      <c r="D486" s="89"/>
      <c r="E486" s="89"/>
      <c r="F486" s="110"/>
      <c r="G486" s="89"/>
      <c r="H486" s="110"/>
      <c r="I486" s="89"/>
      <c r="J486" s="110"/>
      <c r="K486" s="89"/>
      <c r="L486" s="89"/>
      <c r="M486" s="110"/>
      <c r="N486" s="89"/>
      <c r="O486" s="110"/>
      <c r="P486" s="89"/>
      <c r="Q486" s="110"/>
      <c r="R486" s="89"/>
      <c r="S486" s="89"/>
      <c r="T486" s="89"/>
      <c r="U486" s="89"/>
      <c r="V486" s="89"/>
      <c r="W486" s="89"/>
      <c r="X486" s="89"/>
      <c r="Y486" s="89"/>
      <c r="Z486" s="89"/>
      <c r="AA486" s="89"/>
      <c r="AB486" s="89"/>
      <c r="AC486" s="89"/>
      <c r="AD486" s="89"/>
    </row>
    <row r="487" spans="1:30" ht="13.8">
      <c r="A487" s="89"/>
      <c r="B487" s="89"/>
      <c r="C487" s="89"/>
      <c r="D487" s="89"/>
      <c r="E487" s="89"/>
      <c r="F487" s="110"/>
      <c r="G487" s="89"/>
      <c r="H487" s="110"/>
      <c r="I487" s="89"/>
      <c r="J487" s="110"/>
      <c r="K487" s="89"/>
      <c r="L487" s="89"/>
      <c r="M487" s="110"/>
      <c r="N487" s="89"/>
      <c r="O487" s="110"/>
      <c r="P487" s="89"/>
      <c r="Q487" s="110"/>
      <c r="R487" s="89"/>
      <c r="S487" s="89"/>
      <c r="T487" s="89"/>
      <c r="U487" s="89"/>
      <c r="V487" s="89"/>
      <c r="W487" s="89"/>
      <c r="X487" s="89"/>
      <c r="Y487" s="89"/>
      <c r="Z487" s="89"/>
      <c r="AA487" s="89"/>
      <c r="AB487" s="89"/>
      <c r="AC487" s="89"/>
      <c r="AD487" s="89"/>
    </row>
    <row r="488" spans="1:30" ht="13.8">
      <c r="A488" s="89"/>
      <c r="B488" s="89"/>
      <c r="C488" s="89"/>
      <c r="D488" s="89"/>
      <c r="E488" s="89"/>
      <c r="F488" s="110"/>
      <c r="G488" s="89"/>
      <c r="H488" s="110"/>
      <c r="I488" s="89"/>
      <c r="J488" s="110"/>
      <c r="K488" s="89"/>
      <c r="L488" s="89"/>
      <c r="M488" s="110"/>
      <c r="N488" s="89"/>
      <c r="O488" s="110"/>
      <c r="P488" s="89"/>
      <c r="Q488" s="110"/>
      <c r="R488" s="89"/>
      <c r="S488" s="89"/>
      <c r="T488" s="89"/>
      <c r="U488" s="89"/>
      <c r="V488" s="89"/>
      <c r="W488" s="89"/>
      <c r="X488" s="89"/>
      <c r="Y488" s="89"/>
      <c r="Z488" s="89"/>
      <c r="AA488" s="89"/>
      <c r="AB488" s="89"/>
      <c r="AC488" s="89"/>
      <c r="AD488" s="89"/>
    </row>
    <row r="489" spans="1:30" ht="13.8">
      <c r="A489" s="89"/>
      <c r="B489" s="89"/>
      <c r="C489" s="89"/>
      <c r="D489" s="89"/>
      <c r="E489" s="89"/>
      <c r="F489" s="110"/>
      <c r="G489" s="89"/>
      <c r="H489" s="110"/>
      <c r="I489" s="89"/>
      <c r="J489" s="110"/>
      <c r="K489" s="89"/>
      <c r="L489" s="89"/>
      <c r="M489" s="110"/>
      <c r="N489" s="89"/>
      <c r="O489" s="110"/>
      <c r="P489" s="89"/>
      <c r="Q489" s="110"/>
      <c r="R489" s="89"/>
      <c r="S489" s="89"/>
      <c r="T489" s="89"/>
      <c r="U489" s="89"/>
      <c r="V489" s="89"/>
      <c r="W489" s="89"/>
      <c r="X489" s="89"/>
      <c r="Y489" s="89"/>
      <c r="Z489" s="89"/>
      <c r="AA489" s="89"/>
      <c r="AB489" s="89"/>
      <c r="AC489" s="89"/>
      <c r="AD489" s="89"/>
    </row>
    <row r="490" spans="1:30" ht="13.8">
      <c r="A490" s="89"/>
      <c r="B490" s="89"/>
      <c r="C490" s="89"/>
      <c r="D490" s="89"/>
      <c r="E490" s="89"/>
      <c r="F490" s="110"/>
      <c r="G490" s="89"/>
      <c r="H490" s="110"/>
      <c r="I490" s="89"/>
      <c r="J490" s="110"/>
      <c r="K490" s="89"/>
      <c r="L490" s="89"/>
      <c r="M490" s="110"/>
      <c r="N490" s="89"/>
      <c r="O490" s="110"/>
      <c r="P490" s="89"/>
      <c r="Q490" s="110"/>
      <c r="R490" s="89"/>
      <c r="S490" s="89"/>
      <c r="T490" s="89"/>
      <c r="U490" s="89"/>
      <c r="V490" s="89"/>
      <c r="W490" s="89"/>
      <c r="X490" s="89"/>
      <c r="Y490" s="89"/>
      <c r="Z490" s="89"/>
      <c r="AA490" s="89"/>
      <c r="AB490" s="89"/>
      <c r="AC490" s="89"/>
      <c r="AD490" s="89"/>
    </row>
    <row r="491" spans="1:30" ht="13.8">
      <c r="A491" s="89"/>
      <c r="B491" s="89"/>
      <c r="C491" s="89"/>
      <c r="D491" s="89"/>
      <c r="E491" s="89"/>
      <c r="F491" s="110"/>
      <c r="G491" s="89"/>
      <c r="H491" s="110"/>
      <c r="I491" s="89"/>
      <c r="J491" s="110"/>
      <c r="K491" s="89"/>
      <c r="L491" s="89"/>
      <c r="M491" s="110"/>
      <c r="N491" s="89"/>
      <c r="O491" s="110"/>
      <c r="P491" s="89"/>
      <c r="Q491" s="110"/>
      <c r="R491" s="89"/>
      <c r="S491" s="89"/>
      <c r="T491" s="89"/>
      <c r="U491" s="89"/>
      <c r="V491" s="89"/>
      <c r="W491" s="89"/>
      <c r="X491" s="89"/>
      <c r="Y491" s="89"/>
      <c r="Z491" s="89"/>
      <c r="AA491" s="89"/>
      <c r="AB491" s="89"/>
      <c r="AC491" s="89"/>
      <c r="AD491" s="89"/>
    </row>
    <row r="492" spans="1:30" ht="13.8">
      <c r="A492" s="89"/>
      <c r="B492" s="89"/>
      <c r="C492" s="89"/>
      <c r="D492" s="89"/>
      <c r="E492" s="89"/>
      <c r="F492" s="110"/>
      <c r="G492" s="89"/>
      <c r="H492" s="110"/>
      <c r="I492" s="89"/>
      <c r="J492" s="110"/>
      <c r="K492" s="89"/>
      <c r="L492" s="89"/>
      <c r="M492" s="110"/>
      <c r="N492" s="89"/>
      <c r="O492" s="110"/>
      <c r="P492" s="89"/>
      <c r="Q492" s="110"/>
      <c r="R492" s="89"/>
      <c r="S492" s="89"/>
      <c r="T492" s="89"/>
      <c r="U492" s="89"/>
      <c r="V492" s="89"/>
      <c r="W492" s="89"/>
      <c r="X492" s="89"/>
      <c r="Y492" s="89"/>
      <c r="Z492" s="89"/>
      <c r="AA492" s="89"/>
      <c r="AB492" s="89"/>
      <c r="AC492" s="89"/>
      <c r="AD492" s="89"/>
    </row>
    <row r="493" spans="1:30" ht="13.8">
      <c r="A493" s="89"/>
      <c r="B493" s="89"/>
      <c r="C493" s="89"/>
      <c r="D493" s="89"/>
      <c r="E493" s="89"/>
      <c r="F493" s="110"/>
      <c r="G493" s="89"/>
      <c r="H493" s="110"/>
      <c r="I493" s="89"/>
      <c r="J493" s="110"/>
      <c r="K493" s="89"/>
      <c r="L493" s="89"/>
      <c r="M493" s="110"/>
      <c r="N493" s="89"/>
      <c r="O493" s="110"/>
      <c r="P493" s="89"/>
      <c r="Q493" s="110"/>
      <c r="R493" s="89"/>
      <c r="S493" s="89"/>
      <c r="T493" s="89"/>
      <c r="U493" s="89"/>
      <c r="V493" s="89"/>
      <c r="W493" s="89"/>
      <c r="X493" s="89"/>
      <c r="Y493" s="89"/>
      <c r="Z493" s="89"/>
      <c r="AA493" s="89"/>
      <c r="AB493" s="89"/>
      <c r="AC493" s="89"/>
      <c r="AD493" s="89"/>
    </row>
    <row r="494" spans="1:30" ht="13.8">
      <c r="A494" s="89"/>
      <c r="B494" s="89"/>
      <c r="C494" s="89"/>
      <c r="D494" s="89"/>
      <c r="E494" s="89"/>
      <c r="F494" s="110"/>
      <c r="G494" s="89"/>
      <c r="H494" s="110"/>
      <c r="I494" s="89"/>
      <c r="J494" s="110"/>
      <c r="K494" s="89"/>
      <c r="L494" s="89"/>
      <c r="M494" s="110"/>
      <c r="N494" s="89"/>
      <c r="O494" s="110"/>
      <c r="P494" s="89"/>
      <c r="Q494" s="110"/>
      <c r="R494" s="89"/>
      <c r="S494" s="89"/>
      <c r="T494" s="89"/>
      <c r="U494" s="89"/>
      <c r="V494" s="89"/>
      <c r="W494" s="89"/>
      <c r="X494" s="89"/>
      <c r="Y494" s="89"/>
      <c r="Z494" s="89"/>
      <c r="AA494" s="89"/>
      <c r="AB494" s="89"/>
      <c r="AC494" s="89"/>
      <c r="AD494" s="89"/>
    </row>
    <row r="495" spans="1:30" ht="13.8">
      <c r="A495" s="89"/>
      <c r="B495" s="89"/>
      <c r="C495" s="89"/>
      <c r="D495" s="89"/>
      <c r="E495" s="89"/>
      <c r="F495" s="110"/>
      <c r="G495" s="89"/>
      <c r="H495" s="110"/>
      <c r="I495" s="89"/>
      <c r="J495" s="110"/>
      <c r="K495" s="89"/>
      <c r="L495" s="89"/>
      <c r="M495" s="110"/>
      <c r="N495" s="89"/>
      <c r="O495" s="110"/>
      <c r="P495" s="89"/>
      <c r="Q495" s="110"/>
      <c r="R495" s="89"/>
      <c r="S495" s="89"/>
      <c r="T495" s="89"/>
      <c r="U495" s="89"/>
      <c r="V495" s="89"/>
      <c r="W495" s="89"/>
      <c r="X495" s="89"/>
      <c r="Y495" s="89"/>
      <c r="Z495" s="89"/>
      <c r="AA495" s="89"/>
      <c r="AB495" s="89"/>
      <c r="AC495" s="89"/>
      <c r="AD495" s="89"/>
    </row>
    <row r="496" spans="1:30" ht="13.8">
      <c r="A496" s="89"/>
      <c r="B496" s="89"/>
      <c r="C496" s="89"/>
      <c r="D496" s="89"/>
      <c r="E496" s="89"/>
      <c r="F496" s="110"/>
      <c r="G496" s="89"/>
      <c r="H496" s="110"/>
      <c r="I496" s="89"/>
      <c r="J496" s="110"/>
      <c r="K496" s="89"/>
      <c r="L496" s="89"/>
      <c r="M496" s="110"/>
      <c r="N496" s="89"/>
      <c r="O496" s="110"/>
      <c r="P496" s="89"/>
      <c r="Q496" s="110"/>
      <c r="R496" s="89"/>
      <c r="S496" s="89"/>
      <c r="T496" s="89"/>
      <c r="U496" s="89"/>
      <c r="V496" s="89"/>
      <c r="W496" s="89"/>
      <c r="X496" s="89"/>
      <c r="Y496" s="89"/>
      <c r="Z496" s="89"/>
      <c r="AA496" s="89"/>
      <c r="AB496" s="89"/>
      <c r="AC496" s="89"/>
      <c r="AD496" s="89"/>
    </row>
    <row r="497" spans="1:30" ht="13.8">
      <c r="A497" s="89"/>
      <c r="B497" s="89"/>
      <c r="C497" s="89"/>
      <c r="D497" s="89"/>
      <c r="E497" s="89"/>
      <c r="F497" s="110"/>
      <c r="G497" s="89"/>
      <c r="H497" s="110"/>
      <c r="I497" s="89"/>
      <c r="J497" s="110"/>
      <c r="K497" s="89"/>
      <c r="L497" s="89"/>
      <c r="M497" s="110"/>
      <c r="N497" s="89"/>
      <c r="O497" s="110"/>
      <c r="P497" s="89"/>
      <c r="Q497" s="110"/>
      <c r="R497" s="89"/>
      <c r="S497" s="89"/>
      <c r="T497" s="89"/>
      <c r="U497" s="89"/>
      <c r="V497" s="89"/>
      <c r="W497" s="89"/>
      <c r="X497" s="89"/>
      <c r="Y497" s="89"/>
      <c r="Z497" s="89"/>
      <c r="AA497" s="89"/>
      <c r="AB497" s="89"/>
      <c r="AC497" s="89"/>
      <c r="AD497" s="89"/>
    </row>
    <row r="498" spans="1:30" ht="13.8">
      <c r="A498" s="89"/>
      <c r="B498" s="89"/>
      <c r="C498" s="89"/>
      <c r="D498" s="89"/>
      <c r="E498" s="89"/>
      <c r="F498" s="110"/>
      <c r="G498" s="89"/>
      <c r="H498" s="110"/>
      <c r="I498" s="89"/>
      <c r="J498" s="110"/>
      <c r="K498" s="89"/>
      <c r="L498" s="89"/>
      <c r="M498" s="110"/>
      <c r="N498" s="89"/>
      <c r="O498" s="110"/>
      <c r="P498" s="89"/>
      <c r="Q498" s="110"/>
      <c r="R498" s="89"/>
      <c r="S498" s="89"/>
      <c r="T498" s="89"/>
      <c r="U498" s="89"/>
      <c r="V498" s="89"/>
      <c r="W498" s="89"/>
      <c r="X498" s="89"/>
      <c r="Y498" s="89"/>
      <c r="Z498" s="89"/>
      <c r="AA498" s="89"/>
      <c r="AB498" s="89"/>
      <c r="AC498" s="89"/>
      <c r="AD498" s="89"/>
    </row>
    <row r="499" spans="1:30" ht="13.8">
      <c r="A499" s="89"/>
      <c r="B499" s="89"/>
      <c r="C499" s="89"/>
      <c r="D499" s="89"/>
      <c r="E499" s="89"/>
      <c r="F499" s="110"/>
      <c r="G499" s="89"/>
      <c r="H499" s="110"/>
      <c r="I499" s="89"/>
      <c r="J499" s="110"/>
      <c r="K499" s="89"/>
      <c r="L499" s="89"/>
      <c r="M499" s="110"/>
      <c r="N499" s="89"/>
      <c r="O499" s="110"/>
      <c r="P499" s="89"/>
      <c r="Q499" s="110"/>
      <c r="R499" s="89"/>
      <c r="S499" s="89"/>
      <c r="T499" s="89"/>
      <c r="U499" s="89"/>
      <c r="V499" s="89"/>
      <c r="W499" s="89"/>
      <c r="X499" s="89"/>
      <c r="Y499" s="89"/>
      <c r="Z499" s="89"/>
      <c r="AA499" s="89"/>
      <c r="AB499" s="89"/>
      <c r="AC499" s="89"/>
      <c r="AD499" s="89"/>
    </row>
    <row r="500" spans="1:30" ht="13.8">
      <c r="A500" s="89"/>
      <c r="B500" s="89"/>
      <c r="C500" s="89"/>
      <c r="D500" s="89"/>
      <c r="E500" s="89"/>
      <c r="F500" s="110"/>
      <c r="G500" s="89"/>
      <c r="H500" s="110"/>
      <c r="I500" s="89"/>
      <c r="J500" s="110"/>
      <c r="K500" s="89"/>
      <c r="L500" s="89"/>
      <c r="M500" s="110"/>
      <c r="N500" s="89"/>
      <c r="O500" s="110"/>
      <c r="P500" s="89"/>
      <c r="Q500" s="110"/>
      <c r="R500" s="89"/>
      <c r="S500" s="89"/>
      <c r="T500" s="89"/>
      <c r="U500" s="89"/>
      <c r="V500" s="89"/>
      <c r="W500" s="89"/>
      <c r="X500" s="89"/>
      <c r="Y500" s="89"/>
      <c r="Z500" s="89"/>
      <c r="AA500" s="89"/>
      <c r="AB500" s="89"/>
      <c r="AC500" s="89"/>
      <c r="AD500" s="89"/>
    </row>
    <row r="501" spans="1:30" ht="13.8">
      <c r="A501" s="89"/>
      <c r="B501" s="89"/>
      <c r="C501" s="89"/>
      <c r="D501" s="89"/>
      <c r="E501" s="89"/>
      <c r="F501" s="110"/>
      <c r="G501" s="89"/>
      <c r="H501" s="110"/>
      <c r="I501" s="89"/>
      <c r="J501" s="110"/>
      <c r="K501" s="89"/>
      <c r="L501" s="89"/>
      <c r="M501" s="110"/>
      <c r="N501" s="89"/>
      <c r="O501" s="110"/>
      <c r="P501" s="89"/>
      <c r="Q501" s="110"/>
      <c r="R501" s="89"/>
      <c r="S501" s="89"/>
      <c r="T501" s="89"/>
      <c r="U501" s="89"/>
      <c r="V501" s="89"/>
      <c r="W501" s="89"/>
      <c r="X501" s="89"/>
      <c r="Y501" s="89"/>
      <c r="Z501" s="89"/>
      <c r="AA501" s="89"/>
      <c r="AB501" s="89"/>
      <c r="AC501" s="89"/>
      <c r="AD501" s="89"/>
    </row>
    <row r="502" spans="1:30" ht="13.8">
      <c r="A502" s="89"/>
      <c r="B502" s="89"/>
      <c r="C502" s="89"/>
      <c r="D502" s="89"/>
      <c r="E502" s="89"/>
      <c r="F502" s="110"/>
      <c r="G502" s="89"/>
      <c r="H502" s="110"/>
      <c r="I502" s="89"/>
      <c r="J502" s="110"/>
      <c r="K502" s="89"/>
      <c r="L502" s="89"/>
      <c r="M502" s="110"/>
      <c r="N502" s="89"/>
      <c r="O502" s="110"/>
      <c r="P502" s="89"/>
      <c r="Q502" s="110"/>
      <c r="R502" s="89"/>
      <c r="S502" s="89"/>
      <c r="T502" s="89"/>
      <c r="U502" s="89"/>
      <c r="V502" s="89"/>
      <c r="W502" s="89"/>
      <c r="X502" s="89"/>
      <c r="Y502" s="89"/>
      <c r="Z502" s="89"/>
      <c r="AA502" s="89"/>
      <c r="AB502" s="89"/>
      <c r="AC502" s="89"/>
      <c r="AD502" s="89"/>
    </row>
    <row r="503" spans="1:30" ht="13.8">
      <c r="A503" s="89"/>
      <c r="B503" s="89"/>
      <c r="C503" s="89"/>
      <c r="D503" s="89"/>
      <c r="E503" s="89"/>
      <c r="F503" s="110"/>
      <c r="G503" s="89"/>
      <c r="H503" s="110"/>
      <c r="I503" s="89"/>
      <c r="J503" s="110"/>
      <c r="K503" s="89"/>
      <c r="L503" s="89"/>
      <c r="M503" s="110"/>
      <c r="N503" s="89"/>
      <c r="O503" s="110"/>
      <c r="P503" s="89"/>
      <c r="Q503" s="110"/>
      <c r="R503" s="89"/>
      <c r="S503" s="89"/>
      <c r="T503" s="89"/>
      <c r="U503" s="89"/>
      <c r="V503" s="89"/>
      <c r="W503" s="89"/>
      <c r="X503" s="89"/>
      <c r="Y503" s="89"/>
      <c r="Z503" s="89"/>
      <c r="AA503" s="89"/>
      <c r="AB503" s="89"/>
      <c r="AC503" s="89"/>
      <c r="AD503" s="89"/>
    </row>
    <row r="504" spans="1:30" ht="13.8">
      <c r="A504" s="89"/>
      <c r="B504" s="89"/>
      <c r="C504" s="89"/>
      <c r="D504" s="89"/>
      <c r="E504" s="89"/>
      <c r="F504" s="110"/>
      <c r="G504" s="89"/>
      <c r="H504" s="110"/>
      <c r="I504" s="89"/>
      <c r="J504" s="110"/>
      <c r="K504" s="89"/>
      <c r="L504" s="89"/>
      <c r="M504" s="110"/>
      <c r="N504" s="89"/>
      <c r="O504" s="110"/>
      <c r="P504" s="89"/>
      <c r="Q504" s="110"/>
      <c r="R504" s="89"/>
      <c r="S504" s="89"/>
      <c r="T504" s="89"/>
      <c r="U504" s="89"/>
      <c r="V504" s="89"/>
      <c r="W504" s="89"/>
      <c r="X504" s="89"/>
      <c r="Y504" s="89"/>
      <c r="Z504" s="89"/>
      <c r="AA504" s="89"/>
      <c r="AB504" s="89"/>
      <c r="AC504" s="89"/>
      <c r="AD504" s="89"/>
    </row>
    <row r="505" spans="1:30" ht="13.8">
      <c r="A505" s="89"/>
      <c r="B505" s="89"/>
      <c r="C505" s="89"/>
      <c r="D505" s="89"/>
      <c r="E505" s="89"/>
      <c r="F505" s="110"/>
      <c r="G505" s="89"/>
      <c r="H505" s="110"/>
      <c r="I505" s="89"/>
      <c r="J505" s="110"/>
      <c r="K505" s="89"/>
      <c r="L505" s="89"/>
      <c r="M505" s="110"/>
      <c r="N505" s="89"/>
      <c r="O505" s="110"/>
      <c r="P505" s="89"/>
      <c r="Q505" s="110"/>
      <c r="R505" s="89"/>
      <c r="S505" s="89"/>
      <c r="T505" s="89"/>
      <c r="U505" s="89"/>
      <c r="V505" s="89"/>
      <c r="W505" s="89"/>
      <c r="X505" s="89"/>
      <c r="Y505" s="89"/>
      <c r="Z505" s="89"/>
      <c r="AA505" s="89"/>
      <c r="AB505" s="89"/>
      <c r="AC505" s="89"/>
      <c r="AD505" s="89"/>
    </row>
    <row r="506" spans="1:30" ht="13.8">
      <c r="A506" s="89"/>
      <c r="B506" s="89"/>
      <c r="C506" s="89"/>
      <c r="D506" s="89"/>
      <c r="E506" s="89"/>
      <c r="F506" s="110"/>
      <c r="G506" s="89"/>
      <c r="H506" s="110"/>
      <c r="I506" s="89"/>
      <c r="J506" s="110"/>
      <c r="K506" s="89"/>
      <c r="L506" s="89"/>
      <c r="M506" s="110"/>
      <c r="N506" s="89"/>
      <c r="O506" s="110"/>
      <c r="P506" s="89"/>
      <c r="Q506" s="110"/>
      <c r="R506" s="89"/>
      <c r="S506" s="89"/>
      <c r="T506" s="89"/>
      <c r="U506" s="89"/>
      <c r="V506" s="89"/>
      <c r="W506" s="89"/>
      <c r="X506" s="89"/>
      <c r="Y506" s="89"/>
      <c r="Z506" s="89"/>
      <c r="AA506" s="89"/>
      <c r="AB506" s="89"/>
      <c r="AC506" s="89"/>
      <c r="AD506" s="89"/>
    </row>
    <row r="507" spans="1:30" ht="13.8">
      <c r="A507" s="89"/>
      <c r="B507" s="89"/>
      <c r="C507" s="89"/>
      <c r="D507" s="89"/>
      <c r="E507" s="89"/>
      <c r="F507" s="110"/>
      <c r="G507" s="89"/>
      <c r="H507" s="110"/>
      <c r="I507" s="89"/>
      <c r="J507" s="110"/>
      <c r="K507" s="89"/>
      <c r="L507" s="89"/>
      <c r="M507" s="110"/>
      <c r="N507" s="89"/>
      <c r="O507" s="110"/>
      <c r="P507" s="89"/>
      <c r="Q507" s="110"/>
      <c r="R507" s="89"/>
      <c r="S507" s="89"/>
      <c r="T507" s="89"/>
      <c r="U507" s="89"/>
      <c r="V507" s="89"/>
      <c r="W507" s="89"/>
      <c r="X507" s="89"/>
      <c r="Y507" s="89"/>
      <c r="Z507" s="89"/>
      <c r="AA507" s="89"/>
      <c r="AB507" s="89"/>
      <c r="AC507" s="89"/>
      <c r="AD507" s="89"/>
    </row>
    <row r="508" spans="1:30" ht="13.8">
      <c r="A508" s="89"/>
      <c r="B508" s="89"/>
      <c r="C508" s="89"/>
      <c r="D508" s="89"/>
      <c r="E508" s="89"/>
      <c r="F508" s="110"/>
      <c r="G508" s="89"/>
      <c r="H508" s="110"/>
      <c r="I508" s="89"/>
      <c r="J508" s="110"/>
      <c r="K508" s="89"/>
      <c r="L508" s="89"/>
      <c r="M508" s="110"/>
      <c r="N508" s="89"/>
      <c r="O508" s="110"/>
      <c r="P508" s="89"/>
      <c r="Q508" s="110"/>
      <c r="R508" s="89"/>
      <c r="S508" s="89"/>
      <c r="T508" s="89"/>
      <c r="U508" s="89"/>
      <c r="V508" s="89"/>
      <c r="W508" s="89"/>
      <c r="X508" s="89"/>
      <c r="Y508" s="89"/>
      <c r="Z508" s="89"/>
      <c r="AA508" s="89"/>
      <c r="AB508" s="89"/>
      <c r="AC508" s="89"/>
      <c r="AD508" s="89"/>
    </row>
    <row r="509" spans="1:30" ht="13.8">
      <c r="A509" s="89"/>
      <c r="B509" s="89"/>
      <c r="C509" s="89"/>
      <c r="D509" s="89"/>
      <c r="E509" s="89"/>
      <c r="F509" s="110"/>
      <c r="G509" s="89"/>
      <c r="H509" s="110"/>
      <c r="I509" s="89"/>
      <c r="J509" s="110"/>
      <c r="K509" s="89"/>
      <c r="L509" s="89"/>
      <c r="M509" s="110"/>
      <c r="N509" s="89"/>
      <c r="O509" s="110"/>
      <c r="P509" s="89"/>
      <c r="Q509" s="110"/>
      <c r="R509" s="89"/>
      <c r="S509" s="89"/>
      <c r="T509" s="89"/>
      <c r="U509" s="89"/>
      <c r="V509" s="89"/>
      <c r="W509" s="89"/>
      <c r="X509" s="89"/>
      <c r="Y509" s="89"/>
      <c r="Z509" s="89"/>
      <c r="AA509" s="89"/>
      <c r="AB509" s="89"/>
      <c r="AC509" s="89"/>
      <c r="AD509" s="89"/>
    </row>
    <row r="510" spans="1:30" ht="13.8">
      <c r="A510" s="89"/>
      <c r="B510" s="89"/>
      <c r="C510" s="89"/>
      <c r="D510" s="89"/>
      <c r="E510" s="89"/>
      <c r="F510" s="110"/>
      <c r="G510" s="89"/>
      <c r="H510" s="110"/>
      <c r="I510" s="89"/>
      <c r="J510" s="110"/>
      <c r="K510" s="89"/>
      <c r="L510" s="89"/>
      <c r="M510" s="110"/>
      <c r="N510" s="89"/>
      <c r="O510" s="110"/>
      <c r="P510" s="89"/>
      <c r="Q510" s="110"/>
      <c r="R510" s="89"/>
      <c r="S510" s="89"/>
      <c r="T510" s="89"/>
      <c r="U510" s="89"/>
      <c r="V510" s="89"/>
      <c r="W510" s="89"/>
      <c r="X510" s="89"/>
      <c r="Y510" s="89"/>
      <c r="Z510" s="89"/>
      <c r="AA510" s="89"/>
      <c r="AB510" s="89"/>
      <c r="AC510" s="89"/>
      <c r="AD510" s="89"/>
    </row>
    <row r="511" spans="1:30" ht="13.8">
      <c r="A511" s="89"/>
      <c r="B511" s="89"/>
      <c r="C511" s="89"/>
      <c r="D511" s="89"/>
      <c r="E511" s="89"/>
      <c r="F511" s="110"/>
      <c r="G511" s="89"/>
      <c r="H511" s="110"/>
      <c r="I511" s="89"/>
      <c r="J511" s="110"/>
      <c r="K511" s="89"/>
      <c r="L511" s="89"/>
      <c r="M511" s="110"/>
      <c r="N511" s="89"/>
      <c r="O511" s="110"/>
      <c r="P511" s="89"/>
      <c r="Q511" s="110"/>
      <c r="R511" s="89"/>
      <c r="S511" s="89"/>
      <c r="T511" s="89"/>
      <c r="U511" s="89"/>
      <c r="V511" s="89"/>
      <c r="W511" s="89"/>
      <c r="X511" s="89"/>
      <c r="Y511" s="89"/>
      <c r="Z511" s="89"/>
      <c r="AA511" s="89"/>
      <c r="AB511" s="89"/>
      <c r="AC511" s="89"/>
      <c r="AD511" s="89"/>
    </row>
    <row r="512" spans="1:30" ht="13.8">
      <c r="A512" s="89"/>
      <c r="B512" s="89"/>
      <c r="C512" s="89"/>
      <c r="D512" s="89"/>
      <c r="E512" s="89"/>
      <c r="F512" s="110"/>
      <c r="G512" s="89"/>
      <c r="H512" s="110"/>
      <c r="I512" s="89"/>
      <c r="J512" s="110"/>
      <c r="K512" s="89"/>
      <c r="L512" s="89"/>
      <c r="M512" s="110"/>
      <c r="N512" s="89"/>
      <c r="O512" s="110"/>
      <c r="P512" s="89"/>
      <c r="Q512" s="110"/>
      <c r="R512" s="89"/>
      <c r="S512" s="89"/>
      <c r="T512" s="89"/>
      <c r="U512" s="89"/>
      <c r="V512" s="89"/>
      <c r="W512" s="89"/>
      <c r="X512" s="89"/>
      <c r="Y512" s="89"/>
      <c r="Z512" s="89"/>
      <c r="AA512" s="89"/>
      <c r="AB512" s="89"/>
      <c r="AC512" s="89"/>
      <c r="AD512" s="89"/>
    </row>
    <row r="513" spans="1:30" ht="13.8">
      <c r="A513" s="89"/>
      <c r="B513" s="89"/>
      <c r="C513" s="89"/>
      <c r="D513" s="89"/>
      <c r="E513" s="89"/>
      <c r="F513" s="110"/>
      <c r="G513" s="89"/>
      <c r="H513" s="110"/>
      <c r="I513" s="89"/>
      <c r="J513" s="110"/>
      <c r="K513" s="89"/>
      <c r="L513" s="89"/>
      <c r="M513" s="110"/>
      <c r="N513" s="89"/>
      <c r="O513" s="110"/>
      <c r="P513" s="89"/>
      <c r="Q513" s="110"/>
      <c r="R513" s="89"/>
      <c r="S513" s="89"/>
      <c r="T513" s="89"/>
      <c r="U513" s="89"/>
      <c r="V513" s="89"/>
      <c r="W513" s="89"/>
      <c r="X513" s="89"/>
      <c r="Y513" s="89"/>
      <c r="Z513" s="89"/>
      <c r="AA513" s="89"/>
      <c r="AB513" s="89"/>
      <c r="AC513" s="89"/>
      <c r="AD513" s="89"/>
    </row>
    <row r="514" spans="1:30" ht="13.8">
      <c r="A514" s="89"/>
      <c r="B514" s="89"/>
      <c r="C514" s="89"/>
      <c r="D514" s="89"/>
      <c r="E514" s="89"/>
      <c r="F514" s="110"/>
      <c r="G514" s="89"/>
      <c r="H514" s="110"/>
      <c r="I514" s="89"/>
      <c r="J514" s="110"/>
      <c r="K514" s="89"/>
      <c r="L514" s="89"/>
      <c r="M514" s="110"/>
      <c r="N514" s="89"/>
      <c r="O514" s="110"/>
      <c r="P514" s="89"/>
      <c r="Q514" s="110"/>
      <c r="R514" s="89"/>
      <c r="S514" s="89"/>
      <c r="T514" s="89"/>
      <c r="U514" s="89"/>
      <c r="V514" s="89"/>
      <c r="W514" s="89"/>
      <c r="X514" s="89"/>
      <c r="Y514" s="89"/>
      <c r="Z514" s="89"/>
      <c r="AA514" s="89"/>
      <c r="AB514" s="89"/>
      <c r="AC514" s="89"/>
      <c r="AD514" s="89"/>
    </row>
    <row r="515" spans="1:30" ht="13.8">
      <c r="A515" s="89"/>
      <c r="B515" s="89"/>
      <c r="C515" s="89"/>
      <c r="D515" s="89"/>
      <c r="E515" s="89"/>
      <c r="F515" s="110"/>
      <c r="G515" s="89"/>
      <c r="H515" s="110"/>
      <c r="I515" s="89"/>
      <c r="J515" s="110"/>
      <c r="K515" s="89"/>
      <c r="L515" s="89"/>
      <c r="M515" s="110"/>
      <c r="N515" s="89"/>
      <c r="O515" s="110"/>
      <c r="P515" s="89"/>
      <c r="Q515" s="110"/>
      <c r="R515" s="89"/>
      <c r="S515" s="89"/>
      <c r="T515" s="89"/>
      <c r="U515" s="89"/>
      <c r="V515" s="89"/>
      <c r="W515" s="89"/>
      <c r="X515" s="89"/>
      <c r="Y515" s="89"/>
      <c r="Z515" s="89"/>
      <c r="AA515" s="89"/>
      <c r="AB515" s="89"/>
      <c r="AC515" s="89"/>
      <c r="AD515" s="89"/>
    </row>
    <row r="516" spans="1:30" ht="13.8">
      <c r="A516" s="89"/>
      <c r="B516" s="89"/>
      <c r="C516" s="89"/>
      <c r="D516" s="89"/>
      <c r="E516" s="89"/>
      <c r="F516" s="110"/>
      <c r="G516" s="89"/>
      <c r="H516" s="110"/>
      <c r="I516" s="89"/>
      <c r="J516" s="110"/>
      <c r="K516" s="89"/>
      <c r="L516" s="89"/>
      <c r="M516" s="110"/>
      <c r="N516" s="89"/>
      <c r="O516" s="110"/>
      <c r="P516" s="89"/>
      <c r="Q516" s="110"/>
      <c r="R516" s="89"/>
      <c r="S516" s="89"/>
      <c r="T516" s="89"/>
      <c r="U516" s="89"/>
      <c r="V516" s="89"/>
      <c r="W516" s="89"/>
      <c r="X516" s="89"/>
      <c r="Y516" s="89"/>
      <c r="Z516" s="89"/>
      <c r="AA516" s="89"/>
      <c r="AB516" s="89"/>
      <c r="AC516" s="89"/>
      <c r="AD516" s="89"/>
    </row>
    <row r="517" spans="1:30" ht="13.8">
      <c r="A517" s="89"/>
      <c r="B517" s="89"/>
      <c r="C517" s="89"/>
      <c r="D517" s="89"/>
      <c r="E517" s="89"/>
      <c r="F517" s="110"/>
      <c r="G517" s="89"/>
      <c r="H517" s="110"/>
      <c r="I517" s="89"/>
      <c r="J517" s="110"/>
      <c r="K517" s="89"/>
      <c r="L517" s="89"/>
      <c r="M517" s="110"/>
      <c r="N517" s="89"/>
      <c r="O517" s="110"/>
      <c r="P517" s="89"/>
      <c r="Q517" s="110"/>
      <c r="R517" s="89"/>
      <c r="S517" s="89"/>
      <c r="T517" s="89"/>
      <c r="U517" s="89"/>
      <c r="V517" s="89"/>
      <c r="W517" s="89"/>
      <c r="X517" s="89"/>
      <c r="Y517" s="89"/>
      <c r="Z517" s="89"/>
      <c r="AA517" s="89"/>
      <c r="AB517" s="89"/>
      <c r="AC517" s="89"/>
      <c r="AD517" s="89"/>
    </row>
    <row r="518" spans="1:30" ht="13.8">
      <c r="A518" s="89"/>
      <c r="B518" s="89"/>
      <c r="C518" s="89"/>
      <c r="D518" s="89"/>
      <c r="E518" s="89"/>
      <c r="F518" s="110"/>
      <c r="G518" s="89"/>
      <c r="H518" s="110"/>
      <c r="I518" s="89"/>
      <c r="J518" s="110"/>
      <c r="K518" s="89"/>
      <c r="L518" s="89"/>
      <c r="M518" s="110"/>
      <c r="N518" s="89"/>
      <c r="O518" s="110"/>
      <c r="P518" s="89"/>
      <c r="Q518" s="110"/>
      <c r="R518" s="89"/>
      <c r="S518" s="89"/>
      <c r="T518" s="89"/>
      <c r="U518" s="89"/>
      <c r="V518" s="89"/>
      <c r="W518" s="89"/>
      <c r="X518" s="89"/>
      <c r="Y518" s="89"/>
      <c r="Z518" s="89"/>
      <c r="AA518" s="89"/>
      <c r="AB518" s="89"/>
      <c r="AC518" s="89"/>
      <c r="AD518" s="89"/>
    </row>
    <row r="519" spans="1:30" ht="13.8">
      <c r="A519" s="89"/>
      <c r="B519" s="89"/>
      <c r="C519" s="89"/>
      <c r="D519" s="89"/>
      <c r="E519" s="89"/>
      <c r="F519" s="110"/>
      <c r="G519" s="89"/>
      <c r="H519" s="110"/>
      <c r="I519" s="89"/>
      <c r="J519" s="110"/>
      <c r="K519" s="89"/>
      <c r="L519" s="89"/>
      <c r="M519" s="110"/>
      <c r="N519" s="89"/>
      <c r="O519" s="110"/>
      <c r="P519" s="89"/>
      <c r="Q519" s="110"/>
      <c r="R519" s="89"/>
      <c r="S519" s="89"/>
      <c r="T519" s="89"/>
      <c r="U519" s="89"/>
      <c r="V519" s="89"/>
      <c r="W519" s="89"/>
      <c r="X519" s="89"/>
      <c r="Y519" s="89"/>
      <c r="Z519" s="89"/>
      <c r="AA519" s="89"/>
      <c r="AB519" s="89"/>
      <c r="AC519" s="89"/>
      <c r="AD519" s="89"/>
    </row>
    <row r="520" spans="1:30" ht="13.8">
      <c r="A520" s="89"/>
      <c r="B520" s="89"/>
      <c r="C520" s="89"/>
      <c r="D520" s="89"/>
      <c r="E520" s="89"/>
      <c r="F520" s="110"/>
      <c r="G520" s="89"/>
      <c r="H520" s="110"/>
      <c r="I520" s="89"/>
      <c r="J520" s="110"/>
      <c r="K520" s="89"/>
      <c r="L520" s="89"/>
      <c r="M520" s="110"/>
      <c r="N520" s="89"/>
      <c r="O520" s="110"/>
      <c r="P520" s="89"/>
      <c r="Q520" s="110"/>
      <c r="R520" s="89"/>
      <c r="S520" s="89"/>
      <c r="T520" s="89"/>
      <c r="U520" s="89"/>
      <c r="V520" s="89"/>
      <c r="W520" s="89"/>
      <c r="X520" s="89"/>
      <c r="Y520" s="89"/>
      <c r="Z520" s="89"/>
      <c r="AA520" s="89"/>
      <c r="AB520" s="89"/>
      <c r="AC520" s="89"/>
      <c r="AD520" s="89"/>
    </row>
    <row r="521" spans="1:30" ht="13.8">
      <c r="A521" s="89"/>
      <c r="B521" s="89"/>
      <c r="C521" s="89"/>
      <c r="D521" s="89"/>
      <c r="E521" s="89"/>
      <c r="F521" s="110"/>
      <c r="G521" s="89"/>
      <c r="H521" s="110"/>
      <c r="I521" s="89"/>
      <c r="J521" s="110"/>
      <c r="K521" s="89"/>
      <c r="L521" s="89"/>
      <c r="M521" s="110"/>
      <c r="N521" s="89"/>
      <c r="O521" s="110"/>
      <c r="P521" s="89"/>
      <c r="Q521" s="110"/>
      <c r="R521" s="89"/>
      <c r="S521" s="89"/>
      <c r="T521" s="89"/>
      <c r="U521" s="89"/>
      <c r="V521" s="89"/>
      <c r="W521" s="89"/>
      <c r="X521" s="89"/>
      <c r="Y521" s="89"/>
      <c r="Z521" s="89"/>
      <c r="AA521" s="89"/>
      <c r="AB521" s="89"/>
      <c r="AC521" s="89"/>
      <c r="AD521" s="89"/>
    </row>
    <row r="522" spans="1:30" ht="13.8">
      <c r="A522" s="89"/>
      <c r="B522" s="89"/>
      <c r="C522" s="89"/>
      <c r="D522" s="89"/>
      <c r="E522" s="89"/>
      <c r="F522" s="110"/>
      <c r="G522" s="89"/>
      <c r="H522" s="110"/>
      <c r="I522" s="89"/>
      <c r="J522" s="110"/>
      <c r="K522" s="89"/>
      <c r="L522" s="89"/>
      <c r="M522" s="110"/>
      <c r="N522" s="89"/>
      <c r="O522" s="110"/>
      <c r="P522" s="89"/>
      <c r="Q522" s="110"/>
      <c r="R522" s="89"/>
      <c r="S522" s="89"/>
      <c r="T522" s="89"/>
      <c r="U522" s="89"/>
      <c r="V522" s="89"/>
      <c r="W522" s="89"/>
      <c r="X522" s="89"/>
      <c r="Y522" s="89"/>
      <c r="Z522" s="89"/>
      <c r="AA522" s="89"/>
      <c r="AB522" s="89"/>
      <c r="AC522" s="89"/>
      <c r="AD522" s="89"/>
    </row>
    <row r="523" spans="1:30" ht="13.8">
      <c r="A523" s="89"/>
      <c r="B523" s="89"/>
      <c r="C523" s="89"/>
      <c r="D523" s="89"/>
      <c r="E523" s="89"/>
      <c r="F523" s="110"/>
      <c r="G523" s="89"/>
      <c r="H523" s="110"/>
      <c r="I523" s="89"/>
      <c r="J523" s="110"/>
      <c r="K523" s="89"/>
      <c r="L523" s="89"/>
      <c r="M523" s="110"/>
      <c r="N523" s="89"/>
      <c r="O523" s="110"/>
      <c r="P523" s="89"/>
      <c r="Q523" s="110"/>
      <c r="R523" s="89"/>
      <c r="S523" s="89"/>
      <c r="T523" s="89"/>
      <c r="U523" s="89"/>
      <c r="V523" s="89"/>
      <c r="W523" s="89"/>
      <c r="X523" s="89"/>
      <c r="Y523" s="89"/>
      <c r="Z523" s="89"/>
      <c r="AA523" s="89"/>
      <c r="AB523" s="89"/>
      <c r="AC523" s="89"/>
      <c r="AD523" s="89"/>
    </row>
    <row r="524" spans="1:30" ht="13.8">
      <c r="A524" s="89"/>
      <c r="B524" s="89"/>
      <c r="C524" s="89"/>
      <c r="D524" s="89"/>
      <c r="E524" s="89"/>
      <c r="F524" s="110"/>
      <c r="G524" s="89"/>
      <c r="H524" s="110"/>
      <c r="I524" s="89"/>
      <c r="J524" s="110"/>
      <c r="K524" s="89"/>
      <c r="L524" s="89"/>
      <c r="M524" s="110"/>
      <c r="N524" s="89"/>
      <c r="O524" s="110"/>
      <c r="P524" s="89"/>
      <c r="Q524" s="110"/>
      <c r="R524" s="89"/>
      <c r="S524" s="89"/>
      <c r="T524" s="89"/>
      <c r="U524" s="89"/>
      <c r="V524" s="89"/>
      <c r="W524" s="89"/>
      <c r="X524" s="89"/>
      <c r="Y524" s="89"/>
      <c r="Z524" s="89"/>
      <c r="AA524" s="89"/>
      <c r="AB524" s="89"/>
      <c r="AC524" s="89"/>
      <c r="AD524" s="89"/>
    </row>
    <row r="525" spans="1:30" ht="13.8">
      <c r="A525" s="89"/>
      <c r="B525" s="89"/>
      <c r="C525" s="89"/>
      <c r="D525" s="89"/>
      <c r="E525" s="89"/>
      <c r="F525" s="110"/>
      <c r="G525" s="89"/>
      <c r="H525" s="110"/>
      <c r="I525" s="89"/>
      <c r="J525" s="110"/>
      <c r="K525" s="89"/>
      <c r="L525" s="89"/>
      <c r="M525" s="110"/>
      <c r="N525" s="89"/>
      <c r="O525" s="110"/>
      <c r="P525" s="89"/>
      <c r="Q525" s="110"/>
      <c r="R525" s="89"/>
      <c r="S525" s="89"/>
      <c r="T525" s="89"/>
      <c r="U525" s="89"/>
      <c r="V525" s="89"/>
      <c r="W525" s="89"/>
      <c r="X525" s="89"/>
      <c r="Y525" s="89"/>
      <c r="Z525" s="89"/>
      <c r="AA525" s="89"/>
      <c r="AB525" s="89"/>
      <c r="AC525" s="89"/>
      <c r="AD525" s="89"/>
    </row>
    <row r="526" spans="1:30" ht="13.8">
      <c r="A526" s="89"/>
      <c r="B526" s="89"/>
      <c r="C526" s="89"/>
      <c r="D526" s="89"/>
      <c r="E526" s="89"/>
      <c r="F526" s="110"/>
      <c r="G526" s="89"/>
      <c r="H526" s="110"/>
      <c r="I526" s="89"/>
      <c r="J526" s="110"/>
      <c r="K526" s="89"/>
      <c r="L526" s="89"/>
      <c r="M526" s="110"/>
      <c r="N526" s="89"/>
      <c r="O526" s="110"/>
      <c r="P526" s="89"/>
      <c r="Q526" s="110"/>
      <c r="R526" s="89"/>
      <c r="S526" s="89"/>
      <c r="T526" s="89"/>
      <c r="U526" s="89"/>
      <c r="V526" s="89"/>
      <c r="W526" s="89"/>
      <c r="X526" s="89"/>
      <c r="Y526" s="89"/>
      <c r="Z526" s="89"/>
      <c r="AA526" s="89"/>
      <c r="AB526" s="89"/>
      <c r="AC526" s="89"/>
      <c r="AD526" s="89"/>
    </row>
    <row r="527" spans="1:30" ht="13.8">
      <c r="A527" s="89"/>
      <c r="B527" s="89"/>
      <c r="C527" s="89"/>
      <c r="D527" s="89"/>
      <c r="E527" s="89"/>
      <c r="F527" s="110"/>
      <c r="G527" s="89"/>
      <c r="H527" s="110"/>
      <c r="I527" s="89"/>
      <c r="J527" s="110"/>
      <c r="K527" s="89"/>
      <c r="L527" s="89"/>
      <c r="M527" s="110"/>
      <c r="N527" s="89"/>
      <c r="O527" s="110"/>
      <c r="P527" s="89"/>
      <c r="Q527" s="110"/>
      <c r="R527" s="89"/>
      <c r="S527" s="89"/>
      <c r="T527" s="89"/>
      <c r="U527" s="89"/>
      <c r="V527" s="89"/>
      <c r="W527" s="89"/>
      <c r="X527" s="89"/>
      <c r="Y527" s="89"/>
      <c r="Z527" s="89"/>
      <c r="AA527" s="89"/>
      <c r="AB527" s="89"/>
      <c r="AC527" s="89"/>
      <c r="AD527" s="89"/>
    </row>
    <row r="528" spans="1:30" ht="13.8">
      <c r="A528" s="89"/>
      <c r="B528" s="89"/>
      <c r="C528" s="89"/>
      <c r="D528" s="89"/>
      <c r="E528" s="89"/>
      <c r="F528" s="110"/>
      <c r="G528" s="89"/>
      <c r="H528" s="110"/>
      <c r="I528" s="89"/>
      <c r="J528" s="110"/>
      <c r="K528" s="89"/>
      <c r="L528" s="89"/>
      <c r="M528" s="110"/>
      <c r="N528" s="89"/>
      <c r="O528" s="110"/>
      <c r="P528" s="89"/>
      <c r="Q528" s="110"/>
      <c r="R528" s="89"/>
      <c r="S528" s="89"/>
      <c r="T528" s="89"/>
      <c r="U528" s="89"/>
      <c r="V528" s="89"/>
      <c r="W528" s="89"/>
      <c r="X528" s="89"/>
      <c r="Y528" s="89"/>
      <c r="Z528" s="89"/>
      <c r="AA528" s="89"/>
      <c r="AB528" s="89"/>
      <c r="AC528" s="89"/>
      <c r="AD528" s="89"/>
    </row>
    <row r="529" spans="1:30" ht="13.8">
      <c r="A529" s="89"/>
      <c r="B529" s="89"/>
      <c r="C529" s="89"/>
      <c r="D529" s="89"/>
      <c r="E529" s="89"/>
      <c r="F529" s="110"/>
      <c r="G529" s="89"/>
      <c r="H529" s="110"/>
      <c r="I529" s="89"/>
      <c r="J529" s="110"/>
      <c r="K529" s="89"/>
      <c r="L529" s="89"/>
      <c r="M529" s="110"/>
      <c r="N529" s="89"/>
      <c r="O529" s="110"/>
      <c r="P529" s="89"/>
      <c r="Q529" s="110"/>
      <c r="R529" s="89"/>
      <c r="S529" s="89"/>
      <c r="T529" s="89"/>
      <c r="U529" s="89"/>
      <c r="V529" s="89"/>
      <c r="W529" s="89"/>
      <c r="X529" s="89"/>
      <c r="Y529" s="89"/>
      <c r="Z529" s="89"/>
      <c r="AA529" s="89"/>
      <c r="AB529" s="89"/>
      <c r="AC529" s="89"/>
      <c r="AD529" s="89"/>
    </row>
    <row r="530" spans="1:30" ht="13.8">
      <c r="A530" s="89"/>
      <c r="B530" s="89"/>
      <c r="C530" s="89"/>
      <c r="D530" s="89"/>
      <c r="E530" s="89"/>
      <c r="F530" s="110"/>
      <c r="G530" s="89"/>
      <c r="H530" s="110"/>
      <c r="I530" s="89"/>
      <c r="J530" s="110"/>
      <c r="K530" s="89"/>
      <c r="L530" s="89"/>
      <c r="M530" s="110"/>
      <c r="N530" s="89"/>
      <c r="O530" s="110"/>
      <c r="P530" s="89"/>
      <c r="Q530" s="110"/>
      <c r="R530" s="89"/>
      <c r="S530" s="89"/>
      <c r="T530" s="89"/>
      <c r="U530" s="89"/>
      <c r="V530" s="89"/>
      <c r="W530" s="89"/>
      <c r="X530" s="89"/>
      <c r="Y530" s="89"/>
      <c r="Z530" s="89"/>
      <c r="AA530" s="89"/>
      <c r="AB530" s="89"/>
      <c r="AC530" s="89"/>
      <c r="AD530" s="89"/>
    </row>
    <row r="531" spans="1:30" ht="13.8">
      <c r="A531" s="89"/>
      <c r="B531" s="89"/>
      <c r="C531" s="89"/>
      <c r="D531" s="89"/>
      <c r="E531" s="89"/>
      <c r="F531" s="110"/>
      <c r="G531" s="89"/>
      <c r="H531" s="110"/>
      <c r="I531" s="89"/>
      <c r="J531" s="110"/>
      <c r="K531" s="89"/>
      <c r="L531" s="89"/>
      <c r="M531" s="110"/>
      <c r="N531" s="89"/>
      <c r="O531" s="110"/>
      <c r="P531" s="89"/>
      <c r="Q531" s="110"/>
      <c r="R531" s="89"/>
      <c r="S531" s="89"/>
      <c r="T531" s="89"/>
      <c r="U531" s="89"/>
      <c r="V531" s="89"/>
      <c r="W531" s="89"/>
      <c r="X531" s="89"/>
      <c r="Y531" s="89"/>
      <c r="Z531" s="89"/>
      <c r="AA531" s="89"/>
      <c r="AB531" s="89"/>
      <c r="AC531" s="89"/>
      <c r="AD531" s="89"/>
    </row>
    <row r="532" spans="1:30" ht="13.8">
      <c r="A532" s="89"/>
      <c r="B532" s="89"/>
      <c r="C532" s="89"/>
      <c r="D532" s="89"/>
      <c r="E532" s="89"/>
      <c r="F532" s="110"/>
      <c r="G532" s="89"/>
      <c r="H532" s="110"/>
      <c r="I532" s="89"/>
      <c r="J532" s="110"/>
      <c r="K532" s="89"/>
      <c r="L532" s="89"/>
      <c r="M532" s="110"/>
      <c r="N532" s="89"/>
      <c r="O532" s="110"/>
      <c r="P532" s="89"/>
      <c r="Q532" s="110"/>
      <c r="R532" s="89"/>
      <c r="S532" s="89"/>
      <c r="T532" s="89"/>
      <c r="U532" s="89"/>
      <c r="V532" s="89"/>
      <c r="W532" s="89"/>
      <c r="X532" s="89"/>
      <c r="Y532" s="89"/>
      <c r="Z532" s="89"/>
      <c r="AA532" s="89"/>
      <c r="AB532" s="89"/>
      <c r="AC532" s="89"/>
      <c r="AD532" s="89"/>
    </row>
    <row r="533" spans="1:30" ht="13.8">
      <c r="A533" s="89"/>
      <c r="B533" s="89"/>
      <c r="C533" s="89"/>
      <c r="D533" s="89"/>
      <c r="E533" s="89"/>
      <c r="F533" s="110"/>
      <c r="G533" s="89"/>
      <c r="H533" s="110"/>
      <c r="I533" s="89"/>
      <c r="J533" s="110"/>
      <c r="K533" s="89"/>
      <c r="L533" s="89"/>
      <c r="M533" s="110"/>
      <c r="N533" s="89"/>
      <c r="O533" s="110"/>
      <c r="P533" s="89"/>
      <c r="Q533" s="110"/>
      <c r="R533" s="89"/>
      <c r="S533" s="89"/>
      <c r="T533" s="89"/>
      <c r="U533" s="89"/>
      <c r="V533" s="89"/>
      <c r="W533" s="89"/>
      <c r="X533" s="89"/>
      <c r="Y533" s="89"/>
      <c r="Z533" s="89"/>
      <c r="AA533" s="89"/>
      <c r="AB533" s="89"/>
      <c r="AC533" s="89"/>
      <c r="AD533" s="89"/>
    </row>
    <row r="534" spans="1:30" ht="13.8">
      <c r="A534" s="89"/>
      <c r="B534" s="89"/>
      <c r="C534" s="89"/>
      <c r="D534" s="89"/>
      <c r="E534" s="89"/>
      <c r="F534" s="110"/>
      <c r="G534" s="89"/>
      <c r="H534" s="110"/>
      <c r="I534" s="89"/>
      <c r="J534" s="110"/>
      <c r="K534" s="89"/>
      <c r="L534" s="89"/>
      <c r="M534" s="110"/>
      <c r="N534" s="89"/>
      <c r="O534" s="110"/>
      <c r="P534" s="89"/>
      <c r="Q534" s="110"/>
      <c r="R534" s="89"/>
      <c r="S534" s="89"/>
      <c r="T534" s="89"/>
      <c r="U534" s="89"/>
      <c r="V534" s="89"/>
      <c r="W534" s="89"/>
      <c r="X534" s="89"/>
      <c r="Y534" s="89"/>
      <c r="Z534" s="89"/>
      <c r="AA534" s="89"/>
      <c r="AB534" s="89"/>
      <c r="AC534" s="89"/>
      <c r="AD534" s="89"/>
    </row>
    <row r="535" spans="1:30" ht="13.8">
      <c r="A535" s="89"/>
      <c r="B535" s="89"/>
      <c r="C535" s="89"/>
      <c r="D535" s="89"/>
      <c r="E535" s="89"/>
      <c r="F535" s="110"/>
      <c r="G535" s="89"/>
      <c r="H535" s="110"/>
      <c r="I535" s="89"/>
      <c r="J535" s="110"/>
      <c r="K535" s="89"/>
      <c r="L535" s="89"/>
      <c r="M535" s="110"/>
      <c r="N535" s="89"/>
      <c r="O535" s="110"/>
      <c r="P535" s="89"/>
      <c r="Q535" s="110"/>
      <c r="R535" s="89"/>
      <c r="S535" s="89"/>
      <c r="T535" s="89"/>
      <c r="U535" s="89"/>
      <c r="V535" s="89"/>
      <c r="W535" s="89"/>
      <c r="X535" s="89"/>
      <c r="Y535" s="89"/>
      <c r="Z535" s="89"/>
      <c r="AA535" s="89"/>
      <c r="AB535" s="89"/>
      <c r="AC535" s="89"/>
      <c r="AD535" s="89"/>
    </row>
    <row r="536" spans="1:30" ht="13.8">
      <c r="A536" s="89"/>
      <c r="B536" s="89"/>
      <c r="C536" s="89"/>
      <c r="D536" s="89"/>
      <c r="E536" s="89"/>
      <c r="F536" s="110"/>
      <c r="G536" s="89"/>
      <c r="H536" s="110"/>
      <c r="I536" s="89"/>
      <c r="J536" s="110"/>
      <c r="K536" s="89"/>
      <c r="L536" s="89"/>
      <c r="M536" s="110"/>
      <c r="N536" s="89"/>
      <c r="O536" s="110"/>
      <c r="P536" s="89"/>
      <c r="Q536" s="110"/>
      <c r="R536" s="89"/>
      <c r="S536" s="89"/>
      <c r="T536" s="89"/>
      <c r="U536" s="89"/>
      <c r="V536" s="89"/>
      <c r="W536" s="89"/>
      <c r="X536" s="89"/>
      <c r="Y536" s="89"/>
      <c r="Z536" s="89"/>
      <c r="AA536" s="89"/>
      <c r="AB536" s="89"/>
      <c r="AC536" s="89"/>
      <c r="AD536" s="89"/>
    </row>
    <row r="537" spans="1:30" ht="13.8">
      <c r="A537" s="89"/>
      <c r="B537" s="89"/>
      <c r="C537" s="89"/>
      <c r="D537" s="89"/>
      <c r="E537" s="89"/>
      <c r="F537" s="110"/>
      <c r="G537" s="89"/>
      <c r="H537" s="110"/>
      <c r="I537" s="89"/>
      <c r="J537" s="110"/>
      <c r="K537" s="89"/>
      <c r="L537" s="89"/>
      <c r="M537" s="110"/>
      <c r="N537" s="89"/>
      <c r="O537" s="110"/>
      <c r="P537" s="89"/>
      <c r="Q537" s="110"/>
      <c r="R537" s="89"/>
      <c r="S537" s="89"/>
      <c r="T537" s="89"/>
      <c r="U537" s="89"/>
      <c r="V537" s="89"/>
      <c r="W537" s="89"/>
      <c r="X537" s="89"/>
      <c r="Y537" s="89"/>
      <c r="Z537" s="89"/>
      <c r="AA537" s="89"/>
      <c r="AB537" s="89"/>
      <c r="AC537" s="89"/>
      <c r="AD537" s="89"/>
    </row>
    <row r="538" spans="1:30" ht="13.8">
      <c r="A538" s="89"/>
      <c r="B538" s="89"/>
      <c r="C538" s="89"/>
      <c r="D538" s="89"/>
      <c r="E538" s="89"/>
      <c r="F538" s="110"/>
      <c r="G538" s="89"/>
      <c r="H538" s="110"/>
      <c r="I538" s="89"/>
      <c r="J538" s="110"/>
      <c r="K538" s="89"/>
      <c r="L538" s="89"/>
      <c r="M538" s="110"/>
      <c r="N538" s="89"/>
      <c r="O538" s="110"/>
      <c r="P538" s="89"/>
      <c r="Q538" s="110"/>
      <c r="R538" s="89"/>
      <c r="S538" s="89"/>
      <c r="T538" s="89"/>
      <c r="U538" s="89"/>
      <c r="V538" s="89"/>
      <c r="W538" s="89"/>
      <c r="X538" s="89"/>
      <c r="Y538" s="89"/>
      <c r="Z538" s="89"/>
      <c r="AA538" s="89"/>
      <c r="AB538" s="89"/>
      <c r="AC538" s="89"/>
      <c r="AD538" s="89"/>
    </row>
    <row r="539" spans="1:30" ht="13.8">
      <c r="A539" s="89"/>
      <c r="B539" s="89"/>
      <c r="C539" s="89"/>
      <c r="D539" s="89"/>
      <c r="E539" s="89"/>
      <c r="F539" s="110"/>
      <c r="G539" s="89"/>
      <c r="H539" s="110"/>
      <c r="I539" s="89"/>
      <c r="J539" s="110"/>
      <c r="K539" s="89"/>
      <c r="L539" s="89"/>
      <c r="M539" s="110"/>
      <c r="N539" s="89"/>
      <c r="O539" s="110"/>
      <c r="P539" s="89"/>
      <c r="Q539" s="110"/>
      <c r="R539" s="89"/>
      <c r="S539" s="89"/>
      <c r="T539" s="89"/>
      <c r="U539" s="89"/>
      <c r="V539" s="89"/>
      <c r="W539" s="89"/>
      <c r="X539" s="89"/>
      <c r="Y539" s="89"/>
      <c r="Z539" s="89"/>
      <c r="AA539" s="89"/>
      <c r="AB539" s="89"/>
      <c r="AC539" s="89"/>
      <c r="AD539" s="89"/>
    </row>
    <row r="540" spans="1:30" ht="13.8">
      <c r="A540" s="89"/>
      <c r="B540" s="89"/>
      <c r="C540" s="89"/>
      <c r="D540" s="89"/>
      <c r="E540" s="89"/>
      <c r="F540" s="110"/>
      <c r="G540" s="89"/>
      <c r="H540" s="110"/>
      <c r="I540" s="89"/>
      <c r="J540" s="110"/>
      <c r="K540" s="89"/>
      <c r="L540" s="89"/>
      <c r="M540" s="110"/>
      <c r="N540" s="89"/>
      <c r="O540" s="110"/>
      <c r="P540" s="89"/>
      <c r="Q540" s="110"/>
      <c r="R540" s="89"/>
      <c r="S540" s="89"/>
      <c r="T540" s="89"/>
      <c r="U540" s="89"/>
      <c r="V540" s="89"/>
      <c r="W540" s="89"/>
      <c r="X540" s="89"/>
      <c r="Y540" s="89"/>
      <c r="Z540" s="89"/>
      <c r="AA540" s="89"/>
      <c r="AB540" s="89"/>
      <c r="AC540" s="89"/>
      <c r="AD540" s="89"/>
    </row>
    <row r="541" spans="1:30" ht="13.8">
      <c r="A541" s="89"/>
      <c r="B541" s="89"/>
      <c r="C541" s="89"/>
      <c r="D541" s="89"/>
      <c r="E541" s="89"/>
      <c r="F541" s="110"/>
      <c r="G541" s="89"/>
      <c r="H541" s="110"/>
      <c r="I541" s="89"/>
      <c r="J541" s="110"/>
      <c r="K541" s="89"/>
      <c r="L541" s="89"/>
      <c r="M541" s="110"/>
      <c r="N541" s="89"/>
      <c r="O541" s="110"/>
      <c r="P541" s="89"/>
      <c r="Q541" s="110"/>
      <c r="R541" s="89"/>
      <c r="S541" s="89"/>
      <c r="T541" s="89"/>
      <c r="U541" s="89"/>
      <c r="V541" s="89"/>
      <c r="W541" s="89"/>
      <c r="X541" s="89"/>
      <c r="Y541" s="89"/>
      <c r="Z541" s="89"/>
      <c r="AA541" s="89"/>
      <c r="AB541" s="89"/>
      <c r="AC541" s="89"/>
      <c r="AD541" s="89"/>
    </row>
    <row r="542" spans="1:30" ht="13.8">
      <c r="A542" s="89"/>
      <c r="B542" s="89"/>
      <c r="C542" s="89"/>
      <c r="D542" s="89"/>
      <c r="E542" s="89"/>
      <c r="F542" s="110"/>
      <c r="G542" s="89"/>
      <c r="H542" s="110"/>
      <c r="I542" s="89"/>
      <c r="J542" s="110"/>
      <c r="K542" s="89"/>
      <c r="L542" s="89"/>
      <c r="M542" s="110"/>
      <c r="N542" s="89"/>
      <c r="O542" s="110"/>
      <c r="P542" s="89"/>
      <c r="Q542" s="110"/>
      <c r="R542" s="89"/>
      <c r="S542" s="89"/>
      <c r="T542" s="89"/>
      <c r="U542" s="89"/>
      <c r="V542" s="89"/>
      <c r="W542" s="89"/>
      <c r="X542" s="89"/>
      <c r="Y542" s="89"/>
      <c r="Z542" s="89"/>
      <c r="AA542" s="89"/>
      <c r="AB542" s="89"/>
      <c r="AC542" s="89"/>
      <c r="AD542" s="89"/>
    </row>
    <row r="543" spans="1:30" ht="13.8">
      <c r="A543" s="89"/>
      <c r="B543" s="89"/>
      <c r="C543" s="89"/>
      <c r="D543" s="89"/>
      <c r="E543" s="89"/>
      <c r="F543" s="110"/>
      <c r="G543" s="89"/>
      <c r="H543" s="110"/>
      <c r="I543" s="89"/>
      <c r="J543" s="110"/>
      <c r="K543" s="89"/>
      <c r="L543" s="89"/>
      <c r="M543" s="110"/>
      <c r="N543" s="89"/>
      <c r="O543" s="110"/>
      <c r="P543" s="89"/>
      <c r="Q543" s="110"/>
      <c r="R543" s="89"/>
      <c r="S543" s="89"/>
      <c r="T543" s="89"/>
      <c r="U543" s="89"/>
      <c r="V543" s="89"/>
      <c r="W543" s="89"/>
      <c r="X543" s="89"/>
      <c r="Y543" s="89"/>
      <c r="Z543" s="89"/>
      <c r="AA543" s="89"/>
      <c r="AB543" s="89"/>
      <c r="AC543" s="89"/>
      <c r="AD543" s="89"/>
    </row>
    <row r="544" spans="1:30" ht="13.8">
      <c r="A544" s="89"/>
      <c r="B544" s="89"/>
      <c r="C544" s="89"/>
      <c r="D544" s="89"/>
      <c r="E544" s="89"/>
      <c r="F544" s="110"/>
      <c r="G544" s="89"/>
      <c r="H544" s="110"/>
      <c r="I544" s="89"/>
      <c r="J544" s="110"/>
      <c r="K544" s="89"/>
      <c r="L544" s="89"/>
      <c r="M544" s="110"/>
      <c r="N544" s="89"/>
      <c r="O544" s="110"/>
      <c r="P544" s="89"/>
      <c r="Q544" s="110"/>
      <c r="R544" s="89"/>
      <c r="S544" s="89"/>
      <c r="T544" s="89"/>
      <c r="U544" s="89"/>
      <c r="V544" s="89"/>
      <c r="W544" s="89"/>
      <c r="X544" s="89"/>
      <c r="Y544" s="89"/>
      <c r="Z544" s="89"/>
      <c r="AA544" s="89"/>
      <c r="AB544" s="89"/>
      <c r="AC544" s="89"/>
      <c r="AD544" s="89"/>
    </row>
    <row r="545" spans="1:30" ht="13.8">
      <c r="A545" s="89"/>
      <c r="B545" s="89"/>
      <c r="C545" s="89"/>
      <c r="D545" s="89"/>
      <c r="E545" s="89"/>
      <c r="F545" s="110"/>
      <c r="G545" s="89"/>
      <c r="H545" s="110"/>
      <c r="I545" s="89"/>
      <c r="J545" s="110"/>
      <c r="K545" s="89"/>
      <c r="L545" s="89"/>
      <c r="M545" s="110"/>
      <c r="N545" s="89"/>
      <c r="O545" s="110"/>
      <c r="P545" s="89"/>
      <c r="Q545" s="110"/>
      <c r="R545" s="89"/>
      <c r="S545" s="89"/>
      <c r="T545" s="89"/>
      <c r="U545" s="89"/>
      <c r="V545" s="89"/>
      <c r="W545" s="89"/>
      <c r="X545" s="89"/>
      <c r="Y545" s="89"/>
      <c r="Z545" s="89"/>
      <c r="AA545" s="89"/>
      <c r="AB545" s="89"/>
      <c r="AC545" s="89"/>
      <c r="AD545" s="89"/>
    </row>
    <row r="546" spans="1:30" ht="13.8">
      <c r="A546" s="89"/>
      <c r="B546" s="89"/>
      <c r="C546" s="89"/>
      <c r="D546" s="89"/>
      <c r="E546" s="89"/>
      <c r="F546" s="110"/>
      <c r="G546" s="89"/>
      <c r="H546" s="110"/>
      <c r="I546" s="89"/>
      <c r="J546" s="110"/>
      <c r="K546" s="89"/>
      <c r="L546" s="89"/>
      <c r="M546" s="110"/>
      <c r="N546" s="89"/>
      <c r="O546" s="110"/>
      <c r="P546" s="89"/>
      <c r="Q546" s="110"/>
      <c r="R546" s="89"/>
      <c r="S546" s="89"/>
      <c r="T546" s="89"/>
      <c r="U546" s="89"/>
      <c r="V546" s="89"/>
      <c r="W546" s="89"/>
      <c r="X546" s="89"/>
      <c r="Y546" s="89"/>
      <c r="Z546" s="89"/>
      <c r="AA546" s="89"/>
      <c r="AB546" s="89"/>
      <c r="AC546" s="89"/>
      <c r="AD546" s="89"/>
    </row>
    <row r="547" spans="1:30" ht="13.8">
      <c r="A547" s="89"/>
      <c r="B547" s="89"/>
      <c r="C547" s="89"/>
      <c r="D547" s="89"/>
      <c r="E547" s="89"/>
      <c r="F547" s="110"/>
      <c r="G547" s="89"/>
      <c r="H547" s="110"/>
      <c r="I547" s="89"/>
      <c r="J547" s="110"/>
      <c r="K547" s="89"/>
      <c r="L547" s="89"/>
      <c r="M547" s="110"/>
      <c r="N547" s="89"/>
      <c r="O547" s="110"/>
      <c r="P547" s="89"/>
      <c r="Q547" s="110"/>
      <c r="R547" s="89"/>
      <c r="S547" s="89"/>
      <c r="T547" s="89"/>
      <c r="U547" s="89"/>
      <c r="V547" s="89"/>
      <c r="W547" s="89"/>
      <c r="X547" s="89"/>
      <c r="Y547" s="89"/>
      <c r="Z547" s="89"/>
      <c r="AA547" s="89"/>
      <c r="AB547" s="89"/>
      <c r="AC547" s="89"/>
      <c r="AD547" s="89"/>
    </row>
    <row r="548" spans="1:30" ht="13.8">
      <c r="A548" s="89"/>
      <c r="B548" s="89"/>
      <c r="C548" s="89"/>
      <c r="D548" s="89"/>
      <c r="E548" s="89"/>
      <c r="F548" s="110"/>
      <c r="G548" s="89"/>
      <c r="H548" s="110"/>
      <c r="I548" s="89"/>
      <c r="J548" s="110"/>
      <c r="K548" s="89"/>
      <c r="L548" s="89"/>
      <c r="M548" s="110"/>
      <c r="N548" s="89"/>
      <c r="O548" s="110"/>
      <c r="P548" s="89"/>
      <c r="Q548" s="110"/>
      <c r="R548" s="89"/>
      <c r="S548" s="89"/>
      <c r="T548" s="89"/>
      <c r="U548" s="89"/>
      <c r="V548" s="89"/>
      <c r="W548" s="89"/>
      <c r="X548" s="89"/>
      <c r="Y548" s="89"/>
      <c r="Z548" s="89"/>
      <c r="AA548" s="89"/>
      <c r="AB548" s="89"/>
      <c r="AC548" s="89"/>
      <c r="AD548" s="89"/>
    </row>
    <row r="549" spans="1:30" ht="13.8">
      <c r="A549" s="89"/>
      <c r="B549" s="89"/>
      <c r="C549" s="89"/>
      <c r="D549" s="89"/>
      <c r="E549" s="89"/>
      <c r="F549" s="110"/>
      <c r="G549" s="89"/>
      <c r="H549" s="110"/>
      <c r="I549" s="89"/>
      <c r="J549" s="110"/>
      <c r="K549" s="89"/>
      <c r="L549" s="89"/>
      <c r="M549" s="110"/>
      <c r="N549" s="89"/>
      <c r="O549" s="110"/>
      <c r="P549" s="89"/>
      <c r="Q549" s="110"/>
      <c r="R549" s="89"/>
      <c r="S549" s="89"/>
      <c r="T549" s="89"/>
      <c r="U549" s="89"/>
      <c r="V549" s="89"/>
      <c r="W549" s="89"/>
      <c r="X549" s="89"/>
      <c r="Y549" s="89"/>
      <c r="Z549" s="89"/>
      <c r="AA549" s="89"/>
      <c r="AB549" s="89"/>
      <c r="AC549" s="89"/>
      <c r="AD549" s="89"/>
    </row>
    <row r="550" spans="1:30" ht="13.8">
      <c r="A550" s="89"/>
      <c r="B550" s="89"/>
      <c r="C550" s="89"/>
      <c r="D550" s="89"/>
      <c r="E550" s="89"/>
      <c r="F550" s="110"/>
      <c r="G550" s="89"/>
      <c r="H550" s="110"/>
      <c r="I550" s="89"/>
      <c r="J550" s="110"/>
      <c r="K550" s="89"/>
      <c r="L550" s="89"/>
      <c r="M550" s="110"/>
      <c r="N550" s="89"/>
      <c r="O550" s="110"/>
      <c r="P550" s="89"/>
      <c r="Q550" s="110"/>
      <c r="R550" s="89"/>
      <c r="S550" s="89"/>
      <c r="T550" s="89"/>
      <c r="U550" s="89"/>
      <c r="V550" s="89"/>
      <c r="W550" s="89"/>
      <c r="X550" s="89"/>
      <c r="Y550" s="89"/>
      <c r="Z550" s="89"/>
      <c r="AA550" s="89"/>
      <c r="AB550" s="89"/>
      <c r="AC550" s="89"/>
      <c r="AD550" s="89"/>
    </row>
    <row r="551" spans="1:30" ht="13.8">
      <c r="A551" s="89"/>
      <c r="B551" s="89"/>
      <c r="C551" s="89"/>
      <c r="D551" s="89"/>
      <c r="E551" s="89"/>
      <c r="F551" s="110"/>
      <c r="G551" s="89"/>
      <c r="H551" s="110"/>
      <c r="I551" s="89"/>
      <c r="J551" s="110"/>
      <c r="K551" s="89"/>
      <c r="L551" s="89"/>
      <c r="M551" s="110"/>
      <c r="N551" s="89"/>
      <c r="O551" s="110"/>
      <c r="P551" s="89"/>
      <c r="Q551" s="110"/>
      <c r="R551" s="89"/>
      <c r="S551" s="89"/>
      <c r="T551" s="89"/>
      <c r="U551" s="89"/>
      <c r="V551" s="89"/>
      <c r="W551" s="89"/>
      <c r="X551" s="89"/>
      <c r="Y551" s="89"/>
      <c r="Z551" s="89"/>
      <c r="AA551" s="89"/>
      <c r="AB551" s="89"/>
      <c r="AC551" s="89"/>
      <c r="AD551" s="89"/>
    </row>
    <row r="552" spans="1:30" ht="13.8">
      <c r="A552" s="89"/>
      <c r="B552" s="89"/>
      <c r="C552" s="89"/>
      <c r="D552" s="89"/>
      <c r="E552" s="89"/>
      <c r="F552" s="110"/>
      <c r="G552" s="89"/>
      <c r="H552" s="110"/>
      <c r="I552" s="89"/>
      <c r="J552" s="110"/>
      <c r="K552" s="89"/>
      <c r="L552" s="89"/>
      <c r="M552" s="110"/>
      <c r="N552" s="89"/>
      <c r="O552" s="110"/>
      <c r="P552" s="89"/>
      <c r="Q552" s="110"/>
      <c r="R552" s="89"/>
      <c r="S552" s="89"/>
      <c r="T552" s="89"/>
      <c r="U552" s="89"/>
      <c r="V552" s="89"/>
      <c r="W552" s="89"/>
      <c r="X552" s="89"/>
      <c r="Y552" s="89"/>
      <c r="Z552" s="89"/>
      <c r="AA552" s="89"/>
      <c r="AB552" s="89"/>
      <c r="AC552" s="89"/>
      <c r="AD552" s="89"/>
    </row>
    <row r="553" spans="1:30" ht="13.8">
      <c r="A553" s="89"/>
      <c r="B553" s="89"/>
      <c r="C553" s="89"/>
      <c r="D553" s="89"/>
      <c r="E553" s="89"/>
      <c r="F553" s="110"/>
      <c r="G553" s="89"/>
      <c r="H553" s="110"/>
      <c r="I553" s="89"/>
      <c r="J553" s="110"/>
      <c r="K553" s="89"/>
      <c r="L553" s="89"/>
      <c r="M553" s="110"/>
      <c r="N553" s="89"/>
      <c r="O553" s="110"/>
      <c r="P553" s="89"/>
      <c r="Q553" s="110"/>
      <c r="R553" s="89"/>
      <c r="S553" s="89"/>
      <c r="T553" s="89"/>
      <c r="U553" s="89"/>
      <c r="V553" s="89"/>
      <c r="W553" s="89"/>
      <c r="X553" s="89"/>
      <c r="Y553" s="89"/>
      <c r="Z553" s="89"/>
      <c r="AA553" s="89"/>
      <c r="AB553" s="89"/>
      <c r="AC553" s="89"/>
      <c r="AD553" s="89"/>
    </row>
    <row r="554" spans="1:30" ht="13.8">
      <c r="A554" s="89"/>
      <c r="B554" s="89"/>
      <c r="C554" s="89"/>
      <c r="D554" s="89"/>
      <c r="E554" s="89"/>
      <c r="F554" s="110"/>
      <c r="G554" s="89"/>
      <c r="H554" s="110"/>
      <c r="I554" s="89"/>
      <c r="J554" s="110"/>
      <c r="K554" s="89"/>
      <c r="L554" s="89"/>
      <c r="M554" s="110"/>
      <c r="N554" s="89"/>
      <c r="O554" s="110"/>
      <c r="P554" s="89"/>
      <c r="Q554" s="110"/>
      <c r="R554" s="89"/>
      <c r="S554" s="89"/>
      <c r="T554" s="89"/>
      <c r="U554" s="89"/>
      <c r="V554" s="89"/>
      <c r="W554" s="89"/>
      <c r="X554" s="89"/>
      <c r="Y554" s="89"/>
      <c r="Z554" s="89"/>
      <c r="AA554" s="89"/>
      <c r="AB554" s="89"/>
      <c r="AC554" s="89"/>
      <c r="AD554" s="89"/>
    </row>
    <row r="555" spans="1:30" ht="13.8">
      <c r="A555" s="89"/>
      <c r="B555" s="89"/>
      <c r="C555" s="89"/>
      <c r="D555" s="89"/>
      <c r="E555" s="89"/>
      <c r="F555" s="110"/>
      <c r="G555" s="89"/>
      <c r="H555" s="110"/>
      <c r="I555" s="89"/>
      <c r="J555" s="110"/>
      <c r="K555" s="89"/>
      <c r="L555" s="89"/>
      <c r="M555" s="110"/>
      <c r="N555" s="89"/>
      <c r="O555" s="110"/>
      <c r="P555" s="89"/>
      <c r="Q555" s="110"/>
      <c r="R555" s="89"/>
      <c r="S555" s="89"/>
      <c r="T555" s="89"/>
      <c r="U555" s="89"/>
      <c r="V555" s="89"/>
      <c r="W555" s="89"/>
      <c r="X555" s="89"/>
      <c r="Y555" s="89"/>
      <c r="Z555" s="89"/>
      <c r="AA555" s="89"/>
      <c r="AB555" s="89"/>
      <c r="AC555" s="89"/>
      <c r="AD555" s="89"/>
    </row>
    <row r="556" spans="1:30" ht="13.8">
      <c r="A556" s="89"/>
      <c r="B556" s="89"/>
      <c r="C556" s="89"/>
      <c r="D556" s="89"/>
      <c r="E556" s="89"/>
      <c r="F556" s="110"/>
      <c r="G556" s="89"/>
      <c r="H556" s="110"/>
      <c r="I556" s="89"/>
      <c r="J556" s="110"/>
      <c r="K556" s="89"/>
      <c r="L556" s="89"/>
      <c r="M556" s="110"/>
      <c r="N556" s="89"/>
      <c r="O556" s="110"/>
      <c r="P556" s="89"/>
      <c r="Q556" s="110"/>
      <c r="R556" s="89"/>
      <c r="S556" s="89"/>
      <c r="T556" s="89"/>
      <c r="U556" s="89"/>
      <c r="V556" s="89"/>
      <c r="W556" s="89"/>
      <c r="X556" s="89"/>
      <c r="Y556" s="89"/>
      <c r="Z556" s="89"/>
      <c r="AA556" s="89"/>
      <c r="AB556" s="89"/>
      <c r="AC556" s="89"/>
      <c r="AD556" s="89"/>
    </row>
    <row r="557" spans="1:30" ht="13.8">
      <c r="A557" s="89"/>
      <c r="B557" s="89"/>
      <c r="C557" s="89"/>
      <c r="D557" s="89"/>
      <c r="E557" s="89"/>
      <c r="F557" s="110"/>
      <c r="G557" s="89"/>
      <c r="H557" s="110"/>
      <c r="I557" s="89"/>
      <c r="J557" s="110"/>
      <c r="K557" s="89"/>
      <c r="L557" s="89"/>
      <c r="M557" s="110"/>
      <c r="N557" s="89"/>
      <c r="O557" s="110"/>
      <c r="P557" s="89"/>
      <c r="Q557" s="110"/>
      <c r="R557" s="89"/>
      <c r="S557" s="89"/>
      <c r="T557" s="89"/>
      <c r="U557" s="89"/>
      <c r="V557" s="89"/>
      <c r="W557" s="89"/>
      <c r="X557" s="89"/>
      <c r="Y557" s="89"/>
      <c r="Z557" s="89"/>
      <c r="AA557" s="89"/>
      <c r="AB557" s="89"/>
      <c r="AC557" s="89"/>
      <c r="AD557" s="89"/>
    </row>
    <row r="558" spans="1:30" ht="13.8">
      <c r="A558" s="89"/>
      <c r="B558" s="89"/>
      <c r="C558" s="89"/>
      <c r="D558" s="89"/>
      <c r="E558" s="89"/>
      <c r="F558" s="110"/>
      <c r="G558" s="89"/>
      <c r="H558" s="110"/>
      <c r="I558" s="89"/>
      <c r="J558" s="110"/>
      <c r="K558" s="89"/>
      <c r="L558" s="89"/>
      <c r="M558" s="110"/>
      <c r="N558" s="89"/>
      <c r="O558" s="110"/>
      <c r="P558" s="89"/>
      <c r="Q558" s="110"/>
      <c r="R558" s="89"/>
      <c r="S558" s="89"/>
      <c r="T558" s="89"/>
      <c r="U558" s="89"/>
      <c r="V558" s="89"/>
      <c r="W558" s="89"/>
      <c r="X558" s="89"/>
      <c r="Y558" s="89"/>
      <c r="Z558" s="89"/>
      <c r="AA558" s="89"/>
      <c r="AB558" s="89"/>
      <c r="AC558" s="89"/>
      <c r="AD558" s="89"/>
    </row>
    <row r="559" spans="1:30" ht="13.8">
      <c r="A559" s="89"/>
      <c r="B559" s="89"/>
      <c r="C559" s="89"/>
      <c r="D559" s="89"/>
      <c r="E559" s="89"/>
      <c r="F559" s="110"/>
      <c r="G559" s="89"/>
      <c r="H559" s="110"/>
      <c r="I559" s="89"/>
      <c r="J559" s="110"/>
      <c r="K559" s="89"/>
      <c r="L559" s="89"/>
      <c r="M559" s="110"/>
      <c r="N559" s="89"/>
      <c r="O559" s="110"/>
      <c r="P559" s="89"/>
      <c r="Q559" s="110"/>
      <c r="R559" s="89"/>
      <c r="S559" s="89"/>
      <c r="T559" s="89"/>
      <c r="U559" s="89"/>
      <c r="V559" s="89"/>
      <c r="W559" s="89"/>
      <c r="X559" s="89"/>
      <c r="Y559" s="89"/>
      <c r="Z559" s="89"/>
      <c r="AA559" s="89"/>
      <c r="AB559" s="89"/>
      <c r="AC559" s="89"/>
      <c r="AD559" s="89"/>
    </row>
    <row r="560" spans="1:30" ht="13.8">
      <c r="A560" s="89"/>
      <c r="B560" s="89"/>
      <c r="C560" s="89"/>
      <c r="D560" s="89"/>
      <c r="E560" s="89"/>
      <c r="F560" s="110"/>
      <c r="G560" s="89"/>
      <c r="H560" s="110"/>
      <c r="I560" s="89"/>
      <c r="J560" s="110"/>
      <c r="K560" s="89"/>
      <c r="L560" s="89"/>
      <c r="M560" s="110"/>
      <c r="N560" s="89"/>
      <c r="O560" s="110"/>
      <c r="P560" s="89"/>
      <c r="Q560" s="110"/>
      <c r="R560" s="89"/>
      <c r="S560" s="89"/>
      <c r="T560" s="89"/>
      <c r="U560" s="89"/>
      <c r="V560" s="89"/>
      <c r="W560" s="89"/>
      <c r="X560" s="89"/>
      <c r="Y560" s="89"/>
      <c r="Z560" s="89"/>
      <c r="AA560" s="89"/>
      <c r="AB560" s="89"/>
      <c r="AC560" s="89"/>
      <c r="AD560" s="89"/>
    </row>
    <row r="561" spans="1:30" ht="13.8">
      <c r="A561" s="89"/>
      <c r="B561" s="89"/>
      <c r="C561" s="89"/>
      <c r="D561" s="89"/>
      <c r="E561" s="89"/>
      <c r="F561" s="110"/>
      <c r="G561" s="89"/>
      <c r="H561" s="110"/>
      <c r="I561" s="89"/>
      <c r="J561" s="110"/>
      <c r="K561" s="89"/>
      <c r="L561" s="89"/>
      <c r="M561" s="110"/>
      <c r="N561" s="89"/>
      <c r="O561" s="110"/>
      <c r="P561" s="89"/>
      <c r="Q561" s="110"/>
      <c r="R561" s="89"/>
      <c r="S561" s="89"/>
      <c r="T561" s="89"/>
      <c r="U561" s="89"/>
      <c r="V561" s="89"/>
      <c r="W561" s="89"/>
      <c r="X561" s="89"/>
      <c r="Y561" s="89"/>
      <c r="Z561" s="89"/>
      <c r="AA561" s="89"/>
      <c r="AB561" s="89"/>
      <c r="AC561" s="89"/>
      <c r="AD561" s="89"/>
    </row>
    <row r="562" spans="1:30" ht="13.8">
      <c r="A562" s="89"/>
      <c r="B562" s="89"/>
      <c r="C562" s="89"/>
      <c r="D562" s="89"/>
      <c r="E562" s="89"/>
      <c r="F562" s="110"/>
      <c r="G562" s="89"/>
      <c r="H562" s="110"/>
      <c r="I562" s="89"/>
      <c r="J562" s="110"/>
      <c r="K562" s="89"/>
      <c r="L562" s="89"/>
      <c r="M562" s="110"/>
      <c r="N562" s="89"/>
      <c r="O562" s="110"/>
      <c r="P562" s="89"/>
      <c r="Q562" s="110"/>
      <c r="R562" s="89"/>
      <c r="S562" s="89"/>
      <c r="T562" s="89"/>
      <c r="U562" s="89"/>
      <c r="V562" s="89"/>
      <c r="W562" s="89"/>
      <c r="X562" s="89"/>
      <c r="Y562" s="89"/>
      <c r="Z562" s="89"/>
      <c r="AA562" s="89"/>
      <c r="AB562" s="89"/>
      <c r="AC562" s="89"/>
      <c r="AD562" s="89"/>
    </row>
    <row r="563" spans="1:30" ht="13.8">
      <c r="A563" s="89"/>
      <c r="B563" s="89"/>
      <c r="C563" s="89"/>
      <c r="D563" s="89"/>
      <c r="E563" s="89"/>
      <c r="F563" s="110"/>
      <c r="G563" s="89"/>
      <c r="H563" s="110"/>
      <c r="I563" s="89"/>
      <c r="J563" s="110"/>
      <c r="K563" s="89"/>
      <c r="L563" s="89"/>
      <c r="M563" s="110"/>
      <c r="N563" s="89"/>
      <c r="O563" s="110"/>
      <c r="P563" s="89"/>
      <c r="Q563" s="110"/>
      <c r="R563" s="89"/>
      <c r="S563" s="89"/>
      <c r="T563" s="89"/>
      <c r="U563" s="89"/>
      <c r="V563" s="89"/>
      <c r="W563" s="89"/>
      <c r="X563" s="89"/>
      <c r="Y563" s="89"/>
      <c r="Z563" s="89"/>
      <c r="AA563" s="89"/>
      <c r="AB563" s="89"/>
      <c r="AC563" s="89"/>
      <c r="AD563" s="89"/>
    </row>
    <row r="564" spans="1:30" ht="13.8">
      <c r="A564" s="89"/>
      <c r="B564" s="89"/>
      <c r="C564" s="89"/>
      <c r="D564" s="89"/>
      <c r="E564" s="89"/>
      <c r="F564" s="110"/>
      <c r="G564" s="89"/>
      <c r="H564" s="110"/>
      <c r="I564" s="89"/>
      <c r="J564" s="110"/>
      <c r="K564" s="89"/>
      <c r="L564" s="89"/>
      <c r="M564" s="110"/>
      <c r="N564" s="89"/>
      <c r="O564" s="110"/>
      <c r="P564" s="89"/>
      <c r="Q564" s="110"/>
      <c r="R564" s="89"/>
      <c r="S564" s="89"/>
      <c r="T564" s="89"/>
      <c r="U564" s="89"/>
      <c r="V564" s="89"/>
      <c r="W564" s="89"/>
      <c r="X564" s="89"/>
      <c r="Y564" s="89"/>
      <c r="Z564" s="89"/>
      <c r="AA564" s="89"/>
      <c r="AB564" s="89"/>
      <c r="AC564" s="89"/>
      <c r="AD564" s="89"/>
    </row>
    <row r="565" spans="1:30" ht="13.8">
      <c r="A565" s="89"/>
      <c r="B565" s="89"/>
      <c r="C565" s="89"/>
      <c r="D565" s="89"/>
      <c r="E565" s="89"/>
      <c r="F565" s="110"/>
      <c r="G565" s="89"/>
      <c r="H565" s="110"/>
      <c r="I565" s="89"/>
      <c r="J565" s="110"/>
      <c r="K565" s="89"/>
      <c r="L565" s="89"/>
      <c r="M565" s="110"/>
      <c r="N565" s="89"/>
      <c r="O565" s="110"/>
      <c r="P565" s="89"/>
      <c r="Q565" s="110"/>
      <c r="R565" s="89"/>
      <c r="S565" s="89"/>
      <c r="T565" s="89"/>
      <c r="U565" s="89"/>
      <c r="V565" s="89"/>
      <c r="W565" s="89"/>
      <c r="X565" s="89"/>
      <c r="Y565" s="89"/>
      <c r="Z565" s="89"/>
      <c r="AA565" s="89"/>
      <c r="AB565" s="89"/>
      <c r="AC565" s="89"/>
      <c r="AD565" s="89"/>
    </row>
    <row r="566" spans="1:30" ht="13.8">
      <c r="A566" s="89"/>
      <c r="B566" s="89"/>
      <c r="C566" s="89"/>
      <c r="D566" s="89"/>
      <c r="E566" s="89"/>
      <c r="F566" s="110"/>
      <c r="G566" s="89"/>
      <c r="H566" s="110"/>
      <c r="I566" s="89"/>
      <c r="J566" s="110"/>
      <c r="K566" s="89"/>
      <c r="L566" s="89"/>
      <c r="M566" s="110"/>
      <c r="N566" s="89"/>
      <c r="O566" s="110"/>
      <c r="P566" s="89"/>
      <c r="Q566" s="110"/>
      <c r="R566" s="89"/>
      <c r="S566" s="89"/>
      <c r="T566" s="89"/>
      <c r="U566" s="89"/>
      <c r="V566" s="89"/>
      <c r="W566" s="89"/>
      <c r="X566" s="89"/>
      <c r="Y566" s="89"/>
      <c r="Z566" s="89"/>
      <c r="AA566" s="89"/>
      <c r="AB566" s="89"/>
      <c r="AC566" s="89"/>
      <c r="AD566" s="89"/>
    </row>
    <row r="567" spans="1:30" ht="13.8">
      <c r="A567" s="89"/>
      <c r="B567" s="89"/>
      <c r="C567" s="89"/>
      <c r="D567" s="89"/>
      <c r="E567" s="89"/>
      <c r="F567" s="110"/>
      <c r="G567" s="89"/>
      <c r="H567" s="110"/>
      <c r="I567" s="89"/>
      <c r="J567" s="110"/>
      <c r="K567" s="89"/>
      <c r="L567" s="89"/>
      <c r="M567" s="110"/>
      <c r="N567" s="89"/>
      <c r="O567" s="110"/>
      <c r="P567" s="89"/>
      <c r="Q567" s="110"/>
      <c r="R567" s="89"/>
      <c r="S567" s="89"/>
      <c r="T567" s="89"/>
      <c r="U567" s="89"/>
      <c r="V567" s="89"/>
      <c r="W567" s="89"/>
      <c r="X567" s="89"/>
      <c r="Y567" s="89"/>
      <c r="Z567" s="89"/>
      <c r="AA567" s="89"/>
      <c r="AB567" s="89"/>
      <c r="AC567" s="89"/>
      <c r="AD567" s="89"/>
    </row>
    <row r="568" spans="1:30" ht="13.8">
      <c r="A568" s="89"/>
      <c r="B568" s="89"/>
      <c r="C568" s="89"/>
      <c r="D568" s="89"/>
      <c r="E568" s="89"/>
      <c r="F568" s="110"/>
      <c r="G568" s="89"/>
      <c r="H568" s="110"/>
      <c r="I568" s="89"/>
      <c r="J568" s="110"/>
      <c r="K568" s="89"/>
      <c r="L568" s="89"/>
      <c r="M568" s="110"/>
      <c r="N568" s="89"/>
      <c r="O568" s="110"/>
      <c r="P568" s="89"/>
      <c r="Q568" s="110"/>
      <c r="R568" s="89"/>
      <c r="S568" s="89"/>
      <c r="T568" s="89"/>
      <c r="U568" s="89"/>
      <c r="V568" s="89"/>
      <c r="W568" s="89"/>
      <c r="X568" s="89"/>
      <c r="Y568" s="89"/>
      <c r="Z568" s="89"/>
      <c r="AA568" s="89"/>
      <c r="AB568" s="89"/>
      <c r="AC568" s="89"/>
      <c r="AD568" s="89"/>
    </row>
    <row r="569" spans="1:30" ht="13.8">
      <c r="A569" s="89"/>
      <c r="B569" s="89"/>
      <c r="C569" s="89"/>
      <c r="D569" s="89"/>
      <c r="E569" s="89"/>
      <c r="F569" s="110"/>
      <c r="G569" s="89"/>
      <c r="H569" s="110"/>
      <c r="I569" s="89"/>
      <c r="J569" s="110"/>
      <c r="K569" s="89"/>
      <c r="L569" s="89"/>
      <c r="M569" s="110"/>
      <c r="N569" s="89"/>
      <c r="O569" s="110"/>
      <c r="P569" s="89"/>
      <c r="Q569" s="110"/>
      <c r="R569" s="89"/>
      <c r="S569" s="89"/>
      <c r="T569" s="89"/>
      <c r="U569" s="89"/>
      <c r="V569" s="89"/>
      <c r="W569" s="89"/>
      <c r="X569" s="89"/>
      <c r="Y569" s="89"/>
      <c r="Z569" s="89"/>
      <c r="AA569" s="89"/>
      <c r="AB569" s="89"/>
      <c r="AC569" s="89"/>
      <c r="AD569" s="89"/>
    </row>
    <row r="570" spans="1:30" ht="13.8">
      <c r="A570" s="89"/>
      <c r="B570" s="89"/>
      <c r="C570" s="89"/>
      <c r="D570" s="89"/>
      <c r="E570" s="89"/>
      <c r="F570" s="110"/>
      <c r="G570" s="89"/>
      <c r="H570" s="110"/>
      <c r="I570" s="89"/>
      <c r="J570" s="110"/>
      <c r="K570" s="89"/>
      <c r="L570" s="89"/>
      <c r="M570" s="110"/>
      <c r="N570" s="89"/>
      <c r="O570" s="110"/>
      <c r="P570" s="89"/>
      <c r="Q570" s="110"/>
      <c r="R570" s="89"/>
      <c r="S570" s="89"/>
      <c r="T570" s="89"/>
      <c r="U570" s="89"/>
      <c r="V570" s="89"/>
      <c r="W570" s="89"/>
      <c r="X570" s="89"/>
      <c r="Y570" s="89"/>
      <c r="Z570" s="89"/>
      <c r="AA570" s="89"/>
      <c r="AB570" s="89"/>
      <c r="AC570" s="89"/>
      <c r="AD570" s="89"/>
    </row>
    <row r="571" spans="1:30" ht="13.8">
      <c r="A571" s="89"/>
      <c r="B571" s="89"/>
      <c r="C571" s="89"/>
      <c r="D571" s="89"/>
      <c r="E571" s="89"/>
      <c r="F571" s="110"/>
      <c r="G571" s="89"/>
      <c r="H571" s="110"/>
      <c r="I571" s="89"/>
      <c r="J571" s="110"/>
      <c r="K571" s="89"/>
      <c r="L571" s="89"/>
      <c r="M571" s="110"/>
      <c r="N571" s="89"/>
      <c r="O571" s="110"/>
      <c r="P571" s="89"/>
      <c r="Q571" s="110"/>
      <c r="R571" s="89"/>
      <c r="S571" s="89"/>
      <c r="T571" s="89"/>
      <c r="U571" s="89"/>
      <c r="V571" s="89"/>
      <c r="W571" s="89"/>
      <c r="X571" s="89"/>
      <c r="Y571" s="89"/>
      <c r="Z571" s="89"/>
      <c r="AA571" s="89"/>
      <c r="AB571" s="89"/>
      <c r="AC571" s="89"/>
      <c r="AD571" s="89"/>
    </row>
    <row r="572" spans="1:30" ht="13.8">
      <c r="A572" s="89"/>
      <c r="B572" s="89"/>
      <c r="C572" s="89"/>
      <c r="D572" s="89"/>
      <c r="E572" s="89"/>
      <c r="F572" s="110"/>
      <c r="G572" s="89"/>
      <c r="H572" s="110"/>
      <c r="I572" s="89"/>
      <c r="J572" s="110"/>
      <c r="K572" s="89"/>
      <c r="L572" s="89"/>
      <c r="M572" s="110"/>
      <c r="N572" s="89"/>
      <c r="O572" s="110"/>
      <c r="P572" s="89"/>
      <c r="Q572" s="110"/>
      <c r="R572" s="89"/>
      <c r="S572" s="89"/>
      <c r="T572" s="89"/>
      <c r="U572" s="89"/>
      <c r="V572" s="89"/>
      <c r="W572" s="89"/>
      <c r="X572" s="89"/>
      <c r="Y572" s="89"/>
      <c r="Z572" s="89"/>
      <c r="AA572" s="89"/>
      <c r="AB572" s="89"/>
      <c r="AC572" s="89"/>
      <c r="AD572" s="89"/>
    </row>
    <row r="573" spans="1:30" ht="13.8">
      <c r="A573" s="89"/>
      <c r="B573" s="89"/>
      <c r="C573" s="89"/>
      <c r="D573" s="89"/>
      <c r="E573" s="89"/>
      <c r="F573" s="110"/>
      <c r="G573" s="89"/>
      <c r="H573" s="110"/>
      <c r="I573" s="89"/>
      <c r="J573" s="110"/>
      <c r="K573" s="89"/>
      <c r="L573" s="89"/>
      <c r="M573" s="110"/>
      <c r="N573" s="89"/>
      <c r="O573" s="110"/>
      <c r="P573" s="89"/>
      <c r="Q573" s="110"/>
      <c r="R573" s="89"/>
      <c r="S573" s="89"/>
      <c r="T573" s="89"/>
      <c r="U573" s="89"/>
      <c r="V573" s="89"/>
      <c r="W573" s="89"/>
      <c r="X573" s="89"/>
      <c r="Y573" s="89"/>
      <c r="Z573" s="89"/>
      <c r="AA573" s="89"/>
      <c r="AB573" s="89"/>
      <c r="AC573" s="89"/>
      <c r="AD573" s="89"/>
    </row>
    <row r="574" spans="1:30" ht="13.8">
      <c r="A574" s="89"/>
      <c r="B574" s="89"/>
      <c r="C574" s="89"/>
      <c r="D574" s="89"/>
      <c r="E574" s="89"/>
      <c r="F574" s="110"/>
      <c r="G574" s="89"/>
      <c r="H574" s="110"/>
      <c r="I574" s="89"/>
      <c r="J574" s="110"/>
      <c r="K574" s="89"/>
      <c r="L574" s="89"/>
      <c r="M574" s="110"/>
      <c r="N574" s="89"/>
      <c r="O574" s="110"/>
      <c r="P574" s="89"/>
      <c r="Q574" s="110"/>
      <c r="R574" s="89"/>
      <c r="S574" s="89"/>
      <c r="T574" s="89"/>
      <c r="U574" s="89"/>
      <c r="V574" s="89"/>
      <c r="W574" s="89"/>
      <c r="X574" s="89"/>
      <c r="Y574" s="89"/>
      <c r="Z574" s="89"/>
      <c r="AA574" s="89"/>
      <c r="AB574" s="89"/>
      <c r="AC574" s="89"/>
      <c r="AD574" s="89"/>
    </row>
    <row r="575" spans="1:30" ht="13.8">
      <c r="A575" s="89"/>
      <c r="B575" s="89"/>
      <c r="C575" s="89"/>
      <c r="D575" s="89"/>
      <c r="E575" s="89"/>
      <c r="F575" s="110"/>
      <c r="G575" s="89"/>
      <c r="H575" s="110"/>
      <c r="I575" s="89"/>
      <c r="J575" s="110"/>
      <c r="K575" s="89"/>
      <c r="L575" s="89"/>
      <c r="M575" s="110"/>
      <c r="N575" s="89"/>
      <c r="O575" s="110"/>
      <c r="P575" s="89"/>
      <c r="Q575" s="110"/>
      <c r="R575" s="89"/>
      <c r="S575" s="89"/>
      <c r="T575" s="89"/>
      <c r="U575" s="89"/>
      <c r="V575" s="89"/>
      <c r="W575" s="89"/>
      <c r="X575" s="89"/>
      <c r="Y575" s="89"/>
      <c r="Z575" s="89"/>
      <c r="AA575" s="89"/>
      <c r="AB575" s="89"/>
      <c r="AC575" s="89"/>
      <c r="AD575" s="89"/>
    </row>
    <row r="576" spans="1:30" ht="13.8">
      <c r="A576" s="89"/>
      <c r="B576" s="89"/>
      <c r="C576" s="89"/>
      <c r="D576" s="89"/>
      <c r="E576" s="89"/>
      <c r="F576" s="110"/>
      <c r="G576" s="89"/>
      <c r="H576" s="110"/>
      <c r="I576" s="89"/>
      <c r="J576" s="110"/>
      <c r="K576" s="89"/>
      <c r="L576" s="89"/>
      <c r="M576" s="110"/>
      <c r="N576" s="89"/>
      <c r="O576" s="110"/>
      <c r="P576" s="89"/>
      <c r="Q576" s="110"/>
      <c r="R576" s="89"/>
      <c r="S576" s="89"/>
      <c r="T576" s="89"/>
      <c r="U576" s="89"/>
      <c r="V576" s="89"/>
      <c r="W576" s="89"/>
      <c r="X576" s="89"/>
      <c r="Y576" s="89"/>
      <c r="Z576" s="89"/>
      <c r="AA576" s="89"/>
      <c r="AB576" s="89"/>
      <c r="AC576" s="89"/>
      <c r="AD576" s="89"/>
    </row>
    <row r="577" spans="1:30" ht="13.8">
      <c r="A577" s="89"/>
      <c r="B577" s="89"/>
      <c r="C577" s="89"/>
      <c r="D577" s="89"/>
      <c r="E577" s="89"/>
      <c r="F577" s="110"/>
      <c r="G577" s="89"/>
      <c r="H577" s="110"/>
      <c r="I577" s="89"/>
      <c r="J577" s="110"/>
      <c r="K577" s="89"/>
      <c r="L577" s="89"/>
      <c r="M577" s="110"/>
      <c r="N577" s="89"/>
      <c r="O577" s="110"/>
      <c r="P577" s="89"/>
      <c r="Q577" s="110"/>
      <c r="R577" s="89"/>
      <c r="S577" s="89"/>
      <c r="T577" s="89"/>
      <c r="U577" s="89"/>
      <c r="V577" s="89"/>
      <c r="W577" s="89"/>
      <c r="X577" s="89"/>
      <c r="Y577" s="89"/>
      <c r="Z577" s="89"/>
      <c r="AA577" s="89"/>
      <c r="AB577" s="89"/>
      <c r="AC577" s="89"/>
      <c r="AD577" s="89"/>
    </row>
    <row r="578" spans="1:30" ht="13.8">
      <c r="A578" s="89"/>
      <c r="B578" s="89"/>
      <c r="C578" s="89"/>
      <c r="D578" s="89"/>
      <c r="E578" s="89"/>
      <c r="F578" s="110"/>
      <c r="G578" s="89"/>
      <c r="H578" s="110"/>
      <c r="I578" s="89"/>
      <c r="J578" s="110"/>
      <c r="K578" s="89"/>
      <c r="L578" s="89"/>
      <c r="M578" s="110"/>
      <c r="N578" s="89"/>
      <c r="O578" s="110"/>
      <c r="P578" s="89"/>
      <c r="Q578" s="110"/>
      <c r="R578" s="89"/>
      <c r="S578" s="89"/>
      <c r="T578" s="89"/>
      <c r="U578" s="89"/>
      <c r="V578" s="89"/>
      <c r="W578" s="89"/>
      <c r="X578" s="89"/>
      <c r="Y578" s="89"/>
      <c r="Z578" s="89"/>
      <c r="AA578" s="89"/>
      <c r="AB578" s="89"/>
      <c r="AC578" s="89"/>
      <c r="AD578" s="89"/>
    </row>
    <row r="579" spans="1:30" ht="13.8">
      <c r="A579" s="89"/>
      <c r="B579" s="89"/>
      <c r="C579" s="89"/>
      <c r="D579" s="89"/>
      <c r="E579" s="89"/>
      <c r="F579" s="110"/>
      <c r="G579" s="89"/>
      <c r="H579" s="110"/>
      <c r="I579" s="89"/>
      <c r="J579" s="110"/>
      <c r="K579" s="89"/>
      <c r="L579" s="89"/>
      <c r="M579" s="110"/>
      <c r="N579" s="89"/>
      <c r="O579" s="110"/>
      <c r="P579" s="89"/>
      <c r="Q579" s="110"/>
      <c r="R579" s="89"/>
      <c r="S579" s="89"/>
      <c r="T579" s="89"/>
      <c r="U579" s="89"/>
      <c r="V579" s="89"/>
      <c r="W579" s="89"/>
      <c r="X579" s="89"/>
      <c r="Y579" s="89"/>
      <c r="Z579" s="89"/>
      <c r="AA579" s="89"/>
      <c r="AB579" s="89"/>
      <c r="AC579" s="89"/>
      <c r="AD579" s="89"/>
    </row>
    <row r="580" spans="1:30" ht="13.8">
      <c r="A580" s="89"/>
      <c r="B580" s="89"/>
      <c r="C580" s="89"/>
      <c r="D580" s="89"/>
      <c r="E580" s="89"/>
      <c r="F580" s="110"/>
      <c r="G580" s="89"/>
      <c r="H580" s="110"/>
      <c r="I580" s="89"/>
      <c r="J580" s="110"/>
      <c r="K580" s="89"/>
      <c r="L580" s="89"/>
      <c r="M580" s="110"/>
      <c r="N580" s="89"/>
      <c r="O580" s="110"/>
      <c r="P580" s="89"/>
      <c r="Q580" s="110"/>
      <c r="R580" s="89"/>
      <c r="S580" s="89"/>
      <c r="T580" s="89"/>
      <c r="U580" s="89"/>
      <c r="V580" s="89"/>
      <c r="W580" s="89"/>
      <c r="X580" s="89"/>
      <c r="Y580" s="89"/>
      <c r="Z580" s="89"/>
      <c r="AA580" s="89"/>
      <c r="AB580" s="89"/>
      <c r="AC580" s="89"/>
      <c r="AD580" s="89"/>
    </row>
    <row r="581" spans="1:30" ht="13.8">
      <c r="A581" s="89"/>
      <c r="B581" s="89"/>
      <c r="C581" s="89"/>
      <c r="D581" s="89"/>
      <c r="E581" s="89"/>
      <c r="F581" s="110"/>
      <c r="G581" s="89"/>
      <c r="H581" s="110"/>
      <c r="I581" s="89"/>
      <c r="J581" s="110"/>
      <c r="K581" s="89"/>
      <c r="L581" s="89"/>
      <c r="M581" s="110"/>
      <c r="N581" s="89"/>
      <c r="O581" s="110"/>
      <c r="P581" s="89"/>
      <c r="Q581" s="110"/>
      <c r="R581" s="89"/>
      <c r="S581" s="89"/>
      <c r="T581" s="89"/>
      <c r="U581" s="89"/>
      <c r="V581" s="89"/>
      <c r="W581" s="89"/>
      <c r="X581" s="89"/>
      <c r="Y581" s="89"/>
      <c r="Z581" s="89"/>
      <c r="AA581" s="89"/>
      <c r="AB581" s="89"/>
      <c r="AC581" s="89"/>
      <c r="AD581" s="89"/>
    </row>
    <row r="582" spans="1:30" ht="13.8">
      <c r="A582" s="89"/>
      <c r="B582" s="89"/>
      <c r="C582" s="89"/>
      <c r="D582" s="89"/>
      <c r="E582" s="89"/>
      <c r="F582" s="110"/>
      <c r="G582" s="89"/>
      <c r="H582" s="110"/>
      <c r="I582" s="89"/>
      <c r="J582" s="110"/>
      <c r="K582" s="89"/>
      <c r="L582" s="89"/>
      <c r="M582" s="110"/>
      <c r="N582" s="89"/>
      <c r="O582" s="110"/>
      <c r="P582" s="89"/>
      <c r="Q582" s="110"/>
      <c r="R582" s="89"/>
      <c r="S582" s="89"/>
      <c r="T582" s="89"/>
      <c r="U582" s="89"/>
      <c r="V582" s="89"/>
      <c r="W582" s="89"/>
      <c r="X582" s="89"/>
      <c r="Y582" s="89"/>
      <c r="Z582" s="89"/>
      <c r="AA582" s="89"/>
      <c r="AB582" s="89"/>
      <c r="AC582" s="89"/>
      <c r="AD582" s="89"/>
    </row>
    <row r="583" spans="1:30" ht="13.8">
      <c r="A583" s="89"/>
      <c r="B583" s="89"/>
      <c r="C583" s="89"/>
      <c r="D583" s="89"/>
      <c r="E583" s="89"/>
      <c r="F583" s="110"/>
      <c r="G583" s="89"/>
      <c r="H583" s="110"/>
      <c r="I583" s="89"/>
      <c r="J583" s="110"/>
      <c r="K583" s="89"/>
      <c r="L583" s="89"/>
      <c r="M583" s="110"/>
      <c r="N583" s="89"/>
      <c r="O583" s="110"/>
      <c r="P583" s="89"/>
      <c r="Q583" s="110"/>
      <c r="R583" s="89"/>
      <c r="S583" s="89"/>
      <c r="T583" s="89"/>
      <c r="U583" s="89"/>
      <c r="V583" s="89"/>
      <c r="W583" s="89"/>
      <c r="X583" s="89"/>
      <c r="Y583" s="89"/>
      <c r="Z583" s="89"/>
      <c r="AA583" s="89"/>
      <c r="AB583" s="89"/>
      <c r="AC583" s="89"/>
      <c r="AD583" s="89"/>
    </row>
    <row r="584" spans="1:30" ht="13.8">
      <c r="A584" s="89"/>
      <c r="B584" s="89"/>
      <c r="C584" s="89"/>
      <c r="D584" s="89"/>
      <c r="E584" s="89"/>
      <c r="F584" s="110"/>
      <c r="G584" s="89"/>
      <c r="H584" s="110"/>
      <c r="I584" s="89"/>
      <c r="J584" s="110"/>
      <c r="K584" s="89"/>
      <c r="L584" s="89"/>
      <c r="M584" s="110"/>
      <c r="N584" s="89"/>
      <c r="O584" s="110"/>
      <c r="P584" s="89"/>
      <c r="Q584" s="110"/>
      <c r="R584" s="89"/>
      <c r="S584" s="89"/>
      <c r="T584" s="89"/>
      <c r="U584" s="89"/>
      <c r="V584" s="89"/>
      <c r="W584" s="89"/>
      <c r="X584" s="89"/>
      <c r="Y584" s="89"/>
      <c r="Z584" s="89"/>
      <c r="AA584" s="89"/>
      <c r="AB584" s="89"/>
      <c r="AC584" s="89"/>
      <c r="AD584" s="89"/>
    </row>
    <row r="585" spans="1:30" ht="13.8">
      <c r="A585" s="89"/>
      <c r="B585" s="89"/>
      <c r="C585" s="89"/>
      <c r="D585" s="89"/>
      <c r="E585" s="89"/>
      <c r="F585" s="110"/>
      <c r="G585" s="89"/>
      <c r="H585" s="110"/>
      <c r="I585" s="89"/>
      <c r="J585" s="110"/>
      <c r="K585" s="89"/>
      <c r="L585" s="89"/>
      <c r="M585" s="110"/>
      <c r="N585" s="89"/>
      <c r="O585" s="110"/>
      <c r="P585" s="89"/>
      <c r="Q585" s="110"/>
      <c r="R585" s="89"/>
      <c r="S585" s="89"/>
      <c r="T585" s="89"/>
      <c r="U585" s="89"/>
      <c r="V585" s="89"/>
      <c r="W585" s="89"/>
      <c r="X585" s="89"/>
      <c r="Y585" s="89"/>
      <c r="Z585" s="89"/>
      <c r="AA585" s="89"/>
      <c r="AB585" s="89"/>
      <c r="AC585" s="89"/>
      <c r="AD585" s="89"/>
    </row>
    <row r="586" spans="1:30" ht="13.8">
      <c r="A586" s="89"/>
      <c r="B586" s="89"/>
      <c r="C586" s="89"/>
      <c r="D586" s="89"/>
      <c r="E586" s="89"/>
      <c r="F586" s="110"/>
      <c r="G586" s="89"/>
      <c r="H586" s="110"/>
      <c r="I586" s="89"/>
      <c r="J586" s="110"/>
      <c r="K586" s="89"/>
      <c r="L586" s="89"/>
      <c r="M586" s="110"/>
      <c r="N586" s="89"/>
      <c r="O586" s="110"/>
      <c r="P586" s="89"/>
      <c r="Q586" s="110"/>
      <c r="R586" s="89"/>
      <c r="S586" s="89"/>
      <c r="T586" s="89"/>
      <c r="U586" s="89"/>
      <c r="V586" s="89"/>
      <c r="W586" s="89"/>
      <c r="X586" s="89"/>
      <c r="Y586" s="89"/>
      <c r="Z586" s="89"/>
      <c r="AA586" s="89"/>
      <c r="AB586" s="89"/>
      <c r="AC586" s="89"/>
      <c r="AD586" s="89"/>
    </row>
    <row r="587" spans="1:30" ht="13.8">
      <c r="A587" s="89"/>
      <c r="B587" s="89"/>
      <c r="C587" s="89"/>
      <c r="D587" s="89"/>
      <c r="E587" s="89"/>
      <c r="F587" s="110"/>
      <c r="G587" s="89"/>
      <c r="H587" s="110"/>
      <c r="I587" s="89"/>
      <c r="J587" s="110"/>
      <c r="K587" s="89"/>
      <c r="L587" s="89"/>
      <c r="M587" s="110"/>
      <c r="N587" s="89"/>
      <c r="O587" s="110"/>
      <c r="P587" s="89"/>
      <c r="Q587" s="110"/>
      <c r="R587" s="89"/>
      <c r="S587" s="89"/>
      <c r="T587" s="89"/>
      <c r="U587" s="89"/>
      <c r="V587" s="89"/>
      <c r="W587" s="89"/>
      <c r="X587" s="89"/>
      <c r="Y587" s="89"/>
      <c r="Z587" s="89"/>
      <c r="AA587" s="89"/>
      <c r="AB587" s="89"/>
      <c r="AC587" s="89"/>
      <c r="AD587" s="89"/>
    </row>
    <row r="588" spans="1:30" ht="13.8">
      <c r="A588" s="89"/>
      <c r="B588" s="89"/>
      <c r="C588" s="89"/>
      <c r="D588" s="89"/>
      <c r="E588" s="89"/>
      <c r="F588" s="110"/>
      <c r="G588" s="89"/>
      <c r="H588" s="110"/>
      <c r="I588" s="89"/>
      <c r="J588" s="110"/>
      <c r="K588" s="89"/>
      <c r="L588" s="89"/>
      <c r="M588" s="110"/>
      <c r="N588" s="89"/>
      <c r="O588" s="110"/>
      <c r="P588" s="89"/>
      <c r="Q588" s="110"/>
      <c r="R588" s="89"/>
      <c r="S588" s="89"/>
      <c r="T588" s="89"/>
      <c r="U588" s="89"/>
      <c r="V588" s="89"/>
      <c r="W588" s="89"/>
      <c r="X588" s="89"/>
      <c r="Y588" s="89"/>
      <c r="Z588" s="89"/>
      <c r="AA588" s="89"/>
      <c r="AB588" s="89"/>
      <c r="AC588" s="89"/>
      <c r="AD588" s="89"/>
    </row>
    <row r="589" spans="1:30" ht="13.8">
      <c r="A589" s="89"/>
      <c r="B589" s="89"/>
      <c r="C589" s="89"/>
      <c r="D589" s="89"/>
      <c r="E589" s="89"/>
      <c r="F589" s="110"/>
      <c r="G589" s="89"/>
      <c r="H589" s="110"/>
      <c r="I589" s="89"/>
      <c r="J589" s="110"/>
      <c r="K589" s="89"/>
      <c r="L589" s="89"/>
      <c r="M589" s="110"/>
      <c r="N589" s="89"/>
      <c r="O589" s="110"/>
      <c r="P589" s="89"/>
      <c r="Q589" s="110"/>
      <c r="R589" s="89"/>
      <c r="S589" s="89"/>
      <c r="T589" s="89"/>
      <c r="U589" s="89"/>
      <c r="V589" s="89"/>
      <c r="W589" s="89"/>
      <c r="X589" s="89"/>
      <c r="Y589" s="89"/>
      <c r="Z589" s="89"/>
      <c r="AA589" s="89"/>
      <c r="AB589" s="89"/>
      <c r="AC589" s="89"/>
      <c r="AD589" s="89"/>
    </row>
    <row r="590" spans="1:30" ht="13.8">
      <c r="A590" s="89"/>
      <c r="B590" s="89"/>
      <c r="C590" s="89"/>
      <c r="D590" s="89"/>
      <c r="E590" s="89"/>
      <c r="F590" s="110"/>
      <c r="G590" s="89"/>
      <c r="H590" s="110"/>
      <c r="I590" s="89"/>
      <c r="J590" s="110"/>
      <c r="K590" s="89"/>
      <c r="L590" s="89"/>
      <c r="M590" s="110"/>
      <c r="N590" s="89"/>
      <c r="O590" s="110"/>
      <c r="P590" s="89"/>
      <c r="Q590" s="110"/>
      <c r="R590" s="89"/>
      <c r="S590" s="89"/>
      <c r="T590" s="89"/>
      <c r="U590" s="89"/>
      <c r="V590" s="89"/>
      <c r="W590" s="89"/>
      <c r="X590" s="89"/>
      <c r="Y590" s="89"/>
      <c r="Z590" s="89"/>
      <c r="AA590" s="89"/>
      <c r="AB590" s="89"/>
      <c r="AC590" s="89"/>
      <c r="AD590" s="89"/>
    </row>
    <row r="591" spans="1:30" ht="13.8">
      <c r="A591" s="89"/>
      <c r="B591" s="89"/>
      <c r="C591" s="89"/>
      <c r="D591" s="89"/>
      <c r="E591" s="89"/>
      <c r="F591" s="110"/>
      <c r="G591" s="89"/>
      <c r="H591" s="110"/>
      <c r="I591" s="89"/>
      <c r="J591" s="110"/>
      <c r="K591" s="89"/>
      <c r="L591" s="89"/>
      <c r="M591" s="110"/>
      <c r="N591" s="89"/>
      <c r="O591" s="110"/>
      <c r="P591" s="89"/>
      <c r="Q591" s="110"/>
      <c r="R591" s="89"/>
      <c r="S591" s="89"/>
      <c r="T591" s="89"/>
      <c r="U591" s="89"/>
      <c r="V591" s="89"/>
      <c r="W591" s="89"/>
      <c r="X591" s="89"/>
      <c r="Y591" s="89"/>
      <c r="Z591" s="89"/>
      <c r="AA591" s="89"/>
      <c r="AB591" s="89"/>
      <c r="AC591" s="89"/>
      <c r="AD591" s="89"/>
    </row>
    <row r="592" spans="1:30" ht="13.8">
      <c r="A592" s="89"/>
      <c r="B592" s="89"/>
      <c r="C592" s="89"/>
      <c r="D592" s="89"/>
      <c r="E592" s="89"/>
      <c r="F592" s="110"/>
      <c r="G592" s="89"/>
      <c r="H592" s="110"/>
      <c r="I592" s="89"/>
      <c r="J592" s="110"/>
      <c r="K592" s="89"/>
      <c r="L592" s="89"/>
      <c r="M592" s="110"/>
      <c r="N592" s="89"/>
      <c r="O592" s="110"/>
      <c r="P592" s="89"/>
      <c r="Q592" s="110"/>
      <c r="R592" s="89"/>
      <c r="S592" s="89"/>
      <c r="T592" s="89"/>
      <c r="U592" s="89"/>
      <c r="V592" s="89"/>
      <c r="W592" s="89"/>
      <c r="X592" s="89"/>
      <c r="Y592" s="89"/>
      <c r="Z592" s="89"/>
      <c r="AA592" s="89"/>
      <c r="AB592" s="89"/>
      <c r="AC592" s="89"/>
      <c r="AD592" s="89"/>
    </row>
    <row r="593" spans="1:30" ht="13.8">
      <c r="A593" s="89"/>
      <c r="B593" s="89"/>
      <c r="C593" s="89"/>
      <c r="D593" s="89"/>
      <c r="E593" s="89"/>
      <c r="F593" s="110"/>
      <c r="G593" s="89"/>
      <c r="H593" s="110"/>
      <c r="I593" s="89"/>
      <c r="J593" s="110"/>
      <c r="K593" s="89"/>
      <c r="L593" s="89"/>
      <c r="M593" s="110"/>
      <c r="N593" s="89"/>
      <c r="O593" s="110"/>
      <c r="P593" s="89"/>
      <c r="Q593" s="110"/>
      <c r="R593" s="89"/>
      <c r="S593" s="89"/>
      <c r="T593" s="89"/>
      <c r="U593" s="89"/>
      <c r="V593" s="89"/>
      <c r="W593" s="89"/>
      <c r="X593" s="89"/>
      <c r="Y593" s="89"/>
      <c r="Z593" s="89"/>
      <c r="AA593" s="89"/>
      <c r="AB593" s="89"/>
      <c r="AC593" s="89"/>
      <c r="AD593" s="89"/>
    </row>
    <row r="594" spans="1:30" ht="13.8">
      <c r="A594" s="89"/>
      <c r="B594" s="89"/>
      <c r="C594" s="89"/>
      <c r="D594" s="89"/>
      <c r="E594" s="89"/>
      <c r="F594" s="110"/>
      <c r="G594" s="89"/>
      <c r="H594" s="110"/>
      <c r="I594" s="89"/>
      <c r="J594" s="110"/>
      <c r="K594" s="89"/>
      <c r="L594" s="89"/>
      <c r="M594" s="110"/>
      <c r="N594" s="89"/>
      <c r="O594" s="110"/>
      <c r="P594" s="89"/>
      <c r="Q594" s="110"/>
      <c r="R594" s="89"/>
      <c r="S594" s="89"/>
      <c r="T594" s="89"/>
      <c r="U594" s="89"/>
      <c r="V594" s="89"/>
      <c r="W594" s="89"/>
      <c r="X594" s="89"/>
      <c r="Y594" s="89"/>
      <c r="Z594" s="89"/>
      <c r="AA594" s="89"/>
      <c r="AB594" s="89"/>
      <c r="AC594" s="89"/>
      <c r="AD594" s="89"/>
    </row>
    <row r="595" spans="1:30" ht="13.8">
      <c r="A595" s="89"/>
      <c r="B595" s="89"/>
      <c r="C595" s="89"/>
      <c r="D595" s="89"/>
      <c r="E595" s="89"/>
      <c r="F595" s="110"/>
      <c r="G595" s="89"/>
      <c r="H595" s="110"/>
      <c r="I595" s="89"/>
      <c r="J595" s="110"/>
      <c r="K595" s="89"/>
      <c r="L595" s="89"/>
      <c r="M595" s="110"/>
      <c r="N595" s="89"/>
      <c r="O595" s="110"/>
      <c r="P595" s="89"/>
      <c r="Q595" s="110"/>
      <c r="R595" s="89"/>
      <c r="S595" s="89"/>
      <c r="T595" s="89"/>
      <c r="U595" s="89"/>
      <c r="V595" s="89"/>
      <c r="W595" s="89"/>
      <c r="X595" s="89"/>
      <c r="Y595" s="89"/>
      <c r="Z595" s="89"/>
      <c r="AA595" s="89"/>
      <c r="AB595" s="89"/>
      <c r="AC595" s="89"/>
      <c r="AD595" s="89"/>
    </row>
    <row r="596" spans="1:30" ht="13.8">
      <c r="A596" s="89"/>
      <c r="B596" s="89"/>
      <c r="C596" s="89"/>
      <c r="D596" s="89"/>
      <c r="E596" s="89"/>
      <c r="F596" s="110"/>
      <c r="G596" s="89"/>
      <c r="H596" s="110"/>
      <c r="I596" s="89"/>
      <c r="J596" s="110"/>
      <c r="K596" s="89"/>
      <c r="L596" s="89"/>
      <c r="M596" s="110"/>
      <c r="N596" s="89"/>
      <c r="O596" s="110"/>
      <c r="P596" s="89"/>
      <c r="Q596" s="110"/>
      <c r="R596" s="89"/>
      <c r="S596" s="89"/>
      <c r="T596" s="89"/>
      <c r="U596" s="89"/>
      <c r="V596" s="89"/>
      <c r="W596" s="89"/>
      <c r="X596" s="89"/>
      <c r="Y596" s="89"/>
      <c r="Z596" s="89"/>
      <c r="AA596" s="89"/>
      <c r="AB596" s="89"/>
      <c r="AC596" s="89"/>
      <c r="AD596" s="89"/>
    </row>
    <row r="597" spans="1:30" ht="13.8">
      <c r="A597" s="89"/>
      <c r="B597" s="89"/>
      <c r="C597" s="89"/>
      <c r="D597" s="89"/>
      <c r="E597" s="89"/>
      <c r="F597" s="110"/>
      <c r="G597" s="89"/>
      <c r="H597" s="110"/>
      <c r="I597" s="89"/>
      <c r="J597" s="110"/>
      <c r="K597" s="89"/>
      <c r="L597" s="89"/>
      <c r="M597" s="110"/>
      <c r="N597" s="89"/>
      <c r="O597" s="110"/>
      <c r="P597" s="89"/>
      <c r="Q597" s="110"/>
      <c r="R597" s="89"/>
      <c r="S597" s="89"/>
      <c r="T597" s="89"/>
      <c r="U597" s="89"/>
      <c r="V597" s="89"/>
      <c r="W597" s="89"/>
      <c r="X597" s="89"/>
      <c r="Y597" s="89"/>
      <c r="Z597" s="89"/>
      <c r="AA597" s="89"/>
      <c r="AB597" s="89"/>
      <c r="AC597" s="89"/>
      <c r="AD597" s="89"/>
    </row>
    <row r="598" spans="1:30" ht="13.8">
      <c r="A598" s="89"/>
      <c r="B598" s="89"/>
      <c r="C598" s="89"/>
      <c r="D598" s="89"/>
      <c r="E598" s="89"/>
      <c r="F598" s="110"/>
      <c r="G598" s="89"/>
      <c r="H598" s="110"/>
      <c r="I598" s="89"/>
      <c r="J598" s="110"/>
      <c r="K598" s="89"/>
      <c r="L598" s="89"/>
      <c r="M598" s="110"/>
      <c r="N598" s="89"/>
      <c r="O598" s="110"/>
      <c r="P598" s="89"/>
      <c r="Q598" s="110"/>
      <c r="R598" s="89"/>
      <c r="S598" s="89"/>
      <c r="T598" s="89"/>
      <c r="U598" s="89"/>
      <c r="V598" s="89"/>
      <c r="W598" s="89"/>
      <c r="X598" s="89"/>
      <c r="Y598" s="89"/>
      <c r="Z598" s="89"/>
      <c r="AA598" s="89"/>
      <c r="AB598" s="89"/>
      <c r="AC598" s="89"/>
      <c r="AD598" s="89"/>
    </row>
    <row r="599" spans="1:30" ht="13.8">
      <c r="A599" s="89"/>
      <c r="B599" s="89"/>
      <c r="C599" s="89"/>
      <c r="D599" s="89"/>
      <c r="E599" s="89"/>
      <c r="F599" s="110"/>
      <c r="G599" s="89"/>
      <c r="H599" s="110"/>
      <c r="I599" s="89"/>
      <c r="J599" s="110"/>
      <c r="K599" s="89"/>
      <c r="L599" s="89"/>
      <c r="M599" s="110"/>
      <c r="N599" s="89"/>
      <c r="O599" s="110"/>
      <c r="P599" s="89"/>
      <c r="Q599" s="110"/>
      <c r="R599" s="89"/>
      <c r="S599" s="89"/>
      <c r="T599" s="89"/>
      <c r="U599" s="89"/>
      <c r="V599" s="89"/>
      <c r="W599" s="89"/>
      <c r="X599" s="89"/>
      <c r="Y599" s="89"/>
      <c r="Z599" s="89"/>
      <c r="AA599" s="89"/>
      <c r="AB599" s="89"/>
      <c r="AC599" s="89"/>
      <c r="AD599" s="89"/>
    </row>
    <row r="600" spans="1:30" ht="13.8">
      <c r="A600" s="89"/>
      <c r="B600" s="89"/>
      <c r="C600" s="89"/>
      <c r="D600" s="89"/>
      <c r="E600" s="89"/>
      <c r="F600" s="110"/>
      <c r="G600" s="89"/>
      <c r="H600" s="110"/>
      <c r="I600" s="89"/>
      <c r="J600" s="110"/>
      <c r="K600" s="89"/>
      <c r="L600" s="89"/>
      <c r="M600" s="110"/>
      <c r="N600" s="89"/>
      <c r="O600" s="110"/>
      <c r="P600" s="89"/>
      <c r="Q600" s="110"/>
      <c r="R600" s="89"/>
      <c r="S600" s="89"/>
      <c r="T600" s="89"/>
      <c r="U600" s="89"/>
      <c r="V600" s="89"/>
      <c r="W600" s="89"/>
      <c r="X600" s="89"/>
      <c r="Y600" s="89"/>
      <c r="Z600" s="89"/>
      <c r="AA600" s="89"/>
      <c r="AB600" s="89"/>
      <c r="AC600" s="89"/>
      <c r="AD600" s="89"/>
    </row>
    <row r="601" spans="1:30" ht="13.8">
      <c r="A601" s="89"/>
      <c r="B601" s="89"/>
      <c r="C601" s="89"/>
      <c r="D601" s="89"/>
      <c r="E601" s="89"/>
      <c r="F601" s="110"/>
      <c r="G601" s="89"/>
      <c r="H601" s="110"/>
      <c r="I601" s="89"/>
      <c r="J601" s="110"/>
      <c r="K601" s="89"/>
      <c r="L601" s="89"/>
      <c r="M601" s="110"/>
      <c r="N601" s="89"/>
      <c r="O601" s="110"/>
      <c r="P601" s="89"/>
      <c r="Q601" s="110"/>
      <c r="R601" s="89"/>
      <c r="S601" s="89"/>
      <c r="T601" s="89"/>
      <c r="U601" s="89"/>
      <c r="V601" s="89"/>
      <c r="W601" s="89"/>
      <c r="X601" s="89"/>
      <c r="Y601" s="89"/>
      <c r="Z601" s="89"/>
      <c r="AA601" s="89"/>
      <c r="AB601" s="89"/>
      <c r="AC601" s="89"/>
      <c r="AD601" s="89"/>
    </row>
    <row r="602" spans="1:30" ht="13.8">
      <c r="A602" s="89"/>
      <c r="B602" s="89"/>
      <c r="C602" s="89"/>
      <c r="D602" s="89"/>
      <c r="E602" s="89"/>
      <c r="F602" s="110"/>
      <c r="G602" s="89"/>
      <c r="H602" s="110"/>
      <c r="I602" s="89"/>
      <c r="J602" s="110"/>
      <c r="K602" s="89"/>
      <c r="L602" s="89"/>
      <c r="M602" s="110"/>
      <c r="N602" s="89"/>
      <c r="O602" s="110"/>
      <c r="P602" s="89"/>
      <c r="Q602" s="110"/>
      <c r="R602" s="89"/>
      <c r="S602" s="89"/>
      <c r="T602" s="89"/>
      <c r="U602" s="89"/>
      <c r="V602" s="89"/>
      <c r="W602" s="89"/>
      <c r="X602" s="89"/>
      <c r="Y602" s="89"/>
      <c r="Z602" s="89"/>
      <c r="AA602" s="89"/>
      <c r="AB602" s="89"/>
      <c r="AC602" s="89"/>
      <c r="AD602" s="89"/>
    </row>
    <row r="603" spans="1:30" ht="13.8">
      <c r="A603" s="89"/>
      <c r="B603" s="89"/>
      <c r="C603" s="89"/>
      <c r="D603" s="89"/>
      <c r="E603" s="89"/>
      <c r="F603" s="110"/>
      <c r="G603" s="89"/>
      <c r="H603" s="110"/>
      <c r="I603" s="89"/>
      <c r="J603" s="110"/>
      <c r="K603" s="89"/>
      <c r="L603" s="89"/>
      <c r="M603" s="110"/>
      <c r="N603" s="89"/>
      <c r="O603" s="110"/>
      <c r="P603" s="89"/>
      <c r="Q603" s="110"/>
      <c r="R603" s="89"/>
      <c r="S603" s="89"/>
      <c r="T603" s="89"/>
      <c r="U603" s="89"/>
      <c r="V603" s="89"/>
      <c r="W603" s="89"/>
      <c r="X603" s="89"/>
      <c r="Y603" s="89"/>
      <c r="Z603" s="89"/>
      <c r="AA603" s="89"/>
      <c r="AB603" s="89"/>
      <c r="AC603" s="89"/>
      <c r="AD603" s="89"/>
    </row>
    <row r="604" spans="1:30" ht="13.8">
      <c r="A604" s="89"/>
      <c r="B604" s="89"/>
      <c r="C604" s="89"/>
      <c r="D604" s="89"/>
      <c r="E604" s="89"/>
      <c r="F604" s="110"/>
      <c r="G604" s="89"/>
      <c r="H604" s="110"/>
      <c r="I604" s="89"/>
      <c r="J604" s="110"/>
      <c r="K604" s="89"/>
      <c r="L604" s="89"/>
      <c r="M604" s="110"/>
      <c r="N604" s="89"/>
      <c r="O604" s="110"/>
      <c r="P604" s="89"/>
      <c r="Q604" s="110"/>
      <c r="R604" s="89"/>
      <c r="S604" s="89"/>
      <c r="T604" s="89"/>
      <c r="U604" s="89"/>
      <c r="V604" s="89"/>
      <c r="W604" s="89"/>
      <c r="X604" s="89"/>
      <c r="Y604" s="89"/>
      <c r="Z604" s="89"/>
      <c r="AA604" s="89"/>
      <c r="AB604" s="89"/>
      <c r="AC604" s="89"/>
      <c r="AD604" s="89"/>
    </row>
    <row r="605" spans="1:30" ht="13.8">
      <c r="A605" s="89"/>
      <c r="B605" s="89"/>
      <c r="C605" s="89"/>
      <c r="D605" s="89"/>
      <c r="E605" s="89"/>
      <c r="F605" s="110"/>
      <c r="G605" s="89"/>
      <c r="H605" s="110"/>
      <c r="I605" s="89"/>
      <c r="J605" s="110"/>
      <c r="K605" s="89"/>
      <c r="L605" s="89"/>
      <c r="M605" s="110"/>
      <c r="N605" s="89"/>
      <c r="O605" s="110"/>
      <c r="P605" s="89"/>
      <c r="Q605" s="110"/>
      <c r="R605" s="89"/>
      <c r="S605" s="89"/>
      <c r="T605" s="89"/>
      <c r="U605" s="89"/>
      <c r="V605" s="89"/>
      <c r="W605" s="89"/>
      <c r="X605" s="89"/>
      <c r="Y605" s="89"/>
      <c r="Z605" s="89"/>
      <c r="AA605" s="89"/>
      <c r="AB605" s="89"/>
      <c r="AC605" s="89"/>
      <c r="AD605" s="89"/>
    </row>
    <row r="606" spans="1:30" ht="13.8">
      <c r="A606" s="89"/>
      <c r="B606" s="89"/>
      <c r="C606" s="89"/>
      <c r="D606" s="89"/>
      <c r="E606" s="89"/>
      <c r="F606" s="110"/>
      <c r="G606" s="89"/>
      <c r="H606" s="110"/>
      <c r="I606" s="89"/>
      <c r="J606" s="110"/>
      <c r="K606" s="89"/>
      <c r="L606" s="89"/>
      <c r="M606" s="110"/>
      <c r="N606" s="89"/>
      <c r="O606" s="110"/>
      <c r="P606" s="89"/>
      <c r="Q606" s="110"/>
      <c r="R606" s="89"/>
      <c r="S606" s="89"/>
      <c r="T606" s="89"/>
      <c r="U606" s="89"/>
      <c r="V606" s="89"/>
      <c r="W606" s="89"/>
      <c r="X606" s="89"/>
      <c r="Y606" s="89"/>
      <c r="Z606" s="89"/>
      <c r="AA606" s="89"/>
      <c r="AB606" s="89"/>
      <c r="AC606" s="89"/>
      <c r="AD606" s="89"/>
    </row>
    <row r="607" spans="1:30" ht="13.8">
      <c r="A607" s="89"/>
      <c r="B607" s="89"/>
      <c r="C607" s="89"/>
      <c r="D607" s="89"/>
      <c r="E607" s="89"/>
      <c r="F607" s="110"/>
      <c r="G607" s="89"/>
      <c r="H607" s="110"/>
      <c r="I607" s="89"/>
      <c r="J607" s="110"/>
      <c r="K607" s="89"/>
      <c r="L607" s="89"/>
      <c r="M607" s="110"/>
      <c r="N607" s="89"/>
      <c r="O607" s="110"/>
      <c r="P607" s="89"/>
      <c r="Q607" s="110"/>
      <c r="R607" s="89"/>
      <c r="S607" s="89"/>
      <c r="T607" s="89"/>
      <c r="U607" s="89"/>
      <c r="V607" s="89"/>
      <c r="W607" s="89"/>
      <c r="X607" s="89"/>
      <c r="Y607" s="89"/>
      <c r="Z607" s="89"/>
      <c r="AA607" s="89"/>
      <c r="AB607" s="89"/>
      <c r="AC607" s="89"/>
      <c r="AD607" s="89"/>
    </row>
    <row r="608" spans="1:30" ht="13.8">
      <c r="A608" s="89"/>
      <c r="B608" s="89"/>
      <c r="C608" s="89"/>
      <c r="D608" s="89"/>
      <c r="E608" s="89"/>
      <c r="F608" s="110"/>
      <c r="G608" s="89"/>
      <c r="H608" s="110"/>
      <c r="I608" s="89"/>
      <c r="J608" s="110"/>
      <c r="K608" s="89"/>
      <c r="L608" s="89"/>
      <c r="M608" s="110"/>
      <c r="N608" s="89"/>
      <c r="O608" s="110"/>
      <c r="P608" s="89"/>
      <c r="Q608" s="110"/>
      <c r="R608" s="89"/>
      <c r="S608" s="89"/>
      <c r="T608" s="89"/>
      <c r="U608" s="89"/>
      <c r="V608" s="89"/>
      <c r="W608" s="89"/>
      <c r="X608" s="89"/>
      <c r="Y608" s="89"/>
      <c r="Z608" s="89"/>
      <c r="AA608" s="89"/>
      <c r="AB608" s="89"/>
      <c r="AC608" s="89"/>
      <c r="AD608" s="89"/>
    </row>
    <row r="609" spans="1:30" ht="13.8">
      <c r="A609" s="89"/>
      <c r="B609" s="89"/>
      <c r="C609" s="89"/>
      <c r="D609" s="89"/>
      <c r="E609" s="89"/>
      <c r="F609" s="110"/>
      <c r="G609" s="89"/>
      <c r="H609" s="110"/>
      <c r="I609" s="89"/>
      <c r="J609" s="110"/>
      <c r="K609" s="89"/>
      <c r="L609" s="89"/>
      <c r="M609" s="110"/>
      <c r="N609" s="89"/>
      <c r="O609" s="110"/>
      <c r="P609" s="89"/>
      <c r="Q609" s="110"/>
      <c r="R609" s="89"/>
      <c r="S609" s="89"/>
      <c r="T609" s="89"/>
      <c r="U609" s="89"/>
      <c r="V609" s="89"/>
      <c r="W609" s="89"/>
      <c r="X609" s="89"/>
      <c r="Y609" s="89"/>
      <c r="Z609" s="89"/>
      <c r="AA609" s="89"/>
      <c r="AB609" s="89"/>
      <c r="AC609" s="89"/>
      <c r="AD609" s="89"/>
    </row>
    <row r="610" spans="1:30" ht="13.8">
      <c r="A610" s="89"/>
      <c r="B610" s="89"/>
      <c r="C610" s="89"/>
      <c r="D610" s="89"/>
      <c r="E610" s="89"/>
      <c r="F610" s="110"/>
      <c r="G610" s="89"/>
      <c r="H610" s="110"/>
      <c r="I610" s="89"/>
      <c r="J610" s="110"/>
      <c r="K610" s="89"/>
      <c r="L610" s="89"/>
      <c r="M610" s="110"/>
      <c r="N610" s="89"/>
      <c r="O610" s="110"/>
      <c r="P610" s="89"/>
      <c r="Q610" s="110"/>
      <c r="R610" s="89"/>
      <c r="S610" s="89"/>
      <c r="T610" s="89"/>
      <c r="U610" s="89"/>
      <c r="V610" s="89"/>
      <c r="W610" s="89"/>
      <c r="X610" s="89"/>
      <c r="Y610" s="89"/>
      <c r="Z610" s="89"/>
      <c r="AA610" s="89"/>
      <c r="AB610" s="89"/>
      <c r="AC610" s="89"/>
      <c r="AD610" s="89"/>
    </row>
    <row r="611" spans="1:30" ht="13.8">
      <c r="A611" s="89"/>
      <c r="B611" s="89"/>
      <c r="C611" s="89"/>
      <c r="D611" s="89"/>
      <c r="E611" s="89"/>
      <c r="F611" s="110"/>
      <c r="G611" s="89"/>
      <c r="H611" s="110"/>
      <c r="I611" s="89"/>
      <c r="J611" s="110"/>
      <c r="K611" s="89"/>
      <c r="L611" s="89"/>
      <c r="M611" s="110"/>
      <c r="N611" s="89"/>
      <c r="O611" s="110"/>
      <c r="P611" s="89"/>
      <c r="Q611" s="110"/>
      <c r="R611" s="89"/>
      <c r="S611" s="89"/>
      <c r="T611" s="89"/>
      <c r="U611" s="89"/>
      <c r="V611" s="89"/>
      <c r="W611" s="89"/>
      <c r="X611" s="89"/>
      <c r="Y611" s="89"/>
      <c r="Z611" s="89"/>
      <c r="AA611" s="89"/>
      <c r="AB611" s="89"/>
      <c r="AC611" s="89"/>
      <c r="AD611" s="89"/>
    </row>
    <row r="612" spans="1:30" ht="13.8">
      <c r="A612" s="89"/>
      <c r="B612" s="89"/>
      <c r="C612" s="89"/>
      <c r="D612" s="89"/>
      <c r="E612" s="89"/>
      <c r="F612" s="110"/>
      <c r="G612" s="89"/>
      <c r="H612" s="110"/>
      <c r="I612" s="89"/>
      <c r="J612" s="110"/>
      <c r="K612" s="89"/>
      <c r="L612" s="89"/>
      <c r="M612" s="110"/>
      <c r="N612" s="89"/>
      <c r="O612" s="110"/>
      <c r="P612" s="89"/>
      <c r="Q612" s="110"/>
      <c r="R612" s="89"/>
      <c r="S612" s="89"/>
      <c r="T612" s="89"/>
      <c r="U612" s="89"/>
      <c r="V612" s="89"/>
      <c r="W612" s="89"/>
      <c r="X612" s="89"/>
      <c r="Y612" s="89"/>
      <c r="Z612" s="89"/>
      <c r="AA612" s="89"/>
      <c r="AB612" s="89"/>
      <c r="AC612" s="89"/>
      <c r="AD612" s="89"/>
    </row>
    <row r="613" spans="1:30" ht="13.8">
      <c r="A613" s="89"/>
      <c r="B613" s="89"/>
      <c r="C613" s="89"/>
      <c r="D613" s="89"/>
      <c r="E613" s="89"/>
      <c r="F613" s="110"/>
      <c r="G613" s="89"/>
      <c r="H613" s="110"/>
      <c r="I613" s="89"/>
      <c r="J613" s="110"/>
      <c r="K613" s="89"/>
      <c r="L613" s="89"/>
      <c r="M613" s="110"/>
      <c r="N613" s="89"/>
      <c r="O613" s="110"/>
      <c r="P613" s="89"/>
      <c r="Q613" s="110"/>
      <c r="R613" s="89"/>
      <c r="S613" s="89"/>
      <c r="T613" s="89"/>
      <c r="U613" s="89"/>
      <c r="V613" s="89"/>
      <c r="W613" s="89"/>
      <c r="X613" s="89"/>
      <c r="Y613" s="89"/>
      <c r="Z613" s="89"/>
      <c r="AA613" s="89"/>
      <c r="AB613" s="89"/>
      <c r="AC613" s="89"/>
      <c r="AD613" s="89"/>
    </row>
    <row r="614" spans="1:30" ht="13.8">
      <c r="A614" s="89"/>
      <c r="B614" s="89"/>
      <c r="C614" s="89"/>
      <c r="D614" s="89"/>
      <c r="E614" s="89"/>
      <c r="F614" s="110"/>
      <c r="G614" s="89"/>
      <c r="H614" s="110"/>
      <c r="I614" s="89"/>
      <c r="J614" s="110"/>
      <c r="K614" s="89"/>
      <c r="L614" s="89"/>
      <c r="M614" s="110"/>
      <c r="N614" s="89"/>
      <c r="O614" s="110"/>
      <c r="P614" s="89"/>
      <c r="Q614" s="110"/>
      <c r="R614" s="89"/>
      <c r="S614" s="89"/>
      <c r="T614" s="89"/>
      <c r="U614" s="89"/>
      <c r="V614" s="89"/>
      <c r="W614" s="89"/>
      <c r="X614" s="89"/>
      <c r="Y614" s="89"/>
      <c r="Z614" s="89"/>
      <c r="AA614" s="89"/>
      <c r="AB614" s="89"/>
      <c r="AC614" s="89"/>
      <c r="AD614" s="89"/>
    </row>
    <row r="615" spans="1:30" ht="13.8">
      <c r="A615" s="89"/>
      <c r="B615" s="89"/>
      <c r="C615" s="89"/>
      <c r="D615" s="89"/>
      <c r="E615" s="89"/>
      <c r="F615" s="110"/>
      <c r="G615" s="89"/>
      <c r="H615" s="110"/>
      <c r="I615" s="89"/>
      <c r="J615" s="110"/>
      <c r="K615" s="89"/>
      <c r="L615" s="89"/>
      <c r="M615" s="110"/>
      <c r="N615" s="89"/>
      <c r="O615" s="110"/>
      <c r="P615" s="89"/>
      <c r="Q615" s="110"/>
      <c r="R615" s="89"/>
      <c r="S615" s="89"/>
      <c r="T615" s="89"/>
      <c r="U615" s="89"/>
      <c r="V615" s="89"/>
      <c r="W615" s="89"/>
      <c r="X615" s="89"/>
      <c r="Y615" s="89"/>
      <c r="Z615" s="89"/>
      <c r="AA615" s="89"/>
      <c r="AB615" s="89"/>
      <c r="AC615" s="89"/>
      <c r="AD615" s="89"/>
    </row>
    <row r="616" spans="1:30" ht="13.8">
      <c r="A616" s="89"/>
      <c r="B616" s="89"/>
      <c r="C616" s="89"/>
      <c r="D616" s="89"/>
      <c r="E616" s="89"/>
      <c r="F616" s="110"/>
      <c r="G616" s="89"/>
      <c r="H616" s="110"/>
      <c r="I616" s="89"/>
      <c r="J616" s="110"/>
      <c r="K616" s="89"/>
      <c r="L616" s="89"/>
      <c r="M616" s="110"/>
      <c r="N616" s="89"/>
      <c r="O616" s="110"/>
      <c r="P616" s="89"/>
      <c r="Q616" s="110"/>
      <c r="R616" s="89"/>
      <c r="S616" s="89"/>
      <c r="T616" s="89"/>
      <c r="U616" s="89"/>
      <c r="V616" s="89"/>
      <c r="W616" s="89"/>
      <c r="X616" s="89"/>
      <c r="Y616" s="89"/>
      <c r="Z616" s="89"/>
      <c r="AA616" s="89"/>
      <c r="AB616" s="89"/>
      <c r="AC616" s="89"/>
      <c r="AD616" s="89"/>
    </row>
    <row r="617" spans="1:30" ht="13.8">
      <c r="A617" s="89"/>
      <c r="B617" s="89"/>
      <c r="C617" s="89"/>
      <c r="D617" s="89"/>
      <c r="E617" s="89"/>
      <c r="F617" s="110"/>
      <c r="G617" s="89"/>
      <c r="H617" s="110"/>
      <c r="I617" s="89"/>
      <c r="J617" s="110"/>
      <c r="K617" s="89"/>
      <c r="L617" s="89"/>
      <c r="M617" s="110"/>
      <c r="N617" s="89"/>
      <c r="O617" s="110"/>
      <c r="P617" s="89"/>
      <c r="Q617" s="110"/>
      <c r="R617" s="89"/>
      <c r="S617" s="89"/>
      <c r="T617" s="89"/>
      <c r="U617" s="89"/>
      <c r="V617" s="89"/>
      <c r="W617" s="89"/>
      <c r="X617" s="89"/>
      <c r="Y617" s="89"/>
      <c r="Z617" s="89"/>
      <c r="AA617" s="89"/>
      <c r="AB617" s="89"/>
      <c r="AC617" s="89"/>
      <c r="AD617" s="89"/>
    </row>
    <row r="618" spans="1:30" ht="13.8">
      <c r="A618" s="89"/>
      <c r="B618" s="89"/>
      <c r="C618" s="89"/>
      <c r="D618" s="89"/>
      <c r="E618" s="89"/>
      <c r="F618" s="110"/>
      <c r="G618" s="89"/>
      <c r="H618" s="110"/>
      <c r="I618" s="89"/>
      <c r="J618" s="110"/>
      <c r="K618" s="89"/>
      <c r="L618" s="89"/>
      <c r="M618" s="110"/>
      <c r="N618" s="89"/>
      <c r="O618" s="110"/>
      <c r="P618" s="89"/>
      <c r="Q618" s="110"/>
      <c r="R618" s="89"/>
      <c r="S618" s="89"/>
      <c r="T618" s="89"/>
      <c r="U618" s="89"/>
      <c r="V618" s="89"/>
      <c r="W618" s="89"/>
      <c r="X618" s="89"/>
      <c r="Y618" s="89"/>
      <c r="Z618" s="89"/>
      <c r="AA618" s="89"/>
      <c r="AB618" s="89"/>
      <c r="AC618" s="89"/>
      <c r="AD618" s="89"/>
    </row>
    <row r="619" spans="1:30" ht="13.8">
      <c r="A619" s="89"/>
      <c r="B619" s="89"/>
      <c r="C619" s="89"/>
      <c r="D619" s="89"/>
      <c r="E619" s="89"/>
      <c r="F619" s="110"/>
      <c r="G619" s="89"/>
      <c r="H619" s="110"/>
      <c r="I619" s="89"/>
      <c r="J619" s="110"/>
      <c r="K619" s="89"/>
      <c r="L619" s="89"/>
      <c r="M619" s="110"/>
      <c r="N619" s="89"/>
      <c r="O619" s="110"/>
      <c r="P619" s="89"/>
      <c r="Q619" s="110"/>
      <c r="R619" s="89"/>
      <c r="S619" s="89"/>
      <c r="T619" s="89"/>
      <c r="U619" s="89"/>
      <c r="V619" s="89"/>
      <c r="W619" s="89"/>
      <c r="X619" s="89"/>
      <c r="Y619" s="89"/>
      <c r="Z619" s="89"/>
      <c r="AA619" s="89"/>
      <c r="AB619" s="89"/>
      <c r="AC619" s="89"/>
      <c r="AD619" s="89"/>
    </row>
    <row r="620" spans="1:30" ht="13.8">
      <c r="A620" s="89"/>
      <c r="B620" s="89"/>
      <c r="C620" s="89"/>
      <c r="D620" s="89"/>
      <c r="E620" s="89"/>
      <c r="F620" s="110"/>
      <c r="G620" s="89"/>
      <c r="H620" s="110"/>
      <c r="I620" s="89"/>
      <c r="J620" s="110"/>
      <c r="K620" s="89"/>
      <c r="L620" s="89"/>
      <c r="M620" s="110"/>
      <c r="N620" s="89"/>
      <c r="O620" s="110"/>
      <c r="P620" s="89"/>
      <c r="Q620" s="110"/>
      <c r="R620" s="89"/>
      <c r="S620" s="89"/>
      <c r="T620" s="89"/>
      <c r="U620" s="89"/>
      <c r="V620" s="89"/>
      <c r="W620" s="89"/>
      <c r="X620" s="89"/>
      <c r="Y620" s="89"/>
      <c r="Z620" s="89"/>
      <c r="AA620" s="89"/>
      <c r="AB620" s="89"/>
      <c r="AC620" s="89"/>
      <c r="AD620" s="89"/>
    </row>
    <row r="621" spans="1:30" ht="13.8">
      <c r="A621" s="89"/>
      <c r="B621" s="89"/>
      <c r="C621" s="89"/>
      <c r="D621" s="89"/>
      <c r="E621" s="89"/>
      <c r="F621" s="110"/>
      <c r="G621" s="89"/>
      <c r="H621" s="110"/>
      <c r="I621" s="89"/>
      <c r="J621" s="110"/>
      <c r="K621" s="89"/>
      <c r="L621" s="89"/>
      <c r="M621" s="110"/>
      <c r="N621" s="89"/>
      <c r="O621" s="110"/>
      <c r="P621" s="89"/>
      <c r="Q621" s="110"/>
      <c r="R621" s="89"/>
      <c r="S621" s="89"/>
      <c r="T621" s="89"/>
      <c r="U621" s="89"/>
      <c r="V621" s="89"/>
      <c r="W621" s="89"/>
      <c r="X621" s="89"/>
      <c r="Y621" s="89"/>
      <c r="Z621" s="89"/>
      <c r="AA621" s="89"/>
      <c r="AB621" s="89"/>
      <c r="AC621" s="89"/>
      <c r="AD621" s="89"/>
    </row>
    <row r="622" spans="1:30" ht="13.8">
      <c r="A622" s="89"/>
      <c r="B622" s="89"/>
      <c r="C622" s="89"/>
      <c r="D622" s="89"/>
      <c r="E622" s="89"/>
      <c r="F622" s="110"/>
      <c r="G622" s="89"/>
      <c r="H622" s="110"/>
      <c r="I622" s="89"/>
      <c r="J622" s="110"/>
      <c r="K622" s="89"/>
      <c r="L622" s="89"/>
      <c r="M622" s="110"/>
      <c r="N622" s="89"/>
      <c r="O622" s="110"/>
      <c r="P622" s="89"/>
      <c r="Q622" s="110"/>
      <c r="R622" s="89"/>
      <c r="S622" s="89"/>
      <c r="T622" s="89"/>
      <c r="U622" s="89"/>
      <c r="V622" s="89"/>
      <c r="W622" s="89"/>
      <c r="X622" s="89"/>
      <c r="Y622" s="89"/>
      <c r="Z622" s="89"/>
      <c r="AA622" s="89"/>
      <c r="AB622" s="89"/>
      <c r="AC622" s="89"/>
      <c r="AD622" s="89"/>
    </row>
    <row r="623" spans="1:30" ht="13.8">
      <c r="A623" s="89"/>
      <c r="B623" s="89"/>
      <c r="C623" s="89"/>
      <c r="D623" s="89"/>
      <c r="E623" s="89"/>
      <c r="F623" s="110"/>
      <c r="G623" s="89"/>
      <c r="H623" s="110"/>
      <c r="I623" s="89"/>
      <c r="J623" s="110"/>
      <c r="K623" s="89"/>
      <c r="L623" s="89"/>
      <c r="M623" s="110"/>
      <c r="N623" s="89"/>
      <c r="O623" s="110"/>
      <c r="P623" s="89"/>
      <c r="Q623" s="110"/>
      <c r="R623" s="89"/>
      <c r="S623" s="89"/>
      <c r="T623" s="89"/>
      <c r="U623" s="89"/>
      <c r="V623" s="89"/>
      <c r="W623" s="89"/>
      <c r="X623" s="89"/>
      <c r="Y623" s="89"/>
      <c r="Z623" s="89"/>
      <c r="AA623" s="89"/>
      <c r="AB623" s="89"/>
      <c r="AC623" s="89"/>
      <c r="AD623" s="89"/>
    </row>
    <row r="624" spans="1:30" ht="13.8">
      <c r="A624" s="89"/>
      <c r="B624" s="89"/>
      <c r="C624" s="89"/>
      <c r="D624" s="89"/>
      <c r="E624" s="89"/>
      <c r="F624" s="110"/>
      <c r="G624" s="89"/>
      <c r="H624" s="110"/>
      <c r="I624" s="89"/>
      <c r="J624" s="110"/>
      <c r="K624" s="89"/>
      <c r="L624" s="89"/>
      <c r="M624" s="110"/>
      <c r="N624" s="89"/>
      <c r="O624" s="110"/>
      <c r="P624" s="89"/>
      <c r="Q624" s="110"/>
      <c r="R624" s="89"/>
      <c r="S624" s="89"/>
      <c r="T624" s="89"/>
      <c r="U624" s="89"/>
      <c r="V624" s="89"/>
      <c r="W624" s="89"/>
      <c r="X624" s="89"/>
      <c r="Y624" s="89"/>
      <c r="Z624" s="89"/>
      <c r="AA624" s="89"/>
      <c r="AB624" s="89"/>
      <c r="AC624" s="89"/>
      <c r="AD624" s="89"/>
    </row>
    <row r="625" spans="1:30" ht="13.8">
      <c r="A625" s="89"/>
      <c r="B625" s="89"/>
      <c r="C625" s="89"/>
      <c r="D625" s="89"/>
      <c r="E625" s="89"/>
      <c r="F625" s="110"/>
      <c r="G625" s="89"/>
      <c r="H625" s="110"/>
      <c r="I625" s="89"/>
      <c r="J625" s="110"/>
      <c r="K625" s="89"/>
      <c r="L625" s="89"/>
      <c r="M625" s="110"/>
      <c r="N625" s="89"/>
      <c r="O625" s="110"/>
      <c r="P625" s="89"/>
      <c r="Q625" s="110"/>
      <c r="R625" s="89"/>
      <c r="S625" s="89"/>
      <c r="T625" s="89"/>
      <c r="U625" s="89"/>
      <c r="V625" s="89"/>
      <c r="W625" s="89"/>
      <c r="X625" s="89"/>
      <c r="Y625" s="89"/>
      <c r="Z625" s="89"/>
      <c r="AA625" s="89"/>
      <c r="AB625" s="89"/>
      <c r="AC625" s="89"/>
      <c r="AD625" s="89"/>
    </row>
    <row r="626" spans="1:30" ht="13.8">
      <c r="A626" s="89"/>
      <c r="B626" s="89"/>
      <c r="C626" s="89"/>
      <c r="D626" s="89"/>
      <c r="E626" s="89"/>
      <c r="F626" s="110"/>
      <c r="G626" s="89"/>
      <c r="H626" s="110"/>
      <c r="I626" s="89"/>
      <c r="J626" s="110"/>
      <c r="K626" s="89"/>
      <c r="L626" s="89"/>
      <c r="M626" s="110"/>
      <c r="N626" s="89"/>
      <c r="O626" s="110"/>
      <c r="P626" s="89"/>
      <c r="Q626" s="110"/>
      <c r="R626" s="89"/>
      <c r="S626" s="89"/>
      <c r="T626" s="89"/>
      <c r="U626" s="89"/>
      <c r="V626" s="89"/>
      <c r="W626" s="89"/>
      <c r="X626" s="89"/>
      <c r="Y626" s="89"/>
      <c r="Z626" s="89"/>
      <c r="AA626" s="89"/>
      <c r="AB626" s="89"/>
      <c r="AC626" s="89"/>
      <c r="AD626" s="89"/>
    </row>
    <row r="627" spans="1:30" ht="13.8">
      <c r="A627" s="89"/>
      <c r="B627" s="89"/>
      <c r="C627" s="89"/>
      <c r="D627" s="89"/>
      <c r="E627" s="89"/>
      <c r="F627" s="110"/>
      <c r="G627" s="89"/>
      <c r="H627" s="110"/>
      <c r="I627" s="89"/>
      <c r="J627" s="110"/>
      <c r="K627" s="89"/>
      <c r="L627" s="89"/>
      <c r="M627" s="110"/>
      <c r="N627" s="89"/>
      <c r="O627" s="110"/>
      <c r="P627" s="89"/>
      <c r="Q627" s="110"/>
      <c r="R627" s="89"/>
      <c r="S627" s="89"/>
      <c r="T627" s="89"/>
      <c r="U627" s="89"/>
      <c r="V627" s="89"/>
      <c r="W627" s="89"/>
      <c r="X627" s="89"/>
      <c r="Y627" s="89"/>
      <c r="Z627" s="89"/>
      <c r="AA627" s="89"/>
      <c r="AB627" s="89"/>
      <c r="AC627" s="89"/>
      <c r="AD627" s="89"/>
    </row>
    <row r="628" spans="1:30" ht="13.8">
      <c r="A628" s="89"/>
      <c r="B628" s="89"/>
      <c r="C628" s="89"/>
      <c r="D628" s="89"/>
      <c r="E628" s="89"/>
      <c r="F628" s="110"/>
      <c r="G628" s="89"/>
      <c r="H628" s="110"/>
      <c r="I628" s="89"/>
      <c r="J628" s="110"/>
      <c r="K628" s="89"/>
      <c r="L628" s="89"/>
      <c r="M628" s="110"/>
      <c r="N628" s="89"/>
      <c r="O628" s="110"/>
      <c r="P628" s="89"/>
      <c r="Q628" s="110"/>
      <c r="R628" s="89"/>
      <c r="S628" s="89"/>
      <c r="T628" s="89"/>
      <c r="U628" s="89"/>
      <c r="V628" s="89"/>
      <c r="W628" s="89"/>
      <c r="X628" s="89"/>
      <c r="Y628" s="89"/>
      <c r="Z628" s="89"/>
      <c r="AA628" s="89"/>
      <c r="AB628" s="89"/>
      <c r="AC628" s="89"/>
      <c r="AD628" s="89"/>
    </row>
    <row r="629" spans="1:30" ht="13.8">
      <c r="A629" s="89"/>
      <c r="B629" s="89"/>
      <c r="C629" s="89"/>
      <c r="D629" s="89"/>
      <c r="E629" s="89"/>
      <c r="F629" s="110"/>
      <c r="G629" s="89"/>
      <c r="H629" s="110"/>
      <c r="I629" s="89"/>
      <c r="J629" s="110"/>
      <c r="K629" s="89"/>
      <c r="L629" s="89"/>
      <c r="M629" s="110"/>
      <c r="N629" s="89"/>
      <c r="O629" s="110"/>
      <c r="P629" s="89"/>
      <c r="Q629" s="110"/>
      <c r="R629" s="89"/>
      <c r="S629" s="89"/>
      <c r="T629" s="89"/>
      <c r="U629" s="89"/>
      <c r="V629" s="89"/>
      <c r="W629" s="89"/>
      <c r="X629" s="89"/>
      <c r="Y629" s="89"/>
      <c r="Z629" s="89"/>
      <c r="AA629" s="89"/>
      <c r="AB629" s="89"/>
      <c r="AC629" s="89"/>
      <c r="AD629" s="89"/>
    </row>
    <row r="630" spans="1:30" ht="13.8">
      <c r="A630" s="89"/>
      <c r="B630" s="89"/>
      <c r="C630" s="89"/>
      <c r="D630" s="89"/>
      <c r="E630" s="89"/>
      <c r="F630" s="110"/>
      <c r="G630" s="89"/>
      <c r="H630" s="110"/>
      <c r="I630" s="89"/>
      <c r="J630" s="110"/>
      <c r="K630" s="89"/>
      <c r="L630" s="89"/>
      <c r="M630" s="110"/>
      <c r="N630" s="89"/>
      <c r="O630" s="110"/>
      <c r="P630" s="89"/>
      <c r="Q630" s="110"/>
      <c r="R630" s="89"/>
      <c r="S630" s="89"/>
      <c r="T630" s="89"/>
      <c r="U630" s="89"/>
      <c r="V630" s="89"/>
      <c r="W630" s="89"/>
      <c r="X630" s="89"/>
      <c r="Y630" s="89"/>
      <c r="Z630" s="89"/>
      <c r="AA630" s="89"/>
      <c r="AB630" s="89"/>
      <c r="AC630" s="89"/>
      <c r="AD630" s="89"/>
    </row>
    <row r="631" spans="1:30" ht="13.8">
      <c r="A631" s="89"/>
      <c r="B631" s="89"/>
      <c r="C631" s="89"/>
      <c r="D631" s="89"/>
      <c r="E631" s="89"/>
      <c r="F631" s="110"/>
      <c r="G631" s="89"/>
      <c r="H631" s="110"/>
      <c r="I631" s="89"/>
      <c r="J631" s="110"/>
      <c r="K631" s="89"/>
      <c r="L631" s="89"/>
      <c r="M631" s="110"/>
      <c r="N631" s="89"/>
      <c r="O631" s="110"/>
      <c r="P631" s="89"/>
      <c r="Q631" s="110"/>
      <c r="R631" s="89"/>
      <c r="S631" s="89"/>
      <c r="T631" s="89"/>
      <c r="U631" s="89"/>
      <c r="V631" s="89"/>
      <c r="W631" s="89"/>
      <c r="X631" s="89"/>
      <c r="Y631" s="89"/>
      <c r="Z631" s="89"/>
      <c r="AA631" s="89"/>
      <c r="AB631" s="89"/>
      <c r="AC631" s="89"/>
      <c r="AD631" s="89"/>
    </row>
    <row r="632" spans="1:30" ht="13.8">
      <c r="A632" s="89"/>
      <c r="B632" s="89"/>
      <c r="C632" s="89"/>
      <c r="D632" s="89"/>
      <c r="E632" s="89"/>
      <c r="F632" s="110"/>
      <c r="G632" s="89"/>
      <c r="H632" s="110"/>
      <c r="I632" s="89"/>
      <c r="J632" s="110"/>
      <c r="K632" s="89"/>
      <c r="L632" s="89"/>
      <c r="M632" s="110"/>
      <c r="N632" s="89"/>
      <c r="O632" s="110"/>
      <c r="P632" s="89"/>
      <c r="Q632" s="110"/>
      <c r="R632" s="89"/>
      <c r="S632" s="89"/>
      <c r="T632" s="89"/>
      <c r="U632" s="89"/>
      <c r="V632" s="89"/>
      <c r="W632" s="89"/>
      <c r="X632" s="89"/>
      <c r="Y632" s="89"/>
      <c r="Z632" s="89"/>
      <c r="AA632" s="89"/>
      <c r="AB632" s="89"/>
      <c r="AC632" s="89"/>
      <c r="AD632" s="89"/>
    </row>
    <row r="633" spans="1:30" ht="13.8">
      <c r="A633" s="89"/>
      <c r="B633" s="89"/>
      <c r="C633" s="89"/>
      <c r="D633" s="89"/>
      <c r="E633" s="89"/>
      <c r="F633" s="110"/>
      <c r="G633" s="89"/>
      <c r="H633" s="110"/>
      <c r="I633" s="89"/>
      <c r="J633" s="110"/>
      <c r="K633" s="89"/>
      <c r="L633" s="89"/>
      <c r="M633" s="110"/>
      <c r="N633" s="89"/>
      <c r="O633" s="110"/>
      <c r="P633" s="89"/>
      <c r="Q633" s="110"/>
      <c r="R633" s="89"/>
      <c r="S633" s="89"/>
      <c r="T633" s="89"/>
      <c r="U633" s="89"/>
      <c r="V633" s="89"/>
      <c r="W633" s="89"/>
      <c r="X633" s="89"/>
      <c r="Y633" s="89"/>
      <c r="Z633" s="89"/>
      <c r="AA633" s="89"/>
      <c r="AB633" s="89"/>
      <c r="AC633" s="89"/>
      <c r="AD633" s="89"/>
    </row>
    <row r="634" spans="1:30" ht="13.8">
      <c r="A634" s="89"/>
      <c r="B634" s="89"/>
      <c r="C634" s="89"/>
      <c r="D634" s="89"/>
      <c r="E634" s="89"/>
      <c r="F634" s="110"/>
      <c r="G634" s="89"/>
      <c r="H634" s="110"/>
      <c r="I634" s="89"/>
      <c r="J634" s="110"/>
      <c r="K634" s="89"/>
      <c r="L634" s="89"/>
      <c r="M634" s="110"/>
      <c r="N634" s="89"/>
      <c r="O634" s="110"/>
      <c r="P634" s="89"/>
      <c r="Q634" s="110"/>
      <c r="R634" s="89"/>
      <c r="S634" s="89"/>
      <c r="T634" s="89"/>
      <c r="U634" s="89"/>
      <c r="V634" s="89"/>
      <c r="W634" s="89"/>
      <c r="X634" s="89"/>
      <c r="Y634" s="89"/>
      <c r="Z634" s="89"/>
      <c r="AA634" s="89"/>
      <c r="AB634" s="89"/>
      <c r="AC634" s="89"/>
      <c r="AD634" s="89"/>
    </row>
    <row r="635" spans="1:30" ht="13.8">
      <c r="A635" s="89"/>
      <c r="B635" s="89"/>
      <c r="C635" s="89"/>
      <c r="D635" s="89"/>
      <c r="E635" s="89"/>
      <c r="F635" s="110"/>
      <c r="G635" s="89"/>
      <c r="H635" s="110"/>
      <c r="I635" s="89"/>
      <c r="J635" s="110"/>
      <c r="K635" s="89"/>
      <c r="L635" s="89"/>
      <c r="M635" s="110"/>
      <c r="N635" s="89"/>
      <c r="O635" s="110"/>
      <c r="P635" s="89"/>
      <c r="Q635" s="110"/>
      <c r="R635" s="89"/>
      <c r="S635" s="89"/>
      <c r="T635" s="89"/>
      <c r="U635" s="89"/>
      <c r="V635" s="89"/>
      <c r="W635" s="89"/>
      <c r="X635" s="89"/>
      <c r="Y635" s="89"/>
      <c r="Z635" s="89"/>
      <c r="AA635" s="89"/>
      <c r="AB635" s="89"/>
      <c r="AC635" s="89"/>
      <c r="AD635" s="89"/>
    </row>
    <row r="636" spans="1:30" ht="13.8">
      <c r="A636" s="89"/>
      <c r="B636" s="89"/>
      <c r="C636" s="89"/>
      <c r="D636" s="89"/>
      <c r="E636" s="89"/>
      <c r="F636" s="110"/>
      <c r="G636" s="89"/>
      <c r="H636" s="110"/>
      <c r="I636" s="89"/>
      <c r="J636" s="110"/>
      <c r="K636" s="89"/>
      <c r="L636" s="89"/>
      <c r="M636" s="110"/>
      <c r="N636" s="89"/>
      <c r="O636" s="110"/>
      <c r="P636" s="89"/>
      <c r="Q636" s="110"/>
      <c r="R636" s="89"/>
      <c r="S636" s="89"/>
      <c r="T636" s="89"/>
      <c r="U636" s="89"/>
      <c r="V636" s="89"/>
      <c r="W636" s="89"/>
      <c r="X636" s="89"/>
      <c r="Y636" s="89"/>
      <c r="Z636" s="89"/>
      <c r="AA636" s="89"/>
      <c r="AB636" s="89"/>
      <c r="AC636" s="89"/>
      <c r="AD636" s="89"/>
    </row>
    <row r="637" spans="1:30" ht="13.8">
      <c r="A637" s="89"/>
      <c r="B637" s="89"/>
      <c r="C637" s="89"/>
      <c r="D637" s="89"/>
      <c r="E637" s="89"/>
      <c r="F637" s="110"/>
      <c r="G637" s="89"/>
      <c r="H637" s="110"/>
      <c r="I637" s="89"/>
      <c r="J637" s="110"/>
      <c r="K637" s="89"/>
      <c r="L637" s="89"/>
      <c r="M637" s="110"/>
      <c r="N637" s="89"/>
      <c r="O637" s="110"/>
      <c r="P637" s="89"/>
      <c r="Q637" s="110"/>
      <c r="R637" s="89"/>
      <c r="S637" s="89"/>
      <c r="T637" s="89"/>
      <c r="U637" s="89"/>
      <c r="V637" s="89"/>
      <c r="W637" s="89"/>
      <c r="X637" s="89"/>
      <c r="Y637" s="89"/>
      <c r="Z637" s="89"/>
      <c r="AA637" s="89"/>
      <c r="AB637" s="89"/>
      <c r="AC637" s="89"/>
      <c r="AD637" s="89"/>
    </row>
    <row r="638" spans="1:30" ht="13.8">
      <c r="A638" s="89"/>
      <c r="B638" s="89"/>
      <c r="C638" s="89"/>
      <c r="D638" s="89"/>
      <c r="E638" s="89"/>
      <c r="F638" s="110"/>
      <c r="G638" s="89"/>
      <c r="H638" s="110"/>
      <c r="I638" s="89"/>
      <c r="J638" s="110"/>
      <c r="K638" s="89"/>
      <c r="L638" s="89"/>
      <c r="M638" s="110"/>
      <c r="N638" s="89"/>
      <c r="O638" s="110"/>
      <c r="P638" s="89"/>
      <c r="Q638" s="110"/>
      <c r="R638" s="89"/>
      <c r="S638" s="89"/>
      <c r="T638" s="89"/>
      <c r="U638" s="89"/>
      <c r="V638" s="89"/>
      <c r="W638" s="89"/>
      <c r="X638" s="89"/>
      <c r="Y638" s="89"/>
      <c r="Z638" s="89"/>
      <c r="AA638" s="89"/>
      <c r="AB638" s="89"/>
      <c r="AC638" s="89"/>
      <c r="AD638" s="89"/>
    </row>
    <row r="639" spans="1:30" ht="13.8">
      <c r="A639" s="89"/>
      <c r="B639" s="89"/>
      <c r="C639" s="89"/>
      <c r="D639" s="89"/>
      <c r="E639" s="89"/>
      <c r="F639" s="110"/>
      <c r="G639" s="89"/>
      <c r="H639" s="110"/>
      <c r="I639" s="89"/>
      <c r="J639" s="110"/>
      <c r="K639" s="89"/>
      <c r="L639" s="89"/>
      <c r="M639" s="110"/>
      <c r="N639" s="89"/>
      <c r="O639" s="110"/>
      <c r="P639" s="89"/>
      <c r="Q639" s="110"/>
      <c r="R639" s="89"/>
      <c r="S639" s="89"/>
      <c r="T639" s="89"/>
      <c r="U639" s="89"/>
      <c r="V639" s="89"/>
      <c r="W639" s="89"/>
      <c r="X639" s="89"/>
      <c r="Y639" s="89"/>
      <c r="Z639" s="89"/>
      <c r="AA639" s="89"/>
      <c r="AB639" s="89"/>
      <c r="AC639" s="89"/>
      <c r="AD639" s="89"/>
    </row>
    <row r="640" spans="1:30" ht="13.8">
      <c r="A640" s="89"/>
      <c r="B640" s="89"/>
      <c r="C640" s="89"/>
      <c r="D640" s="89"/>
      <c r="E640" s="89"/>
      <c r="F640" s="110"/>
      <c r="G640" s="89"/>
      <c r="H640" s="110"/>
      <c r="I640" s="89"/>
      <c r="J640" s="110"/>
      <c r="K640" s="89"/>
      <c r="L640" s="89"/>
      <c r="M640" s="110"/>
      <c r="N640" s="89"/>
      <c r="O640" s="110"/>
      <c r="P640" s="89"/>
      <c r="Q640" s="110"/>
      <c r="R640" s="89"/>
      <c r="S640" s="89"/>
      <c r="T640" s="89"/>
      <c r="U640" s="89"/>
      <c r="V640" s="89"/>
      <c r="W640" s="89"/>
      <c r="X640" s="89"/>
      <c r="Y640" s="89"/>
      <c r="Z640" s="89"/>
      <c r="AA640" s="89"/>
      <c r="AB640" s="89"/>
      <c r="AC640" s="89"/>
      <c r="AD640" s="89"/>
    </row>
    <row r="641" spans="1:30" ht="13.8">
      <c r="A641" s="89"/>
      <c r="B641" s="89"/>
      <c r="C641" s="89"/>
      <c r="D641" s="89"/>
      <c r="E641" s="89"/>
      <c r="F641" s="110"/>
      <c r="G641" s="89"/>
      <c r="H641" s="110"/>
      <c r="I641" s="89"/>
      <c r="J641" s="110"/>
      <c r="K641" s="89"/>
      <c r="L641" s="89"/>
      <c r="M641" s="110"/>
      <c r="N641" s="89"/>
      <c r="O641" s="110"/>
      <c r="P641" s="89"/>
      <c r="Q641" s="110"/>
      <c r="R641" s="89"/>
      <c r="S641" s="89"/>
      <c r="T641" s="89"/>
      <c r="U641" s="89"/>
      <c r="V641" s="89"/>
      <c r="W641" s="89"/>
      <c r="X641" s="89"/>
      <c r="Y641" s="89"/>
      <c r="Z641" s="89"/>
      <c r="AA641" s="89"/>
      <c r="AB641" s="89"/>
      <c r="AC641" s="89"/>
      <c r="AD641" s="89"/>
    </row>
    <row r="642" spans="1:30" ht="13.8">
      <c r="A642" s="89"/>
      <c r="B642" s="89"/>
      <c r="C642" s="89"/>
      <c r="D642" s="89"/>
      <c r="E642" s="89"/>
      <c r="F642" s="110"/>
      <c r="G642" s="89"/>
      <c r="H642" s="110"/>
      <c r="I642" s="89"/>
      <c r="J642" s="110"/>
      <c r="K642" s="89"/>
      <c r="L642" s="89"/>
      <c r="M642" s="110"/>
      <c r="N642" s="89"/>
      <c r="O642" s="110"/>
      <c r="P642" s="89"/>
      <c r="Q642" s="110"/>
      <c r="R642" s="89"/>
      <c r="S642" s="89"/>
      <c r="T642" s="89"/>
      <c r="U642" s="89"/>
      <c r="V642" s="89"/>
      <c r="W642" s="89"/>
      <c r="X642" s="89"/>
      <c r="Y642" s="89"/>
      <c r="Z642" s="89"/>
      <c r="AA642" s="89"/>
      <c r="AB642" s="89"/>
      <c r="AC642" s="89"/>
      <c r="AD642" s="89"/>
    </row>
    <row r="643" spans="1:30" ht="13.8">
      <c r="A643" s="89"/>
      <c r="B643" s="89"/>
      <c r="C643" s="89"/>
      <c r="D643" s="89"/>
      <c r="E643" s="89"/>
      <c r="F643" s="110"/>
      <c r="G643" s="89"/>
      <c r="H643" s="110"/>
      <c r="I643" s="89"/>
      <c r="J643" s="110"/>
      <c r="K643" s="89"/>
      <c r="L643" s="89"/>
      <c r="M643" s="110"/>
      <c r="N643" s="89"/>
      <c r="O643" s="110"/>
      <c r="P643" s="89"/>
      <c r="Q643" s="110"/>
      <c r="R643" s="89"/>
      <c r="S643" s="89"/>
      <c r="T643" s="89"/>
      <c r="U643" s="89"/>
      <c r="V643" s="89"/>
      <c r="W643" s="89"/>
      <c r="X643" s="89"/>
      <c r="Y643" s="89"/>
      <c r="Z643" s="89"/>
      <c r="AA643" s="89"/>
      <c r="AB643" s="89"/>
      <c r="AC643" s="89"/>
      <c r="AD643" s="89"/>
    </row>
    <row r="644" spans="1:30" ht="13.8">
      <c r="A644" s="89"/>
      <c r="B644" s="89"/>
      <c r="C644" s="89"/>
      <c r="D644" s="89"/>
      <c r="E644" s="89"/>
      <c r="F644" s="110"/>
      <c r="G644" s="89"/>
      <c r="H644" s="110"/>
      <c r="I644" s="89"/>
      <c r="J644" s="110"/>
      <c r="K644" s="89"/>
      <c r="L644" s="89"/>
      <c r="M644" s="110"/>
      <c r="N644" s="89"/>
      <c r="O644" s="110"/>
      <c r="P644" s="89"/>
      <c r="Q644" s="110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</row>
    <row r="645" spans="1:30" ht="13.8">
      <c r="A645" s="89"/>
      <c r="B645" s="89"/>
      <c r="C645" s="89"/>
      <c r="D645" s="89"/>
      <c r="E645" s="89"/>
      <c r="F645" s="110"/>
      <c r="G645" s="89"/>
      <c r="H645" s="110"/>
      <c r="I645" s="89"/>
      <c r="J645" s="110"/>
      <c r="K645" s="89"/>
      <c r="L645" s="89"/>
      <c r="M645" s="110"/>
      <c r="N645" s="89"/>
      <c r="O645" s="110"/>
      <c r="P645" s="89"/>
      <c r="Q645" s="110"/>
      <c r="R645" s="89"/>
      <c r="S645" s="89"/>
      <c r="T645" s="89"/>
      <c r="U645" s="89"/>
      <c r="V645" s="89"/>
      <c r="W645" s="89"/>
      <c r="X645" s="89"/>
      <c r="Y645" s="89"/>
      <c r="Z645" s="89"/>
      <c r="AA645" s="89"/>
      <c r="AB645" s="89"/>
      <c r="AC645" s="89"/>
      <c r="AD645" s="89"/>
    </row>
    <row r="646" spans="1:30" ht="13.8">
      <c r="A646" s="89"/>
      <c r="B646" s="89"/>
      <c r="C646" s="89"/>
      <c r="D646" s="89"/>
      <c r="E646" s="89"/>
      <c r="F646" s="110"/>
      <c r="G646" s="89"/>
      <c r="H646" s="110"/>
      <c r="I646" s="89"/>
      <c r="J646" s="110"/>
      <c r="K646" s="89"/>
      <c r="L646" s="89"/>
      <c r="M646" s="110"/>
      <c r="N646" s="89"/>
      <c r="O646" s="110"/>
      <c r="P646" s="89"/>
      <c r="Q646" s="110"/>
      <c r="R646" s="89"/>
      <c r="S646" s="89"/>
      <c r="T646" s="89"/>
      <c r="U646" s="89"/>
      <c r="V646" s="89"/>
      <c r="W646" s="89"/>
      <c r="X646" s="89"/>
      <c r="Y646" s="89"/>
      <c r="Z646" s="89"/>
      <c r="AA646" s="89"/>
      <c r="AB646" s="89"/>
      <c r="AC646" s="89"/>
      <c r="AD646" s="89"/>
    </row>
    <row r="647" spans="1:30" ht="13.8">
      <c r="A647" s="89"/>
      <c r="B647" s="89"/>
      <c r="C647" s="89"/>
      <c r="D647" s="89"/>
      <c r="E647" s="89"/>
      <c r="F647" s="110"/>
      <c r="G647" s="89"/>
      <c r="H647" s="110"/>
      <c r="I647" s="89"/>
      <c r="J647" s="110"/>
      <c r="K647" s="89"/>
      <c r="L647" s="89"/>
      <c r="M647" s="110"/>
      <c r="N647" s="89"/>
      <c r="O647" s="110"/>
      <c r="P647" s="89"/>
      <c r="Q647" s="110"/>
      <c r="R647" s="89"/>
      <c r="S647" s="89"/>
      <c r="T647" s="89"/>
      <c r="U647" s="89"/>
      <c r="V647" s="89"/>
      <c r="W647" s="89"/>
      <c r="X647" s="89"/>
      <c r="Y647" s="89"/>
      <c r="Z647" s="89"/>
      <c r="AA647" s="89"/>
      <c r="AB647" s="89"/>
      <c r="AC647" s="89"/>
      <c r="AD647" s="89"/>
    </row>
    <row r="648" spans="1:30" ht="13.8">
      <c r="A648" s="89"/>
      <c r="B648" s="89"/>
      <c r="C648" s="89"/>
      <c r="D648" s="89"/>
      <c r="E648" s="89"/>
      <c r="F648" s="110"/>
      <c r="G648" s="89"/>
      <c r="H648" s="110"/>
      <c r="I648" s="89"/>
      <c r="J648" s="110"/>
      <c r="K648" s="89"/>
      <c r="L648" s="89"/>
      <c r="M648" s="110"/>
      <c r="N648" s="89"/>
      <c r="O648" s="110"/>
      <c r="P648" s="89"/>
      <c r="Q648" s="110"/>
      <c r="R648" s="89"/>
      <c r="S648" s="89"/>
      <c r="T648" s="89"/>
      <c r="U648" s="89"/>
      <c r="V648" s="89"/>
      <c r="W648" s="89"/>
      <c r="X648" s="89"/>
      <c r="Y648" s="89"/>
      <c r="Z648" s="89"/>
      <c r="AA648" s="89"/>
      <c r="AB648" s="89"/>
      <c r="AC648" s="89"/>
      <c r="AD648" s="89"/>
    </row>
    <row r="649" spans="1:30" ht="13.8">
      <c r="A649" s="89"/>
      <c r="B649" s="89"/>
      <c r="C649" s="89"/>
      <c r="D649" s="89"/>
      <c r="E649" s="89"/>
      <c r="F649" s="110"/>
      <c r="G649" s="89"/>
      <c r="H649" s="110"/>
      <c r="I649" s="89"/>
      <c r="J649" s="110"/>
      <c r="K649" s="89"/>
      <c r="L649" s="89"/>
      <c r="M649" s="110"/>
      <c r="N649" s="89"/>
      <c r="O649" s="110"/>
      <c r="P649" s="89"/>
      <c r="Q649" s="110"/>
      <c r="R649" s="89"/>
      <c r="S649" s="89"/>
      <c r="T649" s="89"/>
      <c r="U649" s="89"/>
      <c r="V649" s="89"/>
      <c r="W649" s="89"/>
      <c r="X649" s="89"/>
      <c r="Y649" s="89"/>
      <c r="Z649" s="89"/>
      <c r="AA649" s="89"/>
      <c r="AB649" s="89"/>
      <c r="AC649" s="89"/>
      <c r="AD649" s="89"/>
    </row>
    <row r="650" spans="1:30" ht="13.8">
      <c r="A650" s="89"/>
      <c r="B650" s="89"/>
      <c r="C650" s="89"/>
      <c r="D650" s="89"/>
      <c r="E650" s="89"/>
      <c r="F650" s="110"/>
      <c r="G650" s="89"/>
      <c r="H650" s="110"/>
      <c r="I650" s="89"/>
      <c r="J650" s="110"/>
      <c r="K650" s="89"/>
      <c r="L650" s="89"/>
      <c r="M650" s="110"/>
      <c r="N650" s="89"/>
      <c r="O650" s="110"/>
      <c r="P650" s="89"/>
      <c r="Q650" s="110"/>
      <c r="R650" s="89"/>
      <c r="S650" s="89"/>
      <c r="T650" s="89"/>
      <c r="U650" s="89"/>
      <c r="V650" s="89"/>
      <c r="W650" s="89"/>
      <c r="X650" s="89"/>
      <c r="Y650" s="89"/>
      <c r="Z650" s="89"/>
      <c r="AA650" s="89"/>
      <c r="AB650" s="89"/>
      <c r="AC650" s="89"/>
      <c r="AD650" s="89"/>
    </row>
    <row r="651" spans="1:30" ht="13.8">
      <c r="A651" s="89"/>
      <c r="B651" s="89"/>
      <c r="C651" s="89"/>
      <c r="D651" s="89"/>
      <c r="E651" s="89"/>
      <c r="F651" s="110"/>
      <c r="G651" s="89"/>
      <c r="H651" s="110"/>
      <c r="I651" s="89"/>
      <c r="J651" s="110"/>
      <c r="K651" s="89"/>
      <c r="L651" s="89"/>
      <c r="M651" s="110"/>
      <c r="N651" s="89"/>
      <c r="O651" s="110"/>
      <c r="P651" s="89"/>
      <c r="Q651" s="110"/>
      <c r="R651" s="89"/>
      <c r="S651" s="89"/>
      <c r="T651" s="89"/>
      <c r="U651" s="89"/>
      <c r="V651" s="89"/>
      <c r="W651" s="89"/>
      <c r="X651" s="89"/>
      <c r="Y651" s="89"/>
      <c r="Z651" s="89"/>
      <c r="AA651" s="89"/>
      <c r="AB651" s="89"/>
      <c r="AC651" s="89"/>
      <c r="AD651" s="89"/>
    </row>
    <row r="652" spans="1:30" ht="13.8">
      <c r="A652" s="89"/>
      <c r="B652" s="89"/>
      <c r="C652" s="89"/>
      <c r="D652" s="89"/>
      <c r="E652" s="89"/>
      <c r="F652" s="110"/>
      <c r="G652" s="89"/>
      <c r="H652" s="110"/>
      <c r="I652" s="89"/>
      <c r="J652" s="110"/>
      <c r="K652" s="89"/>
      <c r="L652" s="89"/>
      <c r="M652" s="110"/>
      <c r="N652" s="89"/>
      <c r="O652" s="110"/>
      <c r="P652" s="89"/>
      <c r="Q652" s="110"/>
      <c r="R652" s="89"/>
      <c r="S652" s="89"/>
      <c r="T652" s="89"/>
      <c r="U652" s="89"/>
      <c r="V652" s="89"/>
      <c r="W652" s="89"/>
      <c r="X652" s="89"/>
      <c r="Y652" s="89"/>
      <c r="Z652" s="89"/>
      <c r="AA652" s="89"/>
      <c r="AB652" s="89"/>
      <c r="AC652" s="89"/>
      <c r="AD652" s="89"/>
    </row>
    <row r="653" spans="1:30" ht="13.8">
      <c r="A653" s="89"/>
      <c r="B653" s="89"/>
      <c r="C653" s="89"/>
      <c r="D653" s="89"/>
      <c r="E653" s="89"/>
      <c r="F653" s="110"/>
      <c r="G653" s="89"/>
      <c r="H653" s="110"/>
      <c r="I653" s="89"/>
      <c r="J653" s="110"/>
      <c r="K653" s="89"/>
      <c r="L653" s="89"/>
      <c r="M653" s="110"/>
      <c r="N653" s="89"/>
      <c r="O653" s="110"/>
      <c r="P653" s="89"/>
      <c r="Q653" s="110"/>
      <c r="R653" s="89"/>
      <c r="S653" s="89"/>
      <c r="T653" s="89"/>
      <c r="U653" s="89"/>
      <c r="V653" s="89"/>
      <c r="W653" s="89"/>
      <c r="X653" s="89"/>
      <c r="Y653" s="89"/>
      <c r="Z653" s="89"/>
      <c r="AA653" s="89"/>
      <c r="AB653" s="89"/>
      <c r="AC653" s="89"/>
      <c r="AD653" s="89"/>
    </row>
    <row r="654" spans="1:30" ht="13.8">
      <c r="A654" s="89"/>
      <c r="B654" s="89"/>
      <c r="C654" s="89"/>
      <c r="D654" s="89"/>
      <c r="E654" s="89"/>
      <c r="F654" s="110"/>
      <c r="G654" s="89"/>
      <c r="H654" s="110"/>
      <c r="I654" s="89"/>
      <c r="J654" s="110"/>
      <c r="K654" s="89"/>
      <c r="L654" s="89"/>
      <c r="M654" s="110"/>
      <c r="N654" s="89"/>
      <c r="O654" s="110"/>
      <c r="P654" s="89"/>
      <c r="Q654" s="110"/>
      <c r="R654" s="89"/>
      <c r="S654" s="89"/>
      <c r="T654" s="89"/>
      <c r="U654" s="89"/>
      <c r="V654" s="89"/>
      <c r="W654" s="89"/>
      <c r="X654" s="89"/>
      <c r="Y654" s="89"/>
      <c r="Z654" s="89"/>
      <c r="AA654" s="89"/>
      <c r="AB654" s="89"/>
      <c r="AC654" s="89"/>
      <c r="AD654" s="89"/>
    </row>
    <row r="655" spans="1:30" ht="13.8">
      <c r="A655" s="89"/>
      <c r="B655" s="89"/>
      <c r="C655" s="89"/>
      <c r="D655" s="89"/>
      <c r="E655" s="89"/>
      <c r="F655" s="110"/>
      <c r="G655" s="89"/>
      <c r="H655" s="110"/>
      <c r="I655" s="89"/>
      <c r="J655" s="110"/>
      <c r="K655" s="89"/>
      <c r="L655" s="89"/>
      <c r="M655" s="110"/>
      <c r="N655" s="89"/>
      <c r="O655" s="110"/>
      <c r="P655" s="89"/>
      <c r="Q655" s="110"/>
      <c r="R655" s="89"/>
      <c r="S655" s="89"/>
      <c r="T655" s="89"/>
      <c r="U655" s="89"/>
      <c r="V655" s="89"/>
      <c r="W655" s="89"/>
      <c r="X655" s="89"/>
      <c r="Y655" s="89"/>
      <c r="Z655" s="89"/>
      <c r="AA655" s="89"/>
      <c r="AB655" s="89"/>
      <c r="AC655" s="89"/>
      <c r="AD655" s="89"/>
    </row>
    <row r="656" spans="1:30" ht="13.8">
      <c r="A656" s="89"/>
      <c r="B656" s="89"/>
      <c r="C656" s="89"/>
      <c r="D656" s="89"/>
      <c r="E656" s="89"/>
      <c r="F656" s="110"/>
      <c r="G656" s="89"/>
      <c r="H656" s="110"/>
      <c r="I656" s="89"/>
      <c r="J656" s="110"/>
      <c r="K656" s="89"/>
      <c r="L656" s="89"/>
      <c r="M656" s="110"/>
      <c r="N656" s="89"/>
      <c r="O656" s="110"/>
      <c r="P656" s="89"/>
      <c r="Q656" s="110"/>
      <c r="R656" s="89"/>
      <c r="S656" s="89"/>
      <c r="T656" s="89"/>
      <c r="U656" s="89"/>
      <c r="V656" s="89"/>
      <c r="W656" s="89"/>
      <c r="X656" s="89"/>
      <c r="Y656" s="89"/>
      <c r="Z656" s="89"/>
      <c r="AA656" s="89"/>
      <c r="AB656" s="89"/>
      <c r="AC656" s="89"/>
      <c r="AD656" s="89"/>
    </row>
    <row r="657" spans="1:30" ht="13.8">
      <c r="A657" s="89"/>
      <c r="B657" s="89"/>
      <c r="C657" s="89"/>
      <c r="D657" s="89"/>
      <c r="E657" s="89"/>
      <c r="F657" s="110"/>
      <c r="G657" s="89"/>
      <c r="H657" s="110"/>
      <c r="I657" s="89"/>
      <c r="J657" s="110"/>
      <c r="K657" s="89"/>
      <c r="L657" s="89"/>
      <c r="M657" s="110"/>
      <c r="N657" s="89"/>
      <c r="O657" s="110"/>
      <c r="P657" s="89"/>
      <c r="Q657" s="110"/>
      <c r="R657" s="89"/>
      <c r="S657" s="89"/>
      <c r="T657" s="89"/>
      <c r="U657" s="89"/>
      <c r="V657" s="89"/>
      <c r="W657" s="89"/>
      <c r="X657" s="89"/>
      <c r="Y657" s="89"/>
      <c r="Z657" s="89"/>
      <c r="AA657" s="89"/>
      <c r="AB657" s="89"/>
      <c r="AC657" s="89"/>
      <c r="AD657" s="89"/>
    </row>
    <row r="658" spans="1:30" ht="13.8">
      <c r="A658" s="89"/>
      <c r="B658" s="89"/>
      <c r="C658" s="89"/>
      <c r="D658" s="89"/>
      <c r="E658" s="89"/>
      <c r="F658" s="110"/>
      <c r="G658" s="89"/>
      <c r="H658" s="110"/>
      <c r="I658" s="89"/>
      <c r="J658" s="110"/>
      <c r="K658" s="89"/>
      <c r="L658" s="89"/>
      <c r="M658" s="110"/>
      <c r="N658" s="89"/>
      <c r="O658" s="110"/>
      <c r="P658" s="89"/>
      <c r="Q658" s="110"/>
      <c r="R658" s="89"/>
      <c r="S658" s="89"/>
      <c r="T658" s="89"/>
      <c r="U658" s="89"/>
      <c r="V658" s="89"/>
      <c r="W658" s="89"/>
      <c r="X658" s="89"/>
      <c r="Y658" s="89"/>
      <c r="Z658" s="89"/>
      <c r="AA658" s="89"/>
      <c r="AB658" s="89"/>
      <c r="AC658" s="89"/>
      <c r="AD658" s="89"/>
    </row>
    <row r="659" spans="1:30" ht="13.8">
      <c r="A659" s="89"/>
      <c r="B659" s="89"/>
      <c r="C659" s="89"/>
      <c r="D659" s="89"/>
      <c r="E659" s="89"/>
      <c r="F659" s="110"/>
      <c r="G659" s="89"/>
      <c r="H659" s="110"/>
      <c r="I659" s="89"/>
      <c r="J659" s="110"/>
      <c r="K659" s="89"/>
      <c r="L659" s="89"/>
      <c r="M659" s="110"/>
      <c r="N659" s="89"/>
      <c r="O659" s="110"/>
      <c r="P659" s="89"/>
      <c r="Q659" s="110"/>
      <c r="R659" s="89"/>
      <c r="S659" s="89"/>
      <c r="T659" s="89"/>
      <c r="U659" s="89"/>
      <c r="V659" s="89"/>
      <c r="W659" s="89"/>
      <c r="X659" s="89"/>
      <c r="Y659" s="89"/>
      <c r="Z659" s="89"/>
      <c r="AA659" s="89"/>
      <c r="AB659" s="89"/>
      <c r="AC659" s="89"/>
      <c r="AD659" s="89"/>
    </row>
    <row r="660" spans="1:30" ht="13.8">
      <c r="A660" s="89"/>
      <c r="B660" s="89"/>
      <c r="C660" s="89"/>
      <c r="D660" s="89"/>
      <c r="E660" s="89"/>
      <c r="F660" s="110"/>
      <c r="G660" s="89"/>
      <c r="H660" s="110"/>
      <c r="I660" s="89"/>
      <c r="J660" s="110"/>
      <c r="K660" s="89"/>
      <c r="L660" s="89"/>
      <c r="M660" s="110"/>
      <c r="N660" s="89"/>
      <c r="O660" s="110"/>
      <c r="P660" s="89"/>
      <c r="Q660" s="110"/>
      <c r="R660" s="89"/>
      <c r="S660" s="89"/>
      <c r="T660" s="89"/>
      <c r="U660" s="89"/>
      <c r="V660" s="89"/>
      <c r="W660" s="89"/>
      <c r="X660" s="89"/>
      <c r="Y660" s="89"/>
      <c r="Z660" s="89"/>
      <c r="AA660" s="89"/>
      <c r="AB660" s="89"/>
      <c r="AC660" s="89"/>
      <c r="AD660" s="89"/>
    </row>
    <row r="661" spans="1:30" ht="13.8">
      <c r="A661" s="89"/>
      <c r="B661" s="89"/>
      <c r="C661" s="89"/>
      <c r="D661" s="89"/>
      <c r="E661" s="89"/>
      <c r="F661" s="110"/>
      <c r="G661" s="89"/>
      <c r="H661" s="110"/>
      <c r="I661" s="89"/>
      <c r="J661" s="110"/>
      <c r="K661" s="89"/>
      <c r="L661" s="89"/>
      <c r="M661" s="110"/>
      <c r="N661" s="89"/>
      <c r="O661" s="110"/>
      <c r="P661" s="89"/>
      <c r="Q661" s="110"/>
      <c r="R661" s="89"/>
      <c r="S661" s="89"/>
      <c r="T661" s="89"/>
      <c r="U661" s="89"/>
      <c r="V661" s="89"/>
      <c r="W661" s="89"/>
      <c r="X661" s="89"/>
      <c r="Y661" s="89"/>
      <c r="Z661" s="89"/>
      <c r="AA661" s="89"/>
      <c r="AB661" s="89"/>
      <c r="AC661" s="89"/>
      <c r="AD661" s="89"/>
    </row>
    <row r="662" spans="1:30" ht="13.8">
      <c r="A662" s="89"/>
      <c r="B662" s="89"/>
      <c r="C662" s="89"/>
      <c r="D662" s="89"/>
      <c r="E662" s="89"/>
      <c r="F662" s="110"/>
      <c r="G662" s="89"/>
      <c r="H662" s="110"/>
      <c r="I662" s="89"/>
      <c r="J662" s="110"/>
      <c r="K662" s="89"/>
      <c r="L662" s="89"/>
      <c r="M662" s="110"/>
      <c r="N662" s="89"/>
      <c r="O662" s="110"/>
      <c r="P662" s="89"/>
      <c r="Q662" s="110"/>
      <c r="R662" s="89"/>
      <c r="S662" s="89"/>
      <c r="T662" s="89"/>
      <c r="U662" s="89"/>
      <c r="V662" s="89"/>
      <c r="W662" s="89"/>
      <c r="X662" s="89"/>
      <c r="Y662" s="89"/>
      <c r="Z662" s="89"/>
      <c r="AA662" s="89"/>
      <c r="AB662" s="89"/>
      <c r="AC662" s="89"/>
      <c r="AD662" s="89"/>
    </row>
    <row r="663" spans="1:30" ht="13.8">
      <c r="A663" s="89"/>
      <c r="B663" s="89"/>
      <c r="C663" s="89"/>
      <c r="D663" s="89"/>
      <c r="E663" s="89"/>
      <c r="F663" s="110"/>
      <c r="G663" s="89"/>
      <c r="H663" s="110"/>
      <c r="I663" s="89"/>
      <c r="J663" s="110"/>
      <c r="K663" s="89"/>
      <c r="L663" s="89"/>
      <c r="M663" s="110"/>
      <c r="N663" s="89"/>
      <c r="O663" s="110"/>
      <c r="P663" s="89"/>
      <c r="Q663" s="110"/>
      <c r="R663" s="89"/>
      <c r="S663" s="89"/>
      <c r="T663" s="89"/>
      <c r="U663" s="89"/>
      <c r="V663" s="89"/>
      <c r="W663" s="89"/>
      <c r="X663" s="89"/>
      <c r="Y663" s="89"/>
      <c r="Z663" s="89"/>
      <c r="AA663" s="89"/>
      <c r="AB663" s="89"/>
      <c r="AC663" s="89"/>
      <c r="AD663" s="89"/>
    </row>
    <row r="664" spans="1:30" ht="13.8">
      <c r="A664" s="89"/>
      <c r="B664" s="89"/>
      <c r="C664" s="89"/>
      <c r="D664" s="89"/>
      <c r="E664" s="89"/>
      <c r="F664" s="110"/>
      <c r="G664" s="89"/>
      <c r="H664" s="110"/>
      <c r="I664" s="89"/>
      <c r="J664" s="110"/>
      <c r="K664" s="89"/>
      <c r="L664" s="89"/>
      <c r="M664" s="110"/>
      <c r="N664" s="89"/>
      <c r="O664" s="110"/>
      <c r="P664" s="89"/>
      <c r="Q664" s="110"/>
      <c r="R664" s="89"/>
      <c r="S664" s="89"/>
      <c r="T664" s="89"/>
      <c r="U664" s="89"/>
      <c r="V664" s="89"/>
      <c r="W664" s="89"/>
      <c r="X664" s="89"/>
      <c r="Y664" s="89"/>
      <c r="Z664" s="89"/>
      <c r="AA664" s="89"/>
      <c r="AB664" s="89"/>
      <c r="AC664" s="89"/>
      <c r="AD664" s="89"/>
    </row>
    <row r="665" spans="1:30" ht="13.8">
      <c r="A665" s="89"/>
      <c r="B665" s="89"/>
      <c r="C665" s="89"/>
      <c r="D665" s="89"/>
      <c r="E665" s="89"/>
      <c r="F665" s="110"/>
      <c r="G665" s="89"/>
      <c r="H665" s="110"/>
      <c r="I665" s="89"/>
      <c r="J665" s="110"/>
      <c r="K665" s="89"/>
      <c r="L665" s="89"/>
      <c r="M665" s="110"/>
      <c r="N665" s="89"/>
      <c r="O665" s="110"/>
      <c r="P665" s="89"/>
      <c r="Q665" s="110"/>
      <c r="R665" s="89"/>
      <c r="S665" s="89"/>
      <c r="T665" s="89"/>
      <c r="U665" s="89"/>
      <c r="V665" s="89"/>
      <c r="W665" s="89"/>
      <c r="X665" s="89"/>
      <c r="Y665" s="89"/>
      <c r="Z665" s="89"/>
      <c r="AA665" s="89"/>
      <c r="AB665" s="89"/>
      <c r="AC665" s="89"/>
      <c r="AD665" s="89"/>
    </row>
    <row r="666" spans="1:30" ht="13.8">
      <c r="A666" s="89"/>
      <c r="B666" s="89"/>
      <c r="C666" s="89"/>
      <c r="D666" s="89"/>
      <c r="E666" s="89"/>
      <c r="F666" s="110"/>
      <c r="G666" s="89"/>
      <c r="H666" s="110"/>
      <c r="I666" s="89"/>
      <c r="J666" s="110"/>
      <c r="K666" s="89"/>
      <c r="L666" s="89"/>
      <c r="M666" s="110"/>
      <c r="N666" s="89"/>
      <c r="O666" s="110"/>
      <c r="P666" s="89"/>
      <c r="Q666" s="110"/>
      <c r="R666" s="89"/>
      <c r="S666" s="89"/>
      <c r="T666" s="89"/>
      <c r="U666" s="89"/>
      <c r="V666" s="89"/>
      <c r="W666" s="89"/>
      <c r="X666" s="89"/>
      <c r="Y666" s="89"/>
      <c r="Z666" s="89"/>
      <c r="AA666" s="89"/>
      <c r="AB666" s="89"/>
      <c r="AC666" s="89"/>
      <c r="AD666" s="89"/>
    </row>
    <row r="667" spans="1:30" ht="13.8">
      <c r="A667" s="89"/>
      <c r="B667" s="89"/>
      <c r="C667" s="89"/>
      <c r="D667" s="89"/>
      <c r="E667" s="89"/>
      <c r="F667" s="110"/>
      <c r="G667" s="89"/>
      <c r="H667" s="110"/>
      <c r="I667" s="89"/>
      <c r="J667" s="110"/>
      <c r="K667" s="89"/>
      <c r="L667" s="89"/>
      <c r="M667" s="110"/>
      <c r="N667" s="89"/>
      <c r="O667" s="110"/>
      <c r="P667" s="89"/>
      <c r="Q667" s="110"/>
      <c r="R667" s="89"/>
      <c r="S667" s="89"/>
      <c r="T667" s="89"/>
      <c r="U667" s="89"/>
      <c r="V667" s="89"/>
      <c r="W667" s="89"/>
      <c r="X667" s="89"/>
      <c r="Y667" s="89"/>
      <c r="Z667" s="89"/>
      <c r="AA667" s="89"/>
      <c r="AB667" s="89"/>
      <c r="AC667" s="89"/>
      <c r="AD667" s="89"/>
    </row>
    <row r="668" spans="1:30" ht="13.8">
      <c r="A668" s="89"/>
      <c r="B668" s="89"/>
      <c r="C668" s="89"/>
      <c r="D668" s="89"/>
      <c r="E668" s="89"/>
      <c r="F668" s="110"/>
      <c r="G668" s="89"/>
      <c r="H668" s="110"/>
      <c r="I668" s="89"/>
      <c r="J668" s="110"/>
      <c r="K668" s="89"/>
      <c r="L668" s="89"/>
      <c r="M668" s="110"/>
      <c r="N668" s="89"/>
      <c r="O668" s="110"/>
      <c r="P668" s="89"/>
      <c r="Q668" s="110"/>
      <c r="R668" s="89"/>
      <c r="S668" s="89"/>
      <c r="T668" s="89"/>
      <c r="U668" s="89"/>
      <c r="V668" s="89"/>
      <c r="W668" s="89"/>
      <c r="X668" s="89"/>
      <c r="Y668" s="89"/>
      <c r="Z668" s="89"/>
      <c r="AA668" s="89"/>
      <c r="AB668" s="89"/>
      <c r="AC668" s="89"/>
      <c r="AD668" s="89"/>
    </row>
    <row r="669" spans="1:30" ht="13.8">
      <c r="A669" s="89"/>
      <c r="B669" s="89"/>
      <c r="C669" s="89"/>
      <c r="D669" s="89"/>
      <c r="E669" s="89"/>
      <c r="F669" s="110"/>
      <c r="G669" s="89"/>
      <c r="H669" s="110"/>
      <c r="I669" s="89"/>
      <c r="J669" s="110"/>
      <c r="K669" s="89"/>
      <c r="L669" s="89"/>
      <c r="M669" s="110"/>
      <c r="N669" s="89"/>
      <c r="O669" s="110"/>
      <c r="P669" s="89"/>
      <c r="Q669" s="110"/>
      <c r="R669" s="89"/>
      <c r="S669" s="89"/>
      <c r="T669" s="89"/>
      <c r="U669" s="89"/>
      <c r="V669" s="89"/>
      <c r="W669" s="89"/>
      <c r="X669" s="89"/>
      <c r="Y669" s="89"/>
      <c r="Z669" s="89"/>
      <c r="AA669" s="89"/>
      <c r="AB669" s="89"/>
      <c r="AC669" s="89"/>
      <c r="AD669" s="89"/>
    </row>
    <row r="670" spans="1:30" ht="13.8">
      <c r="A670" s="89"/>
      <c r="B670" s="89"/>
      <c r="C670" s="89"/>
      <c r="D670" s="89"/>
      <c r="E670" s="89"/>
      <c r="F670" s="110"/>
      <c r="G670" s="89"/>
      <c r="H670" s="110"/>
      <c r="I670" s="89"/>
      <c r="J670" s="110"/>
      <c r="K670" s="89"/>
      <c r="L670" s="89"/>
      <c r="M670" s="110"/>
      <c r="N670" s="89"/>
      <c r="O670" s="110"/>
      <c r="P670" s="89"/>
      <c r="Q670" s="110"/>
      <c r="R670" s="89"/>
      <c r="S670" s="89"/>
      <c r="T670" s="89"/>
      <c r="U670" s="89"/>
      <c r="V670" s="89"/>
      <c r="W670" s="89"/>
      <c r="X670" s="89"/>
      <c r="Y670" s="89"/>
      <c r="Z670" s="89"/>
      <c r="AA670" s="89"/>
      <c r="AB670" s="89"/>
      <c r="AC670" s="89"/>
      <c r="AD670" s="89"/>
    </row>
    <row r="671" spans="1:30" ht="13.8">
      <c r="A671" s="89"/>
      <c r="B671" s="89"/>
      <c r="C671" s="89"/>
      <c r="D671" s="89"/>
      <c r="E671" s="89"/>
      <c r="F671" s="110"/>
      <c r="G671" s="89"/>
      <c r="H671" s="110"/>
      <c r="I671" s="89"/>
      <c r="J671" s="110"/>
      <c r="K671" s="89"/>
      <c r="L671" s="89"/>
      <c r="M671" s="110"/>
      <c r="N671" s="89"/>
      <c r="O671" s="110"/>
      <c r="P671" s="89"/>
      <c r="Q671" s="110"/>
      <c r="R671" s="89"/>
      <c r="S671" s="89"/>
      <c r="T671" s="89"/>
      <c r="U671" s="89"/>
      <c r="V671" s="89"/>
      <c r="W671" s="89"/>
      <c r="X671" s="89"/>
      <c r="Y671" s="89"/>
      <c r="Z671" s="89"/>
      <c r="AA671" s="89"/>
      <c r="AB671" s="89"/>
      <c r="AC671" s="89"/>
      <c r="AD671" s="89"/>
    </row>
    <row r="672" spans="1:30" ht="13.8">
      <c r="A672" s="89"/>
      <c r="B672" s="89"/>
      <c r="C672" s="89"/>
      <c r="D672" s="89"/>
      <c r="E672" s="89"/>
      <c r="F672" s="110"/>
      <c r="G672" s="89"/>
      <c r="H672" s="110"/>
      <c r="I672" s="89"/>
      <c r="J672" s="110"/>
      <c r="K672" s="89"/>
      <c r="L672" s="89"/>
      <c r="M672" s="110"/>
      <c r="N672" s="89"/>
      <c r="O672" s="110"/>
      <c r="P672" s="89"/>
      <c r="Q672" s="110"/>
      <c r="R672" s="89"/>
      <c r="S672" s="89"/>
      <c r="T672" s="89"/>
      <c r="U672" s="89"/>
      <c r="V672" s="89"/>
      <c r="W672" s="89"/>
      <c r="X672" s="89"/>
      <c r="Y672" s="89"/>
      <c r="Z672" s="89"/>
      <c r="AA672" s="89"/>
      <c r="AB672" s="89"/>
      <c r="AC672" s="89"/>
      <c r="AD672" s="89"/>
    </row>
    <row r="673" spans="1:30" ht="13.8">
      <c r="A673" s="89"/>
      <c r="B673" s="89"/>
      <c r="C673" s="89"/>
      <c r="D673" s="89"/>
      <c r="E673" s="89"/>
      <c r="F673" s="110"/>
      <c r="G673" s="89"/>
      <c r="H673" s="110"/>
      <c r="I673" s="89"/>
      <c r="J673" s="110"/>
      <c r="K673" s="89"/>
      <c r="L673" s="89"/>
      <c r="M673" s="110"/>
      <c r="N673" s="89"/>
      <c r="O673" s="110"/>
      <c r="P673" s="89"/>
      <c r="Q673" s="110"/>
      <c r="R673" s="89"/>
      <c r="S673" s="89"/>
      <c r="T673" s="89"/>
      <c r="U673" s="89"/>
      <c r="V673" s="89"/>
      <c r="W673" s="89"/>
      <c r="X673" s="89"/>
      <c r="Y673" s="89"/>
      <c r="Z673" s="89"/>
      <c r="AA673" s="89"/>
      <c r="AB673" s="89"/>
      <c r="AC673" s="89"/>
      <c r="AD673" s="89"/>
    </row>
    <row r="674" spans="1:30" ht="13.8">
      <c r="A674" s="89"/>
      <c r="B674" s="89"/>
      <c r="C674" s="89"/>
      <c r="D674" s="89"/>
      <c r="E674" s="89"/>
      <c r="F674" s="110"/>
      <c r="G674" s="89"/>
      <c r="H674" s="110"/>
      <c r="I674" s="89"/>
      <c r="J674" s="110"/>
      <c r="K674" s="89"/>
      <c r="L674" s="89"/>
      <c r="M674" s="110"/>
      <c r="N674" s="89"/>
      <c r="O674" s="110"/>
      <c r="P674" s="89"/>
      <c r="Q674" s="110"/>
      <c r="R674" s="89"/>
      <c r="S674" s="89"/>
      <c r="T674" s="89"/>
      <c r="U674" s="89"/>
      <c r="V674" s="89"/>
      <c r="W674" s="89"/>
      <c r="X674" s="89"/>
      <c r="Y674" s="89"/>
      <c r="Z674" s="89"/>
      <c r="AA674" s="89"/>
      <c r="AB674" s="89"/>
      <c r="AC674" s="89"/>
      <c r="AD674" s="89"/>
    </row>
    <row r="675" spans="1:30" ht="13.8">
      <c r="A675" s="89"/>
      <c r="B675" s="89"/>
      <c r="C675" s="89"/>
      <c r="D675" s="89"/>
      <c r="E675" s="89"/>
      <c r="F675" s="110"/>
      <c r="G675" s="89"/>
      <c r="H675" s="110"/>
      <c r="I675" s="89"/>
      <c r="J675" s="110"/>
      <c r="K675" s="89"/>
      <c r="L675" s="89"/>
      <c r="M675" s="110"/>
      <c r="N675" s="89"/>
      <c r="O675" s="110"/>
      <c r="P675" s="89"/>
      <c r="Q675" s="110"/>
      <c r="R675" s="89"/>
      <c r="S675" s="89"/>
      <c r="T675" s="89"/>
      <c r="U675" s="89"/>
      <c r="V675" s="89"/>
      <c r="W675" s="89"/>
      <c r="X675" s="89"/>
      <c r="Y675" s="89"/>
      <c r="Z675" s="89"/>
      <c r="AA675" s="89"/>
      <c r="AB675" s="89"/>
      <c r="AC675" s="89"/>
      <c r="AD675" s="89"/>
    </row>
    <row r="676" spans="1:30" ht="13.8">
      <c r="A676" s="89"/>
      <c r="B676" s="89"/>
      <c r="C676" s="89"/>
      <c r="D676" s="89"/>
      <c r="E676" s="89"/>
      <c r="F676" s="110"/>
      <c r="G676" s="89"/>
      <c r="H676" s="110"/>
      <c r="I676" s="89"/>
      <c r="J676" s="110"/>
      <c r="K676" s="89"/>
      <c r="L676" s="89"/>
      <c r="M676" s="110"/>
      <c r="N676" s="89"/>
      <c r="O676" s="110"/>
      <c r="P676" s="89"/>
      <c r="Q676" s="110"/>
      <c r="R676" s="89"/>
      <c r="S676" s="89"/>
      <c r="T676" s="89"/>
      <c r="U676" s="89"/>
      <c r="V676" s="89"/>
      <c r="W676" s="89"/>
      <c r="X676" s="89"/>
      <c r="Y676" s="89"/>
      <c r="Z676" s="89"/>
      <c r="AA676" s="89"/>
      <c r="AB676" s="89"/>
      <c r="AC676" s="89"/>
      <c r="AD676" s="89"/>
    </row>
    <row r="677" spans="1:30" ht="13.8">
      <c r="A677" s="89"/>
      <c r="B677" s="89"/>
      <c r="C677" s="89"/>
      <c r="D677" s="89"/>
      <c r="E677" s="89"/>
      <c r="F677" s="110"/>
      <c r="G677" s="89"/>
      <c r="H677" s="110"/>
      <c r="I677" s="89"/>
      <c r="J677" s="110"/>
      <c r="K677" s="89"/>
      <c r="L677" s="89"/>
      <c r="M677" s="110"/>
      <c r="N677" s="89"/>
      <c r="O677" s="110"/>
      <c r="P677" s="89"/>
      <c r="Q677" s="110"/>
      <c r="R677" s="89"/>
      <c r="S677" s="89"/>
      <c r="T677" s="89"/>
      <c r="U677" s="89"/>
      <c r="V677" s="89"/>
      <c r="W677" s="89"/>
      <c r="X677" s="89"/>
      <c r="Y677" s="89"/>
      <c r="Z677" s="89"/>
      <c r="AA677" s="89"/>
      <c r="AB677" s="89"/>
      <c r="AC677" s="89"/>
      <c r="AD677" s="89"/>
    </row>
    <row r="678" spans="1:30" ht="13.8">
      <c r="A678" s="89"/>
      <c r="B678" s="89"/>
      <c r="C678" s="89"/>
      <c r="D678" s="89"/>
      <c r="E678" s="89"/>
      <c r="F678" s="110"/>
      <c r="G678" s="89"/>
      <c r="H678" s="110"/>
      <c r="I678" s="89"/>
      <c r="J678" s="110"/>
      <c r="K678" s="89"/>
      <c r="L678" s="89"/>
      <c r="M678" s="110"/>
      <c r="N678" s="89"/>
      <c r="O678" s="110"/>
      <c r="P678" s="89"/>
      <c r="Q678" s="110"/>
      <c r="R678" s="89"/>
      <c r="S678" s="89"/>
      <c r="T678" s="89"/>
      <c r="U678" s="89"/>
      <c r="V678" s="89"/>
      <c r="W678" s="89"/>
      <c r="X678" s="89"/>
      <c r="Y678" s="89"/>
      <c r="Z678" s="89"/>
      <c r="AA678" s="89"/>
      <c r="AB678" s="89"/>
      <c r="AC678" s="89"/>
      <c r="AD678" s="89"/>
    </row>
    <row r="679" spans="1:30" ht="13.8">
      <c r="A679" s="89"/>
      <c r="B679" s="89"/>
      <c r="C679" s="89"/>
      <c r="D679" s="89"/>
      <c r="E679" s="89"/>
      <c r="F679" s="110"/>
      <c r="G679" s="89"/>
      <c r="H679" s="110"/>
      <c r="I679" s="89"/>
      <c r="J679" s="110"/>
      <c r="K679" s="89"/>
      <c r="L679" s="89"/>
      <c r="M679" s="110"/>
      <c r="N679" s="89"/>
      <c r="O679" s="110"/>
      <c r="P679" s="89"/>
      <c r="Q679" s="110"/>
      <c r="R679" s="89"/>
      <c r="S679" s="89"/>
      <c r="T679" s="89"/>
      <c r="U679" s="89"/>
      <c r="V679" s="89"/>
      <c r="W679" s="89"/>
      <c r="X679" s="89"/>
      <c r="Y679" s="89"/>
      <c r="Z679" s="89"/>
      <c r="AA679" s="89"/>
      <c r="AB679" s="89"/>
      <c r="AC679" s="89"/>
      <c r="AD679" s="89"/>
    </row>
    <row r="680" spans="1:30" ht="13.8">
      <c r="A680" s="89"/>
      <c r="B680" s="89"/>
      <c r="C680" s="89"/>
      <c r="D680" s="89"/>
      <c r="E680" s="89"/>
      <c r="F680" s="110"/>
      <c r="G680" s="89"/>
      <c r="H680" s="110"/>
      <c r="I680" s="89"/>
      <c r="J680" s="110"/>
      <c r="K680" s="89"/>
      <c r="L680" s="89"/>
      <c r="M680" s="110"/>
      <c r="N680" s="89"/>
      <c r="O680" s="110"/>
      <c r="P680" s="89"/>
      <c r="Q680" s="110"/>
      <c r="R680" s="89"/>
      <c r="S680" s="89"/>
      <c r="T680" s="89"/>
      <c r="U680" s="89"/>
      <c r="V680" s="89"/>
      <c r="W680" s="89"/>
      <c r="X680" s="89"/>
      <c r="Y680" s="89"/>
      <c r="Z680" s="89"/>
      <c r="AA680" s="89"/>
      <c r="AB680" s="89"/>
      <c r="AC680" s="89"/>
      <c r="AD680" s="89"/>
    </row>
    <row r="681" spans="1:30" ht="13.8">
      <c r="A681" s="89"/>
      <c r="B681" s="89"/>
      <c r="C681" s="89"/>
      <c r="D681" s="89"/>
      <c r="E681" s="89"/>
      <c r="F681" s="110"/>
      <c r="G681" s="89"/>
      <c r="H681" s="110"/>
      <c r="I681" s="89"/>
      <c r="J681" s="110"/>
      <c r="K681" s="89"/>
      <c r="L681" s="89"/>
      <c r="M681" s="110"/>
      <c r="N681" s="89"/>
      <c r="O681" s="110"/>
      <c r="P681" s="89"/>
      <c r="Q681" s="110"/>
      <c r="R681" s="89"/>
      <c r="S681" s="89"/>
      <c r="T681" s="89"/>
      <c r="U681" s="89"/>
      <c r="V681" s="89"/>
      <c r="W681" s="89"/>
      <c r="X681" s="89"/>
      <c r="Y681" s="89"/>
      <c r="Z681" s="89"/>
      <c r="AA681" s="89"/>
      <c r="AB681" s="89"/>
      <c r="AC681" s="89"/>
      <c r="AD681" s="89"/>
    </row>
    <row r="682" spans="1:30" ht="13.8">
      <c r="A682" s="89"/>
      <c r="B682" s="89"/>
      <c r="C682" s="89"/>
      <c r="D682" s="89"/>
      <c r="E682" s="89"/>
      <c r="F682" s="110"/>
      <c r="G682" s="89"/>
      <c r="H682" s="110"/>
      <c r="I682" s="89"/>
      <c r="J682" s="110"/>
      <c r="K682" s="89"/>
      <c r="L682" s="89"/>
      <c r="M682" s="110"/>
      <c r="N682" s="89"/>
      <c r="O682" s="110"/>
      <c r="P682" s="89"/>
      <c r="Q682" s="110"/>
      <c r="R682" s="89"/>
      <c r="S682" s="89"/>
      <c r="T682" s="89"/>
      <c r="U682" s="89"/>
      <c r="V682" s="89"/>
      <c r="W682" s="89"/>
      <c r="X682" s="89"/>
      <c r="Y682" s="89"/>
      <c r="Z682" s="89"/>
      <c r="AA682" s="89"/>
      <c r="AB682" s="89"/>
      <c r="AC682" s="89"/>
      <c r="AD682" s="89"/>
    </row>
    <row r="683" spans="1:30" ht="13.8">
      <c r="A683" s="89"/>
      <c r="B683" s="89"/>
      <c r="C683" s="89"/>
      <c r="D683" s="89"/>
      <c r="E683" s="89"/>
      <c r="F683" s="110"/>
      <c r="G683" s="89"/>
      <c r="H683" s="110"/>
      <c r="I683" s="89"/>
      <c r="J683" s="110"/>
      <c r="K683" s="89"/>
      <c r="L683" s="89"/>
      <c r="M683" s="110"/>
      <c r="N683" s="89"/>
      <c r="O683" s="110"/>
      <c r="P683" s="89"/>
      <c r="Q683" s="110"/>
      <c r="R683" s="89"/>
      <c r="S683" s="89"/>
      <c r="T683" s="89"/>
      <c r="U683" s="89"/>
      <c r="V683" s="89"/>
      <c r="W683" s="89"/>
      <c r="X683" s="89"/>
      <c r="Y683" s="89"/>
      <c r="Z683" s="89"/>
      <c r="AA683" s="89"/>
      <c r="AB683" s="89"/>
      <c r="AC683" s="89"/>
      <c r="AD683" s="89"/>
    </row>
    <row r="684" spans="1:30" ht="13.8">
      <c r="A684" s="89"/>
      <c r="B684" s="89"/>
      <c r="C684" s="89"/>
      <c r="D684" s="89"/>
      <c r="E684" s="89"/>
      <c r="F684" s="110"/>
      <c r="G684" s="89"/>
      <c r="H684" s="110"/>
      <c r="I684" s="89"/>
      <c r="J684" s="110"/>
      <c r="K684" s="89"/>
      <c r="L684" s="89"/>
      <c r="M684" s="110"/>
      <c r="N684" s="89"/>
      <c r="O684" s="110"/>
      <c r="P684" s="89"/>
      <c r="Q684" s="110"/>
      <c r="R684" s="89"/>
      <c r="S684" s="89"/>
      <c r="T684" s="89"/>
      <c r="U684" s="89"/>
      <c r="V684" s="89"/>
      <c r="W684" s="89"/>
      <c r="X684" s="89"/>
      <c r="Y684" s="89"/>
      <c r="Z684" s="89"/>
      <c r="AA684" s="89"/>
      <c r="AB684" s="89"/>
      <c r="AC684" s="89"/>
      <c r="AD684" s="89"/>
    </row>
    <row r="685" spans="1:30" ht="13.8">
      <c r="A685" s="89"/>
      <c r="B685" s="89"/>
      <c r="C685" s="89"/>
      <c r="D685" s="89"/>
      <c r="E685" s="89"/>
      <c r="F685" s="110"/>
      <c r="G685" s="89"/>
      <c r="H685" s="110"/>
      <c r="I685" s="89"/>
      <c r="J685" s="110"/>
      <c r="K685" s="89"/>
      <c r="L685" s="89"/>
      <c r="M685" s="110"/>
      <c r="N685" s="89"/>
      <c r="O685" s="110"/>
      <c r="P685" s="89"/>
      <c r="Q685" s="110"/>
      <c r="R685" s="89"/>
      <c r="S685" s="89"/>
      <c r="T685" s="89"/>
      <c r="U685" s="89"/>
      <c r="V685" s="89"/>
      <c r="W685" s="89"/>
      <c r="X685" s="89"/>
      <c r="Y685" s="89"/>
      <c r="Z685" s="89"/>
      <c r="AA685" s="89"/>
      <c r="AB685" s="89"/>
      <c r="AC685" s="89"/>
      <c r="AD685" s="89"/>
    </row>
    <row r="686" spans="1:30" ht="13.8">
      <c r="A686" s="89"/>
      <c r="B686" s="89"/>
      <c r="C686" s="89"/>
      <c r="D686" s="89"/>
      <c r="E686" s="89"/>
      <c r="F686" s="110"/>
      <c r="G686" s="89"/>
      <c r="H686" s="110"/>
      <c r="I686" s="89"/>
      <c r="J686" s="110"/>
      <c r="K686" s="89"/>
      <c r="L686" s="89"/>
      <c r="M686" s="110"/>
      <c r="N686" s="89"/>
      <c r="O686" s="110"/>
      <c r="P686" s="89"/>
      <c r="Q686" s="110"/>
      <c r="R686" s="89"/>
      <c r="S686" s="89"/>
      <c r="T686" s="89"/>
      <c r="U686" s="89"/>
      <c r="V686" s="89"/>
      <c r="W686" s="89"/>
      <c r="X686" s="89"/>
      <c r="Y686" s="89"/>
      <c r="Z686" s="89"/>
      <c r="AA686" s="89"/>
      <c r="AB686" s="89"/>
      <c r="AC686" s="89"/>
      <c r="AD686" s="89"/>
    </row>
    <row r="687" spans="1:30" ht="13.8">
      <c r="A687" s="89"/>
      <c r="B687" s="89"/>
      <c r="C687" s="89"/>
      <c r="D687" s="89"/>
      <c r="E687" s="89"/>
      <c r="F687" s="110"/>
      <c r="G687" s="89"/>
      <c r="H687" s="110"/>
      <c r="I687" s="89"/>
      <c r="J687" s="110"/>
      <c r="K687" s="89"/>
      <c r="L687" s="89"/>
      <c r="M687" s="110"/>
      <c r="N687" s="89"/>
      <c r="O687" s="110"/>
      <c r="P687" s="89"/>
      <c r="Q687" s="110"/>
      <c r="R687" s="89"/>
      <c r="S687" s="89"/>
      <c r="T687" s="89"/>
      <c r="U687" s="89"/>
      <c r="V687" s="89"/>
      <c r="W687" s="89"/>
      <c r="X687" s="89"/>
      <c r="Y687" s="89"/>
      <c r="Z687" s="89"/>
      <c r="AA687" s="89"/>
      <c r="AB687" s="89"/>
      <c r="AC687" s="89"/>
      <c r="AD687" s="89"/>
    </row>
    <row r="688" spans="1:30" ht="13.8">
      <c r="A688" s="89"/>
      <c r="B688" s="89"/>
      <c r="C688" s="89"/>
      <c r="D688" s="89"/>
      <c r="E688" s="89"/>
      <c r="F688" s="110"/>
      <c r="G688" s="89"/>
      <c r="H688" s="110"/>
      <c r="I688" s="89"/>
      <c r="J688" s="110"/>
      <c r="K688" s="89"/>
      <c r="L688" s="89"/>
      <c r="M688" s="110"/>
      <c r="N688" s="89"/>
      <c r="O688" s="110"/>
      <c r="P688" s="89"/>
      <c r="Q688" s="110"/>
      <c r="R688" s="89"/>
      <c r="S688" s="89"/>
      <c r="T688" s="89"/>
      <c r="U688" s="89"/>
      <c r="V688" s="89"/>
      <c r="W688" s="89"/>
      <c r="X688" s="89"/>
      <c r="Y688" s="89"/>
      <c r="Z688" s="89"/>
      <c r="AA688" s="89"/>
      <c r="AB688" s="89"/>
      <c r="AC688" s="89"/>
      <c r="AD688" s="89"/>
    </row>
    <row r="689" spans="1:30" ht="13.8">
      <c r="A689" s="89"/>
      <c r="B689" s="89"/>
      <c r="C689" s="89"/>
      <c r="D689" s="89"/>
      <c r="E689" s="89"/>
      <c r="F689" s="110"/>
      <c r="G689" s="89"/>
      <c r="H689" s="110"/>
      <c r="I689" s="89"/>
      <c r="J689" s="110"/>
      <c r="K689" s="89"/>
      <c r="L689" s="89"/>
      <c r="M689" s="110"/>
      <c r="N689" s="89"/>
      <c r="O689" s="110"/>
      <c r="P689" s="89"/>
      <c r="Q689" s="110"/>
      <c r="R689" s="89"/>
      <c r="S689" s="89"/>
      <c r="T689" s="89"/>
      <c r="U689" s="89"/>
      <c r="V689" s="89"/>
      <c r="W689" s="89"/>
      <c r="X689" s="89"/>
      <c r="Y689" s="89"/>
      <c r="Z689" s="89"/>
      <c r="AA689" s="89"/>
      <c r="AB689" s="89"/>
      <c r="AC689" s="89"/>
      <c r="AD689" s="89"/>
    </row>
    <row r="690" spans="1:30" ht="13.8">
      <c r="A690" s="89"/>
      <c r="B690" s="89"/>
      <c r="C690" s="89"/>
      <c r="D690" s="89"/>
      <c r="E690" s="89"/>
      <c r="F690" s="110"/>
      <c r="G690" s="89"/>
      <c r="H690" s="110"/>
      <c r="I690" s="89"/>
      <c r="J690" s="110"/>
      <c r="K690" s="89"/>
      <c r="L690" s="89"/>
      <c r="M690" s="110"/>
      <c r="N690" s="89"/>
      <c r="O690" s="110"/>
      <c r="P690" s="89"/>
      <c r="Q690" s="110"/>
      <c r="R690" s="89"/>
      <c r="S690" s="89"/>
      <c r="T690" s="89"/>
      <c r="U690" s="89"/>
      <c r="V690" s="89"/>
      <c r="W690" s="89"/>
      <c r="X690" s="89"/>
      <c r="Y690" s="89"/>
      <c r="Z690" s="89"/>
      <c r="AA690" s="89"/>
      <c r="AB690" s="89"/>
      <c r="AC690" s="89"/>
      <c r="AD690" s="89"/>
    </row>
    <row r="691" spans="1:30" ht="13.8">
      <c r="A691" s="89"/>
      <c r="B691" s="89"/>
      <c r="C691" s="89"/>
      <c r="D691" s="89"/>
      <c r="E691" s="89"/>
      <c r="F691" s="110"/>
      <c r="G691" s="89"/>
      <c r="H691" s="110"/>
      <c r="I691" s="89"/>
      <c r="J691" s="110"/>
      <c r="K691" s="89"/>
      <c r="L691" s="89"/>
      <c r="M691" s="110"/>
      <c r="N691" s="89"/>
      <c r="O691" s="110"/>
      <c r="P691" s="89"/>
      <c r="Q691" s="110"/>
      <c r="R691" s="89"/>
      <c r="S691" s="89"/>
      <c r="T691" s="89"/>
      <c r="U691" s="89"/>
      <c r="V691" s="89"/>
      <c r="W691" s="89"/>
      <c r="X691" s="89"/>
      <c r="Y691" s="89"/>
      <c r="Z691" s="89"/>
      <c r="AA691" s="89"/>
      <c r="AB691" s="89"/>
      <c r="AC691" s="89"/>
      <c r="AD691" s="89"/>
    </row>
    <row r="692" spans="1:30" ht="13.8">
      <c r="A692" s="89"/>
      <c r="B692" s="89"/>
      <c r="C692" s="89"/>
      <c r="D692" s="89"/>
      <c r="E692" s="89"/>
      <c r="F692" s="110"/>
      <c r="G692" s="89"/>
      <c r="H692" s="110"/>
      <c r="I692" s="89"/>
      <c r="J692" s="110"/>
      <c r="K692" s="89"/>
      <c r="L692" s="89"/>
      <c r="M692" s="110"/>
      <c r="N692" s="89"/>
      <c r="O692" s="110"/>
      <c r="P692" s="89"/>
      <c r="Q692" s="110"/>
      <c r="R692" s="89"/>
      <c r="S692" s="89"/>
      <c r="T692" s="89"/>
      <c r="U692" s="89"/>
      <c r="V692" s="89"/>
      <c r="W692" s="89"/>
      <c r="X692" s="89"/>
      <c r="Y692" s="89"/>
      <c r="Z692" s="89"/>
      <c r="AA692" s="89"/>
      <c r="AB692" s="89"/>
      <c r="AC692" s="89"/>
      <c r="AD692" s="89"/>
    </row>
    <row r="693" spans="1:30" ht="13.8">
      <c r="A693" s="89"/>
      <c r="B693" s="89"/>
      <c r="C693" s="89"/>
      <c r="D693" s="89"/>
      <c r="E693" s="89"/>
      <c r="F693" s="110"/>
      <c r="G693" s="89"/>
      <c r="H693" s="110"/>
      <c r="I693" s="89"/>
      <c r="J693" s="110"/>
      <c r="K693" s="89"/>
      <c r="L693" s="89"/>
      <c r="M693" s="110"/>
      <c r="N693" s="89"/>
      <c r="O693" s="110"/>
      <c r="P693" s="89"/>
      <c r="Q693" s="110"/>
      <c r="R693" s="89"/>
      <c r="S693" s="89"/>
      <c r="T693" s="89"/>
      <c r="U693" s="89"/>
      <c r="V693" s="89"/>
      <c r="W693" s="89"/>
      <c r="X693" s="89"/>
      <c r="Y693" s="89"/>
      <c r="Z693" s="89"/>
      <c r="AA693" s="89"/>
      <c r="AB693" s="89"/>
      <c r="AC693" s="89"/>
      <c r="AD693" s="89"/>
    </row>
    <row r="694" spans="1:30" ht="13.8">
      <c r="A694" s="89"/>
      <c r="B694" s="89"/>
      <c r="C694" s="89"/>
      <c r="D694" s="89"/>
      <c r="E694" s="89"/>
      <c r="F694" s="110"/>
      <c r="G694" s="89"/>
      <c r="H694" s="110"/>
      <c r="I694" s="89"/>
      <c r="J694" s="110"/>
      <c r="K694" s="89"/>
      <c r="L694" s="89"/>
      <c r="M694" s="110"/>
      <c r="N694" s="89"/>
      <c r="O694" s="110"/>
      <c r="P694" s="89"/>
      <c r="Q694" s="110"/>
      <c r="R694" s="89"/>
      <c r="S694" s="89"/>
      <c r="T694" s="89"/>
      <c r="U694" s="89"/>
      <c r="V694" s="89"/>
      <c r="W694" s="89"/>
      <c r="X694" s="89"/>
      <c r="Y694" s="89"/>
      <c r="Z694" s="89"/>
      <c r="AA694" s="89"/>
      <c r="AB694" s="89"/>
      <c r="AC694" s="89"/>
      <c r="AD694" s="89"/>
    </row>
    <row r="695" spans="1:30" ht="13.8">
      <c r="A695" s="89"/>
      <c r="B695" s="89"/>
      <c r="C695" s="89"/>
      <c r="D695" s="89"/>
      <c r="E695" s="89"/>
      <c r="F695" s="110"/>
      <c r="G695" s="89"/>
      <c r="H695" s="110"/>
      <c r="I695" s="89"/>
      <c r="J695" s="110"/>
      <c r="K695" s="89"/>
      <c r="L695" s="89"/>
      <c r="M695" s="110"/>
      <c r="N695" s="89"/>
      <c r="O695" s="110"/>
      <c r="P695" s="89"/>
      <c r="Q695" s="110"/>
      <c r="R695" s="89"/>
      <c r="S695" s="89"/>
      <c r="T695" s="89"/>
      <c r="U695" s="89"/>
      <c r="V695" s="89"/>
      <c r="W695" s="89"/>
      <c r="X695" s="89"/>
      <c r="Y695" s="89"/>
      <c r="Z695" s="89"/>
      <c r="AA695" s="89"/>
      <c r="AB695" s="89"/>
      <c r="AC695" s="89"/>
      <c r="AD695" s="89"/>
    </row>
    <row r="696" spans="1:30" ht="13.8">
      <c r="A696" s="89"/>
      <c r="B696" s="89"/>
      <c r="C696" s="89"/>
      <c r="D696" s="89"/>
      <c r="E696" s="89"/>
      <c r="F696" s="110"/>
      <c r="G696" s="89"/>
      <c r="H696" s="110"/>
      <c r="I696" s="89"/>
      <c r="J696" s="110"/>
      <c r="K696" s="89"/>
      <c r="L696" s="89"/>
      <c r="M696" s="110"/>
      <c r="N696" s="89"/>
      <c r="O696" s="110"/>
      <c r="P696" s="89"/>
      <c r="Q696" s="110"/>
      <c r="R696" s="89"/>
      <c r="S696" s="89"/>
      <c r="T696" s="89"/>
      <c r="U696" s="89"/>
      <c r="V696" s="89"/>
      <c r="W696" s="89"/>
      <c r="X696" s="89"/>
      <c r="Y696" s="89"/>
      <c r="Z696" s="89"/>
      <c r="AA696" s="89"/>
      <c r="AB696" s="89"/>
      <c r="AC696" s="89"/>
      <c r="AD696" s="89"/>
    </row>
    <row r="697" spans="1:30" ht="13.8">
      <c r="A697" s="89"/>
      <c r="B697" s="89"/>
      <c r="C697" s="89"/>
      <c r="D697" s="89"/>
      <c r="E697" s="89"/>
      <c r="F697" s="110"/>
      <c r="G697" s="89"/>
      <c r="H697" s="110"/>
      <c r="I697" s="89"/>
      <c r="J697" s="110"/>
      <c r="K697" s="89"/>
      <c r="L697" s="89"/>
      <c r="M697" s="110"/>
      <c r="N697" s="89"/>
      <c r="O697" s="110"/>
      <c r="P697" s="89"/>
      <c r="Q697" s="110"/>
      <c r="R697" s="89"/>
      <c r="S697" s="89"/>
      <c r="T697" s="89"/>
      <c r="U697" s="89"/>
      <c r="V697" s="89"/>
      <c r="W697" s="89"/>
      <c r="X697" s="89"/>
      <c r="Y697" s="89"/>
      <c r="Z697" s="89"/>
      <c r="AA697" s="89"/>
      <c r="AB697" s="89"/>
      <c r="AC697" s="89"/>
      <c r="AD697" s="89"/>
    </row>
    <row r="698" spans="1:30" ht="13.8">
      <c r="A698" s="89"/>
      <c r="B698" s="89"/>
      <c r="C698" s="89"/>
      <c r="D698" s="89"/>
      <c r="E698" s="89"/>
      <c r="F698" s="110"/>
      <c r="G698" s="89"/>
      <c r="H698" s="110"/>
      <c r="I698" s="89"/>
      <c r="J698" s="110"/>
      <c r="K698" s="89"/>
      <c r="L698" s="89"/>
      <c r="M698" s="110"/>
      <c r="N698" s="89"/>
      <c r="O698" s="110"/>
      <c r="P698" s="89"/>
      <c r="Q698" s="110"/>
      <c r="R698" s="89"/>
      <c r="S698" s="89"/>
      <c r="T698" s="89"/>
      <c r="U698" s="89"/>
      <c r="V698" s="89"/>
      <c r="W698" s="89"/>
      <c r="X698" s="89"/>
      <c r="Y698" s="89"/>
      <c r="Z698" s="89"/>
      <c r="AA698" s="89"/>
      <c r="AB698" s="89"/>
      <c r="AC698" s="89"/>
      <c r="AD698" s="89"/>
    </row>
    <row r="699" spans="1:30" ht="13.8">
      <c r="A699" s="89"/>
      <c r="B699" s="89"/>
      <c r="C699" s="89"/>
      <c r="D699" s="89"/>
      <c r="E699" s="89"/>
      <c r="F699" s="110"/>
      <c r="G699" s="89"/>
      <c r="H699" s="110"/>
      <c r="I699" s="89"/>
      <c r="J699" s="110"/>
      <c r="K699" s="89"/>
      <c r="L699" s="89"/>
      <c r="M699" s="110"/>
      <c r="N699" s="89"/>
      <c r="O699" s="110"/>
      <c r="P699" s="89"/>
      <c r="Q699" s="110"/>
      <c r="R699" s="89"/>
      <c r="S699" s="89"/>
      <c r="T699" s="89"/>
      <c r="U699" s="89"/>
      <c r="V699" s="89"/>
      <c r="W699" s="89"/>
      <c r="X699" s="89"/>
      <c r="Y699" s="89"/>
      <c r="Z699" s="89"/>
      <c r="AA699" s="89"/>
      <c r="AB699" s="89"/>
      <c r="AC699" s="89"/>
      <c r="AD699" s="89"/>
    </row>
    <row r="700" spans="1:30" ht="13.8">
      <c r="A700" s="89"/>
      <c r="B700" s="89"/>
      <c r="C700" s="89"/>
      <c r="D700" s="89"/>
      <c r="E700" s="89"/>
      <c r="F700" s="110"/>
      <c r="G700" s="89"/>
      <c r="H700" s="110"/>
      <c r="I700" s="89"/>
      <c r="J700" s="110"/>
      <c r="K700" s="89"/>
      <c r="L700" s="89"/>
      <c r="M700" s="110"/>
      <c r="N700" s="89"/>
      <c r="O700" s="110"/>
      <c r="P700" s="89"/>
      <c r="Q700" s="110"/>
      <c r="R700" s="89"/>
      <c r="S700" s="89"/>
      <c r="T700" s="89"/>
      <c r="U700" s="89"/>
      <c r="V700" s="89"/>
      <c r="W700" s="89"/>
      <c r="X700" s="89"/>
      <c r="Y700" s="89"/>
      <c r="Z700" s="89"/>
      <c r="AA700" s="89"/>
      <c r="AB700" s="89"/>
      <c r="AC700" s="89"/>
      <c r="AD700" s="89"/>
    </row>
    <row r="701" spans="1:30" ht="13.8">
      <c r="A701" s="89"/>
      <c r="B701" s="89"/>
      <c r="C701" s="89"/>
      <c r="D701" s="89"/>
      <c r="E701" s="89"/>
      <c r="F701" s="110"/>
      <c r="G701" s="89"/>
      <c r="H701" s="110"/>
      <c r="I701" s="89"/>
      <c r="J701" s="110"/>
      <c r="K701" s="89"/>
      <c r="L701" s="89"/>
      <c r="M701" s="110"/>
      <c r="N701" s="89"/>
      <c r="O701" s="110"/>
      <c r="P701" s="89"/>
      <c r="Q701" s="110"/>
      <c r="R701" s="89"/>
      <c r="S701" s="89"/>
      <c r="T701" s="89"/>
      <c r="U701" s="89"/>
      <c r="V701" s="89"/>
      <c r="W701" s="89"/>
      <c r="X701" s="89"/>
      <c r="Y701" s="89"/>
      <c r="Z701" s="89"/>
      <c r="AA701" s="89"/>
      <c r="AB701" s="89"/>
      <c r="AC701" s="89"/>
      <c r="AD701" s="89"/>
    </row>
    <row r="702" spans="1:30" ht="13.8">
      <c r="A702" s="89"/>
      <c r="B702" s="89"/>
      <c r="C702" s="89"/>
      <c r="D702" s="89"/>
      <c r="E702" s="89"/>
      <c r="F702" s="110"/>
      <c r="G702" s="89"/>
      <c r="H702" s="110"/>
      <c r="I702" s="89"/>
      <c r="J702" s="110"/>
      <c r="K702" s="89"/>
      <c r="L702" s="89"/>
      <c r="M702" s="110"/>
      <c r="N702" s="89"/>
      <c r="O702" s="110"/>
      <c r="P702" s="89"/>
      <c r="Q702" s="110"/>
      <c r="R702" s="89"/>
      <c r="S702" s="89"/>
      <c r="T702" s="89"/>
      <c r="U702" s="89"/>
      <c r="V702" s="89"/>
      <c r="W702" s="89"/>
      <c r="X702" s="89"/>
      <c r="Y702" s="89"/>
      <c r="Z702" s="89"/>
      <c r="AA702" s="89"/>
      <c r="AB702" s="89"/>
      <c r="AC702" s="89"/>
      <c r="AD702" s="89"/>
    </row>
    <row r="703" spans="1:30" ht="13.8">
      <c r="A703" s="89"/>
      <c r="B703" s="89"/>
      <c r="C703" s="89"/>
      <c r="D703" s="89"/>
      <c r="E703" s="89"/>
      <c r="F703" s="110"/>
      <c r="G703" s="89"/>
      <c r="H703" s="110"/>
      <c r="I703" s="89"/>
      <c r="J703" s="110"/>
      <c r="K703" s="89"/>
      <c r="L703" s="89"/>
      <c r="M703" s="110"/>
      <c r="N703" s="89"/>
      <c r="O703" s="110"/>
      <c r="P703" s="89"/>
      <c r="Q703" s="110"/>
      <c r="R703" s="89"/>
      <c r="S703" s="89"/>
      <c r="T703" s="89"/>
      <c r="U703" s="89"/>
      <c r="V703" s="89"/>
      <c r="W703" s="89"/>
      <c r="X703" s="89"/>
      <c r="Y703" s="89"/>
      <c r="Z703" s="89"/>
      <c r="AA703" s="89"/>
      <c r="AB703" s="89"/>
      <c r="AC703" s="89"/>
      <c r="AD703" s="89"/>
    </row>
    <row r="704" spans="1:30" ht="13.8">
      <c r="A704" s="89"/>
      <c r="B704" s="89"/>
      <c r="C704" s="89"/>
      <c r="D704" s="89"/>
      <c r="E704" s="89"/>
      <c r="F704" s="110"/>
      <c r="G704" s="89"/>
      <c r="H704" s="110"/>
      <c r="I704" s="89"/>
      <c r="J704" s="110"/>
      <c r="K704" s="89"/>
      <c r="L704" s="89"/>
      <c r="M704" s="110"/>
      <c r="N704" s="89"/>
      <c r="O704" s="110"/>
      <c r="P704" s="89"/>
      <c r="Q704" s="110"/>
      <c r="R704" s="89"/>
      <c r="S704" s="89"/>
      <c r="T704" s="89"/>
      <c r="U704" s="89"/>
      <c r="V704" s="89"/>
      <c r="W704" s="89"/>
      <c r="X704" s="89"/>
      <c r="Y704" s="89"/>
      <c r="Z704" s="89"/>
      <c r="AA704" s="89"/>
      <c r="AB704" s="89"/>
      <c r="AC704" s="89"/>
      <c r="AD704" s="89"/>
    </row>
    <row r="705" spans="1:30" ht="13.8">
      <c r="A705" s="89"/>
      <c r="B705" s="89"/>
      <c r="C705" s="89"/>
      <c r="D705" s="89"/>
      <c r="E705" s="89"/>
      <c r="F705" s="110"/>
      <c r="G705" s="89"/>
      <c r="H705" s="110"/>
      <c r="I705" s="89"/>
      <c r="J705" s="110"/>
      <c r="K705" s="89"/>
      <c r="L705" s="89"/>
      <c r="M705" s="110"/>
      <c r="N705" s="89"/>
      <c r="O705" s="110"/>
      <c r="P705" s="89"/>
      <c r="Q705" s="110"/>
      <c r="R705" s="89"/>
      <c r="S705" s="89"/>
      <c r="T705" s="89"/>
      <c r="U705" s="89"/>
      <c r="V705" s="89"/>
      <c r="W705" s="89"/>
      <c r="X705" s="89"/>
      <c r="Y705" s="89"/>
      <c r="Z705" s="89"/>
      <c r="AA705" s="89"/>
      <c r="AB705" s="89"/>
      <c r="AC705" s="89"/>
      <c r="AD705" s="89"/>
    </row>
    <row r="706" spans="1:30" ht="13.8">
      <c r="A706" s="89"/>
      <c r="B706" s="89"/>
      <c r="C706" s="89"/>
      <c r="D706" s="89"/>
      <c r="E706" s="89"/>
      <c r="F706" s="110"/>
      <c r="G706" s="89"/>
      <c r="H706" s="110"/>
      <c r="I706" s="89"/>
      <c r="J706" s="110"/>
      <c r="K706" s="89"/>
      <c r="L706" s="89"/>
      <c r="M706" s="110"/>
      <c r="N706" s="89"/>
      <c r="O706" s="110"/>
      <c r="P706" s="89"/>
      <c r="Q706" s="110"/>
      <c r="R706" s="89"/>
      <c r="S706" s="89"/>
      <c r="T706" s="89"/>
      <c r="U706" s="89"/>
      <c r="V706" s="89"/>
      <c r="W706" s="89"/>
      <c r="X706" s="89"/>
      <c r="Y706" s="89"/>
      <c r="Z706" s="89"/>
      <c r="AA706" s="89"/>
      <c r="AB706" s="89"/>
      <c r="AC706" s="89"/>
      <c r="AD706" s="89"/>
    </row>
    <row r="707" spans="1:30" ht="13.8">
      <c r="A707" s="89"/>
      <c r="B707" s="89"/>
      <c r="C707" s="89"/>
      <c r="D707" s="89"/>
      <c r="E707" s="89"/>
      <c r="F707" s="110"/>
      <c r="G707" s="89"/>
      <c r="H707" s="110"/>
      <c r="I707" s="89"/>
      <c r="J707" s="110"/>
      <c r="K707" s="89"/>
      <c r="L707" s="89"/>
      <c r="M707" s="110"/>
      <c r="N707" s="89"/>
      <c r="O707" s="110"/>
      <c r="P707" s="89"/>
      <c r="Q707" s="110"/>
      <c r="R707" s="89"/>
      <c r="S707" s="89"/>
      <c r="T707" s="89"/>
      <c r="U707" s="89"/>
      <c r="V707" s="89"/>
      <c r="W707" s="89"/>
      <c r="X707" s="89"/>
      <c r="Y707" s="89"/>
      <c r="Z707" s="89"/>
      <c r="AA707" s="89"/>
      <c r="AB707" s="89"/>
      <c r="AC707" s="89"/>
      <c r="AD707" s="89"/>
    </row>
    <row r="708" spans="1:30" ht="13.8">
      <c r="A708" s="89"/>
      <c r="B708" s="89"/>
      <c r="C708" s="89"/>
      <c r="D708" s="89"/>
      <c r="E708" s="89"/>
      <c r="F708" s="110"/>
      <c r="G708" s="89"/>
      <c r="H708" s="110"/>
      <c r="I708" s="89"/>
      <c r="J708" s="110"/>
      <c r="K708" s="89"/>
      <c r="L708" s="89"/>
      <c r="M708" s="110"/>
      <c r="N708" s="89"/>
      <c r="O708" s="110"/>
      <c r="P708" s="89"/>
      <c r="Q708" s="110"/>
      <c r="R708" s="89"/>
      <c r="S708" s="89"/>
      <c r="T708" s="89"/>
      <c r="U708" s="89"/>
      <c r="V708" s="89"/>
      <c r="W708" s="89"/>
      <c r="X708" s="89"/>
      <c r="Y708" s="89"/>
      <c r="Z708" s="89"/>
      <c r="AA708" s="89"/>
      <c r="AB708" s="89"/>
      <c r="AC708" s="89"/>
      <c r="AD708" s="89"/>
    </row>
    <row r="709" spans="1:30" ht="13.8">
      <c r="A709" s="89"/>
      <c r="B709" s="89"/>
      <c r="C709" s="89"/>
      <c r="D709" s="89"/>
      <c r="E709" s="89"/>
      <c r="F709" s="110"/>
      <c r="G709" s="89"/>
      <c r="H709" s="110"/>
      <c r="I709" s="89"/>
      <c r="J709" s="110"/>
      <c r="K709" s="89"/>
      <c r="L709" s="89"/>
      <c r="M709" s="110"/>
      <c r="N709" s="89"/>
      <c r="O709" s="110"/>
      <c r="P709" s="89"/>
      <c r="Q709" s="110"/>
      <c r="R709" s="89"/>
      <c r="S709" s="89"/>
      <c r="T709" s="89"/>
      <c r="U709" s="89"/>
      <c r="V709" s="89"/>
      <c r="W709" s="89"/>
      <c r="X709" s="89"/>
      <c r="Y709" s="89"/>
      <c r="Z709" s="89"/>
      <c r="AA709" s="89"/>
      <c r="AB709" s="89"/>
      <c r="AC709" s="89"/>
      <c r="AD709" s="89"/>
    </row>
    <row r="710" spans="1:30" ht="13.8">
      <c r="A710" s="89"/>
      <c r="B710" s="89"/>
      <c r="C710" s="89"/>
      <c r="D710" s="89"/>
      <c r="E710" s="89"/>
      <c r="F710" s="110"/>
      <c r="G710" s="89"/>
      <c r="H710" s="110"/>
      <c r="I710" s="89"/>
      <c r="J710" s="110"/>
      <c r="K710" s="89"/>
      <c r="L710" s="89"/>
      <c r="M710" s="110"/>
      <c r="N710" s="89"/>
      <c r="O710" s="110"/>
      <c r="P710" s="89"/>
      <c r="Q710" s="110"/>
      <c r="R710" s="89"/>
      <c r="S710" s="89"/>
      <c r="T710" s="89"/>
      <c r="U710" s="89"/>
      <c r="V710" s="89"/>
      <c r="W710" s="89"/>
      <c r="X710" s="89"/>
      <c r="Y710" s="89"/>
      <c r="Z710" s="89"/>
      <c r="AA710" s="89"/>
      <c r="AB710" s="89"/>
      <c r="AC710" s="89"/>
      <c r="AD710" s="89"/>
    </row>
    <row r="711" spans="1:30" ht="13.8">
      <c r="A711" s="89"/>
      <c r="B711" s="89"/>
      <c r="C711" s="89"/>
      <c r="D711" s="89"/>
      <c r="E711" s="89"/>
      <c r="F711" s="110"/>
      <c r="G711" s="89"/>
      <c r="H711" s="110"/>
      <c r="I711" s="89"/>
      <c r="J711" s="110"/>
      <c r="K711" s="89"/>
      <c r="L711" s="89"/>
      <c r="M711" s="110"/>
      <c r="N711" s="89"/>
      <c r="O711" s="110"/>
      <c r="P711" s="89"/>
      <c r="Q711" s="110"/>
      <c r="R711" s="89"/>
      <c r="S711" s="89"/>
      <c r="T711" s="89"/>
      <c r="U711" s="89"/>
      <c r="V711" s="89"/>
      <c r="W711" s="89"/>
      <c r="X711" s="89"/>
      <c r="Y711" s="89"/>
      <c r="Z711" s="89"/>
      <c r="AA711" s="89"/>
      <c r="AB711" s="89"/>
      <c r="AC711" s="89"/>
      <c r="AD711" s="89"/>
    </row>
    <row r="712" spans="1:30" ht="13.8">
      <c r="A712" s="89"/>
      <c r="B712" s="89"/>
      <c r="C712" s="89"/>
      <c r="D712" s="89"/>
      <c r="E712" s="89"/>
      <c r="F712" s="110"/>
      <c r="G712" s="89"/>
      <c r="H712" s="110"/>
      <c r="I712" s="89"/>
      <c r="J712" s="110"/>
      <c r="K712" s="89"/>
      <c r="L712" s="89"/>
      <c r="M712" s="110"/>
      <c r="N712" s="89"/>
      <c r="O712" s="110"/>
      <c r="P712" s="89"/>
      <c r="Q712" s="110"/>
      <c r="R712" s="89"/>
      <c r="S712" s="89"/>
      <c r="T712" s="89"/>
      <c r="U712" s="89"/>
      <c r="V712" s="89"/>
      <c r="W712" s="89"/>
      <c r="X712" s="89"/>
      <c r="Y712" s="89"/>
      <c r="Z712" s="89"/>
      <c r="AA712" s="89"/>
      <c r="AB712" s="89"/>
      <c r="AC712" s="89"/>
      <c r="AD712" s="89"/>
    </row>
    <row r="713" spans="1:30" ht="13.8">
      <c r="A713" s="89"/>
      <c r="B713" s="89"/>
      <c r="C713" s="89"/>
      <c r="D713" s="89"/>
      <c r="E713" s="89"/>
      <c r="F713" s="110"/>
      <c r="G713" s="89"/>
      <c r="H713" s="110"/>
      <c r="I713" s="89"/>
      <c r="J713" s="110"/>
      <c r="K713" s="89"/>
      <c r="L713" s="89"/>
      <c r="M713" s="110"/>
      <c r="N713" s="89"/>
      <c r="O713" s="110"/>
      <c r="P713" s="89"/>
      <c r="Q713" s="110"/>
      <c r="R713" s="89"/>
      <c r="S713" s="89"/>
      <c r="T713" s="89"/>
      <c r="U713" s="89"/>
      <c r="V713" s="89"/>
      <c r="W713" s="89"/>
      <c r="X713" s="89"/>
      <c r="Y713" s="89"/>
      <c r="Z713" s="89"/>
      <c r="AA713" s="89"/>
      <c r="AB713" s="89"/>
      <c r="AC713" s="89"/>
      <c r="AD713" s="89"/>
    </row>
    <row r="714" spans="1:30" ht="13.8">
      <c r="A714" s="89"/>
      <c r="B714" s="89"/>
      <c r="C714" s="89"/>
      <c r="D714" s="89"/>
      <c r="E714" s="89"/>
      <c r="F714" s="110"/>
      <c r="G714" s="89"/>
      <c r="H714" s="110"/>
      <c r="I714" s="89"/>
      <c r="J714" s="110"/>
      <c r="K714" s="89"/>
      <c r="L714" s="89"/>
      <c r="M714" s="110"/>
      <c r="N714" s="89"/>
      <c r="O714" s="110"/>
      <c r="P714" s="89"/>
      <c r="Q714" s="110"/>
      <c r="R714" s="89"/>
      <c r="S714" s="89"/>
      <c r="T714" s="89"/>
      <c r="U714" s="89"/>
      <c r="V714" s="89"/>
      <c r="W714" s="89"/>
      <c r="X714" s="89"/>
      <c r="Y714" s="89"/>
      <c r="Z714" s="89"/>
      <c r="AA714" s="89"/>
      <c r="AB714" s="89"/>
      <c r="AC714" s="89"/>
      <c r="AD714" s="89"/>
    </row>
    <row r="715" spans="1:30" ht="13.8">
      <c r="A715" s="89"/>
      <c r="B715" s="89"/>
      <c r="C715" s="89"/>
      <c r="D715" s="89"/>
      <c r="E715" s="89"/>
      <c r="F715" s="110"/>
      <c r="G715" s="89"/>
      <c r="H715" s="110"/>
      <c r="I715" s="89"/>
      <c r="J715" s="110"/>
      <c r="K715" s="89"/>
      <c r="L715" s="89"/>
      <c r="M715" s="110"/>
      <c r="N715" s="89"/>
      <c r="O715" s="110"/>
      <c r="P715" s="89"/>
      <c r="Q715" s="110"/>
      <c r="R715" s="89"/>
      <c r="S715" s="89"/>
      <c r="T715" s="89"/>
      <c r="U715" s="89"/>
      <c r="V715" s="89"/>
      <c r="W715" s="89"/>
      <c r="X715" s="89"/>
      <c r="Y715" s="89"/>
      <c r="Z715" s="89"/>
      <c r="AA715" s="89"/>
      <c r="AB715" s="89"/>
      <c r="AC715" s="89"/>
      <c r="AD715" s="89"/>
    </row>
    <row r="716" spans="1:30" ht="13.8">
      <c r="A716" s="89"/>
      <c r="B716" s="89"/>
      <c r="C716" s="89"/>
      <c r="D716" s="89"/>
      <c r="E716" s="89"/>
      <c r="F716" s="110"/>
      <c r="G716" s="89"/>
      <c r="H716" s="110"/>
      <c r="I716" s="89"/>
      <c r="J716" s="110"/>
      <c r="K716" s="89"/>
      <c r="L716" s="89"/>
      <c r="M716" s="110"/>
      <c r="N716" s="89"/>
      <c r="O716" s="110"/>
      <c r="P716" s="89"/>
      <c r="Q716" s="110"/>
      <c r="R716" s="89"/>
      <c r="S716" s="89"/>
      <c r="T716" s="89"/>
      <c r="U716" s="89"/>
      <c r="V716" s="89"/>
      <c r="W716" s="89"/>
      <c r="X716" s="89"/>
      <c r="Y716" s="89"/>
      <c r="Z716" s="89"/>
      <c r="AA716" s="89"/>
      <c r="AB716" s="89"/>
      <c r="AC716" s="89"/>
      <c r="AD716" s="89"/>
    </row>
    <row r="717" spans="1:30" ht="13.8">
      <c r="A717" s="89"/>
      <c r="B717" s="89"/>
      <c r="C717" s="89"/>
      <c r="D717" s="89"/>
      <c r="E717" s="89"/>
      <c r="F717" s="110"/>
      <c r="G717" s="89"/>
      <c r="H717" s="110"/>
      <c r="I717" s="89"/>
      <c r="J717" s="110"/>
      <c r="K717" s="89"/>
      <c r="L717" s="89"/>
      <c r="M717" s="110"/>
      <c r="N717" s="89"/>
      <c r="O717" s="110"/>
      <c r="P717" s="89"/>
      <c r="Q717" s="110"/>
      <c r="R717" s="89"/>
      <c r="S717" s="89"/>
      <c r="T717" s="89"/>
      <c r="U717" s="89"/>
      <c r="V717" s="89"/>
      <c r="W717" s="89"/>
      <c r="X717" s="89"/>
      <c r="Y717" s="89"/>
      <c r="Z717" s="89"/>
      <c r="AA717" s="89"/>
      <c r="AB717" s="89"/>
      <c r="AC717" s="89"/>
      <c r="AD717" s="89"/>
    </row>
    <row r="718" spans="1:30" ht="13.8">
      <c r="A718" s="89"/>
      <c r="B718" s="89"/>
      <c r="C718" s="89"/>
      <c r="D718" s="89"/>
      <c r="E718" s="89"/>
      <c r="F718" s="110"/>
      <c r="G718" s="89"/>
      <c r="H718" s="110"/>
      <c r="I718" s="89"/>
      <c r="J718" s="110"/>
      <c r="K718" s="89"/>
      <c r="L718" s="89"/>
      <c r="M718" s="110"/>
      <c r="N718" s="89"/>
      <c r="O718" s="110"/>
      <c r="P718" s="89"/>
      <c r="Q718" s="110"/>
      <c r="R718" s="89"/>
      <c r="S718" s="89"/>
      <c r="T718" s="89"/>
      <c r="U718" s="89"/>
      <c r="V718" s="89"/>
      <c r="W718" s="89"/>
      <c r="X718" s="89"/>
      <c r="Y718" s="89"/>
      <c r="Z718" s="89"/>
      <c r="AA718" s="89"/>
      <c r="AB718" s="89"/>
      <c r="AC718" s="89"/>
      <c r="AD718" s="89"/>
    </row>
    <row r="719" spans="1:30" ht="13.8">
      <c r="A719" s="89"/>
      <c r="B719" s="89"/>
      <c r="C719" s="89"/>
      <c r="D719" s="89"/>
      <c r="E719" s="89"/>
      <c r="F719" s="110"/>
      <c r="G719" s="89"/>
      <c r="H719" s="110"/>
      <c r="I719" s="89"/>
      <c r="J719" s="110"/>
      <c r="K719" s="89"/>
      <c r="L719" s="89"/>
      <c r="M719" s="110"/>
      <c r="N719" s="89"/>
      <c r="O719" s="110"/>
      <c r="P719" s="89"/>
      <c r="Q719" s="110"/>
      <c r="R719" s="89"/>
      <c r="S719" s="89"/>
      <c r="T719" s="89"/>
      <c r="U719" s="89"/>
      <c r="V719" s="89"/>
      <c r="W719" s="89"/>
      <c r="X719" s="89"/>
      <c r="Y719" s="89"/>
      <c r="Z719" s="89"/>
      <c r="AA719" s="89"/>
      <c r="AB719" s="89"/>
      <c r="AC719" s="89"/>
      <c r="AD719" s="89"/>
    </row>
    <row r="720" spans="1:30" ht="13.8">
      <c r="A720" s="89"/>
      <c r="B720" s="89"/>
      <c r="C720" s="89"/>
      <c r="D720" s="89"/>
      <c r="E720" s="89"/>
      <c r="F720" s="110"/>
      <c r="G720" s="89"/>
      <c r="H720" s="110"/>
      <c r="I720" s="89"/>
      <c r="J720" s="110"/>
      <c r="K720" s="89"/>
      <c r="L720" s="89"/>
      <c r="M720" s="110"/>
      <c r="N720" s="89"/>
      <c r="O720" s="110"/>
      <c r="P720" s="89"/>
      <c r="Q720" s="110"/>
      <c r="R720" s="89"/>
      <c r="S720" s="89"/>
      <c r="T720" s="89"/>
      <c r="U720" s="89"/>
      <c r="V720" s="89"/>
      <c r="W720" s="89"/>
      <c r="X720" s="89"/>
      <c r="Y720" s="89"/>
      <c r="Z720" s="89"/>
      <c r="AA720" s="89"/>
      <c r="AB720" s="89"/>
      <c r="AC720" s="89"/>
      <c r="AD720" s="89"/>
    </row>
    <row r="721" spans="1:30" ht="13.8">
      <c r="A721" s="89"/>
      <c r="B721" s="89"/>
      <c r="C721" s="89"/>
      <c r="D721" s="89"/>
      <c r="E721" s="89"/>
      <c r="F721" s="110"/>
      <c r="G721" s="89"/>
      <c r="H721" s="110"/>
      <c r="I721" s="89"/>
      <c r="J721" s="110"/>
      <c r="K721" s="89"/>
      <c r="L721" s="89"/>
      <c r="M721" s="110"/>
      <c r="N721" s="89"/>
      <c r="O721" s="110"/>
      <c r="P721" s="89"/>
      <c r="Q721" s="110"/>
      <c r="R721" s="89"/>
      <c r="S721" s="89"/>
      <c r="T721" s="89"/>
      <c r="U721" s="89"/>
      <c r="V721" s="89"/>
      <c r="W721" s="89"/>
      <c r="X721" s="89"/>
      <c r="Y721" s="89"/>
      <c r="Z721" s="89"/>
      <c r="AA721" s="89"/>
      <c r="AB721" s="89"/>
      <c r="AC721" s="89"/>
      <c r="AD721" s="89"/>
    </row>
    <row r="722" spans="1:30" ht="13.8">
      <c r="A722" s="89"/>
      <c r="B722" s="89"/>
      <c r="C722" s="89"/>
      <c r="D722" s="89"/>
      <c r="E722" s="89"/>
      <c r="F722" s="110"/>
      <c r="G722" s="89"/>
      <c r="H722" s="110"/>
      <c r="I722" s="89"/>
      <c r="J722" s="110"/>
      <c r="K722" s="89"/>
      <c r="L722" s="89"/>
      <c r="M722" s="110"/>
      <c r="N722" s="89"/>
      <c r="O722" s="110"/>
      <c r="P722" s="89"/>
      <c r="Q722" s="110"/>
      <c r="R722" s="89"/>
      <c r="S722" s="89"/>
      <c r="T722" s="89"/>
      <c r="U722" s="89"/>
      <c r="V722" s="89"/>
      <c r="W722" s="89"/>
      <c r="X722" s="89"/>
      <c r="Y722" s="89"/>
      <c r="Z722" s="89"/>
      <c r="AA722" s="89"/>
      <c r="AB722" s="89"/>
      <c r="AC722" s="89"/>
      <c r="AD722" s="89"/>
    </row>
    <row r="723" spans="1:30" ht="13.8">
      <c r="A723" s="89"/>
      <c r="B723" s="89"/>
      <c r="C723" s="89"/>
      <c r="D723" s="89"/>
      <c r="E723" s="89"/>
      <c r="F723" s="110"/>
      <c r="G723" s="89"/>
      <c r="H723" s="110"/>
      <c r="I723" s="89"/>
      <c r="J723" s="110"/>
      <c r="K723" s="89"/>
      <c r="L723" s="89"/>
      <c r="M723" s="110"/>
      <c r="N723" s="89"/>
      <c r="O723" s="110"/>
      <c r="P723" s="89"/>
      <c r="Q723" s="110"/>
      <c r="R723" s="89"/>
      <c r="S723" s="89"/>
      <c r="T723" s="89"/>
      <c r="U723" s="89"/>
      <c r="V723" s="89"/>
      <c r="W723" s="89"/>
      <c r="X723" s="89"/>
      <c r="Y723" s="89"/>
      <c r="Z723" s="89"/>
      <c r="AA723" s="89"/>
      <c r="AB723" s="89"/>
      <c r="AC723" s="89"/>
      <c r="AD723" s="89"/>
    </row>
    <row r="724" spans="1:30" ht="13.8">
      <c r="A724" s="89"/>
      <c r="B724" s="89"/>
      <c r="C724" s="89"/>
      <c r="D724" s="89"/>
      <c r="E724" s="89"/>
      <c r="F724" s="110"/>
      <c r="G724" s="89"/>
      <c r="H724" s="110"/>
      <c r="I724" s="89"/>
      <c r="J724" s="110"/>
      <c r="K724" s="89"/>
      <c r="L724" s="89"/>
      <c r="M724" s="110"/>
      <c r="N724" s="89"/>
      <c r="O724" s="110"/>
      <c r="P724" s="89"/>
      <c r="Q724" s="110"/>
      <c r="R724" s="89"/>
      <c r="S724" s="89"/>
      <c r="T724" s="89"/>
      <c r="U724" s="89"/>
      <c r="V724" s="89"/>
      <c r="W724" s="89"/>
      <c r="X724" s="89"/>
      <c r="Y724" s="89"/>
      <c r="Z724" s="89"/>
      <c r="AA724" s="89"/>
      <c r="AB724" s="89"/>
      <c r="AC724" s="89"/>
      <c r="AD724" s="89"/>
    </row>
    <row r="725" spans="1:30" ht="13.8">
      <c r="A725" s="89"/>
      <c r="B725" s="89"/>
      <c r="C725" s="89"/>
      <c r="D725" s="89"/>
      <c r="E725" s="89"/>
      <c r="F725" s="110"/>
      <c r="G725" s="89"/>
      <c r="H725" s="110"/>
      <c r="I725" s="89"/>
      <c r="J725" s="110"/>
      <c r="K725" s="89"/>
      <c r="L725" s="89"/>
      <c r="M725" s="110"/>
      <c r="N725" s="89"/>
      <c r="O725" s="110"/>
      <c r="P725" s="89"/>
      <c r="Q725" s="110"/>
      <c r="R725" s="89"/>
      <c r="S725" s="89"/>
      <c r="T725" s="89"/>
      <c r="U725" s="89"/>
      <c r="V725" s="89"/>
      <c r="W725" s="89"/>
      <c r="X725" s="89"/>
      <c r="Y725" s="89"/>
      <c r="Z725" s="89"/>
      <c r="AA725" s="89"/>
      <c r="AB725" s="89"/>
      <c r="AC725" s="89"/>
      <c r="AD725" s="89"/>
    </row>
    <row r="726" spans="1:30" ht="13.8">
      <c r="A726" s="89"/>
      <c r="B726" s="89"/>
      <c r="C726" s="89"/>
      <c r="D726" s="89"/>
      <c r="E726" s="89"/>
      <c r="F726" s="110"/>
      <c r="G726" s="89"/>
      <c r="H726" s="110"/>
      <c r="I726" s="89"/>
      <c r="J726" s="110"/>
      <c r="K726" s="89"/>
      <c r="L726" s="89"/>
      <c r="M726" s="110"/>
      <c r="N726" s="89"/>
      <c r="O726" s="110"/>
      <c r="P726" s="89"/>
      <c r="Q726" s="110"/>
      <c r="R726" s="89"/>
      <c r="S726" s="89"/>
      <c r="T726" s="89"/>
      <c r="U726" s="89"/>
      <c r="V726" s="89"/>
      <c r="W726" s="89"/>
      <c r="X726" s="89"/>
      <c r="Y726" s="89"/>
      <c r="Z726" s="89"/>
      <c r="AA726" s="89"/>
      <c r="AB726" s="89"/>
      <c r="AC726" s="89"/>
      <c r="AD726" s="89"/>
    </row>
    <row r="727" spans="1:30" ht="13.8">
      <c r="A727" s="89"/>
      <c r="B727" s="89"/>
      <c r="C727" s="89"/>
      <c r="D727" s="89"/>
      <c r="E727" s="89"/>
      <c r="F727" s="110"/>
      <c r="G727" s="89"/>
      <c r="H727" s="110"/>
      <c r="I727" s="89"/>
      <c r="J727" s="110"/>
      <c r="K727" s="89"/>
      <c r="L727" s="89"/>
      <c r="M727" s="110"/>
      <c r="N727" s="89"/>
      <c r="O727" s="110"/>
      <c r="P727" s="89"/>
      <c r="Q727" s="110"/>
      <c r="R727" s="89"/>
      <c r="S727" s="89"/>
      <c r="T727" s="89"/>
      <c r="U727" s="89"/>
      <c r="V727" s="89"/>
      <c r="W727" s="89"/>
      <c r="X727" s="89"/>
      <c r="Y727" s="89"/>
      <c r="Z727" s="89"/>
      <c r="AA727" s="89"/>
      <c r="AB727" s="89"/>
      <c r="AC727" s="89"/>
      <c r="AD727" s="89"/>
    </row>
    <row r="728" spans="1:30" ht="13.8">
      <c r="A728" s="89"/>
      <c r="B728" s="89"/>
      <c r="C728" s="89"/>
      <c r="D728" s="89"/>
      <c r="E728" s="89"/>
      <c r="F728" s="110"/>
      <c r="G728" s="89"/>
      <c r="H728" s="110"/>
      <c r="I728" s="89"/>
      <c r="J728" s="110"/>
      <c r="K728" s="89"/>
      <c r="L728" s="89"/>
      <c r="M728" s="110"/>
      <c r="N728" s="89"/>
      <c r="O728" s="110"/>
      <c r="P728" s="89"/>
      <c r="Q728" s="110"/>
      <c r="R728" s="89"/>
      <c r="S728" s="89"/>
      <c r="T728" s="89"/>
      <c r="U728" s="89"/>
      <c r="V728" s="89"/>
      <c r="W728" s="89"/>
      <c r="X728" s="89"/>
      <c r="Y728" s="89"/>
      <c r="Z728" s="89"/>
      <c r="AA728" s="89"/>
      <c r="AB728" s="89"/>
      <c r="AC728" s="89"/>
      <c r="AD728" s="89"/>
    </row>
    <row r="729" spans="1:30" ht="13.8">
      <c r="A729" s="89"/>
      <c r="B729" s="89"/>
      <c r="C729" s="89"/>
      <c r="D729" s="89"/>
      <c r="E729" s="89"/>
      <c r="F729" s="110"/>
      <c r="G729" s="89"/>
      <c r="H729" s="110"/>
      <c r="I729" s="89"/>
      <c r="J729" s="110"/>
      <c r="K729" s="89"/>
      <c r="L729" s="89"/>
      <c r="M729" s="110"/>
      <c r="N729" s="89"/>
      <c r="O729" s="110"/>
      <c r="P729" s="89"/>
      <c r="Q729" s="110"/>
      <c r="R729" s="89"/>
      <c r="S729" s="89"/>
      <c r="T729" s="89"/>
      <c r="U729" s="89"/>
      <c r="V729" s="89"/>
      <c r="W729" s="89"/>
      <c r="X729" s="89"/>
      <c r="Y729" s="89"/>
      <c r="Z729" s="89"/>
      <c r="AA729" s="89"/>
      <c r="AB729" s="89"/>
      <c r="AC729" s="89"/>
      <c r="AD729" s="89"/>
    </row>
    <row r="730" spans="1:30" ht="13.8">
      <c r="A730" s="89"/>
      <c r="B730" s="89"/>
      <c r="C730" s="89"/>
      <c r="D730" s="89"/>
      <c r="E730" s="89"/>
      <c r="F730" s="110"/>
      <c r="G730" s="89"/>
      <c r="H730" s="110"/>
      <c r="I730" s="89"/>
      <c r="J730" s="110"/>
      <c r="K730" s="89"/>
      <c r="L730" s="89"/>
      <c r="M730" s="110"/>
      <c r="N730" s="89"/>
      <c r="O730" s="110"/>
      <c r="P730" s="89"/>
      <c r="Q730" s="110"/>
      <c r="R730" s="89"/>
      <c r="S730" s="89"/>
      <c r="T730" s="89"/>
      <c r="U730" s="89"/>
      <c r="V730" s="89"/>
      <c r="W730" s="89"/>
      <c r="X730" s="89"/>
      <c r="Y730" s="89"/>
      <c r="Z730" s="89"/>
      <c r="AA730" s="89"/>
      <c r="AB730" s="89"/>
      <c r="AC730" s="89"/>
      <c r="AD730" s="89"/>
    </row>
    <row r="731" spans="1:30" ht="13.8">
      <c r="A731" s="89"/>
      <c r="B731" s="89"/>
      <c r="C731" s="89"/>
      <c r="D731" s="89"/>
      <c r="E731" s="89"/>
      <c r="F731" s="110"/>
      <c r="G731" s="89"/>
      <c r="H731" s="110"/>
      <c r="I731" s="89"/>
      <c r="J731" s="110"/>
      <c r="K731" s="89"/>
      <c r="L731" s="89"/>
      <c r="M731" s="110"/>
      <c r="N731" s="89"/>
      <c r="O731" s="110"/>
      <c r="P731" s="89"/>
      <c r="Q731" s="110"/>
      <c r="R731" s="89"/>
      <c r="S731" s="89"/>
      <c r="T731" s="89"/>
      <c r="U731" s="89"/>
      <c r="V731" s="89"/>
      <c r="W731" s="89"/>
      <c r="X731" s="89"/>
      <c r="Y731" s="89"/>
      <c r="Z731" s="89"/>
      <c r="AA731" s="89"/>
      <c r="AB731" s="89"/>
      <c r="AC731" s="89"/>
      <c r="AD731" s="89"/>
    </row>
    <row r="732" spans="1:30" ht="13.8">
      <c r="A732" s="89"/>
      <c r="B732" s="89"/>
      <c r="C732" s="89"/>
      <c r="D732" s="89"/>
      <c r="E732" s="89"/>
      <c r="F732" s="110"/>
      <c r="G732" s="89"/>
      <c r="H732" s="110"/>
      <c r="I732" s="89"/>
      <c r="J732" s="110"/>
      <c r="K732" s="89"/>
      <c r="L732" s="89"/>
      <c r="M732" s="110"/>
      <c r="N732" s="89"/>
      <c r="O732" s="110"/>
      <c r="P732" s="89"/>
      <c r="Q732" s="110"/>
      <c r="R732" s="89"/>
      <c r="S732" s="89"/>
      <c r="T732" s="89"/>
      <c r="U732" s="89"/>
      <c r="V732" s="89"/>
      <c r="W732" s="89"/>
      <c r="X732" s="89"/>
      <c r="Y732" s="89"/>
      <c r="Z732" s="89"/>
      <c r="AA732" s="89"/>
      <c r="AB732" s="89"/>
      <c r="AC732" s="89"/>
      <c r="AD732" s="89"/>
    </row>
    <row r="733" spans="1:30" ht="13.8">
      <c r="A733" s="89"/>
      <c r="B733" s="89"/>
      <c r="C733" s="89"/>
      <c r="D733" s="89"/>
      <c r="E733" s="89"/>
      <c r="F733" s="110"/>
      <c r="G733" s="89"/>
      <c r="H733" s="110"/>
      <c r="I733" s="89"/>
      <c r="J733" s="110"/>
      <c r="K733" s="89"/>
      <c r="L733" s="89"/>
      <c r="M733" s="110"/>
      <c r="N733" s="89"/>
      <c r="O733" s="110"/>
      <c r="P733" s="89"/>
      <c r="Q733" s="110"/>
      <c r="R733" s="89"/>
      <c r="S733" s="89"/>
      <c r="T733" s="89"/>
      <c r="U733" s="89"/>
      <c r="V733" s="89"/>
      <c r="W733" s="89"/>
      <c r="X733" s="89"/>
      <c r="Y733" s="89"/>
      <c r="Z733" s="89"/>
      <c r="AA733" s="89"/>
      <c r="AB733" s="89"/>
      <c r="AC733" s="89"/>
      <c r="AD733" s="89"/>
    </row>
    <row r="734" spans="1:30" ht="13.8">
      <c r="A734" s="89"/>
      <c r="B734" s="89"/>
      <c r="C734" s="89"/>
      <c r="D734" s="89"/>
      <c r="E734" s="89"/>
      <c r="F734" s="110"/>
      <c r="G734" s="89"/>
      <c r="H734" s="110"/>
      <c r="I734" s="89"/>
      <c r="J734" s="110"/>
      <c r="K734" s="89"/>
      <c r="L734" s="89"/>
      <c r="M734" s="110"/>
      <c r="N734" s="89"/>
      <c r="O734" s="110"/>
      <c r="P734" s="89"/>
      <c r="Q734" s="110"/>
      <c r="R734" s="89"/>
      <c r="S734" s="89"/>
      <c r="T734" s="89"/>
      <c r="U734" s="89"/>
      <c r="V734" s="89"/>
      <c r="W734" s="89"/>
      <c r="X734" s="89"/>
      <c r="Y734" s="89"/>
      <c r="Z734" s="89"/>
      <c r="AA734" s="89"/>
      <c r="AB734" s="89"/>
      <c r="AC734" s="89"/>
      <c r="AD734" s="89"/>
    </row>
    <row r="735" spans="1:30" ht="13.8">
      <c r="A735" s="89"/>
      <c r="B735" s="89"/>
      <c r="C735" s="89"/>
      <c r="D735" s="89"/>
      <c r="E735" s="89"/>
      <c r="F735" s="110"/>
      <c r="G735" s="89"/>
      <c r="H735" s="110"/>
      <c r="I735" s="89"/>
      <c r="J735" s="110"/>
      <c r="K735" s="89"/>
      <c r="L735" s="89"/>
      <c r="M735" s="110"/>
      <c r="N735" s="89"/>
      <c r="O735" s="110"/>
      <c r="P735" s="89"/>
      <c r="Q735" s="110"/>
      <c r="R735" s="89"/>
      <c r="S735" s="89"/>
      <c r="T735" s="89"/>
      <c r="U735" s="89"/>
      <c r="V735" s="89"/>
      <c r="W735" s="89"/>
      <c r="X735" s="89"/>
      <c r="Y735" s="89"/>
      <c r="Z735" s="89"/>
      <c r="AA735" s="89"/>
      <c r="AB735" s="89"/>
      <c r="AC735" s="89"/>
      <c r="AD735" s="89"/>
    </row>
    <row r="736" spans="1:30" ht="13.8">
      <c r="A736" s="89"/>
      <c r="B736" s="89"/>
      <c r="C736" s="89"/>
      <c r="D736" s="89"/>
      <c r="E736" s="89"/>
      <c r="F736" s="110"/>
      <c r="G736" s="89"/>
      <c r="H736" s="110"/>
      <c r="I736" s="89"/>
      <c r="J736" s="110"/>
      <c r="K736" s="89"/>
      <c r="L736" s="89"/>
      <c r="M736" s="110"/>
      <c r="N736" s="89"/>
      <c r="O736" s="110"/>
      <c r="P736" s="89"/>
      <c r="Q736" s="110"/>
      <c r="R736" s="89"/>
      <c r="S736" s="89"/>
      <c r="T736" s="89"/>
      <c r="U736" s="89"/>
      <c r="V736" s="89"/>
      <c r="W736" s="89"/>
      <c r="X736" s="89"/>
      <c r="Y736" s="89"/>
      <c r="Z736" s="89"/>
      <c r="AA736" s="89"/>
      <c r="AB736" s="89"/>
      <c r="AC736" s="89"/>
      <c r="AD736" s="89"/>
    </row>
    <row r="737" spans="1:30" ht="13.8">
      <c r="A737" s="89"/>
      <c r="B737" s="89"/>
      <c r="C737" s="89"/>
      <c r="D737" s="89"/>
      <c r="E737" s="89"/>
      <c r="F737" s="110"/>
      <c r="G737" s="89"/>
      <c r="H737" s="110"/>
      <c r="I737" s="89"/>
      <c r="J737" s="110"/>
      <c r="K737" s="89"/>
      <c r="L737" s="89"/>
      <c r="M737" s="110"/>
      <c r="N737" s="89"/>
      <c r="O737" s="110"/>
      <c r="P737" s="89"/>
      <c r="Q737" s="110"/>
      <c r="R737" s="89"/>
      <c r="S737" s="89"/>
      <c r="T737" s="89"/>
      <c r="U737" s="89"/>
      <c r="V737" s="89"/>
      <c r="W737" s="89"/>
      <c r="X737" s="89"/>
      <c r="Y737" s="89"/>
      <c r="Z737" s="89"/>
      <c r="AA737" s="89"/>
      <c r="AB737" s="89"/>
      <c r="AC737" s="89"/>
      <c r="AD737" s="89"/>
    </row>
    <row r="738" spans="1:30" ht="13.8">
      <c r="A738" s="89"/>
      <c r="B738" s="89"/>
      <c r="C738" s="89"/>
      <c r="D738" s="89"/>
      <c r="E738" s="89"/>
      <c r="F738" s="110"/>
      <c r="G738" s="89"/>
      <c r="H738" s="110"/>
      <c r="I738" s="89"/>
      <c r="J738" s="110"/>
      <c r="K738" s="89"/>
      <c r="L738" s="89"/>
      <c r="M738" s="110"/>
      <c r="N738" s="89"/>
      <c r="O738" s="110"/>
      <c r="P738" s="89"/>
      <c r="Q738" s="110"/>
      <c r="R738" s="89"/>
      <c r="S738" s="89"/>
      <c r="T738" s="89"/>
      <c r="U738" s="89"/>
      <c r="V738" s="89"/>
      <c r="W738" s="89"/>
      <c r="X738" s="89"/>
      <c r="Y738" s="89"/>
      <c r="Z738" s="89"/>
      <c r="AA738" s="89"/>
      <c r="AB738" s="89"/>
      <c r="AC738" s="89"/>
      <c r="AD738" s="89"/>
    </row>
    <row r="739" spans="1:30" ht="13.8">
      <c r="A739" s="89"/>
      <c r="B739" s="89"/>
      <c r="C739" s="89"/>
      <c r="D739" s="89"/>
      <c r="E739" s="89"/>
      <c r="F739" s="110"/>
      <c r="G739" s="89"/>
      <c r="H739" s="110"/>
      <c r="I739" s="89"/>
      <c r="J739" s="110"/>
      <c r="K739" s="89"/>
      <c r="L739" s="89"/>
      <c r="M739" s="110"/>
      <c r="N739" s="89"/>
      <c r="O739" s="110"/>
      <c r="P739" s="89"/>
      <c r="Q739" s="110"/>
      <c r="R739" s="89"/>
      <c r="S739" s="89"/>
      <c r="T739" s="89"/>
      <c r="U739" s="89"/>
      <c r="V739" s="89"/>
      <c r="W739" s="89"/>
      <c r="X739" s="89"/>
      <c r="Y739" s="89"/>
      <c r="Z739" s="89"/>
      <c r="AA739" s="89"/>
      <c r="AB739" s="89"/>
      <c r="AC739" s="89"/>
      <c r="AD739" s="89"/>
    </row>
    <row r="740" spans="1:30" ht="13.8">
      <c r="A740" s="89"/>
      <c r="B740" s="89"/>
      <c r="C740" s="89"/>
      <c r="D740" s="89"/>
      <c r="E740" s="89"/>
      <c r="F740" s="110"/>
      <c r="G740" s="89"/>
      <c r="H740" s="110"/>
      <c r="I740" s="89"/>
      <c r="J740" s="110"/>
      <c r="K740" s="89"/>
      <c r="L740" s="89"/>
      <c r="M740" s="110"/>
      <c r="N740" s="89"/>
      <c r="O740" s="110"/>
      <c r="P740" s="89"/>
      <c r="Q740" s="110"/>
      <c r="R740" s="89"/>
      <c r="S740" s="89"/>
      <c r="T740" s="89"/>
      <c r="U740" s="89"/>
      <c r="V740" s="89"/>
      <c r="W740" s="89"/>
      <c r="X740" s="89"/>
      <c r="Y740" s="89"/>
      <c r="Z740" s="89"/>
      <c r="AA740" s="89"/>
      <c r="AB740" s="89"/>
      <c r="AC740" s="89"/>
      <c r="AD740" s="89"/>
    </row>
    <row r="741" spans="1:30" ht="13.8">
      <c r="A741" s="89"/>
      <c r="B741" s="89"/>
      <c r="C741" s="89"/>
      <c r="D741" s="89"/>
      <c r="E741" s="89"/>
      <c r="F741" s="110"/>
      <c r="G741" s="89"/>
      <c r="H741" s="110"/>
      <c r="I741" s="89"/>
      <c r="J741" s="110"/>
      <c r="K741" s="89"/>
      <c r="L741" s="89"/>
      <c r="M741" s="110"/>
      <c r="N741" s="89"/>
      <c r="O741" s="110"/>
      <c r="P741" s="89"/>
      <c r="Q741" s="110"/>
      <c r="R741" s="89"/>
      <c r="S741" s="89"/>
      <c r="T741" s="89"/>
      <c r="U741" s="89"/>
      <c r="V741" s="89"/>
      <c r="W741" s="89"/>
      <c r="X741" s="89"/>
      <c r="Y741" s="89"/>
      <c r="Z741" s="89"/>
      <c r="AA741" s="89"/>
      <c r="AB741" s="89"/>
      <c r="AC741" s="89"/>
      <c r="AD741" s="89"/>
    </row>
    <row r="742" spans="1:30" ht="13.8">
      <c r="A742" s="89"/>
      <c r="B742" s="89"/>
      <c r="C742" s="89"/>
      <c r="D742" s="89"/>
      <c r="E742" s="89"/>
      <c r="F742" s="110"/>
      <c r="G742" s="89"/>
      <c r="H742" s="110"/>
      <c r="I742" s="89"/>
      <c r="J742" s="110"/>
      <c r="K742" s="89"/>
      <c r="L742" s="89"/>
      <c r="M742" s="110"/>
      <c r="N742" s="89"/>
      <c r="O742" s="110"/>
      <c r="P742" s="89"/>
      <c r="Q742" s="110"/>
      <c r="R742" s="89"/>
      <c r="S742" s="89"/>
      <c r="T742" s="89"/>
      <c r="U742" s="89"/>
      <c r="V742" s="89"/>
      <c r="W742" s="89"/>
      <c r="X742" s="89"/>
      <c r="Y742" s="89"/>
      <c r="Z742" s="89"/>
      <c r="AA742" s="89"/>
      <c r="AB742" s="89"/>
      <c r="AC742" s="89"/>
      <c r="AD742" s="89"/>
    </row>
    <row r="743" spans="1:30" ht="13.8">
      <c r="A743" s="89"/>
      <c r="B743" s="89"/>
      <c r="C743" s="89"/>
      <c r="D743" s="89"/>
      <c r="E743" s="89"/>
      <c r="F743" s="110"/>
      <c r="G743" s="89"/>
      <c r="H743" s="110"/>
      <c r="I743" s="89"/>
      <c r="J743" s="110"/>
      <c r="K743" s="89"/>
      <c r="L743" s="89"/>
      <c r="M743" s="110"/>
      <c r="N743" s="89"/>
      <c r="O743" s="110"/>
      <c r="P743" s="89"/>
      <c r="Q743" s="110"/>
      <c r="R743" s="89"/>
      <c r="S743" s="89"/>
      <c r="T743" s="89"/>
      <c r="U743" s="89"/>
      <c r="V743" s="89"/>
      <c r="W743" s="89"/>
      <c r="X743" s="89"/>
      <c r="Y743" s="89"/>
      <c r="Z743" s="89"/>
      <c r="AA743" s="89"/>
      <c r="AB743" s="89"/>
      <c r="AC743" s="89"/>
      <c r="AD743" s="89"/>
    </row>
    <row r="744" spans="1:30" ht="13.8">
      <c r="A744" s="89"/>
      <c r="B744" s="89"/>
      <c r="C744" s="89"/>
      <c r="D744" s="89"/>
      <c r="E744" s="89"/>
      <c r="F744" s="110"/>
      <c r="G744" s="89"/>
      <c r="H744" s="110"/>
      <c r="I744" s="89"/>
      <c r="J744" s="110"/>
      <c r="K744" s="89"/>
      <c r="L744" s="89"/>
      <c r="M744" s="110"/>
      <c r="N744" s="89"/>
      <c r="O744" s="110"/>
      <c r="P744" s="89"/>
      <c r="Q744" s="110"/>
      <c r="R744" s="89"/>
      <c r="S744" s="89"/>
      <c r="T744" s="89"/>
      <c r="U744" s="89"/>
      <c r="V744" s="89"/>
      <c r="W744" s="89"/>
      <c r="X744" s="89"/>
      <c r="Y744" s="89"/>
      <c r="Z744" s="89"/>
      <c r="AA744" s="89"/>
      <c r="AB744" s="89"/>
      <c r="AC744" s="89"/>
      <c r="AD744" s="89"/>
    </row>
    <row r="745" spans="1:30" ht="13.8">
      <c r="A745" s="89"/>
      <c r="B745" s="89"/>
      <c r="C745" s="89"/>
      <c r="D745" s="89"/>
      <c r="E745" s="89"/>
      <c r="F745" s="110"/>
      <c r="G745" s="89"/>
      <c r="H745" s="110"/>
      <c r="I745" s="89"/>
      <c r="J745" s="110"/>
      <c r="K745" s="89"/>
      <c r="L745" s="89"/>
      <c r="M745" s="110"/>
      <c r="N745" s="89"/>
      <c r="O745" s="110"/>
      <c r="P745" s="89"/>
      <c r="Q745" s="110"/>
      <c r="R745" s="89"/>
      <c r="S745" s="89"/>
      <c r="T745" s="89"/>
      <c r="U745" s="89"/>
      <c r="V745" s="89"/>
      <c r="W745" s="89"/>
      <c r="X745" s="89"/>
      <c r="Y745" s="89"/>
      <c r="Z745" s="89"/>
      <c r="AA745" s="89"/>
      <c r="AB745" s="89"/>
      <c r="AC745" s="89"/>
      <c r="AD745" s="89"/>
    </row>
    <row r="746" spans="1:30" ht="13.8">
      <c r="A746" s="89"/>
      <c r="B746" s="89"/>
      <c r="C746" s="89"/>
      <c r="D746" s="89"/>
      <c r="E746" s="89"/>
      <c r="F746" s="110"/>
      <c r="G746" s="89"/>
      <c r="H746" s="110"/>
      <c r="I746" s="89"/>
      <c r="J746" s="110"/>
      <c r="K746" s="89"/>
      <c r="L746" s="89"/>
      <c r="M746" s="110"/>
      <c r="N746" s="89"/>
      <c r="O746" s="110"/>
      <c r="P746" s="89"/>
      <c r="Q746" s="110"/>
      <c r="R746" s="89"/>
      <c r="S746" s="89"/>
      <c r="T746" s="89"/>
      <c r="U746" s="89"/>
      <c r="V746" s="89"/>
      <c r="W746" s="89"/>
      <c r="X746" s="89"/>
      <c r="Y746" s="89"/>
      <c r="Z746" s="89"/>
      <c r="AA746" s="89"/>
      <c r="AB746" s="89"/>
      <c r="AC746" s="89"/>
      <c r="AD746" s="89"/>
    </row>
    <row r="747" spans="1:30" ht="13.8">
      <c r="A747" s="89"/>
      <c r="B747" s="89"/>
      <c r="C747" s="89"/>
      <c r="D747" s="89"/>
      <c r="E747" s="89"/>
      <c r="F747" s="110"/>
      <c r="G747" s="89"/>
      <c r="H747" s="110"/>
      <c r="I747" s="89"/>
      <c r="J747" s="110"/>
      <c r="K747" s="89"/>
      <c r="L747" s="89"/>
      <c r="M747" s="110"/>
      <c r="N747" s="89"/>
      <c r="O747" s="110"/>
      <c r="P747" s="89"/>
      <c r="Q747" s="110"/>
      <c r="R747" s="89"/>
      <c r="S747" s="89"/>
      <c r="T747" s="89"/>
      <c r="U747" s="89"/>
      <c r="V747" s="89"/>
      <c r="W747" s="89"/>
      <c r="X747" s="89"/>
      <c r="Y747" s="89"/>
      <c r="Z747" s="89"/>
      <c r="AA747" s="89"/>
      <c r="AB747" s="89"/>
      <c r="AC747" s="89"/>
      <c r="AD747" s="89"/>
    </row>
    <row r="748" spans="1:30" ht="13.8">
      <c r="A748" s="89"/>
      <c r="B748" s="89"/>
      <c r="C748" s="89"/>
      <c r="D748" s="89"/>
      <c r="E748" s="89"/>
      <c r="F748" s="110"/>
      <c r="G748" s="89"/>
      <c r="H748" s="110"/>
      <c r="I748" s="89"/>
      <c r="J748" s="110"/>
      <c r="K748" s="89"/>
      <c r="L748" s="89"/>
      <c r="M748" s="110"/>
      <c r="N748" s="89"/>
      <c r="O748" s="110"/>
      <c r="P748" s="89"/>
      <c r="Q748" s="110"/>
      <c r="R748" s="89"/>
      <c r="S748" s="89"/>
      <c r="T748" s="89"/>
      <c r="U748" s="89"/>
      <c r="V748" s="89"/>
      <c r="W748" s="89"/>
      <c r="X748" s="89"/>
      <c r="Y748" s="89"/>
      <c r="Z748" s="89"/>
      <c r="AA748" s="89"/>
      <c r="AB748" s="89"/>
      <c r="AC748" s="89"/>
      <c r="AD748" s="89"/>
    </row>
    <row r="749" spans="1:30" ht="13.8">
      <c r="A749" s="89"/>
      <c r="B749" s="89"/>
      <c r="C749" s="89"/>
      <c r="D749" s="89"/>
      <c r="E749" s="89"/>
      <c r="F749" s="110"/>
      <c r="G749" s="89"/>
      <c r="H749" s="110"/>
      <c r="I749" s="89"/>
      <c r="J749" s="110"/>
      <c r="K749" s="89"/>
      <c r="L749" s="89"/>
      <c r="M749" s="110"/>
      <c r="N749" s="89"/>
      <c r="O749" s="110"/>
      <c r="P749" s="89"/>
      <c r="Q749" s="110"/>
      <c r="R749" s="89"/>
      <c r="S749" s="89"/>
      <c r="T749" s="89"/>
      <c r="U749" s="89"/>
      <c r="V749" s="89"/>
      <c r="W749" s="89"/>
      <c r="X749" s="89"/>
      <c r="Y749" s="89"/>
      <c r="Z749" s="89"/>
      <c r="AA749" s="89"/>
      <c r="AB749" s="89"/>
      <c r="AC749" s="89"/>
      <c r="AD749" s="89"/>
    </row>
    <row r="750" spans="1:30" ht="13.8">
      <c r="A750" s="89"/>
      <c r="B750" s="89"/>
      <c r="C750" s="89"/>
      <c r="D750" s="89"/>
      <c r="E750" s="89"/>
      <c r="F750" s="110"/>
      <c r="G750" s="89"/>
      <c r="H750" s="110"/>
      <c r="I750" s="89"/>
      <c r="J750" s="110"/>
      <c r="K750" s="89"/>
      <c r="L750" s="89"/>
      <c r="M750" s="110"/>
      <c r="N750" s="89"/>
      <c r="O750" s="110"/>
      <c r="P750" s="89"/>
      <c r="Q750" s="110"/>
      <c r="R750" s="89"/>
      <c r="S750" s="89"/>
      <c r="T750" s="89"/>
      <c r="U750" s="89"/>
      <c r="V750" s="89"/>
      <c r="W750" s="89"/>
      <c r="X750" s="89"/>
      <c r="Y750" s="89"/>
      <c r="Z750" s="89"/>
      <c r="AA750" s="89"/>
      <c r="AB750" s="89"/>
      <c r="AC750" s="89"/>
      <c r="AD750" s="89"/>
    </row>
    <row r="751" spans="1:30" ht="13.8">
      <c r="A751" s="89"/>
      <c r="B751" s="89"/>
      <c r="C751" s="89"/>
      <c r="D751" s="89"/>
      <c r="E751" s="89"/>
      <c r="F751" s="110"/>
      <c r="G751" s="89"/>
      <c r="H751" s="110"/>
      <c r="I751" s="89"/>
      <c r="J751" s="110"/>
      <c r="K751" s="89"/>
      <c r="L751" s="89"/>
      <c r="M751" s="110"/>
      <c r="N751" s="89"/>
      <c r="O751" s="110"/>
      <c r="P751" s="89"/>
      <c r="Q751" s="110"/>
      <c r="R751" s="89"/>
      <c r="S751" s="89"/>
      <c r="T751" s="89"/>
      <c r="U751" s="89"/>
      <c r="V751" s="89"/>
      <c r="W751" s="89"/>
      <c r="X751" s="89"/>
      <c r="Y751" s="89"/>
      <c r="Z751" s="89"/>
      <c r="AA751" s="89"/>
      <c r="AB751" s="89"/>
      <c r="AC751" s="89"/>
      <c r="AD751" s="89"/>
    </row>
    <row r="752" spans="1:30" ht="13.8">
      <c r="A752" s="89"/>
      <c r="B752" s="89"/>
      <c r="C752" s="89"/>
      <c r="D752" s="89"/>
      <c r="E752" s="89"/>
      <c r="F752" s="110"/>
      <c r="G752" s="89"/>
      <c r="H752" s="110"/>
      <c r="I752" s="89"/>
      <c r="J752" s="110"/>
      <c r="K752" s="89"/>
      <c r="L752" s="89"/>
      <c r="M752" s="110"/>
      <c r="N752" s="89"/>
      <c r="O752" s="110"/>
      <c r="P752" s="89"/>
      <c r="Q752" s="110"/>
      <c r="R752" s="89"/>
      <c r="S752" s="89"/>
      <c r="T752" s="89"/>
      <c r="U752" s="89"/>
      <c r="V752" s="89"/>
      <c r="W752" s="89"/>
      <c r="X752" s="89"/>
      <c r="Y752" s="89"/>
      <c r="Z752" s="89"/>
      <c r="AA752" s="89"/>
      <c r="AB752" s="89"/>
      <c r="AC752" s="89"/>
      <c r="AD752" s="89"/>
    </row>
    <row r="753" spans="1:30" ht="13.8">
      <c r="A753" s="89"/>
      <c r="B753" s="89"/>
      <c r="C753" s="89"/>
      <c r="D753" s="89"/>
      <c r="E753" s="89"/>
      <c r="F753" s="110"/>
      <c r="G753" s="89"/>
      <c r="H753" s="110"/>
      <c r="I753" s="89"/>
      <c r="J753" s="110"/>
      <c r="K753" s="89"/>
      <c r="L753" s="89"/>
      <c r="M753" s="110"/>
      <c r="N753" s="89"/>
      <c r="O753" s="110"/>
      <c r="P753" s="89"/>
      <c r="Q753" s="110"/>
      <c r="R753" s="89"/>
      <c r="S753" s="89"/>
      <c r="T753" s="89"/>
      <c r="U753" s="89"/>
      <c r="V753" s="89"/>
      <c r="W753" s="89"/>
      <c r="X753" s="89"/>
      <c r="Y753" s="89"/>
      <c r="Z753" s="89"/>
      <c r="AA753" s="89"/>
      <c r="AB753" s="89"/>
      <c r="AC753" s="89"/>
      <c r="AD753" s="89"/>
    </row>
    <row r="754" spans="1:30" ht="13.8">
      <c r="A754" s="89"/>
      <c r="B754" s="89"/>
      <c r="C754" s="89"/>
      <c r="D754" s="89"/>
      <c r="E754" s="89"/>
      <c r="F754" s="110"/>
      <c r="G754" s="89"/>
      <c r="H754" s="110"/>
      <c r="I754" s="89"/>
      <c r="J754" s="110"/>
      <c r="K754" s="89"/>
      <c r="L754" s="89"/>
      <c r="M754" s="110"/>
      <c r="N754" s="89"/>
      <c r="O754" s="110"/>
      <c r="P754" s="89"/>
      <c r="Q754" s="110"/>
      <c r="R754" s="89"/>
      <c r="S754" s="89"/>
      <c r="T754" s="89"/>
      <c r="U754" s="89"/>
      <c r="V754" s="89"/>
      <c r="W754" s="89"/>
      <c r="X754" s="89"/>
      <c r="Y754" s="89"/>
      <c r="Z754" s="89"/>
      <c r="AA754" s="89"/>
      <c r="AB754" s="89"/>
      <c r="AC754" s="89"/>
      <c r="AD754" s="89"/>
    </row>
    <row r="755" spans="1:30" ht="13.8">
      <c r="A755" s="89"/>
      <c r="B755" s="89"/>
      <c r="C755" s="89"/>
      <c r="D755" s="89"/>
      <c r="E755" s="89"/>
      <c r="F755" s="110"/>
      <c r="G755" s="89"/>
      <c r="H755" s="110"/>
      <c r="I755" s="89"/>
      <c r="J755" s="110"/>
      <c r="K755" s="89"/>
      <c r="L755" s="89"/>
      <c r="M755" s="110"/>
      <c r="N755" s="89"/>
      <c r="O755" s="110"/>
      <c r="P755" s="89"/>
      <c r="Q755" s="110"/>
      <c r="R755" s="89"/>
      <c r="S755" s="89"/>
      <c r="T755" s="89"/>
      <c r="U755" s="89"/>
      <c r="V755" s="89"/>
      <c r="W755" s="89"/>
      <c r="X755" s="89"/>
      <c r="Y755" s="89"/>
      <c r="Z755" s="89"/>
      <c r="AA755" s="89"/>
      <c r="AB755" s="89"/>
      <c r="AC755" s="89"/>
      <c r="AD755" s="89"/>
    </row>
    <row r="756" spans="1:30" ht="13.8">
      <c r="A756" s="89"/>
      <c r="B756" s="89"/>
      <c r="C756" s="89"/>
      <c r="D756" s="89"/>
      <c r="E756" s="89"/>
      <c r="F756" s="110"/>
      <c r="G756" s="89"/>
      <c r="H756" s="110"/>
      <c r="I756" s="89"/>
      <c r="J756" s="110"/>
      <c r="K756" s="89"/>
      <c r="L756" s="89"/>
      <c r="M756" s="110"/>
      <c r="N756" s="89"/>
      <c r="O756" s="110"/>
      <c r="P756" s="89"/>
      <c r="Q756" s="110"/>
      <c r="R756" s="89"/>
      <c r="S756" s="89"/>
      <c r="T756" s="89"/>
      <c r="U756" s="89"/>
      <c r="V756" s="89"/>
      <c r="W756" s="89"/>
      <c r="X756" s="89"/>
      <c r="Y756" s="89"/>
      <c r="Z756" s="89"/>
      <c r="AA756" s="89"/>
      <c r="AB756" s="89"/>
      <c r="AC756" s="89"/>
      <c r="AD756" s="89"/>
    </row>
    <row r="757" spans="1:30" ht="13.8">
      <c r="A757" s="89"/>
      <c r="B757" s="89"/>
      <c r="C757" s="89"/>
      <c r="D757" s="89"/>
      <c r="E757" s="89"/>
      <c r="F757" s="110"/>
      <c r="G757" s="89"/>
      <c r="H757" s="110"/>
      <c r="I757" s="89"/>
      <c r="J757" s="110"/>
      <c r="K757" s="89"/>
      <c r="L757" s="89"/>
      <c r="M757" s="110"/>
      <c r="N757" s="89"/>
      <c r="O757" s="110"/>
      <c r="P757" s="89"/>
      <c r="Q757" s="110"/>
      <c r="R757" s="89"/>
      <c r="S757" s="89"/>
      <c r="T757" s="89"/>
      <c r="U757" s="89"/>
      <c r="V757" s="89"/>
      <c r="W757" s="89"/>
      <c r="X757" s="89"/>
      <c r="Y757" s="89"/>
      <c r="Z757" s="89"/>
      <c r="AA757" s="89"/>
      <c r="AB757" s="89"/>
      <c r="AC757" s="89"/>
      <c r="AD757" s="89"/>
    </row>
    <row r="758" spans="1:30" ht="13.8">
      <c r="A758" s="89"/>
      <c r="B758" s="89"/>
      <c r="C758" s="89"/>
      <c r="D758" s="89"/>
      <c r="E758" s="89"/>
      <c r="F758" s="110"/>
      <c r="G758" s="89"/>
      <c r="H758" s="110"/>
      <c r="I758" s="89"/>
      <c r="J758" s="110"/>
      <c r="K758" s="89"/>
      <c r="L758" s="89"/>
      <c r="M758" s="110"/>
      <c r="N758" s="89"/>
      <c r="O758" s="110"/>
      <c r="P758" s="89"/>
      <c r="Q758" s="110"/>
      <c r="R758" s="89"/>
      <c r="S758" s="89"/>
      <c r="T758" s="89"/>
      <c r="U758" s="89"/>
      <c r="V758" s="89"/>
      <c r="W758" s="89"/>
      <c r="X758" s="89"/>
      <c r="Y758" s="89"/>
      <c r="Z758" s="89"/>
      <c r="AA758" s="89"/>
      <c r="AB758" s="89"/>
      <c r="AC758" s="89"/>
      <c r="AD758" s="89"/>
    </row>
    <row r="759" spans="1:30" ht="13.8">
      <c r="A759" s="89"/>
      <c r="B759" s="89"/>
      <c r="C759" s="89"/>
      <c r="D759" s="89"/>
      <c r="E759" s="89"/>
      <c r="F759" s="110"/>
      <c r="G759" s="89"/>
      <c r="H759" s="110"/>
      <c r="I759" s="89"/>
      <c r="J759" s="110"/>
      <c r="K759" s="89"/>
      <c r="L759" s="89"/>
      <c r="M759" s="110"/>
      <c r="N759" s="89"/>
      <c r="O759" s="110"/>
      <c r="P759" s="89"/>
      <c r="Q759" s="110"/>
      <c r="R759" s="89"/>
      <c r="S759" s="89"/>
      <c r="T759" s="89"/>
      <c r="U759" s="89"/>
      <c r="V759" s="89"/>
      <c r="W759" s="89"/>
      <c r="X759" s="89"/>
      <c r="Y759" s="89"/>
      <c r="Z759" s="89"/>
      <c r="AA759" s="89"/>
      <c r="AB759" s="89"/>
      <c r="AC759" s="89"/>
      <c r="AD759" s="89"/>
    </row>
    <row r="760" spans="1:30" ht="13.8">
      <c r="A760" s="89"/>
      <c r="B760" s="89"/>
      <c r="C760" s="89"/>
      <c r="D760" s="89"/>
      <c r="E760" s="89"/>
      <c r="F760" s="110"/>
      <c r="G760" s="89"/>
      <c r="H760" s="110"/>
      <c r="I760" s="89"/>
      <c r="J760" s="110"/>
      <c r="K760" s="89"/>
      <c r="L760" s="89"/>
      <c r="M760" s="110"/>
      <c r="N760" s="89"/>
      <c r="O760" s="110"/>
      <c r="P760" s="89"/>
      <c r="Q760" s="110"/>
      <c r="R760" s="89"/>
      <c r="S760" s="89"/>
      <c r="T760" s="89"/>
      <c r="U760" s="89"/>
      <c r="V760" s="89"/>
      <c r="W760" s="89"/>
      <c r="X760" s="89"/>
      <c r="Y760" s="89"/>
      <c r="Z760" s="89"/>
      <c r="AA760" s="89"/>
      <c r="AB760" s="89"/>
      <c r="AC760" s="89"/>
      <c r="AD760" s="89"/>
    </row>
    <row r="761" spans="1:30" ht="13.8">
      <c r="A761" s="89"/>
      <c r="B761" s="89"/>
      <c r="C761" s="89"/>
      <c r="D761" s="89"/>
      <c r="E761" s="89"/>
      <c r="F761" s="110"/>
      <c r="G761" s="89"/>
      <c r="H761" s="110"/>
      <c r="I761" s="89"/>
      <c r="J761" s="110"/>
      <c r="K761" s="89"/>
      <c r="L761" s="89"/>
      <c r="M761" s="110"/>
      <c r="N761" s="89"/>
      <c r="O761" s="110"/>
      <c r="P761" s="89"/>
      <c r="Q761" s="110"/>
      <c r="R761" s="89"/>
      <c r="S761" s="89"/>
      <c r="T761" s="89"/>
      <c r="U761" s="89"/>
      <c r="V761" s="89"/>
      <c r="W761" s="89"/>
      <c r="X761" s="89"/>
      <c r="Y761" s="89"/>
      <c r="Z761" s="89"/>
      <c r="AA761" s="89"/>
      <c r="AB761" s="89"/>
      <c r="AC761" s="89"/>
      <c r="AD761" s="89"/>
    </row>
    <row r="762" spans="1:30" ht="13.8">
      <c r="A762" s="89"/>
      <c r="B762" s="89"/>
      <c r="C762" s="89"/>
      <c r="D762" s="89"/>
      <c r="E762" s="89"/>
      <c r="F762" s="110"/>
      <c r="G762" s="89"/>
      <c r="H762" s="110"/>
      <c r="I762" s="89"/>
      <c r="J762" s="110"/>
      <c r="K762" s="89"/>
      <c r="L762" s="89"/>
      <c r="M762" s="110"/>
      <c r="N762" s="89"/>
      <c r="O762" s="110"/>
      <c r="P762" s="89"/>
      <c r="Q762" s="110"/>
      <c r="R762" s="89"/>
      <c r="S762" s="89"/>
      <c r="T762" s="89"/>
      <c r="U762" s="89"/>
      <c r="V762" s="89"/>
      <c r="W762" s="89"/>
      <c r="X762" s="89"/>
      <c r="Y762" s="89"/>
      <c r="Z762" s="89"/>
      <c r="AA762" s="89"/>
      <c r="AB762" s="89"/>
      <c r="AC762" s="89"/>
      <c r="AD762" s="89"/>
    </row>
    <row r="763" spans="1:30" ht="13.8">
      <c r="A763" s="89"/>
      <c r="B763" s="89"/>
      <c r="C763" s="89"/>
      <c r="D763" s="89"/>
      <c r="E763" s="89"/>
      <c r="F763" s="110"/>
      <c r="G763" s="89"/>
      <c r="H763" s="110"/>
      <c r="I763" s="89"/>
      <c r="J763" s="110"/>
      <c r="K763" s="89"/>
      <c r="L763" s="89"/>
      <c r="M763" s="110"/>
      <c r="N763" s="89"/>
      <c r="O763" s="110"/>
      <c r="P763" s="89"/>
      <c r="Q763" s="110"/>
      <c r="R763" s="89"/>
      <c r="S763" s="89"/>
      <c r="T763" s="89"/>
      <c r="U763" s="89"/>
      <c r="V763" s="89"/>
      <c r="W763" s="89"/>
      <c r="X763" s="89"/>
      <c r="Y763" s="89"/>
      <c r="Z763" s="89"/>
      <c r="AA763" s="89"/>
      <c r="AB763" s="89"/>
      <c r="AC763" s="89"/>
      <c r="AD763" s="89"/>
    </row>
    <row r="764" spans="1:30" ht="13.8">
      <c r="A764" s="89"/>
      <c r="B764" s="89"/>
      <c r="C764" s="89"/>
      <c r="D764" s="89"/>
      <c r="E764" s="89"/>
      <c r="F764" s="110"/>
      <c r="G764" s="89"/>
      <c r="H764" s="110"/>
      <c r="I764" s="89"/>
      <c r="J764" s="110"/>
      <c r="K764" s="89"/>
      <c r="L764" s="89"/>
      <c r="M764" s="110"/>
      <c r="N764" s="89"/>
      <c r="O764" s="110"/>
      <c r="P764" s="89"/>
      <c r="Q764" s="110"/>
      <c r="R764" s="89"/>
      <c r="S764" s="89"/>
      <c r="T764" s="89"/>
      <c r="U764" s="89"/>
      <c r="V764" s="89"/>
      <c r="W764" s="89"/>
      <c r="X764" s="89"/>
      <c r="Y764" s="89"/>
      <c r="Z764" s="89"/>
      <c r="AA764" s="89"/>
      <c r="AB764" s="89"/>
      <c r="AC764" s="89"/>
      <c r="AD764" s="89"/>
    </row>
    <row r="765" spans="1:30" ht="13.8">
      <c r="A765" s="89"/>
      <c r="B765" s="89"/>
      <c r="C765" s="89"/>
      <c r="D765" s="89"/>
      <c r="E765" s="89"/>
      <c r="F765" s="110"/>
      <c r="G765" s="89"/>
      <c r="H765" s="110"/>
      <c r="I765" s="89"/>
      <c r="J765" s="110"/>
      <c r="K765" s="89"/>
      <c r="L765" s="89"/>
      <c r="M765" s="110"/>
      <c r="N765" s="89"/>
      <c r="O765" s="110"/>
      <c r="P765" s="89"/>
      <c r="Q765" s="110"/>
      <c r="R765" s="89"/>
      <c r="S765" s="89"/>
      <c r="T765" s="89"/>
      <c r="U765" s="89"/>
      <c r="V765" s="89"/>
      <c r="W765" s="89"/>
      <c r="X765" s="89"/>
      <c r="Y765" s="89"/>
      <c r="Z765" s="89"/>
      <c r="AA765" s="89"/>
      <c r="AB765" s="89"/>
      <c r="AC765" s="89"/>
      <c r="AD765" s="89"/>
    </row>
    <row r="766" spans="1:30" ht="13.8">
      <c r="A766" s="89"/>
      <c r="B766" s="89"/>
      <c r="C766" s="89"/>
      <c r="D766" s="89"/>
      <c r="E766" s="89"/>
      <c r="F766" s="110"/>
      <c r="G766" s="89"/>
      <c r="H766" s="110"/>
      <c r="I766" s="89"/>
      <c r="J766" s="110"/>
      <c r="K766" s="89"/>
      <c r="L766" s="89"/>
      <c r="M766" s="110"/>
      <c r="N766" s="89"/>
      <c r="O766" s="110"/>
      <c r="P766" s="89"/>
      <c r="Q766" s="110"/>
      <c r="R766" s="89"/>
      <c r="S766" s="89"/>
      <c r="T766" s="89"/>
      <c r="U766" s="89"/>
      <c r="V766" s="89"/>
      <c r="W766" s="89"/>
      <c r="X766" s="89"/>
      <c r="Y766" s="89"/>
      <c r="Z766" s="89"/>
      <c r="AA766" s="89"/>
      <c r="AB766" s="89"/>
      <c r="AC766" s="89"/>
      <c r="AD766" s="89"/>
    </row>
    <row r="767" spans="1:30" ht="13.8">
      <c r="A767" s="89"/>
      <c r="B767" s="89"/>
      <c r="C767" s="89"/>
      <c r="D767" s="89"/>
      <c r="E767" s="89"/>
      <c r="F767" s="110"/>
      <c r="G767" s="89"/>
      <c r="H767" s="110"/>
      <c r="I767" s="89"/>
      <c r="J767" s="110"/>
      <c r="K767" s="89"/>
      <c r="L767" s="89"/>
      <c r="M767" s="110"/>
      <c r="N767" s="89"/>
      <c r="O767" s="110"/>
      <c r="P767" s="89"/>
      <c r="Q767" s="110"/>
      <c r="R767" s="89"/>
      <c r="S767" s="89"/>
      <c r="T767" s="89"/>
      <c r="U767" s="89"/>
      <c r="V767" s="89"/>
      <c r="W767" s="89"/>
      <c r="X767" s="89"/>
      <c r="Y767" s="89"/>
      <c r="Z767" s="89"/>
      <c r="AA767" s="89"/>
      <c r="AB767" s="89"/>
      <c r="AC767" s="89"/>
      <c r="AD767" s="89"/>
    </row>
    <row r="768" spans="1:30" ht="13.8">
      <c r="A768" s="89"/>
      <c r="B768" s="89"/>
      <c r="C768" s="89"/>
      <c r="D768" s="89"/>
      <c r="E768" s="89"/>
      <c r="F768" s="110"/>
      <c r="G768" s="89"/>
      <c r="H768" s="110"/>
      <c r="I768" s="89"/>
      <c r="J768" s="110"/>
      <c r="K768" s="89"/>
      <c r="L768" s="89"/>
      <c r="M768" s="110"/>
      <c r="N768" s="89"/>
      <c r="O768" s="110"/>
      <c r="P768" s="89"/>
      <c r="Q768" s="110"/>
      <c r="R768" s="89"/>
      <c r="S768" s="89"/>
      <c r="T768" s="89"/>
      <c r="U768" s="89"/>
      <c r="V768" s="89"/>
      <c r="W768" s="89"/>
      <c r="X768" s="89"/>
      <c r="Y768" s="89"/>
      <c r="Z768" s="89"/>
      <c r="AA768" s="89"/>
      <c r="AB768" s="89"/>
      <c r="AC768" s="89"/>
      <c r="AD768" s="89"/>
    </row>
    <row r="769" spans="1:30" ht="13.8">
      <c r="A769" s="89"/>
      <c r="B769" s="89"/>
      <c r="C769" s="89"/>
      <c r="D769" s="89"/>
      <c r="E769" s="89"/>
      <c r="F769" s="110"/>
      <c r="G769" s="89"/>
      <c r="H769" s="110"/>
      <c r="I769" s="89"/>
      <c r="J769" s="110"/>
      <c r="K769" s="89"/>
      <c r="L769" s="89"/>
      <c r="M769" s="110"/>
      <c r="N769" s="89"/>
      <c r="O769" s="110"/>
      <c r="P769" s="89"/>
      <c r="Q769" s="110"/>
      <c r="R769" s="89"/>
      <c r="S769" s="89"/>
      <c r="T769" s="89"/>
      <c r="U769" s="89"/>
      <c r="V769" s="89"/>
      <c r="W769" s="89"/>
      <c r="X769" s="89"/>
      <c r="Y769" s="89"/>
      <c r="Z769" s="89"/>
      <c r="AA769" s="89"/>
      <c r="AB769" s="89"/>
      <c r="AC769" s="89"/>
      <c r="AD769" s="89"/>
    </row>
    <row r="770" spans="1:30" ht="13.8">
      <c r="A770" s="89"/>
      <c r="B770" s="89"/>
      <c r="C770" s="89"/>
      <c r="D770" s="89"/>
      <c r="E770" s="89"/>
      <c r="F770" s="110"/>
      <c r="G770" s="89"/>
      <c r="H770" s="110"/>
      <c r="I770" s="89"/>
      <c r="J770" s="110"/>
      <c r="K770" s="89"/>
      <c r="L770" s="89"/>
      <c r="M770" s="110"/>
      <c r="N770" s="89"/>
      <c r="O770" s="110"/>
      <c r="P770" s="89"/>
      <c r="Q770" s="110"/>
      <c r="R770" s="89"/>
      <c r="S770" s="89"/>
      <c r="T770" s="89"/>
      <c r="U770" s="89"/>
      <c r="V770" s="89"/>
      <c r="W770" s="89"/>
      <c r="X770" s="89"/>
      <c r="Y770" s="89"/>
      <c r="Z770" s="89"/>
      <c r="AA770" s="89"/>
      <c r="AB770" s="89"/>
      <c r="AC770" s="89"/>
      <c r="AD770" s="89"/>
    </row>
    <row r="771" spans="1:30" ht="13.8">
      <c r="A771" s="89"/>
      <c r="B771" s="89"/>
      <c r="C771" s="89"/>
      <c r="D771" s="89"/>
      <c r="E771" s="89"/>
      <c r="F771" s="110"/>
      <c r="G771" s="89"/>
      <c r="H771" s="110"/>
      <c r="I771" s="89"/>
      <c r="J771" s="110"/>
      <c r="K771" s="89"/>
      <c r="L771" s="89"/>
      <c r="M771" s="110"/>
      <c r="N771" s="89"/>
      <c r="O771" s="110"/>
      <c r="P771" s="89"/>
      <c r="Q771" s="110"/>
      <c r="R771" s="89"/>
      <c r="S771" s="89"/>
      <c r="T771" s="89"/>
      <c r="U771" s="89"/>
      <c r="V771" s="89"/>
      <c r="W771" s="89"/>
      <c r="X771" s="89"/>
      <c r="Y771" s="89"/>
      <c r="Z771" s="89"/>
      <c r="AA771" s="89"/>
      <c r="AB771" s="89"/>
      <c r="AC771" s="89"/>
      <c r="AD771" s="89"/>
    </row>
    <row r="772" spans="1:30" ht="13.8">
      <c r="A772" s="89"/>
      <c r="B772" s="89"/>
      <c r="C772" s="89"/>
      <c r="D772" s="89"/>
      <c r="E772" s="89"/>
      <c r="F772" s="110"/>
      <c r="G772" s="89"/>
      <c r="H772" s="110"/>
      <c r="I772" s="89"/>
      <c r="J772" s="110"/>
      <c r="K772" s="89"/>
      <c r="L772" s="89"/>
      <c r="M772" s="110"/>
      <c r="N772" s="89"/>
      <c r="O772" s="110"/>
      <c r="P772" s="89"/>
      <c r="Q772" s="110"/>
      <c r="R772" s="89"/>
      <c r="S772" s="89"/>
      <c r="T772" s="89"/>
      <c r="U772" s="89"/>
      <c r="V772" s="89"/>
      <c r="W772" s="89"/>
      <c r="X772" s="89"/>
      <c r="Y772" s="89"/>
      <c r="Z772" s="89"/>
      <c r="AA772" s="89"/>
      <c r="AB772" s="89"/>
      <c r="AC772" s="89"/>
      <c r="AD772" s="89"/>
    </row>
    <row r="773" spans="1:30" ht="13.8">
      <c r="A773" s="89"/>
      <c r="B773" s="89"/>
      <c r="C773" s="89"/>
      <c r="D773" s="89"/>
      <c r="E773" s="89"/>
      <c r="F773" s="110"/>
      <c r="G773" s="89"/>
      <c r="H773" s="110"/>
      <c r="I773" s="89"/>
      <c r="J773" s="110"/>
      <c r="K773" s="89"/>
      <c r="L773" s="89"/>
      <c r="M773" s="110"/>
      <c r="N773" s="89"/>
      <c r="O773" s="110"/>
      <c r="P773" s="89"/>
      <c r="Q773" s="110"/>
      <c r="R773" s="89"/>
      <c r="S773" s="89"/>
      <c r="T773" s="89"/>
      <c r="U773" s="89"/>
      <c r="V773" s="89"/>
      <c r="W773" s="89"/>
      <c r="X773" s="89"/>
      <c r="Y773" s="89"/>
      <c r="Z773" s="89"/>
      <c r="AA773" s="89"/>
      <c r="AB773" s="89"/>
      <c r="AC773" s="89"/>
      <c r="AD773" s="89"/>
    </row>
    <row r="774" spans="1:30" ht="13.8">
      <c r="A774" s="89"/>
      <c r="B774" s="89"/>
      <c r="C774" s="89"/>
      <c r="D774" s="89"/>
      <c r="E774" s="89"/>
      <c r="F774" s="110"/>
      <c r="G774" s="89"/>
      <c r="H774" s="110"/>
      <c r="I774" s="89"/>
      <c r="J774" s="110"/>
      <c r="K774" s="89"/>
      <c r="L774" s="89"/>
      <c r="M774" s="110"/>
      <c r="N774" s="89"/>
      <c r="O774" s="110"/>
      <c r="P774" s="89"/>
      <c r="Q774" s="110"/>
      <c r="R774" s="89"/>
      <c r="S774" s="89"/>
      <c r="T774" s="89"/>
      <c r="U774" s="89"/>
      <c r="V774" s="89"/>
      <c r="W774" s="89"/>
      <c r="X774" s="89"/>
      <c r="Y774" s="89"/>
      <c r="Z774" s="89"/>
      <c r="AA774" s="89"/>
      <c r="AB774" s="89"/>
      <c r="AC774" s="89"/>
      <c r="AD774" s="89"/>
    </row>
    <row r="775" spans="1:30" ht="13.8">
      <c r="A775" s="89"/>
      <c r="B775" s="89"/>
      <c r="C775" s="89"/>
      <c r="D775" s="89"/>
      <c r="E775" s="89"/>
      <c r="F775" s="110"/>
      <c r="G775" s="89"/>
      <c r="H775" s="110"/>
      <c r="I775" s="89"/>
      <c r="J775" s="110"/>
      <c r="K775" s="89"/>
      <c r="L775" s="89"/>
      <c r="M775" s="110"/>
      <c r="N775" s="89"/>
      <c r="O775" s="110"/>
      <c r="P775" s="89"/>
      <c r="Q775" s="110"/>
      <c r="R775" s="89"/>
      <c r="S775" s="89"/>
      <c r="T775" s="89"/>
      <c r="U775" s="89"/>
      <c r="V775" s="89"/>
      <c r="W775" s="89"/>
      <c r="X775" s="89"/>
      <c r="Y775" s="89"/>
      <c r="Z775" s="89"/>
      <c r="AA775" s="89"/>
      <c r="AB775" s="89"/>
      <c r="AC775" s="89"/>
      <c r="AD775" s="89"/>
    </row>
    <row r="776" spans="1:30" ht="13.8">
      <c r="A776" s="89"/>
      <c r="B776" s="89"/>
      <c r="C776" s="89"/>
      <c r="D776" s="89"/>
      <c r="E776" s="89"/>
      <c r="F776" s="110"/>
      <c r="G776" s="89"/>
      <c r="H776" s="110"/>
      <c r="I776" s="89"/>
      <c r="J776" s="110"/>
      <c r="K776" s="89"/>
      <c r="L776" s="89"/>
      <c r="M776" s="110"/>
      <c r="N776" s="89"/>
      <c r="O776" s="110"/>
      <c r="P776" s="89"/>
      <c r="Q776" s="110"/>
      <c r="R776" s="89"/>
      <c r="S776" s="89"/>
      <c r="T776" s="89"/>
      <c r="U776" s="89"/>
      <c r="V776" s="89"/>
      <c r="W776" s="89"/>
      <c r="X776" s="89"/>
      <c r="Y776" s="89"/>
      <c r="Z776" s="89"/>
      <c r="AA776" s="89"/>
      <c r="AB776" s="89"/>
      <c r="AC776" s="89"/>
      <c r="AD776" s="89"/>
    </row>
    <row r="777" spans="1:30" ht="13.8">
      <c r="A777" s="89"/>
      <c r="B777" s="89"/>
      <c r="C777" s="89"/>
      <c r="D777" s="89"/>
      <c r="E777" s="89"/>
      <c r="F777" s="110"/>
      <c r="G777" s="89"/>
      <c r="H777" s="110"/>
      <c r="I777" s="89"/>
      <c r="J777" s="110"/>
      <c r="K777" s="89"/>
      <c r="L777" s="89"/>
      <c r="M777" s="110"/>
      <c r="N777" s="89"/>
      <c r="O777" s="110"/>
      <c r="P777" s="89"/>
      <c r="Q777" s="110"/>
      <c r="R777" s="89"/>
      <c r="S777" s="89"/>
      <c r="T777" s="89"/>
      <c r="U777" s="89"/>
      <c r="V777" s="89"/>
      <c r="W777" s="89"/>
      <c r="X777" s="89"/>
      <c r="Y777" s="89"/>
      <c r="Z777" s="89"/>
      <c r="AA777" s="89"/>
      <c r="AB777" s="89"/>
      <c r="AC777" s="89"/>
      <c r="AD777" s="89"/>
    </row>
    <row r="778" spans="1:30" ht="13.8">
      <c r="A778" s="89"/>
      <c r="B778" s="89"/>
      <c r="C778" s="89"/>
      <c r="D778" s="89"/>
      <c r="E778" s="89"/>
      <c r="F778" s="110"/>
      <c r="G778" s="89"/>
      <c r="H778" s="110"/>
      <c r="I778" s="89"/>
      <c r="J778" s="110"/>
      <c r="K778" s="89"/>
      <c r="L778" s="89"/>
      <c r="M778" s="110"/>
      <c r="N778" s="89"/>
      <c r="O778" s="110"/>
      <c r="P778" s="89"/>
      <c r="Q778" s="110"/>
      <c r="R778" s="89"/>
      <c r="S778" s="89"/>
      <c r="T778" s="89"/>
      <c r="U778" s="89"/>
      <c r="V778" s="89"/>
      <c r="W778" s="89"/>
      <c r="X778" s="89"/>
      <c r="Y778" s="89"/>
      <c r="Z778" s="89"/>
      <c r="AA778" s="89"/>
      <c r="AB778" s="89"/>
      <c r="AC778" s="89"/>
      <c r="AD778" s="89"/>
    </row>
    <row r="779" spans="1:30" ht="13.8">
      <c r="A779" s="89"/>
      <c r="B779" s="89"/>
      <c r="C779" s="89"/>
      <c r="D779" s="89"/>
      <c r="E779" s="89"/>
      <c r="F779" s="110"/>
      <c r="G779" s="89"/>
      <c r="H779" s="110"/>
      <c r="I779" s="89"/>
      <c r="J779" s="110"/>
      <c r="K779" s="89"/>
      <c r="L779" s="89"/>
      <c r="M779" s="110"/>
      <c r="N779" s="89"/>
      <c r="O779" s="110"/>
      <c r="P779" s="89"/>
      <c r="Q779" s="110"/>
      <c r="R779" s="89"/>
      <c r="S779" s="89"/>
      <c r="T779" s="89"/>
      <c r="U779" s="89"/>
      <c r="V779" s="89"/>
      <c r="W779" s="89"/>
      <c r="X779" s="89"/>
      <c r="Y779" s="89"/>
      <c r="Z779" s="89"/>
      <c r="AA779" s="89"/>
      <c r="AB779" s="89"/>
      <c r="AC779" s="89"/>
      <c r="AD779" s="89"/>
    </row>
    <row r="780" spans="1:30" ht="13.8">
      <c r="A780" s="89"/>
      <c r="B780" s="89"/>
      <c r="C780" s="89"/>
      <c r="D780" s="89"/>
      <c r="E780" s="89"/>
      <c r="F780" s="110"/>
      <c r="G780" s="89"/>
      <c r="H780" s="110"/>
      <c r="I780" s="89"/>
      <c r="J780" s="110"/>
      <c r="K780" s="89"/>
      <c r="L780" s="89"/>
      <c r="M780" s="110"/>
      <c r="N780" s="89"/>
      <c r="O780" s="110"/>
      <c r="P780" s="89"/>
      <c r="Q780" s="110"/>
      <c r="R780" s="89"/>
      <c r="S780" s="89"/>
      <c r="T780" s="89"/>
      <c r="U780" s="89"/>
      <c r="V780" s="89"/>
      <c r="W780" s="89"/>
      <c r="X780" s="89"/>
      <c r="Y780" s="89"/>
      <c r="Z780" s="89"/>
      <c r="AA780" s="89"/>
      <c r="AB780" s="89"/>
      <c r="AC780" s="89"/>
      <c r="AD780" s="89"/>
    </row>
    <row r="781" spans="1:30" ht="13.8">
      <c r="A781" s="89"/>
      <c r="B781" s="89"/>
      <c r="C781" s="89"/>
      <c r="D781" s="89"/>
      <c r="E781" s="89"/>
      <c r="F781" s="110"/>
      <c r="G781" s="89"/>
      <c r="H781" s="110"/>
      <c r="I781" s="89"/>
      <c r="J781" s="110"/>
      <c r="K781" s="89"/>
      <c r="L781" s="89"/>
      <c r="M781" s="110"/>
      <c r="N781" s="89"/>
      <c r="O781" s="110"/>
      <c r="P781" s="89"/>
      <c r="Q781" s="110"/>
      <c r="R781" s="89"/>
      <c r="S781" s="89"/>
      <c r="T781" s="89"/>
      <c r="U781" s="89"/>
      <c r="V781" s="89"/>
      <c r="W781" s="89"/>
      <c r="X781" s="89"/>
      <c r="Y781" s="89"/>
      <c r="Z781" s="89"/>
      <c r="AA781" s="89"/>
      <c r="AB781" s="89"/>
      <c r="AC781" s="89"/>
      <c r="AD781" s="89"/>
    </row>
    <row r="782" spans="1:30" ht="13.8">
      <c r="A782" s="89"/>
      <c r="B782" s="89"/>
      <c r="C782" s="89"/>
      <c r="D782" s="89"/>
      <c r="E782" s="89"/>
      <c r="F782" s="110"/>
      <c r="G782" s="89"/>
      <c r="H782" s="110"/>
      <c r="I782" s="89"/>
      <c r="J782" s="110"/>
      <c r="K782" s="89"/>
      <c r="L782" s="89"/>
      <c r="M782" s="110"/>
      <c r="N782" s="89"/>
      <c r="O782" s="110"/>
      <c r="P782" s="89"/>
      <c r="Q782" s="110"/>
      <c r="R782" s="89"/>
      <c r="S782" s="89"/>
      <c r="T782" s="89"/>
      <c r="U782" s="89"/>
      <c r="V782" s="89"/>
      <c r="W782" s="89"/>
      <c r="X782" s="89"/>
      <c r="Y782" s="89"/>
      <c r="Z782" s="89"/>
      <c r="AA782" s="89"/>
      <c r="AB782" s="89"/>
      <c r="AC782" s="89"/>
      <c r="AD782" s="89"/>
    </row>
    <row r="783" spans="1:30" ht="13.8">
      <c r="A783" s="89"/>
      <c r="B783" s="89"/>
      <c r="C783" s="89"/>
      <c r="D783" s="89"/>
      <c r="E783" s="89"/>
      <c r="F783" s="110"/>
      <c r="G783" s="89"/>
      <c r="H783" s="110"/>
      <c r="I783" s="89"/>
      <c r="J783" s="110"/>
      <c r="K783" s="89"/>
      <c r="L783" s="89"/>
      <c r="M783" s="110"/>
      <c r="N783" s="89"/>
      <c r="O783" s="110"/>
      <c r="P783" s="89"/>
      <c r="Q783" s="110"/>
      <c r="R783" s="89"/>
      <c r="S783" s="89"/>
      <c r="T783" s="89"/>
      <c r="U783" s="89"/>
      <c r="V783" s="89"/>
      <c r="W783" s="89"/>
      <c r="X783" s="89"/>
      <c r="Y783" s="89"/>
      <c r="Z783" s="89"/>
      <c r="AA783" s="89"/>
      <c r="AB783" s="89"/>
      <c r="AC783" s="89"/>
      <c r="AD783" s="89"/>
    </row>
    <row r="784" spans="1:30" ht="13.8">
      <c r="A784" s="89"/>
      <c r="B784" s="89"/>
      <c r="C784" s="89"/>
      <c r="D784" s="89"/>
      <c r="E784" s="89"/>
      <c r="F784" s="110"/>
      <c r="G784" s="89"/>
      <c r="H784" s="110"/>
      <c r="I784" s="89"/>
      <c r="J784" s="110"/>
      <c r="K784" s="89"/>
      <c r="L784" s="89"/>
      <c r="M784" s="110"/>
      <c r="N784" s="89"/>
      <c r="O784" s="110"/>
      <c r="P784" s="89"/>
      <c r="Q784" s="110"/>
      <c r="R784" s="89"/>
      <c r="S784" s="89"/>
      <c r="T784" s="89"/>
      <c r="U784" s="89"/>
      <c r="V784" s="89"/>
      <c r="W784" s="89"/>
      <c r="X784" s="89"/>
      <c r="Y784" s="89"/>
      <c r="Z784" s="89"/>
      <c r="AA784" s="89"/>
      <c r="AB784" s="89"/>
      <c r="AC784" s="89"/>
      <c r="AD784" s="89"/>
    </row>
    <row r="785" spans="1:30" ht="13.8">
      <c r="A785" s="89"/>
      <c r="B785" s="89"/>
      <c r="C785" s="89"/>
      <c r="D785" s="89"/>
      <c r="E785" s="89"/>
      <c r="F785" s="110"/>
      <c r="G785" s="89"/>
      <c r="H785" s="110"/>
      <c r="I785" s="89"/>
      <c r="J785" s="110"/>
      <c r="K785" s="89"/>
      <c r="L785" s="89"/>
      <c r="M785" s="110"/>
      <c r="N785" s="89"/>
      <c r="O785" s="110"/>
      <c r="P785" s="89"/>
      <c r="Q785" s="110"/>
      <c r="R785" s="89"/>
      <c r="S785" s="89"/>
      <c r="T785" s="89"/>
      <c r="U785" s="89"/>
      <c r="V785" s="89"/>
      <c r="W785" s="89"/>
      <c r="X785" s="89"/>
      <c r="Y785" s="89"/>
      <c r="Z785" s="89"/>
      <c r="AA785" s="89"/>
      <c r="AB785" s="89"/>
      <c r="AC785" s="89"/>
      <c r="AD785" s="89"/>
    </row>
    <row r="786" spans="1:30" ht="13.8">
      <c r="A786" s="89"/>
      <c r="B786" s="89"/>
      <c r="C786" s="89"/>
      <c r="D786" s="89"/>
      <c r="E786" s="89"/>
      <c r="F786" s="110"/>
      <c r="G786" s="89"/>
      <c r="H786" s="110"/>
      <c r="I786" s="89"/>
      <c r="J786" s="110"/>
      <c r="K786" s="89"/>
      <c r="L786" s="89"/>
      <c r="M786" s="110"/>
      <c r="N786" s="89"/>
      <c r="O786" s="110"/>
      <c r="P786" s="89"/>
      <c r="Q786" s="110"/>
      <c r="R786" s="89"/>
      <c r="S786" s="89"/>
      <c r="T786" s="89"/>
      <c r="U786" s="89"/>
      <c r="V786" s="89"/>
      <c r="W786" s="89"/>
      <c r="X786" s="89"/>
      <c r="Y786" s="89"/>
      <c r="Z786" s="89"/>
      <c r="AA786" s="89"/>
      <c r="AB786" s="89"/>
      <c r="AC786" s="89"/>
      <c r="AD786" s="89"/>
    </row>
    <row r="787" spans="1:30" ht="13.8">
      <c r="A787" s="89"/>
      <c r="B787" s="89"/>
      <c r="C787" s="89"/>
      <c r="D787" s="89"/>
      <c r="E787" s="89"/>
      <c r="F787" s="110"/>
      <c r="G787" s="89"/>
      <c r="H787" s="110"/>
      <c r="I787" s="89"/>
      <c r="J787" s="110"/>
      <c r="K787" s="89"/>
      <c r="L787" s="89"/>
      <c r="M787" s="110"/>
      <c r="N787" s="89"/>
      <c r="O787" s="110"/>
      <c r="P787" s="89"/>
      <c r="Q787" s="110"/>
      <c r="R787" s="89"/>
      <c r="S787" s="89"/>
      <c r="T787" s="89"/>
      <c r="U787" s="89"/>
      <c r="V787" s="89"/>
      <c r="W787" s="89"/>
      <c r="X787" s="89"/>
      <c r="Y787" s="89"/>
      <c r="Z787" s="89"/>
      <c r="AA787" s="89"/>
      <c r="AB787" s="89"/>
      <c r="AC787" s="89"/>
      <c r="AD787" s="89"/>
    </row>
    <row r="788" spans="1:30" ht="13.8">
      <c r="A788" s="89"/>
      <c r="B788" s="89"/>
      <c r="C788" s="89"/>
      <c r="D788" s="89"/>
      <c r="E788" s="89"/>
      <c r="F788" s="110"/>
      <c r="G788" s="89"/>
      <c r="H788" s="110"/>
      <c r="I788" s="89"/>
      <c r="J788" s="110"/>
      <c r="K788" s="89"/>
      <c r="L788" s="89"/>
      <c r="M788" s="110"/>
      <c r="N788" s="89"/>
      <c r="O788" s="110"/>
      <c r="P788" s="89"/>
      <c r="Q788" s="110"/>
      <c r="R788" s="89"/>
      <c r="S788" s="89"/>
      <c r="T788" s="89"/>
      <c r="U788" s="89"/>
      <c r="V788" s="89"/>
      <c r="W788" s="89"/>
      <c r="X788" s="89"/>
      <c r="Y788" s="89"/>
      <c r="Z788" s="89"/>
      <c r="AA788" s="89"/>
      <c r="AB788" s="89"/>
      <c r="AC788" s="89"/>
      <c r="AD788" s="89"/>
    </row>
    <row r="789" spans="1:30" ht="13.8">
      <c r="A789" s="89"/>
      <c r="B789" s="89"/>
      <c r="C789" s="89"/>
      <c r="D789" s="89"/>
      <c r="E789" s="89"/>
      <c r="F789" s="110"/>
      <c r="G789" s="89"/>
      <c r="H789" s="110"/>
      <c r="I789" s="89"/>
      <c r="J789" s="110"/>
      <c r="K789" s="89"/>
      <c r="L789" s="89"/>
      <c r="M789" s="110"/>
      <c r="N789" s="89"/>
      <c r="O789" s="110"/>
      <c r="P789" s="89"/>
      <c r="Q789" s="110"/>
      <c r="R789" s="89"/>
      <c r="S789" s="89"/>
      <c r="T789" s="89"/>
      <c r="U789" s="89"/>
      <c r="V789" s="89"/>
      <c r="W789" s="89"/>
      <c r="X789" s="89"/>
      <c r="Y789" s="89"/>
      <c r="Z789" s="89"/>
      <c r="AA789" s="89"/>
      <c r="AB789" s="89"/>
      <c r="AC789" s="89"/>
      <c r="AD789" s="89"/>
    </row>
    <row r="790" spans="1:30" ht="13.8">
      <c r="A790" s="89"/>
      <c r="B790" s="89"/>
      <c r="C790" s="89"/>
      <c r="D790" s="89"/>
      <c r="E790" s="89"/>
      <c r="F790" s="110"/>
      <c r="G790" s="89"/>
      <c r="H790" s="110"/>
      <c r="I790" s="89"/>
      <c r="J790" s="110"/>
      <c r="K790" s="89"/>
      <c r="L790" s="89"/>
      <c r="M790" s="110"/>
      <c r="N790" s="89"/>
      <c r="O790" s="110"/>
      <c r="P790" s="89"/>
      <c r="Q790" s="110"/>
      <c r="R790" s="89"/>
      <c r="S790" s="89"/>
      <c r="T790" s="89"/>
      <c r="U790" s="89"/>
      <c r="V790" s="89"/>
      <c r="W790" s="89"/>
      <c r="X790" s="89"/>
      <c r="Y790" s="89"/>
      <c r="Z790" s="89"/>
      <c r="AA790" s="89"/>
      <c r="AB790" s="89"/>
      <c r="AC790" s="89"/>
      <c r="AD790" s="89"/>
    </row>
    <row r="791" spans="1:30" ht="13.8">
      <c r="A791" s="89"/>
      <c r="B791" s="89"/>
      <c r="C791" s="89"/>
      <c r="D791" s="89"/>
      <c r="E791" s="89"/>
      <c r="F791" s="110"/>
      <c r="G791" s="89"/>
      <c r="H791" s="110"/>
      <c r="I791" s="89"/>
      <c r="J791" s="110"/>
      <c r="K791" s="89"/>
      <c r="L791" s="89"/>
      <c r="M791" s="110"/>
      <c r="N791" s="89"/>
      <c r="O791" s="110"/>
      <c r="P791" s="89"/>
      <c r="Q791" s="110"/>
      <c r="R791" s="89"/>
      <c r="S791" s="89"/>
      <c r="T791" s="89"/>
      <c r="U791" s="89"/>
      <c r="V791" s="89"/>
      <c r="W791" s="89"/>
      <c r="X791" s="89"/>
      <c r="Y791" s="89"/>
      <c r="Z791" s="89"/>
      <c r="AA791" s="89"/>
      <c r="AB791" s="89"/>
      <c r="AC791" s="89"/>
      <c r="AD791" s="89"/>
    </row>
    <row r="792" spans="1:30" ht="13.8">
      <c r="A792" s="89"/>
      <c r="B792" s="89"/>
      <c r="C792" s="89"/>
      <c r="D792" s="89"/>
      <c r="E792" s="89"/>
      <c r="F792" s="110"/>
      <c r="G792" s="89"/>
      <c r="H792" s="110"/>
      <c r="I792" s="89"/>
      <c r="J792" s="110"/>
      <c r="K792" s="89"/>
      <c r="L792" s="89"/>
      <c r="M792" s="110"/>
      <c r="N792" s="89"/>
      <c r="O792" s="110"/>
      <c r="P792" s="89"/>
      <c r="Q792" s="110"/>
      <c r="R792" s="89"/>
      <c r="S792" s="89"/>
      <c r="T792" s="89"/>
      <c r="U792" s="89"/>
      <c r="V792" s="89"/>
      <c r="W792" s="89"/>
      <c r="X792" s="89"/>
      <c r="Y792" s="89"/>
      <c r="Z792" s="89"/>
      <c r="AA792" s="89"/>
      <c r="AB792" s="89"/>
      <c r="AC792" s="89"/>
      <c r="AD792" s="89"/>
    </row>
    <row r="793" spans="1:30" ht="13.8">
      <c r="A793" s="89"/>
      <c r="B793" s="89"/>
      <c r="C793" s="89"/>
      <c r="D793" s="89"/>
      <c r="E793" s="89"/>
      <c r="F793" s="110"/>
      <c r="G793" s="89"/>
      <c r="H793" s="110"/>
      <c r="I793" s="89"/>
      <c r="J793" s="110"/>
      <c r="K793" s="89"/>
      <c r="L793" s="89"/>
      <c r="M793" s="110"/>
      <c r="N793" s="89"/>
      <c r="O793" s="110"/>
      <c r="P793" s="89"/>
      <c r="Q793" s="110"/>
      <c r="R793" s="89"/>
      <c r="S793" s="89"/>
      <c r="T793" s="89"/>
      <c r="U793" s="89"/>
      <c r="V793" s="89"/>
      <c r="W793" s="89"/>
      <c r="X793" s="89"/>
      <c r="Y793" s="89"/>
      <c r="Z793" s="89"/>
      <c r="AA793" s="89"/>
      <c r="AB793" s="89"/>
      <c r="AC793" s="89"/>
      <c r="AD793" s="89"/>
    </row>
    <row r="794" spans="1:30" ht="13.8">
      <c r="A794" s="89"/>
      <c r="B794" s="89"/>
      <c r="C794" s="89"/>
      <c r="D794" s="89"/>
      <c r="E794" s="89"/>
      <c r="F794" s="110"/>
      <c r="G794" s="89"/>
      <c r="H794" s="110"/>
      <c r="I794" s="89"/>
      <c r="J794" s="110"/>
      <c r="K794" s="89"/>
      <c r="L794" s="89"/>
      <c r="M794" s="110"/>
      <c r="N794" s="89"/>
      <c r="O794" s="110"/>
      <c r="P794" s="89"/>
      <c r="Q794" s="110"/>
      <c r="R794" s="89"/>
      <c r="S794" s="89"/>
      <c r="T794" s="89"/>
      <c r="U794" s="89"/>
      <c r="V794" s="89"/>
      <c r="W794" s="89"/>
      <c r="X794" s="89"/>
      <c r="Y794" s="89"/>
      <c r="Z794" s="89"/>
      <c r="AA794" s="89"/>
      <c r="AB794" s="89"/>
      <c r="AC794" s="89"/>
      <c r="AD794" s="89"/>
    </row>
    <row r="795" spans="1:30" ht="13.8">
      <c r="A795" s="89"/>
      <c r="B795" s="89"/>
      <c r="C795" s="89"/>
      <c r="D795" s="89"/>
      <c r="E795" s="89"/>
      <c r="F795" s="110"/>
      <c r="G795" s="89"/>
      <c r="H795" s="110"/>
      <c r="I795" s="89"/>
      <c r="J795" s="110"/>
      <c r="K795" s="89"/>
      <c r="L795" s="89"/>
      <c r="M795" s="110"/>
      <c r="N795" s="89"/>
      <c r="O795" s="110"/>
      <c r="P795" s="89"/>
      <c r="Q795" s="110"/>
      <c r="R795" s="89"/>
      <c r="S795" s="89"/>
      <c r="T795" s="89"/>
      <c r="U795" s="89"/>
      <c r="V795" s="89"/>
      <c r="W795" s="89"/>
      <c r="X795" s="89"/>
      <c r="Y795" s="89"/>
      <c r="Z795" s="89"/>
      <c r="AA795" s="89"/>
      <c r="AB795" s="89"/>
      <c r="AC795" s="89"/>
      <c r="AD795" s="89"/>
    </row>
    <row r="796" spans="1:30" ht="13.8">
      <c r="A796" s="89"/>
      <c r="B796" s="89"/>
      <c r="C796" s="89"/>
      <c r="D796" s="89"/>
      <c r="E796" s="89"/>
      <c r="F796" s="110"/>
      <c r="G796" s="89"/>
      <c r="H796" s="110"/>
      <c r="I796" s="89"/>
      <c r="J796" s="110"/>
      <c r="K796" s="89"/>
      <c r="L796" s="89"/>
      <c r="M796" s="110"/>
      <c r="N796" s="89"/>
      <c r="O796" s="110"/>
      <c r="P796" s="89"/>
      <c r="Q796" s="110"/>
      <c r="R796" s="89"/>
      <c r="S796" s="89"/>
      <c r="T796" s="89"/>
      <c r="U796" s="89"/>
      <c r="V796" s="89"/>
      <c r="W796" s="89"/>
      <c r="X796" s="89"/>
      <c r="Y796" s="89"/>
      <c r="Z796" s="89"/>
      <c r="AA796" s="89"/>
      <c r="AB796" s="89"/>
      <c r="AC796" s="89"/>
      <c r="AD796" s="89"/>
    </row>
    <row r="797" spans="1:30" ht="13.8">
      <c r="A797" s="89"/>
      <c r="B797" s="89"/>
      <c r="C797" s="89"/>
      <c r="D797" s="89"/>
      <c r="E797" s="89"/>
      <c r="F797" s="110"/>
      <c r="G797" s="89"/>
      <c r="H797" s="110"/>
      <c r="I797" s="89"/>
      <c r="J797" s="110"/>
      <c r="K797" s="89"/>
      <c r="L797" s="89"/>
      <c r="M797" s="110"/>
      <c r="N797" s="89"/>
      <c r="O797" s="110"/>
      <c r="P797" s="89"/>
      <c r="Q797" s="110"/>
      <c r="R797" s="89"/>
      <c r="S797" s="89"/>
      <c r="T797" s="89"/>
      <c r="U797" s="89"/>
      <c r="V797" s="89"/>
      <c r="W797" s="89"/>
      <c r="X797" s="89"/>
      <c r="Y797" s="89"/>
      <c r="Z797" s="89"/>
      <c r="AA797" s="89"/>
      <c r="AB797" s="89"/>
      <c r="AC797" s="89"/>
      <c r="AD797" s="89"/>
    </row>
    <row r="798" spans="1:30" ht="13.8">
      <c r="A798" s="89"/>
      <c r="B798" s="89"/>
      <c r="C798" s="89"/>
      <c r="D798" s="89"/>
      <c r="E798" s="89"/>
      <c r="F798" s="110"/>
      <c r="G798" s="89"/>
      <c r="H798" s="110"/>
      <c r="I798" s="89"/>
      <c r="J798" s="110"/>
      <c r="K798" s="89"/>
      <c r="L798" s="89"/>
      <c r="M798" s="110"/>
      <c r="N798" s="89"/>
      <c r="O798" s="110"/>
      <c r="P798" s="89"/>
      <c r="Q798" s="110"/>
      <c r="R798" s="89"/>
      <c r="S798" s="89"/>
      <c r="T798" s="89"/>
      <c r="U798" s="89"/>
      <c r="V798" s="89"/>
      <c r="W798" s="89"/>
      <c r="X798" s="89"/>
      <c r="Y798" s="89"/>
      <c r="Z798" s="89"/>
      <c r="AA798" s="89"/>
      <c r="AB798" s="89"/>
      <c r="AC798" s="89"/>
      <c r="AD798" s="89"/>
    </row>
    <row r="799" spans="1:30" ht="13.8">
      <c r="A799" s="89"/>
      <c r="B799" s="89"/>
      <c r="C799" s="89"/>
      <c r="D799" s="89"/>
      <c r="E799" s="89"/>
      <c r="F799" s="110"/>
      <c r="G799" s="89"/>
      <c r="H799" s="110"/>
      <c r="I799" s="89"/>
      <c r="J799" s="110"/>
      <c r="K799" s="89"/>
      <c r="L799" s="89"/>
      <c r="M799" s="110"/>
      <c r="N799" s="89"/>
      <c r="O799" s="110"/>
      <c r="P799" s="89"/>
      <c r="Q799" s="110"/>
      <c r="R799" s="89"/>
      <c r="S799" s="89"/>
      <c r="T799" s="89"/>
      <c r="U799" s="89"/>
      <c r="V799" s="89"/>
      <c r="W799" s="89"/>
      <c r="X799" s="89"/>
      <c r="Y799" s="89"/>
      <c r="Z799" s="89"/>
      <c r="AA799" s="89"/>
      <c r="AB799" s="89"/>
      <c r="AC799" s="89"/>
      <c r="AD799" s="89"/>
    </row>
    <row r="800" spans="1:30" ht="13.8">
      <c r="A800" s="89"/>
      <c r="B800" s="89"/>
      <c r="C800" s="89"/>
      <c r="D800" s="89"/>
      <c r="E800" s="89"/>
      <c r="F800" s="110"/>
      <c r="G800" s="89"/>
      <c r="H800" s="110"/>
      <c r="I800" s="89"/>
      <c r="J800" s="110"/>
      <c r="K800" s="89"/>
      <c r="L800" s="89"/>
      <c r="M800" s="110"/>
      <c r="N800" s="89"/>
      <c r="O800" s="110"/>
      <c r="P800" s="89"/>
      <c r="Q800" s="110"/>
      <c r="R800" s="89"/>
      <c r="S800" s="89"/>
      <c r="T800" s="89"/>
      <c r="U800" s="89"/>
      <c r="V800" s="89"/>
      <c r="W800" s="89"/>
      <c r="X800" s="89"/>
      <c r="Y800" s="89"/>
      <c r="Z800" s="89"/>
      <c r="AA800" s="89"/>
      <c r="AB800" s="89"/>
      <c r="AC800" s="89"/>
      <c r="AD800" s="89"/>
    </row>
    <row r="801" spans="1:30" ht="13.8">
      <c r="A801" s="89"/>
      <c r="B801" s="89"/>
      <c r="C801" s="89"/>
      <c r="D801" s="89"/>
      <c r="E801" s="89"/>
      <c r="F801" s="110"/>
      <c r="G801" s="89"/>
      <c r="H801" s="110"/>
      <c r="I801" s="89"/>
      <c r="J801" s="110"/>
      <c r="K801" s="89"/>
      <c r="L801" s="89"/>
      <c r="M801" s="110"/>
      <c r="N801" s="89"/>
      <c r="O801" s="110"/>
      <c r="P801" s="89"/>
      <c r="Q801" s="110"/>
      <c r="R801" s="89"/>
      <c r="S801" s="89"/>
      <c r="T801" s="89"/>
      <c r="U801" s="89"/>
      <c r="V801" s="89"/>
      <c r="W801" s="89"/>
      <c r="X801" s="89"/>
      <c r="Y801" s="89"/>
      <c r="Z801" s="89"/>
      <c r="AA801" s="89"/>
      <c r="AB801" s="89"/>
      <c r="AC801" s="89"/>
      <c r="AD801" s="89"/>
    </row>
    <row r="802" spans="1:30" ht="13.8">
      <c r="A802" s="89"/>
      <c r="B802" s="89"/>
      <c r="C802" s="89"/>
      <c r="D802" s="89"/>
      <c r="E802" s="89"/>
      <c r="F802" s="110"/>
      <c r="G802" s="89"/>
      <c r="H802" s="110"/>
      <c r="I802" s="89"/>
      <c r="J802" s="110"/>
      <c r="K802" s="89"/>
      <c r="L802" s="89"/>
      <c r="M802" s="110"/>
      <c r="N802" s="89"/>
      <c r="O802" s="110"/>
      <c r="P802" s="89"/>
      <c r="Q802" s="110"/>
      <c r="R802" s="89"/>
      <c r="S802" s="89"/>
      <c r="T802" s="89"/>
      <c r="U802" s="89"/>
      <c r="V802" s="89"/>
      <c r="W802" s="89"/>
      <c r="X802" s="89"/>
      <c r="Y802" s="89"/>
      <c r="Z802" s="89"/>
      <c r="AA802" s="89"/>
      <c r="AB802" s="89"/>
      <c r="AC802" s="89"/>
      <c r="AD802" s="89"/>
    </row>
    <row r="803" spans="1:30" ht="13.8">
      <c r="A803" s="89"/>
      <c r="B803" s="89"/>
      <c r="C803" s="89"/>
      <c r="D803" s="89"/>
      <c r="E803" s="89"/>
      <c r="F803" s="110"/>
      <c r="G803" s="89"/>
      <c r="H803" s="110"/>
      <c r="I803" s="89"/>
      <c r="J803" s="110"/>
      <c r="K803" s="89"/>
      <c r="L803" s="89"/>
      <c r="M803" s="110"/>
      <c r="N803" s="89"/>
      <c r="O803" s="110"/>
      <c r="P803" s="89"/>
      <c r="Q803" s="110"/>
      <c r="R803" s="89"/>
      <c r="S803" s="89"/>
      <c r="T803" s="89"/>
      <c r="U803" s="89"/>
      <c r="V803" s="89"/>
      <c r="W803" s="89"/>
      <c r="X803" s="89"/>
      <c r="Y803" s="89"/>
      <c r="Z803" s="89"/>
      <c r="AA803" s="89"/>
      <c r="AB803" s="89"/>
      <c r="AC803" s="89"/>
      <c r="AD803" s="89"/>
    </row>
    <row r="804" spans="1:30" ht="13.8">
      <c r="A804" s="89"/>
      <c r="B804" s="89"/>
      <c r="C804" s="89"/>
      <c r="D804" s="89"/>
      <c r="E804" s="89"/>
      <c r="F804" s="110"/>
      <c r="G804" s="89"/>
      <c r="H804" s="110"/>
      <c r="I804" s="89"/>
      <c r="J804" s="110"/>
      <c r="K804" s="89"/>
      <c r="L804" s="89"/>
      <c r="M804" s="110"/>
      <c r="N804" s="89"/>
      <c r="O804" s="110"/>
      <c r="P804" s="89"/>
      <c r="Q804" s="110"/>
      <c r="R804" s="89"/>
      <c r="S804" s="89"/>
      <c r="T804" s="89"/>
      <c r="U804" s="89"/>
      <c r="V804" s="89"/>
      <c r="W804" s="89"/>
      <c r="X804" s="89"/>
      <c r="Y804" s="89"/>
      <c r="Z804" s="89"/>
      <c r="AA804" s="89"/>
      <c r="AB804" s="89"/>
      <c r="AC804" s="89"/>
      <c r="AD804" s="89"/>
    </row>
    <row r="805" spans="1:30" ht="13.8">
      <c r="A805" s="89"/>
      <c r="B805" s="89"/>
      <c r="C805" s="89"/>
      <c r="D805" s="89"/>
      <c r="E805" s="89"/>
      <c r="F805" s="110"/>
      <c r="G805" s="89"/>
      <c r="H805" s="110"/>
      <c r="I805" s="89"/>
      <c r="J805" s="110"/>
      <c r="K805" s="89"/>
      <c r="L805" s="89"/>
      <c r="M805" s="110"/>
      <c r="N805" s="89"/>
      <c r="O805" s="110"/>
      <c r="P805" s="89"/>
      <c r="Q805" s="110"/>
      <c r="R805" s="89"/>
      <c r="S805" s="89"/>
      <c r="T805" s="89"/>
      <c r="U805" s="89"/>
      <c r="V805" s="89"/>
      <c r="W805" s="89"/>
      <c r="X805" s="89"/>
      <c r="Y805" s="89"/>
      <c r="Z805" s="89"/>
      <c r="AA805" s="89"/>
      <c r="AB805" s="89"/>
      <c r="AC805" s="89"/>
      <c r="AD805" s="89"/>
    </row>
    <row r="806" spans="1:30" ht="13.8">
      <c r="A806" s="89"/>
      <c r="B806" s="89"/>
      <c r="C806" s="89"/>
      <c r="D806" s="89"/>
      <c r="E806" s="89"/>
      <c r="F806" s="110"/>
      <c r="G806" s="89"/>
      <c r="H806" s="110"/>
      <c r="I806" s="89"/>
      <c r="J806" s="110"/>
      <c r="K806" s="89"/>
      <c r="L806" s="89"/>
      <c r="M806" s="110"/>
      <c r="N806" s="89"/>
      <c r="O806" s="110"/>
      <c r="P806" s="89"/>
      <c r="Q806" s="110"/>
      <c r="R806" s="89"/>
      <c r="S806" s="89"/>
      <c r="T806" s="89"/>
      <c r="U806" s="89"/>
      <c r="V806" s="89"/>
      <c r="W806" s="89"/>
      <c r="X806" s="89"/>
      <c r="Y806" s="89"/>
      <c r="Z806" s="89"/>
      <c r="AA806" s="89"/>
      <c r="AB806" s="89"/>
      <c r="AC806" s="89"/>
      <c r="AD806" s="89"/>
    </row>
    <row r="807" spans="1:30" ht="13.8">
      <c r="A807" s="89"/>
      <c r="B807" s="89"/>
      <c r="C807" s="89"/>
      <c r="D807" s="89"/>
      <c r="E807" s="89"/>
      <c r="F807" s="110"/>
      <c r="G807" s="89"/>
      <c r="H807" s="110"/>
      <c r="I807" s="89"/>
      <c r="J807" s="110"/>
      <c r="K807" s="89"/>
      <c r="L807" s="89"/>
      <c r="M807" s="110"/>
      <c r="N807" s="89"/>
      <c r="O807" s="110"/>
      <c r="P807" s="89"/>
      <c r="Q807" s="110"/>
      <c r="R807" s="89"/>
      <c r="S807" s="89"/>
      <c r="T807" s="89"/>
      <c r="U807" s="89"/>
      <c r="V807" s="89"/>
      <c r="W807" s="89"/>
      <c r="X807" s="89"/>
      <c r="Y807" s="89"/>
      <c r="Z807" s="89"/>
      <c r="AA807" s="89"/>
      <c r="AB807" s="89"/>
      <c r="AC807" s="89"/>
      <c r="AD807" s="89"/>
    </row>
    <row r="808" spans="1:30" ht="13.8">
      <c r="A808" s="89"/>
      <c r="B808" s="89"/>
      <c r="C808" s="89"/>
      <c r="D808" s="89"/>
      <c r="E808" s="89"/>
      <c r="F808" s="110"/>
      <c r="G808" s="89"/>
      <c r="H808" s="110"/>
      <c r="I808" s="89"/>
      <c r="J808" s="110"/>
      <c r="K808" s="89"/>
      <c r="L808" s="89"/>
      <c r="M808" s="110"/>
      <c r="N808" s="89"/>
      <c r="O808" s="110"/>
      <c r="P808" s="89"/>
      <c r="Q808" s="110"/>
      <c r="R808" s="89"/>
      <c r="S808" s="89"/>
      <c r="T808" s="89"/>
      <c r="U808" s="89"/>
      <c r="V808" s="89"/>
      <c r="W808" s="89"/>
      <c r="X808" s="89"/>
      <c r="Y808" s="89"/>
      <c r="Z808" s="89"/>
      <c r="AA808" s="89"/>
      <c r="AB808" s="89"/>
      <c r="AC808" s="89"/>
      <c r="AD808" s="89"/>
    </row>
    <row r="809" spans="1:30" ht="13.8">
      <c r="A809" s="89"/>
      <c r="B809" s="89"/>
      <c r="C809" s="89"/>
      <c r="D809" s="89"/>
      <c r="E809" s="89"/>
      <c r="F809" s="110"/>
      <c r="G809" s="89"/>
      <c r="H809" s="110"/>
      <c r="I809" s="89"/>
      <c r="J809" s="110"/>
      <c r="K809" s="89"/>
      <c r="L809" s="89"/>
      <c r="M809" s="110"/>
      <c r="N809" s="89"/>
      <c r="O809" s="110"/>
      <c r="P809" s="89"/>
      <c r="Q809" s="110"/>
      <c r="R809" s="89"/>
      <c r="S809" s="89"/>
      <c r="T809" s="89"/>
      <c r="U809" s="89"/>
      <c r="V809" s="89"/>
      <c r="W809" s="89"/>
      <c r="X809" s="89"/>
      <c r="Y809" s="89"/>
      <c r="Z809" s="89"/>
      <c r="AA809" s="89"/>
      <c r="AB809" s="89"/>
      <c r="AC809" s="89"/>
      <c r="AD809" s="89"/>
    </row>
    <row r="810" spans="1:30" ht="13.8">
      <c r="A810" s="89"/>
      <c r="B810" s="89"/>
      <c r="C810" s="89"/>
      <c r="D810" s="89"/>
      <c r="E810" s="89"/>
      <c r="F810" s="110"/>
      <c r="G810" s="89"/>
      <c r="H810" s="110"/>
      <c r="I810" s="89"/>
      <c r="J810" s="110"/>
      <c r="K810" s="89"/>
      <c r="L810" s="89"/>
      <c r="M810" s="110"/>
      <c r="N810" s="89"/>
      <c r="O810" s="110"/>
      <c r="P810" s="89"/>
      <c r="Q810" s="110"/>
      <c r="R810" s="89"/>
      <c r="S810" s="89"/>
      <c r="T810" s="89"/>
      <c r="U810" s="89"/>
      <c r="V810" s="89"/>
      <c r="W810" s="89"/>
      <c r="X810" s="89"/>
      <c r="Y810" s="89"/>
      <c r="Z810" s="89"/>
      <c r="AA810" s="89"/>
      <c r="AB810" s="89"/>
      <c r="AC810" s="89"/>
      <c r="AD810" s="89"/>
    </row>
    <row r="811" spans="1:30" ht="13.8">
      <c r="A811" s="89"/>
      <c r="B811" s="89"/>
      <c r="C811" s="89"/>
      <c r="D811" s="89"/>
      <c r="E811" s="89"/>
      <c r="F811" s="110"/>
      <c r="G811" s="89"/>
      <c r="H811" s="110"/>
      <c r="I811" s="89"/>
      <c r="J811" s="110"/>
      <c r="K811" s="89"/>
      <c r="L811" s="89"/>
      <c r="M811" s="110"/>
      <c r="N811" s="89"/>
      <c r="O811" s="110"/>
      <c r="P811" s="89"/>
      <c r="Q811" s="110"/>
      <c r="R811" s="89"/>
      <c r="S811" s="89"/>
      <c r="T811" s="89"/>
      <c r="U811" s="89"/>
      <c r="V811" s="89"/>
      <c r="W811" s="89"/>
      <c r="X811" s="89"/>
      <c r="Y811" s="89"/>
      <c r="Z811" s="89"/>
      <c r="AA811" s="89"/>
      <c r="AB811" s="89"/>
      <c r="AC811" s="89"/>
      <c r="AD811" s="89"/>
    </row>
    <row r="812" spans="1:30" ht="13.8">
      <c r="A812" s="89"/>
      <c r="B812" s="89"/>
      <c r="C812" s="89"/>
      <c r="D812" s="89"/>
      <c r="E812" s="89"/>
      <c r="F812" s="110"/>
      <c r="G812" s="89"/>
      <c r="H812" s="110"/>
      <c r="I812" s="89"/>
      <c r="J812" s="110"/>
      <c r="K812" s="89"/>
      <c r="L812" s="89"/>
      <c r="M812" s="110"/>
      <c r="N812" s="89"/>
      <c r="O812" s="110"/>
      <c r="P812" s="89"/>
      <c r="Q812" s="110"/>
      <c r="R812" s="89"/>
      <c r="S812" s="89"/>
      <c r="T812" s="89"/>
      <c r="U812" s="89"/>
      <c r="V812" s="89"/>
      <c r="W812" s="89"/>
      <c r="X812" s="89"/>
      <c r="Y812" s="89"/>
      <c r="Z812" s="89"/>
      <c r="AA812" s="89"/>
      <c r="AB812" s="89"/>
      <c r="AC812" s="89"/>
      <c r="AD812" s="89"/>
    </row>
    <row r="813" spans="1:30" ht="13.8">
      <c r="A813" s="89"/>
      <c r="B813" s="89"/>
      <c r="C813" s="89"/>
      <c r="D813" s="89"/>
      <c r="E813" s="89"/>
      <c r="F813" s="110"/>
      <c r="G813" s="89"/>
      <c r="H813" s="110"/>
      <c r="I813" s="89"/>
      <c r="J813" s="110"/>
      <c r="K813" s="89"/>
      <c r="L813" s="89"/>
      <c r="M813" s="110"/>
      <c r="N813" s="89"/>
      <c r="O813" s="110"/>
      <c r="P813" s="89"/>
      <c r="Q813" s="110"/>
      <c r="R813" s="89"/>
      <c r="S813" s="89"/>
      <c r="T813" s="89"/>
      <c r="U813" s="89"/>
      <c r="V813" s="89"/>
      <c r="W813" s="89"/>
      <c r="X813" s="89"/>
      <c r="Y813" s="89"/>
      <c r="Z813" s="89"/>
      <c r="AA813" s="89"/>
      <c r="AB813" s="89"/>
      <c r="AC813" s="89"/>
      <c r="AD813" s="89"/>
    </row>
    <row r="814" spans="1:30" ht="13.8">
      <c r="A814" s="89"/>
      <c r="B814" s="89"/>
      <c r="C814" s="89"/>
      <c r="D814" s="89"/>
      <c r="E814" s="89"/>
      <c r="F814" s="110"/>
      <c r="G814" s="89"/>
      <c r="H814" s="110"/>
      <c r="I814" s="89"/>
      <c r="J814" s="110"/>
      <c r="K814" s="89"/>
      <c r="L814" s="89"/>
      <c r="M814" s="110"/>
      <c r="N814" s="89"/>
      <c r="O814" s="110"/>
      <c r="P814" s="89"/>
      <c r="Q814" s="110"/>
      <c r="R814" s="89"/>
      <c r="S814" s="89"/>
      <c r="T814" s="89"/>
      <c r="U814" s="89"/>
      <c r="V814" s="89"/>
      <c r="W814" s="89"/>
      <c r="X814" s="89"/>
      <c r="Y814" s="89"/>
      <c r="Z814" s="89"/>
      <c r="AA814" s="89"/>
      <c r="AB814" s="89"/>
      <c r="AC814" s="89"/>
      <c r="AD814" s="89"/>
    </row>
    <row r="815" spans="1:30" ht="13.8">
      <c r="A815" s="89"/>
      <c r="B815" s="89"/>
      <c r="C815" s="89"/>
      <c r="D815" s="89"/>
      <c r="E815" s="89"/>
      <c r="F815" s="110"/>
      <c r="G815" s="89"/>
      <c r="H815" s="110"/>
      <c r="I815" s="89"/>
      <c r="J815" s="110"/>
      <c r="K815" s="89"/>
      <c r="L815" s="89"/>
      <c r="M815" s="110"/>
      <c r="N815" s="89"/>
      <c r="O815" s="110"/>
      <c r="P815" s="89"/>
      <c r="Q815" s="110"/>
      <c r="R815" s="89"/>
      <c r="S815" s="89"/>
      <c r="T815" s="89"/>
      <c r="U815" s="89"/>
      <c r="V815" s="89"/>
      <c r="W815" s="89"/>
      <c r="X815" s="89"/>
      <c r="Y815" s="89"/>
      <c r="Z815" s="89"/>
      <c r="AA815" s="89"/>
      <c r="AB815" s="89"/>
      <c r="AC815" s="89"/>
      <c r="AD815" s="89"/>
    </row>
    <row r="816" spans="1:30" ht="13.8">
      <c r="A816" s="89"/>
      <c r="B816" s="89"/>
      <c r="C816" s="89"/>
      <c r="D816" s="89"/>
      <c r="E816" s="89"/>
      <c r="F816" s="110"/>
      <c r="G816" s="89"/>
      <c r="H816" s="110"/>
      <c r="I816" s="89"/>
      <c r="J816" s="110"/>
      <c r="K816" s="89"/>
      <c r="L816" s="89"/>
      <c r="M816" s="110"/>
      <c r="N816" s="89"/>
      <c r="O816" s="110"/>
      <c r="P816" s="89"/>
      <c r="Q816" s="110"/>
      <c r="R816" s="89"/>
      <c r="S816" s="89"/>
      <c r="T816" s="89"/>
      <c r="U816" s="89"/>
      <c r="V816" s="89"/>
      <c r="W816" s="89"/>
      <c r="X816" s="89"/>
      <c r="Y816" s="89"/>
      <c r="Z816" s="89"/>
      <c r="AA816" s="89"/>
      <c r="AB816" s="89"/>
      <c r="AC816" s="89"/>
      <c r="AD816" s="89"/>
    </row>
    <row r="817" spans="1:30" ht="13.8">
      <c r="A817" s="89"/>
      <c r="B817" s="89"/>
      <c r="C817" s="89"/>
      <c r="D817" s="89"/>
      <c r="E817" s="89"/>
      <c r="F817" s="110"/>
      <c r="G817" s="89"/>
      <c r="H817" s="110"/>
      <c r="I817" s="89"/>
      <c r="J817" s="110"/>
      <c r="K817" s="89"/>
      <c r="L817" s="89"/>
      <c r="M817" s="110"/>
      <c r="N817" s="89"/>
      <c r="O817" s="110"/>
      <c r="P817" s="89"/>
      <c r="Q817" s="110"/>
      <c r="R817" s="89"/>
      <c r="S817" s="89"/>
      <c r="T817" s="89"/>
      <c r="U817" s="89"/>
      <c r="V817" s="89"/>
      <c r="W817" s="89"/>
      <c r="X817" s="89"/>
      <c r="Y817" s="89"/>
      <c r="Z817" s="89"/>
      <c r="AA817" s="89"/>
      <c r="AB817" s="89"/>
      <c r="AC817" s="89"/>
      <c r="AD817" s="89"/>
    </row>
    <row r="818" spans="1:30" ht="13.8">
      <c r="A818" s="89"/>
      <c r="B818" s="89"/>
      <c r="C818" s="89"/>
      <c r="D818" s="89"/>
      <c r="E818" s="89"/>
      <c r="F818" s="110"/>
      <c r="G818" s="89"/>
      <c r="H818" s="110"/>
      <c r="I818" s="89"/>
      <c r="J818" s="110"/>
      <c r="K818" s="89"/>
      <c r="L818" s="89"/>
      <c r="M818" s="110"/>
      <c r="N818" s="89"/>
      <c r="O818" s="110"/>
      <c r="P818" s="89"/>
      <c r="Q818" s="110"/>
      <c r="R818" s="89"/>
      <c r="S818" s="89"/>
      <c r="T818" s="89"/>
      <c r="U818" s="89"/>
      <c r="V818" s="89"/>
      <c r="W818" s="89"/>
      <c r="X818" s="89"/>
      <c r="Y818" s="89"/>
      <c r="Z818" s="89"/>
      <c r="AA818" s="89"/>
      <c r="AB818" s="89"/>
      <c r="AC818" s="89"/>
      <c r="AD818" s="89"/>
    </row>
    <row r="819" spans="1:30" ht="13.8">
      <c r="A819" s="89"/>
      <c r="B819" s="89"/>
      <c r="C819" s="89"/>
      <c r="D819" s="89"/>
      <c r="E819" s="89"/>
      <c r="F819" s="110"/>
      <c r="G819" s="89"/>
      <c r="H819" s="110"/>
      <c r="I819" s="89"/>
      <c r="J819" s="110"/>
      <c r="K819" s="89"/>
      <c r="L819" s="89"/>
      <c r="M819" s="110"/>
      <c r="N819" s="89"/>
      <c r="O819" s="110"/>
      <c r="P819" s="89"/>
      <c r="Q819" s="110"/>
      <c r="R819" s="89"/>
      <c r="S819" s="89"/>
      <c r="T819" s="89"/>
      <c r="U819" s="89"/>
      <c r="V819" s="89"/>
      <c r="W819" s="89"/>
      <c r="X819" s="89"/>
      <c r="Y819" s="89"/>
      <c r="Z819" s="89"/>
      <c r="AA819" s="89"/>
      <c r="AB819" s="89"/>
      <c r="AC819" s="89"/>
      <c r="AD819" s="89"/>
    </row>
    <row r="820" spans="1:30" ht="13.8">
      <c r="A820" s="89"/>
      <c r="B820" s="89"/>
      <c r="C820" s="89"/>
      <c r="D820" s="89"/>
      <c r="E820" s="89"/>
      <c r="F820" s="110"/>
      <c r="G820" s="89"/>
      <c r="H820" s="110"/>
      <c r="I820" s="89"/>
      <c r="J820" s="110"/>
      <c r="K820" s="89"/>
      <c r="L820" s="89"/>
      <c r="M820" s="110"/>
      <c r="N820" s="89"/>
      <c r="O820" s="110"/>
      <c r="P820" s="89"/>
      <c r="Q820" s="110"/>
      <c r="R820" s="89"/>
      <c r="S820" s="89"/>
      <c r="T820" s="89"/>
      <c r="U820" s="89"/>
      <c r="V820" s="89"/>
      <c r="W820" s="89"/>
      <c r="X820" s="89"/>
      <c r="Y820" s="89"/>
      <c r="Z820" s="89"/>
      <c r="AA820" s="89"/>
      <c r="AB820" s="89"/>
      <c r="AC820" s="89"/>
      <c r="AD820" s="89"/>
    </row>
    <row r="821" spans="1:30" ht="13.8">
      <c r="A821" s="89"/>
      <c r="B821" s="89"/>
      <c r="C821" s="89"/>
      <c r="D821" s="89"/>
      <c r="E821" s="89"/>
      <c r="F821" s="110"/>
      <c r="G821" s="89"/>
      <c r="H821" s="110"/>
      <c r="I821" s="89"/>
      <c r="J821" s="110"/>
      <c r="K821" s="89"/>
      <c r="L821" s="89"/>
      <c r="M821" s="110"/>
      <c r="N821" s="89"/>
      <c r="O821" s="110"/>
      <c r="P821" s="89"/>
      <c r="Q821" s="110"/>
      <c r="R821" s="89"/>
      <c r="S821" s="89"/>
      <c r="T821" s="89"/>
      <c r="U821" s="89"/>
      <c r="V821" s="89"/>
      <c r="W821" s="89"/>
      <c r="X821" s="89"/>
      <c r="Y821" s="89"/>
      <c r="Z821" s="89"/>
      <c r="AA821" s="89"/>
      <c r="AB821" s="89"/>
      <c r="AC821" s="89"/>
      <c r="AD821" s="89"/>
    </row>
    <row r="822" spans="1:30" ht="13.8">
      <c r="A822" s="89"/>
      <c r="B822" s="89"/>
      <c r="C822" s="89"/>
      <c r="D822" s="89"/>
      <c r="E822" s="89"/>
      <c r="F822" s="110"/>
      <c r="G822" s="89"/>
      <c r="H822" s="110"/>
      <c r="I822" s="89"/>
      <c r="J822" s="110"/>
      <c r="K822" s="89"/>
      <c r="L822" s="89"/>
      <c r="M822" s="110"/>
      <c r="N822" s="89"/>
      <c r="O822" s="110"/>
      <c r="P822" s="89"/>
      <c r="Q822" s="110"/>
      <c r="R822" s="89"/>
      <c r="S822" s="89"/>
      <c r="T822" s="89"/>
      <c r="U822" s="89"/>
      <c r="V822" s="89"/>
      <c r="W822" s="89"/>
      <c r="X822" s="89"/>
      <c r="Y822" s="89"/>
      <c r="Z822" s="89"/>
      <c r="AA822" s="89"/>
      <c r="AB822" s="89"/>
      <c r="AC822" s="89"/>
      <c r="AD822" s="89"/>
    </row>
    <row r="823" spans="1:30" ht="13.8">
      <c r="A823" s="89"/>
      <c r="B823" s="89"/>
      <c r="C823" s="89"/>
      <c r="D823" s="89"/>
      <c r="E823" s="89"/>
      <c r="F823" s="110"/>
      <c r="G823" s="89"/>
      <c r="H823" s="110"/>
      <c r="I823" s="89"/>
      <c r="J823" s="110"/>
      <c r="K823" s="89"/>
      <c r="L823" s="89"/>
      <c r="M823" s="110"/>
      <c r="N823" s="89"/>
      <c r="O823" s="110"/>
      <c r="P823" s="89"/>
      <c r="Q823" s="110"/>
      <c r="R823" s="89"/>
      <c r="S823" s="89"/>
      <c r="T823" s="89"/>
      <c r="U823" s="89"/>
      <c r="V823" s="89"/>
      <c r="W823" s="89"/>
      <c r="X823" s="89"/>
      <c r="Y823" s="89"/>
      <c r="Z823" s="89"/>
      <c r="AA823" s="89"/>
      <c r="AB823" s="89"/>
      <c r="AC823" s="89"/>
      <c r="AD823" s="89"/>
    </row>
    <row r="824" spans="1:30" ht="13.8">
      <c r="A824" s="89"/>
      <c r="B824" s="89"/>
      <c r="C824" s="89"/>
      <c r="D824" s="89"/>
      <c r="E824" s="89"/>
      <c r="F824" s="110"/>
      <c r="G824" s="89"/>
      <c r="H824" s="110"/>
      <c r="I824" s="89"/>
      <c r="J824" s="110"/>
      <c r="K824" s="89"/>
      <c r="L824" s="89"/>
      <c r="M824" s="110"/>
      <c r="N824" s="89"/>
      <c r="O824" s="110"/>
      <c r="P824" s="89"/>
      <c r="Q824" s="110"/>
      <c r="R824" s="89"/>
      <c r="S824" s="89"/>
      <c r="T824" s="89"/>
      <c r="U824" s="89"/>
      <c r="V824" s="89"/>
      <c r="W824" s="89"/>
      <c r="X824" s="89"/>
      <c r="Y824" s="89"/>
      <c r="Z824" s="89"/>
      <c r="AA824" s="89"/>
      <c r="AB824" s="89"/>
      <c r="AC824" s="89"/>
      <c r="AD824" s="89"/>
    </row>
    <row r="825" spans="1:30" ht="13.8">
      <c r="A825" s="89"/>
      <c r="B825" s="89"/>
      <c r="C825" s="89"/>
      <c r="D825" s="89"/>
      <c r="E825" s="89"/>
      <c r="F825" s="110"/>
      <c r="G825" s="89"/>
      <c r="H825" s="110"/>
      <c r="I825" s="89"/>
      <c r="J825" s="110"/>
      <c r="K825" s="89"/>
      <c r="L825" s="89"/>
      <c r="M825" s="110"/>
      <c r="N825" s="89"/>
      <c r="O825" s="110"/>
      <c r="P825" s="89"/>
      <c r="Q825" s="110"/>
      <c r="R825" s="89"/>
      <c r="S825" s="89"/>
      <c r="T825" s="89"/>
      <c r="U825" s="89"/>
      <c r="V825" s="89"/>
      <c r="W825" s="89"/>
      <c r="X825" s="89"/>
      <c r="Y825" s="89"/>
      <c r="Z825" s="89"/>
      <c r="AA825" s="89"/>
      <c r="AB825" s="89"/>
      <c r="AC825" s="89"/>
      <c r="AD825" s="89"/>
    </row>
    <row r="826" spans="1:30" ht="13.8">
      <c r="A826" s="89"/>
      <c r="B826" s="89"/>
      <c r="C826" s="89"/>
      <c r="D826" s="89"/>
      <c r="E826" s="89"/>
      <c r="F826" s="110"/>
      <c r="G826" s="89"/>
      <c r="H826" s="110"/>
      <c r="I826" s="89"/>
      <c r="J826" s="110"/>
      <c r="K826" s="89"/>
      <c r="L826" s="89"/>
      <c r="M826" s="110"/>
      <c r="N826" s="89"/>
      <c r="O826" s="110"/>
      <c r="P826" s="89"/>
      <c r="Q826" s="110"/>
      <c r="R826" s="89"/>
      <c r="S826" s="89"/>
      <c r="T826" s="89"/>
      <c r="U826" s="89"/>
      <c r="V826" s="89"/>
      <c r="W826" s="89"/>
      <c r="X826" s="89"/>
      <c r="Y826" s="89"/>
      <c r="Z826" s="89"/>
      <c r="AA826" s="89"/>
      <c r="AB826" s="89"/>
      <c r="AC826" s="89"/>
      <c r="AD826" s="89"/>
    </row>
    <row r="827" spans="1:30" ht="13.8">
      <c r="A827" s="89"/>
      <c r="B827" s="89"/>
      <c r="C827" s="89"/>
      <c r="D827" s="89"/>
      <c r="E827" s="89"/>
      <c r="F827" s="110"/>
      <c r="G827" s="89"/>
      <c r="H827" s="110"/>
      <c r="I827" s="89"/>
      <c r="J827" s="110"/>
      <c r="K827" s="89"/>
      <c r="L827" s="89"/>
      <c r="M827" s="110"/>
      <c r="N827" s="89"/>
      <c r="O827" s="110"/>
      <c r="P827" s="89"/>
      <c r="Q827" s="110"/>
      <c r="R827" s="89"/>
      <c r="S827" s="89"/>
      <c r="T827" s="89"/>
      <c r="U827" s="89"/>
      <c r="V827" s="89"/>
      <c r="W827" s="89"/>
      <c r="X827" s="89"/>
      <c r="Y827" s="89"/>
      <c r="Z827" s="89"/>
      <c r="AA827" s="89"/>
      <c r="AB827" s="89"/>
      <c r="AC827" s="89"/>
      <c r="AD827" s="89"/>
    </row>
    <row r="828" spans="1:30" ht="13.8">
      <c r="A828" s="89"/>
      <c r="B828" s="89"/>
      <c r="C828" s="89"/>
      <c r="D828" s="89"/>
      <c r="E828" s="89"/>
      <c r="F828" s="110"/>
      <c r="G828" s="89"/>
      <c r="H828" s="110"/>
      <c r="I828" s="89"/>
      <c r="J828" s="110"/>
      <c r="K828" s="89"/>
      <c r="L828" s="89"/>
      <c r="M828" s="110"/>
      <c r="N828" s="89"/>
      <c r="O828" s="110"/>
      <c r="P828" s="89"/>
      <c r="Q828" s="110"/>
      <c r="R828" s="89"/>
      <c r="S828" s="89"/>
      <c r="T828" s="89"/>
      <c r="U828" s="89"/>
      <c r="V828" s="89"/>
      <c r="W828" s="89"/>
      <c r="X828" s="89"/>
      <c r="Y828" s="89"/>
      <c r="Z828" s="89"/>
      <c r="AA828" s="89"/>
      <c r="AB828" s="89"/>
      <c r="AC828" s="89"/>
      <c r="AD828" s="89"/>
    </row>
    <row r="829" spans="1:30" ht="13.8">
      <c r="A829" s="89"/>
      <c r="B829" s="89"/>
      <c r="C829" s="89"/>
      <c r="D829" s="89"/>
      <c r="E829" s="89"/>
      <c r="F829" s="110"/>
      <c r="G829" s="89"/>
      <c r="H829" s="110"/>
      <c r="I829" s="89"/>
      <c r="J829" s="110"/>
      <c r="K829" s="89"/>
      <c r="L829" s="89"/>
      <c r="M829" s="110"/>
      <c r="N829" s="89"/>
      <c r="O829" s="110"/>
      <c r="P829" s="89"/>
      <c r="Q829" s="110"/>
      <c r="R829" s="89"/>
      <c r="S829" s="89"/>
      <c r="T829" s="89"/>
      <c r="U829" s="89"/>
      <c r="V829" s="89"/>
      <c r="W829" s="89"/>
      <c r="X829" s="89"/>
      <c r="Y829" s="89"/>
      <c r="Z829" s="89"/>
      <c r="AA829" s="89"/>
      <c r="AB829" s="89"/>
      <c r="AC829" s="89"/>
      <c r="AD829" s="89"/>
    </row>
    <row r="830" spans="1:30" ht="13.8">
      <c r="A830" s="89"/>
      <c r="B830" s="89"/>
      <c r="C830" s="89"/>
      <c r="D830" s="89"/>
      <c r="E830" s="89"/>
      <c r="F830" s="110"/>
      <c r="G830" s="89"/>
      <c r="H830" s="110"/>
      <c r="I830" s="89"/>
      <c r="J830" s="110"/>
      <c r="K830" s="89"/>
      <c r="L830" s="89"/>
      <c r="M830" s="110"/>
      <c r="N830" s="89"/>
      <c r="O830" s="110"/>
      <c r="P830" s="89"/>
      <c r="Q830" s="110"/>
      <c r="R830" s="89"/>
      <c r="S830" s="89"/>
      <c r="T830" s="89"/>
      <c r="U830" s="89"/>
      <c r="V830" s="89"/>
      <c r="W830" s="89"/>
      <c r="X830" s="89"/>
      <c r="Y830" s="89"/>
      <c r="Z830" s="89"/>
      <c r="AA830" s="89"/>
      <c r="AB830" s="89"/>
      <c r="AC830" s="89"/>
      <c r="AD830" s="89"/>
    </row>
    <row r="831" spans="1:30" ht="13.8">
      <c r="A831" s="89"/>
      <c r="B831" s="89"/>
      <c r="C831" s="89"/>
      <c r="D831" s="89"/>
      <c r="E831" s="89"/>
      <c r="F831" s="110"/>
      <c r="G831" s="89"/>
      <c r="H831" s="110"/>
      <c r="I831" s="89"/>
      <c r="J831" s="110"/>
      <c r="K831" s="89"/>
      <c r="L831" s="89"/>
      <c r="M831" s="110"/>
      <c r="N831" s="89"/>
      <c r="O831" s="110"/>
      <c r="P831" s="89"/>
      <c r="Q831" s="110"/>
      <c r="R831" s="89"/>
      <c r="S831" s="89"/>
      <c r="T831" s="89"/>
      <c r="U831" s="89"/>
      <c r="V831" s="89"/>
      <c r="W831" s="89"/>
      <c r="X831" s="89"/>
      <c r="Y831" s="89"/>
      <c r="Z831" s="89"/>
      <c r="AA831" s="89"/>
      <c r="AB831" s="89"/>
      <c r="AC831" s="89"/>
      <c r="AD831" s="89"/>
    </row>
    <row r="832" spans="1:30" ht="13.8">
      <c r="A832" s="89"/>
      <c r="B832" s="89"/>
      <c r="C832" s="89"/>
      <c r="D832" s="89"/>
      <c r="E832" s="89"/>
      <c r="F832" s="110"/>
      <c r="G832" s="89"/>
      <c r="H832" s="110"/>
      <c r="I832" s="89"/>
      <c r="J832" s="110"/>
      <c r="K832" s="89"/>
      <c r="L832" s="89"/>
      <c r="M832" s="110"/>
      <c r="N832" s="89"/>
      <c r="O832" s="110"/>
      <c r="P832" s="89"/>
      <c r="Q832" s="110"/>
      <c r="R832" s="89"/>
      <c r="S832" s="89"/>
      <c r="T832" s="89"/>
      <c r="U832" s="89"/>
      <c r="V832" s="89"/>
      <c r="W832" s="89"/>
      <c r="X832" s="89"/>
      <c r="Y832" s="89"/>
      <c r="Z832" s="89"/>
      <c r="AA832" s="89"/>
      <c r="AB832" s="89"/>
      <c r="AC832" s="89"/>
      <c r="AD832" s="89"/>
    </row>
    <row r="833" spans="1:30" ht="13.8">
      <c r="A833" s="89"/>
      <c r="B833" s="89"/>
      <c r="C833" s="89"/>
      <c r="D833" s="89"/>
      <c r="E833" s="89"/>
      <c r="F833" s="110"/>
      <c r="G833" s="89"/>
      <c r="H833" s="110"/>
      <c r="I833" s="89"/>
      <c r="J833" s="110"/>
      <c r="K833" s="89"/>
      <c r="L833" s="89"/>
      <c r="M833" s="110"/>
      <c r="N833" s="89"/>
      <c r="O833" s="110"/>
      <c r="P833" s="89"/>
      <c r="Q833" s="110"/>
      <c r="R833" s="89"/>
      <c r="S833" s="89"/>
      <c r="T833" s="89"/>
      <c r="U833" s="89"/>
      <c r="V833" s="89"/>
      <c r="W833" s="89"/>
      <c r="X833" s="89"/>
      <c r="Y833" s="89"/>
      <c r="Z833" s="89"/>
      <c r="AA833" s="89"/>
      <c r="AB833" s="89"/>
      <c r="AC833" s="89"/>
      <c r="AD833" s="89"/>
    </row>
    <row r="834" spans="1:30" ht="13.8">
      <c r="A834" s="89"/>
      <c r="B834" s="89"/>
      <c r="C834" s="89"/>
      <c r="D834" s="89"/>
      <c r="E834" s="89"/>
      <c r="F834" s="110"/>
      <c r="G834" s="89"/>
      <c r="H834" s="110"/>
      <c r="I834" s="89"/>
      <c r="J834" s="110"/>
      <c r="K834" s="89"/>
      <c r="L834" s="89"/>
      <c r="M834" s="110"/>
      <c r="N834" s="89"/>
      <c r="O834" s="110"/>
      <c r="P834" s="89"/>
      <c r="Q834" s="110"/>
      <c r="R834" s="89"/>
      <c r="S834" s="89"/>
      <c r="T834" s="89"/>
      <c r="U834" s="89"/>
      <c r="V834" s="89"/>
      <c r="W834" s="89"/>
      <c r="X834" s="89"/>
      <c r="Y834" s="89"/>
      <c r="Z834" s="89"/>
      <c r="AA834" s="89"/>
      <c r="AB834" s="89"/>
      <c r="AC834" s="89"/>
      <c r="AD834" s="89"/>
    </row>
    <row r="835" spans="1:30" ht="13.8">
      <c r="A835" s="89"/>
      <c r="B835" s="89"/>
      <c r="C835" s="89"/>
      <c r="D835" s="89"/>
      <c r="E835" s="89"/>
      <c r="F835" s="110"/>
      <c r="G835" s="89"/>
      <c r="H835" s="110"/>
      <c r="I835" s="89"/>
      <c r="J835" s="110"/>
      <c r="K835" s="89"/>
      <c r="L835" s="89"/>
      <c r="M835" s="110"/>
      <c r="N835" s="89"/>
      <c r="O835" s="110"/>
      <c r="P835" s="89"/>
      <c r="Q835" s="110"/>
      <c r="R835" s="89"/>
      <c r="S835" s="89"/>
      <c r="T835" s="89"/>
      <c r="U835" s="89"/>
      <c r="V835" s="89"/>
      <c r="W835" s="89"/>
      <c r="X835" s="89"/>
      <c r="Y835" s="89"/>
      <c r="Z835" s="89"/>
      <c r="AA835" s="89"/>
      <c r="AB835" s="89"/>
      <c r="AC835" s="89"/>
      <c r="AD835" s="89"/>
    </row>
    <row r="836" spans="1:30" ht="13.8">
      <c r="A836" s="89"/>
      <c r="B836" s="89"/>
      <c r="C836" s="89"/>
      <c r="D836" s="89"/>
      <c r="E836" s="89"/>
      <c r="F836" s="110"/>
      <c r="G836" s="89"/>
      <c r="H836" s="110"/>
      <c r="I836" s="89"/>
      <c r="J836" s="110"/>
      <c r="K836" s="89"/>
      <c r="L836" s="89"/>
      <c r="M836" s="110"/>
      <c r="N836" s="89"/>
      <c r="O836" s="110"/>
      <c r="P836" s="89"/>
      <c r="Q836" s="110"/>
      <c r="R836" s="89"/>
      <c r="S836" s="89"/>
      <c r="T836" s="89"/>
      <c r="U836" s="89"/>
      <c r="V836" s="89"/>
      <c r="W836" s="89"/>
      <c r="X836" s="89"/>
      <c r="Y836" s="89"/>
      <c r="Z836" s="89"/>
      <c r="AA836" s="89"/>
      <c r="AB836" s="89"/>
      <c r="AC836" s="89"/>
      <c r="AD836" s="89"/>
    </row>
    <row r="837" spans="1:30" ht="13.8">
      <c r="A837" s="89"/>
      <c r="B837" s="89"/>
      <c r="C837" s="89"/>
      <c r="D837" s="89"/>
      <c r="E837" s="89"/>
      <c r="F837" s="110"/>
      <c r="G837" s="89"/>
      <c r="H837" s="110"/>
      <c r="I837" s="89"/>
      <c r="J837" s="110"/>
      <c r="K837" s="89"/>
      <c r="L837" s="89"/>
      <c r="M837" s="110"/>
      <c r="N837" s="89"/>
      <c r="O837" s="110"/>
      <c r="P837" s="89"/>
      <c r="Q837" s="110"/>
      <c r="R837" s="89"/>
      <c r="S837" s="89"/>
      <c r="T837" s="89"/>
      <c r="U837" s="89"/>
      <c r="V837" s="89"/>
      <c r="W837" s="89"/>
      <c r="X837" s="89"/>
      <c r="Y837" s="89"/>
      <c r="Z837" s="89"/>
      <c r="AA837" s="89"/>
      <c r="AB837" s="89"/>
      <c r="AC837" s="89"/>
      <c r="AD837" s="89"/>
    </row>
    <row r="838" spans="1:30" ht="13.8">
      <c r="A838" s="89"/>
      <c r="B838" s="89"/>
      <c r="C838" s="89"/>
      <c r="D838" s="89"/>
      <c r="E838" s="89"/>
      <c r="F838" s="110"/>
      <c r="G838" s="89"/>
      <c r="H838" s="110"/>
      <c r="I838" s="89"/>
      <c r="J838" s="110"/>
      <c r="K838" s="89"/>
      <c r="L838" s="89"/>
      <c r="M838" s="110"/>
      <c r="N838" s="89"/>
      <c r="O838" s="110"/>
      <c r="P838" s="89"/>
      <c r="Q838" s="110"/>
      <c r="R838" s="89"/>
      <c r="S838" s="89"/>
      <c r="T838" s="89"/>
      <c r="U838" s="89"/>
      <c r="V838" s="89"/>
      <c r="W838" s="89"/>
      <c r="X838" s="89"/>
      <c r="Y838" s="89"/>
      <c r="Z838" s="89"/>
      <c r="AA838" s="89"/>
      <c r="AB838" s="89"/>
      <c r="AC838" s="89"/>
      <c r="AD838" s="89"/>
    </row>
    <row r="839" spans="1:30" ht="13.8">
      <c r="A839" s="89"/>
      <c r="B839" s="89"/>
      <c r="C839" s="89"/>
      <c r="D839" s="89"/>
      <c r="E839" s="89"/>
      <c r="F839" s="110"/>
      <c r="G839" s="89"/>
      <c r="H839" s="110"/>
      <c r="I839" s="89"/>
      <c r="J839" s="110"/>
      <c r="K839" s="89"/>
      <c r="L839" s="89"/>
      <c r="M839" s="110"/>
      <c r="N839" s="89"/>
      <c r="O839" s="110"/>
      <c r="P839" s="89"/>
      <c r="Q839" s="110"/>
      <c r="R839" s="89"/>
      <c r="S839" s="89"/>
      <c r="T839" s="89"/>
      <c r="U839" s="89"/>
      <c r="V839" s="89"/>
      <c r="W839" s="89"/>
      <c r="X839" s="89"/>
      <c r="Y839" s="89"/>
      <c r="Z839" s="89"/>
      <c r="AA839" s="89"/>
      <c r="AB839" s="89"/>
      <c r="AC839" s="89"/>
      <c r="AD839" s="89"/>
    </row>
    <row r="840" spans="1:30" ht="13.8">
      <c r="A840" s="89"/>
      <c r="B840" s="89"/>
      <c r="C840" s="89"/>
      <c r="D840" s="89"/>
      <c r="E840" s="89"/>
      <c r="F840" s="110"/>
      <c r="G840" s="89"/>
      <c r="H840" s="110"/>
      <c r="I840" s="89"/>
      <c r="J840" s="110"/>
      <c r="K840" s="89"/>
      <c r="L840" s="89"/>
      <c r="M840" s="110"/>
      <c r="N840" s="89"/>
      <c r="O840" s="110"/>
      <c r="P840" s="89"/>
      <c r="Q840" s="110"/>
      <c r="R840" s="89"/>
      <c r="S840" s="89"/>
      <c r="T840" s="89"/>
      <c r="U840" s="89"/>
      <c r="V840" s="89"/>
      <c r="W840" s="89"/>
      <c r="X840" s="89"/>
      <c r="Y840" s="89"/>
      <c r="Z840" s="89"/>
      <c r="AA840" s="89"/>
      <c r="AB840" s="89"/>
      <c r="AC840" s="89"/>
      <c r="AD840" s="89"/>
    </row>
    <row r="841" spans="1:30" ht="13.8">
      <c r="A841" s="89"/>
      <c r="B841" s="89"/>
      <c r="C841" s="89"/>
      <c r="D841" s="89"/>
      <c r="E841" s="89"/>
      <c r="F841" s="110"/>
      <c r="G841" s="89"/>
      <c r="H841" s="110"/>
      <c r="I841" s="89"/>
      <c r="J841" s="110"/>
      <c r="K841" s="89"/>
      <c r="L841" s="89"/>
      <c r="M841" s="110"/>
      <c r="N841" s="89"/>
      <c r="O841" s="110"/>
      <c r="P841" s="89"/>
      <c r="Q841" s="110"/>
      <c r="R841" s="89"/>
      <c r="S841" s="89"/>
      <c r="T841" s="89"/>
      <c r="U841" s="89"/>
      <c r="V841" s="89"/>
      <c r="W841" s="89"/>
      <c r="X841" s="89"/>
      <c r="Y841" s="89"/>
      <c r="Z841" s="89"/>
      <c r="AA841" s="89"/>
      <c r="AB841" s="89"/>
      <c r="AC841" s="89"/>
      <c r="AD841" s="89"/>
    </row>
    <row r="842" spans="1:30" ht="13.8">
      <c r="A842" s="89"/>
      <c r="B842" s="89"/>
      <c r="C842" s="89"/>
      <c r="D842" s="89"/>
      <c r="E842" s="89"/>
      <c r="F842" s="110"/>
      <c r="G842" s="89"/>
      <c r="H842" s="110"/>
      <c r="I842" s="89"/>
      <c r="J842" s="110"/>
      <c r="K842" s="89"/>
      <c r="L842" s="89"/>
      <c r="M842" s="110"/>
      <c r="N842" s="89"/>
      <c r="O842" s="110"/>
      <c r="P842" s="89"/>
      <c r="Q842" s="110"/>
      <c r="R842" s="89"/>
      <c r="S842" s="89"/>
      <c r="T842" s="89"/>
      <c r="U842" s="89"/>
      <c r="V842" s="89"/>
      <c r="W842" s="89"/>
      <c r="X842" s="89"/>
      <c r="Y842" s="89"/>
      <c r="Z842" s="89"/>
      <c r="AA842" s="89"/>
      <c r="AB842" s="89"/>
      <c r="AC842" s="89"/>
      <c r="AD842" s="89"/>
    </row>
    <row r="843" spans="1:30" ht="13.8">
      <c r="A843" s="89"/>
      <c r="B843" s="89"/>
      <c r="C843" s="89"/>
      <c r="D843" s="89"/>
      <c r="E843" s="89"/>
      <c r="F843" s="110"/>
      <c r="G843" s="89"/>
      <c r="H843" s="110"/>
      <c r="I843" s="89"/>
      <c r="J843" s="110"/>
      <c r="K843" s="89"/>
      <c r="L843" s="89"/>
      <c r="M843" s="110"/>
      <c r="N843" s="89"/>
      <c r="O843" s="110"/>
      <c r="P843" s="89"/>
      <c r="Q843" s="110"/>
      <c r="R843" s="89"/>
      <c r="S843" s="89"/>
      <c r="T843" s="89"/>
      <c r="U843" s="89"/>
      <c r="V843" s="89"/>
      <c r="W843" s="89"/>
      <c r="X843" s="89"/>
      <c r="Y843" s="89"/>
      <c r="Z843" s="89"/>
      <c r="AA843" s="89"/>
      <c r="AB843" s="89"/>
      <c r="AC843" s="89"/>
      <c r="AD843" s="89"/>
    </row>
    <row r="844" spans="1:30" ht="13.8">
      <c r="A844" s="89"/>
      <c r="B844" s="89"/>
      <c r="C844" s="89"/>
      <c r="D844" s="89"/>
      <c r="E844" s="89"/>
      <c r="F844" s="110"/>
      <c r="G844" s="89"/>
      <c r="H844" s="110"/>
      <c r="I844" s="89"/>
      <c r="J844" s="110"/>
      <c r="K844" s="89"/>
      <c r="L844" s="89"/>
      <c r="M844" s="110"/>
      <c r="N844" s="89"/>
      <c r="O844" s="110"/>
      <c r="P844" s="89"/>
      <c r="Q844" s="110"/>
      <c r="R844" s="89"/>
      <c r="S844" s="89"/>
      <c r="T844" s="89"/>
      <c r="U844" s="89"/>
      <c r="V844" s="89"/>
      <c r="W844" s="89"/>
      <c r="X844" s="89"/>
      <c r="Y844" s="89"/>
      <c r="Z844" s="89"/>
      <c r="AA844" s="89"/>
      <c r="AB844" s="89"/>
      <c r="AC844" s="89"/>
      <c r="AD844" s="89"/>
    </row>
    <row r="845" spans="1:30" ht="13.8">
      <c r="A845" s="89"/>
      <c r="B845" s="89"/>
      <c r="C845" s="89"/>
      <c r="D845" s="89"/>
      <c r="E845" s="89"/>
      <c r="F845" s="110"/>
      <c r="G845" s="89"/>
      <c r="H845" s="110"/>
      <c r="I845" s="89"/>
      <c r="J845" s="110"/>
      <c r="K845" s="89"/>
      <c r="L845" s="89"/>
      <c r="M845" s="110"/>
      <c r="N845" s="89"/>
      <c r="O845" s="110"/>
      <c r="P845" s="89"/>
      <c r="Q845" s="110"/>
      <c r="R845" s="89"/>
      <c r="S845" s="89"/>
      <c r="T845" s="89"/>
      <c r="U845" s="89"/>
      <c r="V845" s="89"/>
      <c r="W845" s="89"/>
      <c r="X845" s="89"/>
      <c r="Y845" s="89"/>
      <c r="Z845" s="89"/>
      <c r="AA845" s="89"/>
      <c r="AB845" s="89"/>
      <c r="AC845" s="89"/>
      <c r="AD845" s="89"/>
    </row>
    <row r="846" spans="1:30" ht="13.8">
      <c r="A846" s="89"/>
      <c r="B846" s="89"/>
      <c r="C846" s="89"/>
      <c r="D846" s="89"/>
      <c r="E846" s="89"/>
      <c r="F846" s="110"/>
      <c r="G846" s="89"/>
      <c r="H846" s="110"/>
      <c r="I846" s="89"/>
      <c r="J846" s="110"/>
      <c r="K846" s="89"/>
      <c r="L846" s="89"/>
      <c r="M846" s="110"/>
      <c r="N846" s="89"/>
      <c r="O846" s="110"/>
      <c r="P846" s="89"/>
      <c r="Q846" s="110"/>
      <c r="R846" s="89"/>
      <c r="S846" s="89"/>
      <c r="T846" s="89"/>
      <c r="U846" s="89"/>
      <c r="V846" s="89"/>
      <c r="W846" s="89"/>
      <c r="X846" s="89"/>
      <c r="Y846" s="89"/>
      <c r="Z846" s="89"/>
      <c r="AA846" s="89"/>
      <c r="AB846" s="89"/>
      <c r="AC846" s="89"/>
      <c r="AD846" s="89"/>
    </row>
    <row r="847" spans="1:30" ht="13.8">
      <c r="A847" s="89"/>
      <c r="B847" s="89"/>
      <c r="C847" s="89"/>
      <c r="D847" s="89"/>
      <c r="E847" s="89"/>
      <c r="F847" s="110"/>
      <c r="G847" s="89"/>
      <c r="H847" s="110"/>
      <c r="I847" s="89"/>
      <c r="J847" s="110"/>
      <c r="K847" s="89"/>
      <c r="L847" s="89"/>
      <c r="M847" s="110"/>
      <c r="N847" s="89"/>
      <c r="O847" s="110"/>
      <c r="P847" s="89"/>
      <c r="Q847" s="110"/>
      <c r="R847" s="89"/>
      <c r="S847" s="89"/>
      <c r="T847" s="89"/>
      <c r="U847" s="89"/>
      <c r="V847" s="89"/>
      <c r="W847" s="89"/>
      <c r="X847" s="89"/>
      <c r="Y847" s="89"/>
      <c r="Z847" s="89"/>
      <c r="AA847" s="89"/>
      <c r="AB847" s="89"/>
      <c r="AC847" s="89"/>
      <c r="AD847" s="89"/>
    </row>
    <row r="848" spans="1:30" ht="13.8">
      <c r="A848" s="89"/>
      <c r="B848" s="89"/>
      <c r="C848" s="89"/>
      <c r="D848" s="89"/>
      <c r="E848" s="89"/>
      <c r="F848" s="110"/>
      <c r="G848" s="89"/>
      <c r="H848" s="110"/>
      <c r="I848" s="89"/>
      <c r="J848" s="110"/>
      <c r="K848" s="89"/>
      <c r="L848" s="89"/>
      <c r="M848" s="110"/>
      <c r="N848" s="89"/>
      <c r="O848" s="110"/>
      <c r="P848" s="89"/>
      <c r="Q848" s="110"/>
      <c r="R848" s="89"/>
      <c r="S848" s="89"/>
      <c r="T848" s="89"/>
      <c r="U848" s="89"/>
      <c r="V848" s="89"/>
      <c r="W848" s="89"/>
      <c r="X848" s="89"/>
      <c r="Y848" s="89"/>
      <c r="Z848" s="89"/>
      <c r="AA848" s="89"/>
      <c r="AB848" s="89"/>
      <c r="AC848" s="89"/>
      <c r="AD848" s="89"/>
    </row>
    <row r="849" spans="1:30" ht="13.8">
      <c r="A849" s="89"/>
      <c r="B849" s="89"/>
      <c r="C849" s="89"/>
      <c r="D849" s="89"/>
      <c r="E849" s="89"/>
      <c r="F849" s="110"/>
      <c r="G849" s="89"/>
      <c r="H849" s="110"/>
      <c r="I849" s="89"/>
      <c r="J849" s="110"/>
      <c r="K849" s="89"/>
      <c r="L849" s="89"/>
      <c r="M849" s="110"/>
      <c r="N849" s="89"/>
      <c r="O849" s="110"/>
      <c r="P849" s="89"/>
      <c r="Q849" s="110"/>
      <c r="R849" s="89"/>
      <c r="S849" s="89"/>
      <c r="T849" s="89"/>
      <c r="U849" s="89"/>
      <c r="V849" s="89"/>
      <c r="W849" s="89"/>
      <c r="X849" s="89"/>
      <c r="Y849" s="89"/>
      <c r="Z849" s="89"/>
      <c r="AA849" s="89"/>
      <c r="AB849" s="89"/>
      <c r="AC849" s="89"/>
      <c r="AD849" s="89"/>
    </row>
    <row r="850" spans="1:30" ht="13.8">
      <c r="A850" s="89"/>
      <c r="B850" s="89"/>
      <c r="C850" s="89"/>
      <c r="D850" s="89"/>
      <c r="E850" s="89"/>
      <c r="F850" s="110"/>
      <c r="G850" s="89"/>
      <c r="H850" s="110"/>
      <c r="I850" s="89"/>
      <c r="J850" s="110"/>
      <c r="K850" s="89"/>
      <c r="L850" s="89"/>
      <c r="M850" s="110"/>
      <c r="N850" s="89"/>
      <c r="O850" s="110"/>
      <c r="P850" s="89"/>
      <c r="Q850" s="110"/>
      <c r="R850" s="89"/>
      <c r="S850" s="89"/>
      <c r="T850" s="89"/>
      <c r="U850" s="89"/>
      <c r="V850" s="89"/>
      <c r="W850" s="89"/>
      <c r="X850" s="89"/>
      <c r="Y850" s="89"/>
      <c r="Z850" s="89"/>
      <c r="AA850" s="89"/>
      <c r="AB850" s="89"/>
      <c r="AC850" s="89"/>
      <c r="AD850" s="89"/>
    </row>
    <row r="851" spans="1:30" ht="13.8">
      <c r="A851" s="89"/>
      <c r="B851" s="89"/>
      <c r="C851" s="89"/>
      <c r="D851" s="89"/>
      <c r="E851" s="89"/>
      <c r="F851" s="110"/>
      <c r="G851" s="89"/>
      <c r="H851" s="110"/>
      <c r="I851" s="89"/>
      <c r="J851" s="110"/>
      <c r="K851" s="89"/>
      <c r="L851" s="89"/>
      <c r="M851" s="110"/>
      <c r="N851" s="89"/>
      <c r="O851" s="110"/>
      <c r="P851" s="89"/>
      <c r="Q851" s="110"/>
      <c r="R851" s="89"/>
      <c r="S851" s="89"/>
      <c r="T851" s="89"/>
      <c r="U851" s="89"/>
      <c r="V851" s="89"/>
      <c r="W851" s="89"/>
      <c r="X851" s="89"/>
      <c r="Y851" s="89"/>
      <c r="Z851" s="89"/>
      <c r="AA851" s="89"/>
      <c r="AB851" s="89"/>
      <c r="AC851" s="89"/>
      <c r="AD851" s="89"/>
    </row>
    <row r="852" spans="1:30" ht="13.8">
      <c r="A852" s="89"/>
      <c r="B852" s="89"/>
      <c r="C852" s="89"/>
      <c r="D852" s="89"/>
      <c r="E852" s="89"/>
      <c r="F852" s="110"/>
      <c r="G852" s="89"/>
      <c r="H852" s="110"/>
      <c r="I852" s="89"/>
      <c r="J852" s="110"/>
      <c r="K852" s="89"/>
      <c r="L852" s="89"/>
      <c r="M852" s="110"/>
      <c r="N852" s="89"/>
      <c r="O852" s="110"/>
      <c r="P852" s="89"/>
      <c r="Q852" s="110"/>
      <c r="R852" s="89"/>
      <c r="S852" s="89"/>
      <c r="T852" s="89"/>
      <c r="U852" s="89"/>
      <c r="V852" s="89"/>
      <c r="W852" s="89"/>
      <c r="X852" s="89"/>
      <c r="Y852" s="89"/>
      <c r="Z852" s="89"/>
      <c r="AA852" s="89"/>
      <c r="AB852" s="89"/>
      <c r="AC852" s="89"/>
      <c r="AD852" s="89"/>
    </row>
    <row r="853" spans="1:30" ht="13.8">
      <c r="A853" s="89"/>
      <c r="B853" s="89"/>
      <c r="C853" s="89"/>
      <c r="D853" s="89"/>
      <c r="E853" s="89"/>
      <c r="F853" s="110"/>
      <c r="G853" s="89"/>
      <c r="H853" s="110"/>
      <c r="I853" s="89"/>
      <c r="J853" s="110"/>
      <c r="K853" s="89"/>
      <c r="L853" s="89"/>
      <c r="M853" s="110"/>
      <c r="N853" s="89"/>
      <c r="O853" s="110"/>
      <c r="P853" s="89"/>
      <c r="Q853" s="110"/>
      <c r="R853" s="89"/>
      <c r="S853" s="89"/>
      <c r="T853" s="89"/>
      <c r="U853" s="89"/>
      <c r="V853" s="89"/>
      <c r="W853" s="89"/>
      <c r="X853" s="89"/>
      <c r="Y853" s="89"/>
      <c r="Z853" s="89"/>
      <c r="AA853" s="89"/>
      <c r="AB853" s="89"/>
      <c r="AC853" s="89"/>
      <c r="AD853" s="89"/>
    </row>
    <row r="854" spans="1:30" ht="13.8">
      <c r="A854" s="89"/>
      <c r="B854" s="89"/>
      <c r="C854" s="89"/>
      <c r="D854" s="89"/>
      <c r="E854" s="89"/>
      <c r="F854" s="110"/>
      <c r="G854" s="89"/>
      <c r="H854" s="110"/>
      <c r="I854" s="89"/>
      <c r="J854" s="110"/>
      <c r="K854" s="89"/>
      <c r="L854" s="89"/>
      <c r="M854" s="110"/>
      <c r="N854" s="89"/>
      <c r="O854" s="110"/>
      <c r="P854" s="89"/>
      <c r="Q854" s="110"/>
      <c r="R854" s="89"/>
      <c r="S854" s="89"/>
      <c r="T854" s="89"/>
      <c r="U854" s="89"/>
      <c r="V854" s="89"/>
      <c r="W854" s="89"/>
      <c r="X854" s="89"/>
      <c r="Y854" s="89"/>
      <c r="Z854" s="89"/>
      <c r="AA854" s="89"/>
      <c r="AB854" s="89"/>
      <c r="AC854" s="89"/>
      <c r="AD854" s="89"/>
    </row>
    <row r="855" spans="1:30" ht="13.8">
      <c r="A855" s="89"/>
      <c r="B855" s="89"/>
      <c r="C855" s="89"/>
      <c r="D855" s="89"/>
      <c r="E855" s="89"/>
      <c r="F855" s="110"/>
      <c r="G855" s="89"/>
      <c r="H855" s="110"/>
      <c r="I855" s="89"/>
      <c r="J855" s="110"/>
      <c r="K855" s="89"/>
      <c r="L855" s="89"/>
      <c r="M855" s="110"/>
      <c r="N855" s="89"/>
      <c r="O855" s="110"/>
      <c r="P855" s="89"/>
      <c r="Q855" s="110"/>
      <c r="R855" s="89"/>
      <c r="S855" s="89"/>
      <c r="T855" s="89"/>
      <c r="U855" s="89"/>
      <c r="V855" s="89"/>
      <c r="W855" s="89"/>
      <c r="X855" s="89"/>
      <c r="Y855" s="89"/>
      <c r="Z855" s="89"/>
      <c r="AA855" s="89"/>
      <c r="AB855" s="89"/>
      <c r="AC855" s="89"/>
      <c r="AD855" s="89"/>
    </row>
    <row r="856" spans="1:30" ht="13.8">
      <c r="A856" s="89"/>
      <c r="B856" s="89"/>
      <c r="C856" s="89"/>
      <c r="D856" s="89"/>
      <c r="E856" s="89"/>
      <c r="F856" s="110"/>
      <c r="G856" s="89"/>
      <c r="H856" s="110"/>
      <c r="I856" s="89"/>
      <c r="J856" s="110"/>
      <c r="K856" s="89"/>
      <c r="L856" s="89"/>
      <c r="M856" s="110"/>
      <c r="N856" s="89"/>
      <c r="O856" s="110"/>
      <c r="P856" s="89"/>
      <c r="Q856" s="110"/>
      <c r="R856" s="89"/>
      <c r="S856" s="89"/>
      <c r="T856" s="89"/>
      <c r="U856" s="89"/>
      <c r="V856" s="89"/>
      <c r="W856" s="89"/>
      <c r="X856" s="89"/>
      <c r="Y856" s="89"/>
      <c r="Z856" s="89"/>
      <c r="AA856" s="89"/>
      <c r="AB856" s="89"/>
      <c r="AC856" s="89"/>
      <c r="AD856" s="89"/>
    </row>
    <row r="857" spans="1:30" ht="13.8">
      <c r="A857" s="89"/>
      <c r="B857" s="89"/>
      <c r="C857" s="89"/>
      <c r="D857" s="89"/>
      <c r="E857" s="89"/>
      <c r="F857" s="110"/>
      <c r="G857" s="89"/>
      <c r="H857" s="110"/>
      <c r="I857" s="89"/>
      <c r="J857" s="110"/>
      <c r="K857" s="89"/>
      <c r="L857" s="89"/>
      <c r="M857" s="110"/>
      <c r="N857" s="89"/>
      <c r="O857" s="110"/>
      <c r="P857" s="89"/>
      <c r="Q857" s="110"/>
      <c r="R857" s="89"/>
      <c r="S857" s="89"/>
      <c r="T857" s="89"/>
      <c r="U857" s="89"/>
      <c r="V857" s="89"/>
      <c r="W857" s="89"/>
      <c r="X857" s="89"/>
      <c r="Y857" s="89"/>
      <c r="Z857" s="89"/>
      <c r="AA857" s="89"/>
      <c r="AB857" s="89"/>
      <c r="AC857" s="89"/>
      <c r="AD857" s="89"/>
    </row>
    <row r="858" spans="1:30" ht="13.8">
      <c r="A858" s="89"/>
      <c r="B858" s="89"/>
      <c r="C858" s="89"/>
      <c r="D858" s="89"/>
      <c r="E858" s="89"/>
      <c r="F858" s="110"/>
      <c r="G858" s="89"/>
      <c r="H858" s="110"/>
      <c r="I858" s="89"/>
      <c r="J858" s="110"/>
      <c r="K858" s="89"/>
      <c r="L858" s="89"/>
      <c r="M858" s="110"/>
      <c r="N858" s="89"/>
      <c r="O858" s="110"/>
      <c r="P858" s="89"/>
      <c r="Q858" s="110"/>
      <c r="R858" s="89"/>
      <c r="S858" s="89"/>
      <c r="T858" s="89"/>
      <c r="U858" s="89"/>
      <c r="V858" s="89"/>
      <c r="W858" s="89"/>
      <c r="X858" s="89"/>
      <c r="Y858" s="89"/>
      <c r="Z858" s="89"/>
      <c r="AA858" s="89"/>
      <c r="AB858" s="89"/>
      <c r="AC858" s="89"/>
      <c r="AD858" s="89"/>
    </row>
    <row r="859" spans="1:30" ht="13.8">
      <c r="A859" s="89"/>
      <c r="B859" s="89"/>
      <c r="C859" s="89"/>
      <c r="D859" s="89"/>
      <c r="E859" s="89"/>
      <c r="F859" s="110"/>
      <c r="G859" s="89"/>
      <c r="H859" s="110"/>
      <c r="I859" s="89"/>
      <c r="J859" s="110"/>
      <c r="K859" s="89"/>
      <c r="L859" s="89"/>
      <c r="M859" s="110"/>
      <c r="N859" s="89"/>
      <c r="O859" s="110"/>
      <c r="P859" s="89"/>
      <c r="Q859" s="110"/>
      <c r="R859" s="89"/>
      <c r="S859" s="89"/>
      <c r="T859" s="89"/>
      <c r="U859" s="89"/>
      <c r="V859" s="89"/>
      <c r="W859" s="89"/>
      <c r="X859" s="89"/>
      <c r="Y859" s="89"/>
      <c r="Z859" s="89"/>
      <c r="AA859" s="89"/>
      <c r="AB859" s="89"/>
      <c r="AC859" s="89"/>
      <c r="AD859" s="89"/>
    </row>
    <row r="860" spans="1:30" ht="13.8">
      <c r="A860" s="89"/>
      <c r="B860" s="89"/>
      <c r="C860" s="89"/>
      <c r="D860" s="89"/>
      <c r="E860" s="89"/>
      <c r="F860" s="110"/>
      <c r="G860" s="89"/>
      <c r="H860" s="110"/>
      <c r="I860" s="89"/>
      <c r="J860" s="110"/>
      <c r="K860" s="89"/>
      <c r="L860" s="89"/>
      <c r="M860" s="110"/>
      <c r="N860" s="89"/>
      <c r="O860" s="110"/>
      <c r="P860" s="89"/>
      <c r="Q860" s="110"/>
      <c r="R860" s="89"/>
      <c r="S860" s="89"/>
      <c r="T860" s="89"/>
      <c r="U860" s="89"/>
      <c r="V860" s="89"/>
      <c r="W860" s="89"/>
      <c r="X860" s="89"/>
      <c r="Y860" s="89"/>
      <c r="Z860" s="89"/>
      <c r="AA860" s="89"/>
      <c r="AB860" s="89"/>
      <c r="AC860" s="89"/>
      <c r="AD860" s="89"/>
    </row>
    <row r="861" spans="1:30" ht="13.8">
      <c r="A861" s="89"/>
      <c r="B861" s="89"/>
      <c r="C861" s="89"/>
      <c r="D861" s="89"/>
      <c r="E861" s="89"/>
      <c r="F861" s="110"/>
      <c r="G861" s="89"/>
      <c r="H861" s="110"/>
      <c r="I861" s="89"/>
      <c r="J861" s="110"/>
      <c r="K861" s="89"/>
      <c r="L861" s="89"/>
      <c r="M861" s="110"/>
      <c r="N861" s="89"/>
      <c r="O861" s="110"/>
      <c r="P861" s="89"/>
      <c r="Q861" s="110"/>
      <c r="R861" s="89"/>
      <c r="S861" s="89"/>
      <c r="T861" s="89"/>
      <c r="U861" s="89"/>
      <c r="V861" s="89"/>
      <c r="W861" s="89"/>
      <c r="X861" s="89"/>
      <c r="Y861" s="89"/>
      <c r="Z861" s="89"/>
      <c r="AA861" s="89"/>
      <c r="AB861" s="89"/>
      <c r="AC861" s="89"/>
      <c r="AD861" s="89"/>
    </row>
    <row r="862" spans="1:30" ht="13.8">
      <c r="A862" s="89"/>
      <c r="B862" s="89"/>
      <c r="C862" s="89"/>
      <c r="D862" s="89"/>
      <c r="E862" s="89"/>
      <c r="F862" s="110"/>
      <c r="G862" s="89"/>
      <c r="H862" s="110"/>
      <c r="I862" s="89"/>
      <c r="J862" s="110"/>
      <c r="K862" s="89"/>
      <c r="L862" s="89"/>
      <c r="M862" s="110"/>
      <c r="N862" s="89"/>
      <c r="O862" s="110"/>
      <c r="P862" s="89"/>
      <c r="Q862" s="110"/>
      <c r="R862" s="89"/>
      <c r="S862" s="89"/>
      <c r="T862" s="89"/>
      <c r="U862" s="89"/>
      <c r="V862" s="89"/>
      <c r="W862" s="89"/>
      <c r="X862" s="89"/>
      <c r="Y862" s="89"/>
      <c r="Z862" s="89"/>
      <c r="AA862" s="89"/>
      <c r="AB862" s="89"/>
      <c r="AC862" s="89"/>
      <c r="AD862" s="89"/>
    </row>
    <row r="863" spans="1:30" ht="13.8">
      <c r="A863" s="89"/>
      <c r="B863" s="89"/>
      <c r="C863" s="89"/>
      <c r="D863" s="89"/>
      <c r="E863" s="89"/>
      <c r="F863" s="110"/>
      <c r="G863" s="89"/>
      <c r="H863" s="110"/>
      <c r="I863" s="89"/>
      <c r="J863" s="110"/>
      <c r="K863" s="89"/>
      <c r="L863" s="89"/>
      <c r="M863" s="110"/>
      <c r="N863" s="89"/>
      <c r="O863" s="110"/>
      <c r="P863" s="89"/>
      <c r="Q863" s="110"/>
      <c r="R863" s="89"/>
      <c r="S863" s="89"/>
      <c r="T863" s="89"/>
      <c r="U863" s="89"/>
      <c r="V863" s="89"/>
      <c r="W863" s="89"/>
      <c r="X863" s="89"/>
      <c r="Y863" s="89"/>
      <c r="Z863" s="89"/>
      <c r="AA863" s="89"/>
      <c r="AB863" s="89"/>
      <c r="AC863" s="89"/>
      <c r="AD863" s="89"/>
    </row>
    <row r="864" spans="1:30" ht="13.8">
      <c r="A864" s="89"/>
      <c r="B864" s="89"/>
      <c r="C864" s="89"/>
      <c r="D864" s="89"/>
      <c r="E864" s="89"/>
      <c r="F864" s="110"/>
      <c r="G864" s="89"/>
      <c r="H864" s="110"/>
      <c r="I864" s="89"/>
      <c r="J864" s="110"/>
      <c r="K864" s="89"/>
      <c r="L864" s="89"/>
      <c r="M864" s="110"/>
      <c r="N864" s="89"/>
      <c r="O864" s="110"/>
      <c r="P864" s="89"/>
      <c r="Q864" s="110"/>
      <c r="R864" s="89"/>
      <c r="S864" s="89"/>
      <c r="T864" s="89"/>
      <c r="U864" s="89"/>
      <c r="V864" s="89"/>
      <c r="W864" s="89"/>
      <c r="X864" s="89"/>
      <c r="Y864" s="89"/>
      <c r="Z864" s="89"/>
      <c r="AA864" s="89"/>
      <c r="AB864" s="89"/>
      <c r="AC864" s="89"/>
      <c r="AD864" s="89"/>
    </row>
    <row r="865" spans="1:30" ht="13.8">
      <c r="A865" s="89"/>
      <c r="B865" s="89"/>
      <c r="C865" s="89"/>
      <c r="D865" s="89"/>
      <c r="E865" s="89"/>
      <c r="F865" s="110"/>
      <c r="G865" s="89"/>
      <c r="H865" s="110"/>
      <c r="I865" s="89"/>
      <c r="J865" s="110"/>
      <c r="K865" s="89"/>
      <c r="L865" s="89"/>
      <c r="M865" s="110"/>
      <c r="N865" s="89"/>
      <c r="O865" s="110"/>
      <c r="P865" s="89"/>
      <c r="Q865" s="110"/>
      <c r="R865" s="89"/>
      <c r="S865" s="89"/>
      <c r="T865" s="89"/>
      <c r="U865" s="89"/>
      <c r="V865" s="89"/>
      <c r="W865" s="89"/>
      <c r="X865" s="89"/>
      <c r="Y865" s="89"/>
      <c r="Z865" s="89"/>
      <c r="AA865" s="89"/>
      <c r="AB865" s="89"/>
      <c r="AC865" s="89"/>
      <c r="AD865" s="89"/>
    </row>
    <row r="866" spans="1:30" ht="13.8">
      <c r="A866" s="89"/>
      <c r="B866" s="89"/>
      <c r="C866" s="89"/>
      <c r="D866" s="89"/>
      <c r="E866" s="89"/>
      <c r="F866" s="110"/>
      <c r="G866" s="89"/>
      <c r="H866" s="110"/>
      <c r="I866" s="89"/>
      <c r="J866" s="110"/>
      <c r="K866" s="89"/>
      <c r="L866" s="89"/>
      <c r="M866" s="110"/>
      <c r="N866" s="89"/>
      <c r="O866" s="110"/>
      <c r="P866" s="89"/>
      <c r="Q866" s="110"/>
      <c r="R866" s="89"/>
      <c r="S866" s="89"/>
      <c r="T866" s="89"/>
      <c r="U866" s="89"/>
      <c r="V866" s="89"/>
      <c r="W866" s="89"/>
      <c r="X866" s="89"/>
      <c r="Y866" s="89"/>
      <c r="Z866" s="89"/>
      <c r="AA866" s="89"/>
      <c r="AB866" s="89"/>
      <c r="AC866" s="89"/>
      <c r="AD866" s="89"/>
    </row>
    <row r="867" spans="1:30" ht="13.8">
      <c r="A867" s="89"/>
      <c r="B867" s="89"/>
      <c r="C867" s="89"/>
      <c r="D867" s="89"/>
      <c r="E867" s="89"/>
      <c r="F867" s="110"/>
      <c r="G867" s="89"/>
      <c r="H867" s="110"/>
      <c r="I867" s="89"/>
      <c r="J867" s="110"/>
      <c r="K867" s="89"/>
      <c r="L867" s="89"/>
      <c r="M867" s="110"/>
      <c r="N867" s="89"/>
      <c r="O867" s="110"/>
      <c r="P867" s="89"/>
      <c r="Q867" s="110"/>
      <c r="R867" s="89"/>
      <c r="S867" s="89"/>
      <c r="T867" s="89"/>
      <c r="U867" s="89"/>
      <c r="V867" s="89"/>
      <c r="W867" s="89"/>
      <c r="X867" s="89"/>
      <c r="Y867" s="89"/>
      <c r="Z867" s="89"/>
      <c r="AA867" s="89"/>
      <c r="AB867" s="89"/>
      <c r="AC867" s="89"/>
      <c r="AD867" s="89"/>
    </row>
    <row r="868" spans="1:30" ht="13.8">
      <c r="A868" s="89"/>
      <c r="B868" s="89"/>
      <c r="C868" s="89"/>
      <c r="D868" s="89"/>
      <c r="E868" s="89"/>
      <c r="F868" s="110"/>
      <c r="G868" s="89"/>
      <c r="H868" s="110"/>
      <c r="I868" s="89"/>
      <c r="J868" s="110"/>
      <c r="K868" s="89"/>
      <c r="L868" s="89"/>
      <c r="M868" s="110"/>
      <c r="N868" s="89"/>
      <c r="O868" s="110"/>
      <c r="P868" s="89"/>
      <c r="Q868" s="110"/>
      <c r="R868" s="89"/>
      <c r="S868" s="89"/>
      <c r="T868" s="89"/>
      <c r="U868" s="89"/>
      <c r="V868" s="89"/>
      <c r="W868" s="89"/>
      <c r="X868" s="89"/>
      <c r="Y868" s="89"/>
      <c r="Z868" s="89"/>
      <c r="AA868" s="89"/>
      <c r="AB868" s="89"/>
      <c r="AC868" s="89"/>
      <c r="AD868" s="89"/>
    </row>
    <row r="869" spans="1:30" ht="13.8">
      <c r="A869" s="89"/>
      <c r="B869" s="89"/>
      <c r="C869" s="89"/>
      <c r="D869" s="89"/>
      <c r="E869" s="89"/>
      <c r="F869" s="110"/>
      <c r="G869" s="89"/>
      <c r="H869" s="110"/>
      <c r="I869" s="89"/>
      <c r="J869" s="110"/>
      <c r="K869" s="89"/>
      <c r="L869" s="89"/>
      <c r="M869" s="110"/>
      <c r="N869" s="89"/>
      <c r="O869" s="110"/>
      <c r="P869" s="89"/>
      <c r="Q869" s="110"/>
      <c r="R869" s="89"/>
      <c r="S869" s="89"/>
      <c r="T869" s="89"/>
      <c r="U869" s="89"/>
      <c r="V869" s="89"/>
      <c r="W869" s="89"/>
      <c r="X869" s="89"/>
      <c r="Y869" s="89"/>
      <c r="Z869" s="89"/>
      <c r="AA869" s="89"/>
      <c r="AB869" s="89"/>
      <c r="AC869" s="89"/>
      <c r="AD869" s="89"/>
    </row>
    <row r="870" spans="1:30" ht="13.8">
      <c r="A870" s="89"/>
      <c r="B870" s="89"/>
      <c r="C870" s="89"/>
      <c r="D870" s="89"/>
      <c r="E870" s="89"/>
      <c r="F870" s="110"/>
      <c r="G870" s="89"/>
      <c r="H870" s="110"/>
      <c r="I870" s="89"/>
      <c r="J870" s="110"/>
      <c r="K870" s="89"/>
      <c r="L870" s="89"/>
      <c r="M870" s="110"/>
      <c r="N870" s="89"/>
      <c r="O870" s="110"/>
      <c r="P870" s="89"/>
      <c r="Q870" s="110"/>
      <c r="R870" s="89"/>
      <c r="S870" s="89"/>
      <c r="T870" s="89"/>
      <c r="U870" s="89"/>
      <c r="V870" s="89"/>
      <c r="W870" s="89"/>
      <c r="X870" s="89"/>
      <c r="Y870" s="89"/>
      <c r="Z870" s="89"/>
      <c r="AA870" s="89"/>
      <c r="AB870" s="89"/>
      <c r="AC870" s="89"/>
      <c r="AD870" s="89"/>
    </row>
    <row r="871" spans="1:30" ht="13.8">
      <c r="A871" s="89"/>
      <c r="B871" s="89"/>
      <c r="C871" s="89"/>
      <c r="D871" s="89"/>
      <c r="E871" s="89"/>
      <c r="F871" s="110"/>
      <c r="G871" s="89"/>
      <c r="H871" s="110"/>
      <c r="I871" s="89"/>
      <c r="J871" s="110"/>
      <c r="K871" s="89"/>
      <c r="L871" s="89"/>
      <c r="M871" s="110"/>
      <c r="N871" s="89"/>
      <c r="O871" s="110"/>
      <c r="P871" s="89"/>
      <c r="Q871" s="110"/>
      <c r="R871" s="89"/>
      <c r="S871" s="89"/>
      <c r="T871" s="89"/>
      <c r="U871" s="89"/>
      <c r="V871" s="89"/>
      <c r="W871" s="89"/>
      <c r="X871" s="89"/>
      <c r="Y871" s="89"/>
      <c r="Z871" s="89"/>
      <c r="AA871" s="89"/>
      <c r="AB871" s="89"/>
      <c r="AC871" s="89"/>
      <c r="AD871" s="89"/>
    </row>
    <row r="872" spans="1:30" ht="13.8">
      <c r="A872" s="89"/>
      <c r="B872" s="89"/>
      <c r="C872" s="89"/>
      <c r="D872" s="89"/>
      <c r="E872" s="89"/>
      <c r="F872" s="110"/>
      <c r="G872" s="89"/>
      <c r="H872" s="110"/>
      <c r="I872" s="89"/>
      <c r="J872" s="110"/>
      <c r="K872" s="89"/>
      <c r="L872" s="89"/>
      <c r="M872" s="110"/>
      <c r="N872" s="89"/>
      <c r="O872" s="110"/>
      <c r="P872" s="89"/>
      <c r="Q872" s="110"/>
      <c r="R872" s="89"/>
      <c r="S872" s="89"/>
      <c r="T872" s="89"/>
      <c r="U872" s="89"/>
      <c r="V872" s="89"/>
      <c r="W872" s="89"/>
      <c r="X872" s="89"/>
      <c r="Y872" s="89"/>
      <c r="Z872" s="89"/>
      <c r="AA872" s="89"/>
      <c r="AB872" s="89"/>
      <c r="AC872" s="89"/>
      <c r="AD872" s="89"/>
    </row>
    <row r="873" spans="1:30" ht="13.8">
      <c r="A873" s="89"/>
      <c r="B873" s="89"/>
      <c r="C873" s="89"/>
      <c r="D873" s="89"/>
      <c r="E873" s="89"/>
      <c r="F873" s="110"/>
      <c r="G873" s="89"/>
      <c r="H873" s="110"/>
      <c r="I873" s="89"/>
      <c r="J873" s="110"/>
      <c r="K873" s="89"/>
      <c r="L873" s="89"/>
      <c r="M873" s="110"/>
      <c r="N873" s="89"/>
      <c r="O873" s="110"/>
      <c r="P873" s="89"/>
      <c r="Q873" s="110"/>
      <c r="R873" s="89"/>
      <c r="S873" s="89"/>
      <c r="T873" s="89"/>
      <c r="U873" s="89"/>
      <c r="V873" s="89"/>
      <c r="W873" s="89"/>
      <c r="X873" s="89"/>
      <c r="Y873" s="89"/>
      <c r="Z873" s="89"/>
      <c r="AA873" s="89"/>
      <c r="AB873" s="89"/>
      <c r="AC873" s="89"/>
      <c r="AD873" s="89"/>
    </row>
    <row r="874" spans="1:30" ht="13.8">
      <c r="A874" s="89"/>
      <c r="B874" s="89"/>
      <c r="C874" s="89"/>
      <c r="D874" s="89"/>
      <c r="E874" s="89"/>
      <c r="F874" s="110"/>
      <c r="G874" s="89"/>
      <c r="H874" s="110"/>
      <c r="I874" s="89"/>
      <c r="J874" s="110"/>
      <c r="K874" s="89"/>
      <c r="L874" s="89"/>
      <c r="M874" s="110"/>
      <c r="N874" s="89"/>
      <c r="O874" s="110"/>
      <c r="P874" s="89"/>
      <c r="Q874" s="110"/>
      <c r="R874" s="89"/>
      <c r="S874" s="89"/>
      <c r="T874" s="89"/>
      <c r="U874" s="89"/>
      <c r="V874" s="89"/>
      <c r="W874" s="89"/>
      <c r="X874" s="89"/>
      <c r="Y874" s="89"/>
      <c r="Z874" s="89"/>
      <c r="AA874" s="89"/>
      <c r="AB874" s="89"/>
      <c r="AC874" s="89"/>
      <c r="AD874" s="89"/>
    </row>
    <row r="875" spans="1:30" ht="13.8">
      <c r="A875" s="89"/>
      <c r="B875" s="89"/>
      <c r="C875" s="89"/>
      <c r="D875" s="89"/>
      <c r="E875" s="89"/>
      <c r="F875" s="110"/>
      <c r="G875" s="89"/>
      <c r="H875" s="110"/>
      <c r="I875" s="89"/>
      <c r="J875" s="110"/>
      <c r="K875" s="89"/>
      <c r="L875" s="89"/>
      <c r="M875" s="110"/>
      <c r="N875" s="89"/>
      <c r="O875" s="110"/>
      <c r="P875" s="89"/>
      <c r="Q875" s="110"/>
      <c r="R875" s="89"/>
      <c r="S875" s="89"/>
      <c r="T875" s="89"/>
      <c r="U875" s="89"/>
      <c r="V875" s="89"/>
      <c r="W875" s="89"/>
      <c r="X875" s="89"/>
      <c r="Y875" s="89"/>
      <c r="Z875" s="89"/>
      <c r="AA875" s="89"/>
      <c r="AB875" s="89"/>
      <c r="AC875" s="89"/>
      <c r="AD875" s="89"/>
    </row>
    <row r="876" spans="1:30" ht="13.8">
      <c r="A876" s="89"/>
      <c r="B876" s="89"/>
      <c r="C876" s="89"/>
      <c r="D876" s="89"/>
      <c r="E876" s="89"/>
      <c r="F876" s="110"/>
      <c r="G876" s="89"/>
      <c r="H876" s="110"/>
      <c r="I876" s="89"/>
      <c r="J876" s="110"/>
      <c r="K876" s="89"/>
      <c r="L876" s="89"/>
      <c r="M876" s="110"/>
      <c r="N876" s="89"/>
      <c r="O876" s="110"/>
      <c r="P876" s="89"/>
      <c r="Q876" s="110"/>
      <c r="R876" s="89"/>
      <c r="S876" s="89"/>
      <c r="T876" s="89"/>
      <c r="U876" s="89"/>
      <c r="V876" s="89"/>
      <c r="W876" s="89"/>
      <c r="X876" s="89"/>
      <c r="Y876" s="89"/>
      <c r="Z876" s="89"/>
      <c r="AA876" s="89"/>
      <c r="AB876" s="89"/>
      <c r="AC876" s="89"/>
      <c r="AD876" s="89"/>
    </row>
    <row r="877" spans="1:30" ht="13.8">
      <c r="A877" s="89"/>
      <c r="B877" s="89"/>
      <c r="C877" s="89"/>
      <c r="D877" s="89"/>
      <c r="E877" s="89"/>
      <c r="F877" s="110"/>
      <c r="G877" s="89"/>
      <c r="H877" s="110"/>
      <c r="I877" s="89"/>
      <c r="J877" s="110"/>
      <c r="K877" s="89"/>
      <c r="L877" s="89"/>
      <c r="M877" s="110"/>
      <c r="N877" s="89"/>
      <c r="O877" s="110"/>
      <c r="P877" s="89"/>
      <c r="Q877" s="110"/>
      <c r="R877" s="89"/>
      <c r="S877" s="89"/>
      <c r="T877" s="89"/>
      <c r="U877" s="89"/>
      <c r="V877" s="89"/>
      <c r="W877" s="89"/>
      <c r="X877" s="89"/>
      <c r="Y877" s="89"/>
      <c r="Z877" s="89"/>
      <c r="AA877" s="89"/>
      <c r="AB877" s="89"/>
      <c r="AC877" s="89"/>
      <c r="AD877" s="89"/>
    </row>
    <row r="878" spans="1:30" ht="13.8">
      <c r="A878" s="89"/>
      <c r="B878" s="89"/>
      <c r="C878" s="89"/>
      <c r="D878" s="89"/>
      <c r="E878" s="89"/>
      <c r="F878" s="110"/>
      <c r="G878" s="89"/>
      <c r="H878" s="110"/>
      <c r="I878" s="89"/>
      <c r="J878" s="110"/>
      <c r="K878" s="89"/>
      <c r="L878" s="89"/>
      <c r="M878" s="110"/>
      <c r="N878" s="89"/>
      <c r="O878" s="110"/>
      <c r="P878" s="89"/>
      <c r="Q878" s="110"/>
      <c r="R878" s="89"/>
      <c r="S878" s="89"/>
      <c r="T878" s="89"/>
      <c r="U878" s="89"/>
      <c r="V878" s="89"/>
      <c r="W878" s="89"/>
      <c r="X878" s="89"/>
      <c r="Y878" s="89"/>
      <c r="Z878" s="89"/>
      <c r="AA878" s="89"/>
      <c r="AB878" s="89"/>
      <c r="AC878" s="89"/>
      <c r="AD878" s="89"/>
    </row>
    <row r="879" spans="1:30" ht="13.8">
      <c r="A879" s="89"/>
      <c r="B879" s="89"/>
      <c r="C879" s="89"/>
      <c r="D879" s="89"/>
      <c r="E879" s="89"/>
      <c r="F879" s="110"/>
      <c r="G879" s="89"/>
      <c r="H879" s="110"/>
      <c r="I879" s="89"/>
      <c r="J879" s="110"/>
      <c r="K879" s="89"/>
      <c r="L879" s="89"/>
      <c r="M879" s="110"/>
      <c r="N879" s="89"/>
      <c r="O879" s="110"/>
      <c r="P879" s="89"/>
      <c r="Q879" s="110"/>
      <c r="R879" s="89"/>
      <c r="S879" s="89"/>
      <c r="T879" s="89"/>
      <c r="U879" s="89"/>
      <c r="V879" s="89"/>
      <c r="W879" s="89"/>
      <c r="X879" s="89"/>
      <c r="Y879" s="89"/>
      <c r="Z879" s="89"/>
      <c r="AA879" s="89"/>
      <c r="AB879" s="89"/>
      <c r="AC879" s="89"/>
      <c r="AD879" s="89"/>
    </row>
    <row r="880" spans="1:30" ht="13.8">
      <c r="A880" s="89"/>
      <c r="B880" s="89"/>
      <c r="C880" s="89"/>
      <c r="D880" s="89"/>
      <c r="E880" s="89"/>
      <c r="F880" s="110"/>
      <c r="G880" s="89"/>
      <c r="H880" s="110"/>
      <c r="I880" s="89"/>
      <c r="J880" s="110"/>
      <c r="K880" s="89"/>
      <c r="L880" s="89"/>
      <c r="M880" s="110"/>
      <c r="N880" s="89"/>
      <c r="O880" s="110"/>
      <c r="P880" s="89"/>
      <c r="Q880" s="110"/>
      <c r="R880" s="89"/>
      <c r="S880" s="89"/>
      <c r="T880" s="89"/>
      <c r="U880" s="89"/>
      <c r="V880" s="89"/>
      <c r="W880" s="89"/>
      <c r="X880" s="89"/>
      <c r="Y880" s="89"/>
      <c r="Z880" s="89"/>
      <c r="AA880" s="89"/>
      <c r="AB880" s="89"/>
      <c r="AC880" s="89"/>
      <c r="AD880" s="89"/>
    </row>
    <row r="881" spans="1:30" ht="13.8">
      <c r="A881" s="89"/>
      <c r="B881" s="89"/>
      <c r="C881" s="89"/>
      <c r="D881" s="89"/>
      <c r="E881" s="89"/>
      <c r="F881" s="110"/>
      <c r="G881" s="89"/>
      <c r="H881" s="110"/>
      <c r="I881" s="89"/>
      <c r="J881" s="110"/>
      <c r="K881" s="89"/>
      <c r="L881" s="89"/>
      <c r="M881" s="110"/>
      <c r="N881" s="89"/>
      <c r="O881" s="110"/>
      <c r="P881" s="89"/>
      <c r="Q881" s="110"/>
      <c r="R881" s="89"/>
      <c r="S881" s="89"/>
      <c r="T881" s="89"/>
      <c r="U881" s="89"/>
      <c r="V881" s="89"/>
      <c r="W881" s="89"/>
      <c r="X881" s="89"/>
      <c r="Y881" s="89"/>
      <c r="Z881" s="89"/>
      <c r="AA881" s="89"/>
      <c r="AB881" s="89"/>
      <c r="AC881" s="89"/>
      <c r="AD881" s="89"/>
    </row>
    <row r="882" spans="1:30" ht="13.8">
      <c r="A882" s="89"/>
      <c r="B882" s="89"/>
      <c r="C882" s="89"/>
      <c r="D882" s="89"/>
      <c r="E882" s="89"/>
      <c r="F882" s="110"/>
      <c r="G882" s="89"/>
      <c r="H882" s="110"/>
      <c r="I882" s="89"/>
      <c r="J882" s="110"/>
      <c r="K882" s="89"/>
      <c r="L882" s="89"/>
      <c r="M882" s="110"/>
      <c r="N882" s="89"/>
      <c r="O882" s="110"/>
      <c r="P882" s="89"/>
      <c r="Q882" s="110"/>
      <c r="R882" s="89"/>
      <c r="S882" s="89"/>
      <c r="T882" s="89"/>
      <c r="U882" s="89"/>
      <c r="V882" s="89"/>
      <c r="W882" s="89"/>
      <c r="X882" s="89"/>
      <c r="Y882" s="89"/>
      <c r="Z882" s="89"/>
      <c r="AA882" s="89"/>
      <c r="AB882" s="89"/>
      <c r="AC882" s="89"/>
      <c r="AD882" s="89"/>
    </row>
    <row r="883" spans="1:30" ht="13.8">
      <c r="A883" s="89"/>
      <c r="B883" s="89"/>
      <c r="C883" s="89"/>
      <c r="D883" s="89"/>
      <c r="E883" s="89"/>
      <c r="F883" s="110"/>
      <c r="G883" s="89"/>
      <c r="H883" s="110"/>
      <c r="I883" s="89"/>
      <c r="J883" s="110"/>
      <c r="K883" s="89"/>
      <c r="L883" s="89"/>
      <c r="M883" s="110"/>
      <c r="N883" s="89"/>
      <c r="O883" s="110"/>
      <c r="P883" s="89"/>
      <c r="Q883" s="110"/>
      <c r="R883" s="89"/>
      <c r="S883" s="89"/>
      <c r="T883" s="89"/>
      <c r="U883" s="89"/>
      <c r="V883" s="89"/>
      <c r="W883" s="89"/>
      <c r="X883" s="89"/>
      <c r="Y883" s="89"/>
      <c r="Z883" s="89"/>
      <c r="AA883" s="89"/>
      <c r="AB883" s="89"/>
      <c r="AC883" s="89"/>
      <c r="AD883" s="89"/>
    </row>
    <row r="884" spans="1:30" ht="13.8">
      <c r="A884" s="89"/>
      <c r="B884" s="89"/>
      <c r="C884" s="89"/>
      <c r="D884" s="89"/>
      <c r="E884" s="89"/>
      <c r="F884" s="110"/>
      <c r="G884" s="89"/>
      <c r="H884" s="110"/>
      <c r="I884" s="89"/>
      <c r="J884" s="110"/>
      <c r="K884" s="89"/>
      <c r="L884" s="89"/>
      <c r="M884" s="110"/>
      <c r="N884" s="89"/>
      <c r="O884" s="110"/>
      <c r="P884" s="89"/>
      <c r="Q884" s="110"/>
      <c r="R884" s="89"/>
      <c r="S884" s="89"/>
      <c r="T884" s="89"/>
      <c r="U884" s="89"/>
      <c r="V884" s="89"/>
      <c r="W884" s="89"/>
      <c r="X884" s="89"/>
      <c r="Y884" s="89"/>
      <c r="Z884" s="89"/>
      <c r="AA884" s="89"/>
      <c r="AB884" s="89"/>
      <c r="AC884" s="89"/>
      <c r="AD884" s="89"/>
    </row>
    <row r="885" spans="1:30" ht="13.8">
      <c r="A885" s="89"/>
      <c r="B885" s="89"/>
      <c r="C885" s="89"/>
      <c r="D885" s="89"/>
      <c r="E885" s="89"/>
      <c r="F885" s="110"/>
      <c r="G885" s="89"/>
      <c r="H885" s="110"/>
      <c r="I885" s="89"/>
      <c r="J885" s="110"/>
      <c r="K885" s="89"/>
      <c r="L885" s="89"/>
      <c r="M885" s="110"/>
      <c r="N885" s="89"/>
      <c r="O885" s="110"/>
      <c r="P885" s="89"/>
      <c r="Q885" s="110"/>
      <c r="R885" s="89"/>
      <c r="S885" s="89"/>
      <c r="T885" s="89"/>
      <c r="U885" s="89"/>
      <c r="V885" s="89"/>
      <c r="W885" s="89"/>
      <c r="X885" s="89"/>
      <c r="Y885" s="89"/>
      <c r="Z885" s="89"/>
      <c r="AA885" s="89"/>
      <c r="AB885" s="89"/>
      <c r="AC885" s="89"/>
      <c r="AD885" s="89"/>
    </row>
    <row r="886" spans="1:30" ht="13.8">
      <c r="A886" s="89"/>
      <c r="B886" s="89"/>
      <c r="C886" s="89"/>
      <c r="D886" s="89"/>
      <c r="E886" s="89"/>
      <c r="F886" s="110"/>
      <c r="G886" s="89"/>
      <c r="H886" s="110"/>
      <c r="I886" s="89"/>
      <c r="J886" s="110"/>
      <c r="K886" s="89"/>
      <c r="L886" s="89"/>
      <c r="M886" s="110"/>
      <c r="N886" s="89"/>
      <c r="O886" s="110"/>
      <c r="P886" s="89"/>
      <c r="Q886" s="110"/>
      <c r="R886" s="89"/>
      <c r="S886" s="89"/>
      <c r="T886" s="89"/>
      <c r="U886" s="89"/>
      <c r="V886" s="89"/>
      <c r="W886" s="89"/>
      <c r="X886" s="89"/>
      <c r="Y886" s="89"/>
      <c r="Z886" s="89"/>
      <c r="AA886" s="89"/>
      <c r="AB886" s="89"/>
      <c r="AC886" s="89"/>
      <c r="AD886" s="89"/>
    </row>
    <row r="887" spans="1:30" ht="13.8">
      <c r="A887" s="89"/>
      <c r="B887" s="89"/>
      <c r="C887" s="89"/>
      <c r="D887" s="89"/>
      <c r="E887" s="89"/>
      <c r="F887" s="110"/>
      <c r="G887" s="89"/>
      <c r="H887" s="110"/>
      <c r="I887" s="89"/>
      <c r="J887" s="110"/>
      <c r="K887" s="89"/>
      <c r="L887" s="89"/>
      <c r="M887" s="110"/>
      <c r="N887" s="89"/>
      <c r="O887" s="110"/>
      <c r="P887" s="89"/>
      <c r="Q887" s="110"/>
      <c r="R887" s="89"/>
      <c r="S887" s="89"/>
      <c r="T887" s="89"/>
      <c r="U887" s="89"/>
      <c r="V887" s="89"/>
      <c r="W887" s="89"/>
      <c r="X887" s="89"/>
      <c r="Y887" s="89"/>
      <c r="Z887" s="89"/>
      <c r="AA887" s="89"/>
      <c r="AB887" s="89"/>
      <c r="AC887" s="89"/>
      <c r="AD887" s="89"/>
    </row>
    <row r="888" spans="1:30" ht="13.8">
      <c r="A888" s="89"/>
      <c r="B888" s="89"/>
      <c r="C888" s="89"/>
      <c r="D888" s="89"/>
      <c r="E888" s="89"/>
      <c r="F888" s="110"/>
      <c r="G888" s="89"/>
      <c r="H888" s="110"/>
      <c r="I888" s="89"/>
      <c r="J888" s="110"/>
      <c r="K888" s="89"/>
      <c r="L888" s="89"/>
      <c r="M888" s="110"/>
      <c r="N888" s="89"/>
      <c r="O888" s="110"/>
      <c r="P888" s="89"/>
      <c r="Q888" s="110"/>
      <c r="R888" s="89"/>
      <c r="S888" s="89"/>
      <c r="T888" s="89"/>
      <c r="U888" s="89"/>
      <c r="V888" s="89"/>
      <c r="W888" s="89"/>
      <c r="X888" s="89"/>
      <c r="Y888" s="89"/>
      <c r="Z888" s="89"/>
      <c r="AA888" s="89"/>
      <c r="AB888" s="89"/>
      <c r="AC888" s="89"/>
      <c r="AD888" s="89"/>
    </row>
    <row r="889" spans="1:30" ht="13.8">
      <c r="A889" s="89"/>
      <c r="B889" s="89"/>
      <c r="C889" s="89"/>
      <c r="D889" s="89"/>
      <c r="E889" s="89"/>
      <c r="F889" s="110"/>
      <c r="G889" s="89"/>
      <c r="H889" s="110"/>
      <c r="I889" s="89"/>
      <c r="J889" s="110"/>
      <c r="K889" s="89"/>
      <c r="L889" s="89"/>
      <c r="M889" s="110"/>
      <c r="N889" s="89"/>
      <c r="O889" s="110"/>
      <c r="P889" s="89"/>
      <c r="Q889" s="110"/>
      <c r="R889" s="89"/>
      <c r="S889" s="89"/>
      <c r="T889" s="89"/>
      <c r="U889" s="89"/>
      <c r="V889" s="89"/>
      <c r="W889" s="89"/>
      <c r="X889" s="89"/>
      <c r="Y889" s="89"/>
      <c r="Z889" s="89"/>
      <c r="AA889" s="89"/>
      <c r="AB889" s="89"/>
      <c r="AC889" s="89"/>
      <c r="AD889" s="89"/>
    </row>
    <row r="890" spans="1:30" ht="13.8">
      <c r="A890" s="89"/>
      <c r="B890" s="89"/>
      <c r="C890" s="89"/>
      <c r="D890" s="89"/>
      <c r="E890" s="89"/>
      <c r="F890" s="110"/>
      <c r="G890" s="89"/>
      <c r="H890" s="110"/>
      <c r="I890" s="89"/>
      <c r="J890" s="110"/>
      <c r="K890" s="89"/>
      <c r="L890" s="89"/>
      <c r="M890" s="110"/>
      <c r="N890" s="89"/>
      <c r="O890" s="110"/>
      <c r="P890" s="89"/>
      <c r="Q890" s="110"/>
      <c r="R890" s="89"/>
      <c r="S890" s="89"/>
      <c r="T890" s="89"/>
      <c r="U890" s="89"/>
      <c r="V890" s="89"/>
      <c r="W890" s="89"/>
      <c r="X890" s="89"/>
      <c r="Y890" s="89"/>
      <c r="Z890" s="89"/>
      <c r="AA890" s="89"/>
      <c r="AB890" s="89"/>
      <c r="AC890" s="89"/>
      <c r="AD890" s="89"/>
    </row>
    <row r="891" spans="1:30" ht="13.8">
      <c r="A891" s="89"/>
      <c r="B891" s="89"/>
      <c r="C891" s="89"/>
      <c r="D891" s="89"/>
      <c r="E891" s="89"/>
      <c r="F891" s="110"/>
      <c r="G891" s="89"/>
      <c r="H891" s="110"/>
      <c r="I891" s="89"/>
      <c r="J891" s="110"/>
      <c r="K891" s="89"/>
      <c r="L891" s="89"/>
      <c r="M891" s="110"/>
      <c r="N891" s="89"/>
      <c r="O891" s="110"/>
      <c r="P891" s="89"/>
      <c r="Q891" s="110"/>
      <c r="R891" s="89"/>
      <c r="S891" s="89"/>
      <c r="T891" s="89"/>
      <c r="U891" s="89"/>
      <c r="V891" s="89"/>
      <c r="W891" s="89"/>
      <c r="X891" s="89"/>
      <c r="Y891" s="89"/>
      <c r="Z891" s="89"/>
      <c r="AA891" s="89"/>
      <c r="AB891" s="89"/>
      <c r="AC891" s="89"/>
      <c r="AD891" s="89"/>
    </row>
    <row r="892" spans="1:30" ht="13.8">
      <c r="A892" s="89"/>
      <c r="B892" s="89"/>
      <c r="C892" s="89"/>
      <c r="D892" s="89"/>
      <c r="E892" s="89"/>
      <c r="F892" s="110"/>
      <c r="G892" s="89"/>
      <c r="H892" s="110"/>
      <c r="I892" s="89"/>
      <c r="J892" s="110"/>
      <c r="K892" s="89"/>
      <c r="L892" s="89"/>
      <c r="M892" s="110"/>
      <c r="N892" s="89"/>
      <c r="O892" s="110"/>
      <c r="P892" s="89"/>
      <c r="Q892" s="110"/>
      <c r="R892" s="89"/>
      <c r="S892" s="89"/>
      <c r="T892" s="89"/>
      <c r="U892" s="89"/>
      <c r="V892" s="89"/>
      <c r="W892" s="89"/>
      <c r="X892" s="89"/>
      <c r="Y892" s="89"/>
      <c r="Z892" s="89"/>
      <c r="AA892" s="89"/>
      <c r="AB892" s="89"/>
      <c r="AC892" s="89"/>
      <c r="AD892" s="89"/>
    </row>
    <row r="893" spans="1:30" ht="13.8">
      <c r="A893" s="89"/>
      <c r="B893" s="89"/>
      <c r="C893" s="89"/>
      <c r="D893" s="89"/>
      <c r="E893" s="89"/>
      <c r="F893" s="110"/>
      <c r="G893" s="89"/>
      <c r="H893" s="110"/>
      <c r="I893" s="89"/>
      <c r="J893" s="110"/>
      <c r="K893" s="89"/>
      <c r="L893" s="89"/>
      <c r="M893" s="110"/>
      <c r="N893" s="89"/>
      <c r="O893" s="110"/>
      <c r="P893" s="89"/>
      <c r="Q893" s="110"/>
      <c r="R893" s="89"/>
      <c r="S893" s="89"/>
      <c r="T893" s="89"/>
      <c r="U893" s="89"/>
      <c r="V893" s="89"/>
      <c r="W893" s="89"/>
      <c r="X893" s="89"/>
      <c r="Y893" s="89"/>
      <c r="Z893" s="89"/>
      <c r="AA893" s="89"/>
      <c r="AB893" s="89"/>
      <c r="AC893" s="89"/>
      <c r="AD893" s="89"/>
    </row>
    <row r="894" spans="1:30" ht="13.8">
      <c r="A894" s="89"/>
      <c r="B894" s="89"/>
      <c r="C894" s="89"/>
      <c r="D894" s="89"/>
      <c r="E894" s="89"/>
      <c r="F894" s="110"/>
      <c r="G894" s="89"/>
      <c r="H894" s="110"/>
      <c r="I894" s="89"/>
      <c r="J894" s="110"/>
      <c r="K894" s="89"/>
      <c r="L894" s="89"/>
      <c r="M894" s="110"/>
      <c r="N894" s="89"/>
      <c r="O894" s="110"/>
      <c r="P894" s="89"/>
      <c r="Q894" s="110"/>
      <c r="R894" s="89"/>
      <c r="S894" s="89"/>
      <c r="T894" s="89"/>
      <c r="U894" s="89"/>
      <c r="V894" s="89"/>
      <c r="W894" s="89"/>
      <c r="X894" s="89"/>
      <c r="Y894" s="89"/>
      <c r="Z894" s="89"/>
      <c r="AA894" s="89"/>
      <c r="AB894" s="89"/>
      <c r="AC894" s="89"/>
      <c r="AD894" s="89"/>
    </row>
    <row r="895" spans="1:30" ht="13.8">
      <c r="A895" s="89"/>
      <c r="B895" s="89"/>
      <c r="C895" s="89"/>
      <c r="D895" s="89"/>
      <c r="E895" s="89"/>
      <c r="F895" s="110"/>
      <c r="G895" s="89"/>
      <c r="H895" s="110"/>
      <c r="I895" s="89"/>
      <c r="J895" s="110"/>
      <c r="K895" s="89"/>
      <c r="L895" s="89"/>
      <c r="M895" s="110"/>
      <c r="N895" s="89"/>
      <c r="O895" s="110"/>
      <c r="P895" s="89"/>
      <c r="Q895" s="110"/>
      <c r="R895" s="89"/>
      <c r="S895" s="89"/>
      <c r="T895" s="89"/>
      <c r="U895" s="89"/>
      <c r="V895" s="89"/>
      <c r="W895" s="89"/>
      <c r="X895" s="89"/>
      <c r="Y895" s="89"/>
      <c r="Z895" s="89"/>
      <c r="AA895" s="89"/>
      <c r="AB895" s="89"/>
      <c r="AC895" s="89"/>
      <c r="AD895" s="89"/>
    </row>
    <row r="896" spans="1:30" ht="13.8">
      <c r="A896" s="89"/>
      <c r="B896" s="89"/>
      <c r="C896" s="89"/>
      <c r="D896" s="89"/>
      <c r="E896" s="89"/>
      <c r="F896" s="110"/>
      <c r="G896" s="89"/>
      <c r="H896" s="110"/>
      <c r="I896" s="89"/>
      <c r="J896" s="110"/>
      <c r="K896" s="89"/>
      <c r="L896" s="89"/>
      <c r="M896" s="110"/>
      <c r="N896" s="89"/>
      <c r="O896" s="110"/>
      <c r="P896" s="89"/>
      <c r="Q896" s="110"/>
      <c r="R896" s="89"/>
      <c r="S896" s="89"/>
      <c r="T896" s="89"/>
      <c r="U896" s="89"/>
      <c r="V896" s="89"/>
      <c r="W896" s="89"/>
      <c r="X896" s="89"/>
      <c r="Y896" s="89"/>
      <c r="Z896" s="89"/>
      <c r="AA896" s="89"/>
      <c r="AB896" s="89"/>
      <c r="AC896" s="89"/>
      <c r="AD896" s="89"/>
    </row>
    <row r="897" spans="1:30" ht="13.8">
      <c r="A897" s="89"/>
      <c r="B897" s="89"/>
      <c r="C897" s="89"/>
      <c r="D897" s="89"/>
      <c r="E897" s="89"/>
      <c r="F897" s="110"/>
      <c r="G897" s="89"/>
      <c r="H897" s="110"/>
      <c r="I897" s="89"/>
      <c r="J897" s="110"/>
      <c r="K897" s="89"/>
      <c r="L897" s="89"/>
      <c r="M897" s="110"/>
      <c r="N897" s="89"/>
      <c r="O897" s="110"/>
      <c r="P897" s="89"/>
      <c r="Q897" s="110"/>
      <c r="R897" s="89"/>
      <c r="S897" s="89"/>
      <c r="T897" s="89"/>
      <c r="U897" s="89"/>
      <c r="V897" s="89"/>
      <c r="W897" s="89"/>
      <c r="X897" s="89"/>
      <c r="Y897" s="89"/>
      <c r="Z897" s="89"/>
      <c r="AA897" s="89"/>
      <c r="AB897" s="89"/>
      <c r="AC897" s="89"/>
      <c r="AD897" s="89"/>
    </row>
    <row r="898" spans="1:30" ht="13.8">
      <c r="A898" s="89"/>
      <c r="B898" s="89"/>
      <c r="C898" s="89"/>
      <c r="D898" s="89"/>
      <c r="E898" s="89"/>
      <c r="F898" s="110"/>
      <c r="G898" s="89"/>
      <c r="H898" s="110"/>
      <c r="I898" s="89"/>
      <c r="J898" s="110"/>
      <c r="K898" s="89"/>
      <c r="L898" s="89"/>
      <c r="M898" s="110"/>
      <c r="N898" s="89"/>
      <c r="O898" s="110"/>
      <c r="P898" s="89"/>
      <c r="Q898" s="110"/>
      <c r="R898" s="89"/>
      <c r="S898" s="89"/>
      <c r="T898" s="89"/>
      <c r="U898" s="89"/>
      <c r="V898" s="89"/>
      <c r="W898" s="89"/>
      <c r="X898" s="89"/>
      <c r="Y898" s="89"/>
      <c r="Z898" s="89"/>
      <c r="AA898" s="89"/>
      <c r="AB898" s="89"/>
      <c r="AC898" s="89"/>
      <c r="AD898" s="89"/>
    </row>
    <row r="899" spans="1:30" ht="13.8">
      <c r="A899" s="89"/>
      <c r="B899" s="89"/>
      <c r="C899" s="89"/>
      <c r="D899" s="89"/>
      <c r="E899" s="89"/>
      <c r="F899" s="110"/>
      <c r="G899" s="89"/>
      <c r="H899" s="110"/>
      <c r="I899" s="89"/>
      <c r="J899" s="110"/>
      <c r="K899" s="89"/>
      <c r="L899" s="89"/>
      <c r="M899" s="110"/>
      <c r="N899" s="89"/>
      <c r="O899" s="110"/>
      <c r="P899" s="89"/>
      <c r="Q899" s="110"/>
      <c r="R899" s="89"/>
      <c r="S899" s="89"/>
      <c r="T899" s="89"/>
      <c r="U899" s="89"/>
      <c r="V899" s="89"/>
      <c r="W899" s="89"/>
      <c r="X899" s="89"/>
      <c r="Y899" s="89"/>
      <c r="Z899" s="89"/>
      <c r="AA899" s="89"/>
      <c r="AB899" s="89"/>
      <c r="AC899" s="89"/>
      <c r="AD899" s="89"/>
    </row>
    <row r="900" spans="1:30" ht="13.8">
      <c r="A900" s="89"/>
      <c r="B900" s="89"/>
      <c r="C900" s="89"/>
      <c r="D900" s="89"/>
      <c r="E900" s="89"/>
      <c r="F900" s="110"/>
      <c r="G900" s="89"/>
      <c r="H900" s="110"/>
      <c r="I900" s="89"/>
      <c r="J900" s="110"/>
      <c r="K900" s="89"/>
      <c r="L900" s="89"/>
      <c r="M900" s="110"/>
      <c r="N900" s="89"/>
      <c r="O900" s="110"/>
      <c r="P900" s="89"/>
      <c r="Q900" s="110"/>
      <c r="R900" s="89"/>
      <c r="S900" s="89"/>
      <c r="T900" s="89"/>
      <c r="U900" s="89"/>
      <c r="V900" s="89"/>
      <c r="W900" s="89"/>
      <c r="X900" s="89"/>
      <c r="Y900" s="89"/>
      <c r="Z900" s="89"/>
      <c r="AA900" s="89"/>
      <c r="AB900" s="89"/>
      <c r="AC900" s="89"/>
      <c r="AD900" s="89"/>
    </row>
    <row r="901" spans="1:30" ht="13.8">
      <c r="A901" s="89"/>
      <c r="B901" s="89"/>
      <c r="C901" s="89"/>
      <c r="D901" s="89"/>
      <c r="E901" s="89"/>
      <c r="F901" s="110"/>
      <c r="G901" s="89"/>
      <c r="H901" s="110"/>
      <c r="I901" s="89"/>
      <c r="J901" s="110"/>
      <c r="K901" s="89"/>
      <c r="L901" s="89"/>
      <c r="M901" s="110"/>
      <c r="N901" s="89"/>
      <c r="O901" s="110"/>
      <c r="P901" s="89"/>
      <c r="Q901" s="110"/>
      <c r="R901" s="89"/>
      <c r="S901" s="89"/>
      <c r="T901" s="89"/>
      <c r="U901" s="89"/>
      <c r="V901" s="89"/>
      <c r="W901" s="89"/>
      <c r="X901" s="89"/>
      <c r="Y901" s="89"/>
      <c r="Z901" s="89"/>
      <c r="AA901" s="89"/>
      <c r="AB901" s="89"/>
      <c r="AC901" s="89"/>
      <c r="AD901" s="89"/>
    </row>
    <row r="902" spans="1:30" ht="13.8">
      <c r="A902" s="89"/>
      <c r="B902" s="89"/>
      <c r="C902" s="89"/>
      <c r="D902" s="89"/>
      <c r="E902" s="89"/>
      <c r="F902" s="110"/>
      <c r="G902" s="89"/>
      <c r="H902" s="110"/>
      <c r="I902" s="89"/>
      <c r="J902" s="110"/>
      <c r="K902" s="89"/>
      <c r="L902" s="89"/>
      <c r="M902" s="110"/>
      <c r="N902" s="89"/>
      <c r="O902" s="110"/>
      <c r="P902" s="89"/>
      <c r="Q902" s="110"/>
      <c r="R902" s="89"/>
      <c r="S902" s="89"/>
      <c r="T902" s="89"/>
      <c r="U902" s="89"/>
      <c r="V902" s="89"/>
      <c r="W902" s="89"/>
      <c r="X902" s="89"/>
      <c r="Y902" s="89"/>
      <c r="Z902" s="89"/>
      <c r="AA902" s="89"/>
      <c r="AB902" s="89"/>
      <c r="AC902" s="89"/>
      <c r="AD902" s="89"/>
    </row>
    <row r="903" spans="1:30" ht="13.8">
      <c r="A903" s="89"/>
      <c r="B903" s="89"/>
      <c r="C903" s="89"/>
      <c r="D903" s="89"/>
      <c r="E903" s="89"/>
      <c r="F903" s="110"/>
      <c r="G903" s="89"/>
      <c r="H903" s="110"/>
      <c r="I903" s="89"/>
      <c r="J903" s="110"/>
      <c r="K903" s="89"/>
      <c r="L903" s="89"/>
      <c r="M903" s="110"/>
      <c r="N903" s="89"/>
      <c r="O903" s="110"/>
      <c r="P903" s="89"/>
      <c r="Q903" s="110"/>
      <c r="R903" s="89"/>
      <c r="S903" s="89"/>
      <c r="T903" s="89"/>
      <c r="U903" s="89"/>
      <c r="V903" s="89"/>
      <c r="W903" s="89"/>
      <c r="X903" s="89"/>
      <c r="Y903" s="89"/>
      <c r="Z903" s="89"/>
      <c r="AA903" s="89"/>
      <c r="AB903" s="89"/>
      <c r="AC903" s="89"/>
      <c r="AD903" s="89"/>
    </row>
    <row r="904" spans="1:30" ht="13.8">
      <c r="A904" s="89"/>
      <c r="B904" s="89"/>
      <c r="C904" s="89"/>
      <c r="D904" s="89"/>
      <c r="E904" s="89"/>
      <c r="F904" s="110"/>
      <c r="G904" s="89"/>
      <c r="H904" s="110"/>
      <c r="I904" s="89"/>
      <c r="J904" s="110"/>
      <c r="K904" s="89"/>
      <c r="L904" s="89"/>
      <c r="M904" s="110"/>
      <c r="N904" s="89"/>
      <c r="O904" s="110"/>
      <c r="P904" s="89"/>
      <c r="Q904" s="110"/>
      <c r="R904" s="89"/>
      <c r="S904" s="89"/>
      <c r="T904" s="89"/>
      <c r="U904" s="89"/>
      <c r="V904" s="89"/>
      <c r="W904" s="89"/>
      <c r="X904" s="89"/>
      <c r="Y904" s="89"/>
      <c r="Z904" s="89"/>
      <c r="AA904" s="89"/>
      <c r="AB904" s="89"/>
      <c r="AC904" s="89"/>
      <c r="AD904" s="89"/>
    </row>
    <row r="905" spans="1:30" ht="13.8">
      <c r="A905" s="89"/>
      <c r="B905" s="89"/>
      <c r="C905" s="89"/>
      <c r="D905" s="89"/>
      <c r="E905" s="89"/>
      <c r="F905" s="110"/>
      <c r="G905" s="89"/>
      <c r="H905" s="110"/>
      <c r="I905" s="89"/>
      <c r="J905" s="110"/>
      <c r="K905" s="89"/>
      <c r="L905" s="89"/>
      <c r="M905" s="110"/>
      <c r="N905" s="89"/>
      <c r="O905" s="110"/>
      <c r="P905" s="89"/>
      <c r="Q905" s="110"/>
      <c r="R905" s="89"/>
      <c r="S905" s="89"/>
      <c r="T905" s="89"/>
      <c r="U905" s="89"/>
      <c r="V905" s="89"/>
      <c r="W905" s="89"/>
      <c r="X905" s="89"/>
      <c r="Y905" s="89"/>
      <c r="Z905" s="89"/>
      <c r="AA905" s="89"/>
      <c r="AB905" s="89"/>
      <c r="AC905" s="89"/>
      <c r="AD905" s="89"/>
    </row>
    <row r="906" spans="1:30" ht="13.8">
      <c r="A906" s="89"/>
      <c r="B906" s="89"/>
      <c r="C906" s="89"/>
      <c r="D906" s="89"/>
      <c r="E906" s="89"/>
      <c r="F906" s="110"/>
      <c r="G906" s="89"/>
      <c r="H906" s="110"/>
      <c r="I906" s="89"/>
      <c r="J906" s="110"/>
      <c r="K906" s="89"/>
      <c r="L906" s="89"/>
      <c r="M906" s="110"/>
      <c r="N906" s="89"/>
      <c r="O906" s="110"/>
      <c r="P906" s="89"/>
      <c r="Q906" s="110"/>
      <c r="R906" s="89"/>
      <c r="S906" s="89"/>
      <c r="T906" s="89"/>
      <c r="U906" s="89"/>
      <c r="V906" s="89"/>
      <c r="W906" s="89"/>
      <c r="X906" s="89"/>
      <c r="Y906" s="89"/>
      <c r="Z906" s="89"/>
      <c r="AA906" s="89"/>
      <c r="AB906" s="89"/>
      <c r="AC906" s="89"/>
      <c r="AD906" s="89"/>
    </row>
    <row r="907" spans="1:30" ht="13.8">
      <c r="A907" s="89"/>
      <c r="B907" s="89"/>
      <c r="C907" s="89"/>
      <c r="D907" s="89"/>
      <c r="E907" s="89"/>
      <c r="F907" s="110"/>
      <c r="G907" s="89"/>
      <c r="H907" s="110"/>
      <c r="I907" s="89"/>
      <c r="J907" s="110"/>
      <c r="K907" s="89"/>
      <c r="L907" s="89"/>
      <c r="M907" s="110"/>
      <c r="N907" s="89"/>
      <c r="O907" s="110"/>
      <c r="P907" s="89"/>
      <c r="Q907" s="110"/>
      <c r="R907" s="89"/>
      <c r="S907" s="89"/>
      <c r="T907" s="89"/>
      <c r="U907" s="89"/>
      <c r="V907" s="89"/>
      <c r="W907" s="89"/>
      <c r="X907" s="89"/>
      <c r="Y907" s="89"/>
      <c r="Z907" s="89"/>
      <c r="AA907" s="89"/>
      <c r="AB907" s="89"/>
      <c r="AC907" s="89"/>
      <c r="AD907" s="89"/>
    </row>
    <row r="908" spans="1:30" ht="13.8">
      <c r="A908" s="89"/>
      <c r="B908" s="89"/>
      <c r="C908" s="89"/>
      <c r="D908" s="89"/>
      <c r="E908" s="89"/>
      <c r="F908" s="110"/>
      <c r="G908" s="89"/>
      <c r="H908" s="110"/>
      <c r="I908" s="89"/>
      <c r="J908" s="110"/>
      <c r="K908" s="89"/>
      <c r="L908" s="89"/>
      <c r="M908" s="110"/>
      <c r="N908" s="89"/>
      <c r="O908" s="110"/>
      <c r="P908" s="89"/>
      <c r="Q908" s="110"/>
      <c r="R908" s="89"/>
      <c r="S908" s="89"/>
      <c r="T908" s="89"/>
      <c r="U908" s="89"/>
      <c r="V908" s="89"/>
      <c r="W908" s="89"/>
      <c r="X908" s="89"/>
      <c r="Y908" s="89"/>
      <c r="Z908" s="89"/>
      <c r="AA908" s="89"/>
      <c r="AB908" s="89"/>
      <c r="AC908" s="89"/>
      <c r="AD908" s="89"/>
    </row>
    <row r="909" spans="1:30" ht="13.8">
      <c r="A909" s="89"/>
      <c r="B909" s="89"/>
      <c r="C909" s="89"/>
      <c r="D909" s="89"/>
      <c r="E909" s="89"/>
      <c r="F909" s="110"/>
      <c r="G909" s="89"/>
      <c r="H909" s="110"/>
      <c r="I909" s="89"/>
      <c r="J909" s="110"/>
      <c r="K909" s="89"/>
      <c r="L909" s="89"/>
      <c r="M909" s="110"/>
      <c r="N909" s="89"/>
      <c r="O909" s="110"/>
      <c r="P909" s="89"/>
      <c r="Q909" s="110"/>
      <c r="R909" s="89"/>
      <c r="S909" s="89"/>
      <c r="T909" s="89"/>
      <c r="U909" s="89"/>
      <c r="V909" s="89"/>
      <c r="W909" s="89"/>
      <c r="X909" s="89"/>
      <c r="Y909" s="89"/>
      <c r="Z909" s="89"/>
      <c r="AA909" s="89"/>
      <c r="AB909" s="89"/>
      <c r="AC909" s="89"/>
      <c r="AD909" s="89"/>
    </row>
    <row r="910" spans="1:30" ht="13.8">
      <c r="A910" s="89"/>
      <c r="B910" s="89"/>
      <c r="C910" s="89"/>
      <c r="D910" s="89"/>
      <c r="E910" s="89"/>
      <c r="F910" s="110"/>
      <c r="G910" s="89"/>
      <c r="H910" s="110"/>
      <c r="I910" s="89"/>
      <c r="J910" s="110"/>
      <c r="K910" s="89"/>
      <c r="L910" s="89"/>
      <c r="M910" s="110"/>
      <c r="N910" s="89"/>
      <c r="O910" s="110"/>
      <c r="P910" s="89"/>
      <c r="Q910" s="110"/>
      <c r="R910" s="89"/>
      <c r="S910" s="89"/>
      <c r="T910" s="89"/>
      <c r="U910" s="89"/>
      <c r="V910" s="89"/>
      <c r="W910" s="89"/>
      <c r="X910" s="89"/>
      <c r="Y910" s="89"/>
      <c r="Z910" s="89"/>
      <c r="AA910" s="89"/>
      <c r="AB910" s="89"/>
      <c r="AC910" s="89"/>
      <c r="AD910" s="89"/>
    </row>
    <row r="911" spans="1:30" ht="13.8">
      <c r="A911" s="89"/>
      <c r="B911" s="89"/>
      <c r="C911" s="89"/>
      <c r="D911" s="89"/>
      <c r="E911" s="89"/>
      <c r="F911" s="110"/>
      <c r="G911" s="89"/>
      <c r="H911" s="110"/>
      <c r="I911" s="89"/>
      <c r="J911" s="110"/>
      <c r="K911" s="89"/>
      <c r="L911" s="89"/>
      <c r="M911" s="110"/>
      <c r="N911" s="89"/>
      <c r="O911" s="110"/>
      <c r="P911" s="89"/>
      <c r="Q911" s="110"/>
      <c r="R911" s="89"/>
      <c r="S911" s="89"/>
      <c r="T911" s="89"/>
      <c r="U911" s="89"/>
      <c r="V911" s="89"/>
      <c r="W911" s="89"/>
      <c r="X911" s="89"/>
      <c r="Y911" s="89"/>
      <c r="Z911" s="89"/>
      <c r="AA911" s="89"/>
      <c r="AB911" s="89"/>
      <c r="AC911" s="89"/>
      <c r="AD911" s="89"/>
    </row>
    <row r="912" spans="1:30" ht="13.8">
      <c r="A912" s="89"/>
      <c r="B912" s="89"/>
      <c r="C912" s="89"/>
      <c r="D912" s="89"/>
      <c r="E912" s="89"/>
      <c r="F912" s="110"/>
      <c r="G912" s="89"/>
      <c r="H912" s="110"/>
      <c r="I912" s="89"/>
      <c r="J912" s="110"/>
      <c r="K912" s="89"/>
      <c r="L912" s="89"/>
      <c r="M912" s="110"/>
      <c r="N912" s="89"/>
      <c r="O912" s="110"/>
      <c r="P912" s="89"/>
      <c r="Q912" s="110"/>
      <c r="R912" s="89"/>
      <c r="S912" s="89"/>
      <c r="T912" s="89"/>
      <c r="U912" s="89"/>
      <c r="V912" s="89"/>
      <c r="W912" s="89"/>
      <c r="X912" s="89"/>
      <c r="Y912" s="89"/>
      <c r="Z912" s="89"/>
      <c r="AA912" s="89"/>
      <c r="AB912" s="89"/>
      <c r="AC912" s="89"/>
      <c r="AD912" s="89"/>
    </row>
    <row r="913" spans="1:30" ht="13.8">
      <c r="A913" s="89"/>
      <c r="B913" s="89"/>
      <c r="C913" s="89"/>
      <c r="D913" s="89"/>
      <c r="E913" s="89"/>
      <c r="F913" s="110"/>
      <c r="G913" s="89"/>
      <c r="H913" s="110"/>
      <c r="I913" s="89"/>
      <c r="J913" s="110"/>
      <c r="K913" s="89"/>
      <c r="L913" s="89"/>
      <c r="M913" s="110"/>
      <c r="N913" s="89"/>
      <c r="O913" s="110"/>
      <c r="P913" s="89"/>
      <c r="Q913" s="110"/>
      <c r="R913" s="89"/>
      <c r="S913" s="89"/>
      <c r="T913" s="89"/>
      <c r="U913" s="89"/>
      <c r="V913" s="89"/>
      <c r="W913" s="89"/>
      <c r="X913" s="89"/>
      <c r="Y913" s="89"/>
      <c r="Z913" s="89"/>
      <c r="AA913" s="89"/>
      <c r="AB913" s="89"/>
      <c r="AC913" s="89"/>
      <c r="AD913" s="89"/>
    </row>
    <row r="914" spans="1:30" ht="13.8">
      <c r="A914" s="89"/>
      <c r="B914" s="89"/>
      <c r="C914" s="89"/>
      <c r="D914" s="89"/>
      <c r="E914" s="89"/>
      <c r="F914" s="110"/>
      <c r="G914" s="89"/>
      <c r="H914" s="110"/>
      <c r="I914" s="89"/>
      <c r="J914" s="110"/>
      <c r="K914" s="89"/>
      <c r="L914" s="89"/>
      <c r="M914" s="110"/>
      <c r="N914" s="89"/>
      <c r="O914" s="110"/>
      <c r="P914" s="89"/>
      <c r="Q914" s="110"/>
      <c r="R914" s="89"/>
      <c r="S914" s="89"/>
      <c r="T914" s="89"/>
      <c r="U914" s="89"/>
      <c r="V914" s="89"/>
      <c r="W914" s="89"/>
      <c r="X914" s="89"/>
      <c r="Y914" s="89"/>
      <c r="Z914" s="89"/>
      <c r="AA914" s="89"/>
      <c r="AB914" s="89"/>
      <c r="AC914" s="89"/>
      <c r="AD914" s="89"/>
    </row>
    <row r="915" spans="1:30" ht="13.8">
      <c r="A915" s="89"/>
      <c r="B915" s="89"/>
      <c r="C915" s="89"/>
      <c r="D915" s="89"/>
      <c r="E915" s="89"/>
      <c r="F915" s="110"/>
      <c r="G915" s="89"/>
      <c r="H915" s="110"/>
      <c r="I915" s="89"/>
      <c r="J915" s="110"/>
      <c r="K915" s="89"/>
      <c r="L915" s="89"/>
      <c r="M915" s="110"/>
      <c r="N915" s="89"/>
      <c r="O915" s="110"/>
      <c r="P915" s="89"/>
      <c r="Q915" s="110"/>
      <c r="R915" s="89"/>
      <c r="S915" s="89"/>
      <c r="T915" s="89"/>
      <c r="U915" s="89"/>
      <c r="V915" s="89"/>
      <c r="W915" s="89"/>
      <c r="X915" s="89"/>
      <c r="Y915" s="89"/>
      <c r="Z915" s="89"/>
      <c r="AA915" s="89"/>
      <c r="AB915" s="89"/>
      <c r="AC915" s="89"/>
      <c r="AD915" s="89"/>
    </row>
    <row r="916" spans="1:30" ht="13.8">
      <c r="A916" s="89"/>
      <c r="B916" s="89"/>
      <c r="C916" s="89"/>
      <c r="D916" s="89"/>
      <c r="E916" s="89"/>
      <c r="F916" s="110"/>
      <c r="G916" s="89"/>
      <c r="H916" s="110"/>
      <c r="I916" s="89"/>
      <c r="J916" s="110"/>
      <c r="K916" s="89"/>
      <c r="L916" s="89"/>
      <c r="M916" s="110"/>
      <c r="N916" s="89"/>
      <c r="O916" s="110"/>
      <c r="P916" s="89"/>
      <c r="Q916" s="110"/>
      <c r="R916" s="89"/>
      <c r="S916" s="89"/>
      <c r="T916" s="89"/>
      <c r="U916" s="89"/>
      <c r="V916" s="89"/>
      <c r="W916" s="89"/>
      <c r="X916" s="89"/>
      <c r="Y916" s="89"/>
      <c r="Z916" s="89"/>
      <c r="AA916" s="89"/>
      <c r="AB916" s="89"/>
      <c r="AC916" s="89"/>
      <c r="AD916" s="89"/>
    </row>
    <row r="917" spans="1:30" ht="13.8">
      <c r="A917" s="89"/>
      <c r="B917" s="89"/>
      <c r="C917" s="89"/>
      <c r="D917" s="89"/>
      <c r="E917" s="89"/>
      <c r="F917" s="110"/>
      <c r="G917" s="89"/>
      <c r="H917" s="110"/>
      <c r="I917" s="89"/>
      <c r="J917" s="110"/>
      <c r="K917" s="89"/>
      <c r="L917" s="89"/>
      <c r="M917" s="110"/>
      <c r="N917" s="89"/>
      <c r="O917" s="110"/>
      <c r="P917" s="89"/>
      <c r="Q917" s="110"/>
      <c r="R917" s="89"/>
      <c r="S917" s="89"/>
      <c r="T917" s="89"/>
      <c r="U917" s="89"/>
      <c r="V917" s="89"/>
      <c r="W917" s="89"/>
      <c r="X917" s="89"/>
      <c r="Y917" s="89"/>
      <c r="Z917" s="89"/>
      <c r="AA917" s="89"/>
      <c r="AB917" s="89"/>
      <c r="AC917" s="89"/>
      <c r="AD917" s="89"/>
    </row>
    <row r="918" spans="1:30" ht="13.8">
      <c r="A918" s="89"/>
      <c r="B918" s="89"/>
      <c r="C918" s="89"/>
      <c r="D918" s="89"/>
      <c r="E918" s="89"/>
      <c r="F918" s="110"/>
      <c r="G918" s="89"/>
      <c r="H918" s="110"/>
      <c r="I918" s="89"/>
      <c r="J918" s="110"/>
      <c r="K918" s="89"/>
      <c r="L918" s="89"/>
      <c r="M918" s="110"/>
      <c r="N918" s="89"/>
      <c r="O918" s="110"/>
      <c r="P918" s="89"/>
      <c r="Q918" s="110"/>
      <c r="R918" s="89"/>
      <c r="S918" s="89"/>
      <c r="T918" s="89"/>
      <c r="U918" s="89"/>
      <c r="V918" s="89"/>
      <c r="W918" s="89"/>
      <c r="X918" s="89"/>
      <c r="Y918" s="89"/>
      <c r="Z918" s="89"/>
      <c r="AA918" s="89"/>
      <c r="AB918" s="89"/>
      <c r="AC918" s="89"/>
      <c r="AD918" s="89"/>
    </row>
    <row r="919" spans="1:30" ht="13.8">
      <c r="A919" s="89"/>
      <c r="B919" s="89"/>
      <c r="C919" s="89"/>
      <c r="D919" s="89"/>
      <c r="E919" s="89"/>
      <c r="F919" s="110"/>
      <c r="G919" s="89"/>
      <c r="H919" s="110"/>
      <c r="I919" s="89"/>
      <c r="J919" s="110"/>
      <c r="K919" s="89"/>
      <c r="L919" s="89"/>
      <c r="M919" s="110"/>
      <c r="N919" s="89"/>
      <c r="O919" s="110"/>
      <c r="P919" s="89"/>
      <c r="Q919" s="110"/>
      <c r="R919" s="89"/>
      <c r="S919" s="89"/>
      <c r="T919" s="89"/>
      <c r="U919" s="89"/>
      <c r="V919" s="89"/>
      <c r="W919" s="89"/>
      <c r="X919" s="89"/>
      <c r="Y919" s="89"/>
      <c r="Z919" s="89"/>
      <c r="AA919" s="89"/>
      <c r="AB919" s="89"/>
      <c r="AC919" s="89"/>
      <c r="AD919" s="89"/>
    </row>
    <row r="920" spans="1:30" ht="13.8">
      <c r="A920" s="89"/>
      <c r="B920" s="89"/>
      <c r="C920" s="89"/>
      <c r="D920" s="89"/>
      <c r="E920" s="89"/>
      <c r="F920" s="110"/>
      <c r="G920" s="89"/>
      <c r="H920" s="110"/>
      <c r="I920" s="89"/>
      <c r="J920" s="110"/>
      <c r="K920" s="89"/>
      <c r="L920" s="89"/>
      <c r="M920" s="110"/>
      <c r="N920" s="89"/>
      <c r="O920" s="110"/>
      <c r="P920" s="89"/>
      <c r="Q920" s="110"/>
      <c r="R920" s="89"/>
      <c r="S920" s="89"/>
      <c r="T920" s="89"/>
      <c r="U920" s="89"/>
      <c r="V920" s="89"/>
      <c r="W920" s="89"/>
      <c r="X920" s="89"/>
      <c r="Y920" s="89"/>
      <c r="Z920" s="89"/>
      <c r="AA920" s="89"/>
      <c r="AB920" s="89"/>
      <c r="AC920" s="89"/>
      <c r="AD920" s="89"/>
    </row>
    <row r="921" spans="1:30" ht="13.8">
      <c r="A921" s="89"/>
      <c r="B921" s="89"/>
      <c r="C921" s="89"/>
      <c r="D921" s="89"/>
      <c r="E921" s="89"/>
      <c r="F921" s="110"/>
      <c r="G921" s="89"/>
      <c r="H921" s="110"/>
      <c r="I921" s="89"/>
      <c r="J921" s="110"/>
      <c r="K921" s="89"/>
      <c r="L921" s="89"/>
      <c r="M921" s="110"/>
      <c r="N921" s="89"/>
      <c r="O921" s="110"/>
      <c r="P921" s="89"/>
      <c r="Q921" s="110"/>
      <c r="R921" s="89"/>
      <c r="S921" s="89"/>
      <c r="T921" s="89"/>
      <c r="U921" s="89"/>
      <c r="V921" s="89"/>
      <c r="W921" s="89"/>
      <c r="X921" s="89"/>
      <c r="Y921" s="89"/>
      <c r="Z921" s="89"/>
      <c r="AA921" s="89"/>
      <c r="AB921" s="89"/>
      <c r="AC921" s="89"/>
      <c r="AD921" s="89"/>
    </row>
    <row r="922" spans="1:30" ht="13.8">
      <c r="A922" s="89"/>
      <c r="B922" s="89"/>
      <c r="C922" s="89"/>
      <c r="D922" s="89"/>
      <c r="E922" s="89"/>
      <c r="F922" s="110"/>
      <c r="G922" s="89"/>
      <c r="H922" s="110"/>
      <c r="I922" s="89"/>
      <c r="J922" s="110"/>
      <c r="K922" s="89"/>
      <c r="L922" s="89"/>
      <c r="M922" s="110"/>
      <c r="N922" s="89"/>
      <c r="O922" s="110"/>
      <c r="P922" s="89"/>
      <c r="Q922" s="110"/>
      <c r="R922" s="89"/>
      <c r="S922" s="89"/>
      <c r="T922" s="89"/>
      <c r="U922" s="89"/>
      <c r="V922" s="89"/>
      <c r="W922" s="89"/>
      <c r="X922" s="89"/>
      <c r="Y922" s="89"/>
      <c r="Z922" s="89"/>
      <c r="AA922" s="89"/>
      <c r="AB922" s="89"/>
      <c r="AC922" s="89"/>
      <c r="AD922" s="89"/>
    </row>
    <row r="923" spans="1:30" ht="13.8">
      <c r="A923" s="89"/>
      <c r="B923" s="89"/>
      <c r="C923" s="89"/>
      <c r="D923" s="89"/>
      <c r="E923" s="89"/>
      <c r="F923" s="110"/>
      <c r="G923" s="89"/>
      <c r="H923" s="110"/>
      <c r="I923" s="89"/>
      <c r="J923" s="110"/>
      <c r="K923" s="89"/>
      <c r="L923" s="89"/>
      <c r="M923" s="110"/>
      <c r="N923" s="89"/>
      <c r="O923" s="110"/>
      <c r="P923" s="89"/>
      <c r="Q923" s="110"/>
      <c r="R923" s="89"/>
      <c r="S923" s="89"/>
      <c r="T923" s="89"/>
      <c r="U923" s="89"/>
      <c r="V923" s="89"/>
      <c r="W923" s="89"/>
      <c r="X923" s="89"/>
      <c r="Y923" s="89"/>
      <c r="Z923" s="89"/>
      <c r="AA923" s="89"/>
      <c r="AB923" s="89"/>
      <c r="AC923" s="89"/>
      <c r="AD923" s="89"/>
    </row>
    <row r="924" spans="1:30" ht="13.8">
      <c r="A924" s="89"/>
      <c r="B924" s="89"/>
      <c r="C924" s="89"/>
      <c r="D924" s="89"/>
      <c r="E924" s="89"/>
      <c r="F924" s="110"/>
      <c r="G924" s="89"/>
      <c r="H924" s="110"/>
      <c r="I924" s="89"/>
      <c r="J924" s="110"/>
      <c r="K924" s="89"/>
      <c r="L924" s="89"/>
      <c r="M924" s="110"/>
      <c r="N924" s="89"/>
      <c r="O924" s="110"/>
      <c r="P924" s="89"/>
      <c r="Q924" s="110"/>
      <c r="R924" s="89"/>
      <c r="S924" s="89"/>
      <c r="T924" s="89"/>
      <c r="U924" s="89"/>
      <c r="V924" s="89"/>
      <c r="W924" s="89"/>
      <c r="X924" s="89"/>
      <c r="Y924" s="89"/>
      <c r="Z924" s="89"/>
      <c r="AA924" s="89"/>
      <c r="AB924" s="89"/>
      <c r="AC924" s="89"/>
      <c r="AD924" s="89"/>
    </row>
    <row r="925" spans="1:30" ht="13.8">
      <c r="A925" s="89"/>
      <c r="B925" s="89"/>
      <c r="C925" s="89"/>
      <c r="D925" s="89"/>
      <c r="E925" s="89"/>
      <c r="F925" s="110"/>
      <c r="G925" s="89"/>
      <c r="H925" s="110"/>
      <c r="I925" s="89"/>
      <c r="J925" s="110"/>
      <c r="K925" s="89"/>
      <c r="L925" s="89"/>
      <c r="M925" s="110"/>
      <c r="N925" s="89"/>
      <c r="O925" s="110"/>
      <c r="P925" s="89"/>
      <c r="Q925" s="110"/>
      <c r="R925" s="89"/>
      <c r="S925" s="89"/>
      <c r="T925" s="89"/>
      <c r="U925" s="89"/>
      <c r="V925" s="89"/>
      <c r="W925" s="89"/>
      <c r="X925" s="89"/>
      <c r="Y925" s="89"/>
      <c r="Z925" s="89"/>
      <c r="AA925" s="89"/>
      <c r="AB925" s="89"/>
      <c r="AC925" s="89"/>
      <c r="AD925" s="89"/>
    </row>
    <row r="926" spans="1:30" ht="13.8">
      <c r="A926" s="89"/>
      <c r="B926" s="89"/>
      <c r="C926" s="89"/>
      <c r="D926" s="89"/>
      <c r="E926" s="89"/>
      <c r="F926" s="110"/>
      <c r="G926" s="89"/>
      <c r="H926" s="110"/>
      <c r="I926" s="89"/>
      <c r="J926" s="110"/>
      <c r="K926" s="89"/>
      <c r="L926" s="89"/>
      <c r="M926" s="110"/>
      <c r="N926" s="89"/>
      <c r="O926" s="110"/>
      <c r="P926" s="89"/>
      <c r="Q926" s="110"/>
      <c r="R926" s="89"/>
      <c r="S926" s="89"/>
      <c r="T926" s="89"/>
      <c r="U926" s="89"/>
      <c r="V926" s="89"/>
      <c r="W926" s="89"/>
      <c r="X926" s="89"/>
      <c r="Y926" s="89"/>
      <c r="Z926" s="89"/>
      <c r="AA926" s="89"/>
      <c r="AB926" s="89"/>
      <c r="AC926" s="89"/>
      <c r="AD926" s="89"/>
    </row>
    <row r="927" spans="1:30" ht="13.8">
      <c r="A927" s="89"/>
      <c r="B927" s="89"/>
      <c r="C927" s="89"/>
      <c r="D927" s="89"/>
      <c r="E927" s="89"/>
      <c r="F927" s="110"/>
      <c r="G927" s="89"/>
      <c r="H927" s="110"/>
      <c r="I927" s="89"/>
      <c r="J927" s="110"/>
      <c r="K927" s="89"/>
      <c r="L927" s="89"/>
      <c r="M927" s="110"/>
      <c r="N927" s="89"/>
      <c r="O927" s="110"/>
      <c r="P927" s="89"/>
      <c r="Q927" s="110"/>
      <c r="R927" s="89"/>
      <c r="S927" s="89"/>
      <c r="T927" s="89"/>
      <c r="U927" s="89"/>
      <c r="V927" s="89"/>
      <c r="W927" s="89"/>
      <c r="X927" s="89"/>
      <c r="Y927" s="89"/>
      <c r="Z927" s="89"/>
      <c r="AA927" s="89"/>
      <c r="AB927" s="89"/>
      <c r="AC927" s="89"/>
      <c r="AD927" s="89"/>
    </row>
    <row r="928" spans="1:30" ht="13.8">
      <c r="A928" s="89"/>
      <c r="B928" s="89"/>
      <c r="C928" s="89"/>
      <c r="D928" s="89"/>
      <c r="E928" s="89"/>
      <c r="F928" s="110"/>
      <c r="G928" s="89"/>
      <c r="H928" s="110"/>
      <c r="I928" s="89"/>
      <c r="J928" s="110"/>
      <c r="K928" s="89"/>
      <c r="L928" s="89"/>
      <c r="M928" s="110"/>
      <c r="N928" s="89"/>
      <c r="O928" s="110"/>
      <c r="P928" s="89"/>
      <c r="Q928" s="110"/>
      <c r="R928" s="89"/>
      <c r="S928" s="89"/>
      <c r="T928" s="89"/>
      <c r="U928" s="89"/>
      <c r="V928" s="89"/>
      <c r="W928" s="89"/>
      <c r="X928" s="89"/>
      <c r="Y928" s="89"/>
      <c r="Z928" s="89"/>
      <c r="AA928" s="89"/>
      <c r="AB928" s="89"/>
      <c r="AC928" s="89"/>
      <c r="AD928" s="89"/>
    </row>
    <row r="929" spans="1:30" ht="13.8">
      <c r="A929" s="89"/>
      <c r="B929" s="89"/>
      <c r="C929" s="89"/>
      <c r="D929" s="89"/>
      <c r="E929" s="89"/>
      <c r="F929" s="110"/>
      <c r="G929" s="89"/>
      <c r="H929" s="110"/>
      <c r="I929" s="89"/>
      <c r="J929" s="110"/>
      <c r="K929" s="89"/>
      <c r="L929" s="89"/>
      <c r="M929" s="110"/>
      <c r="N929" s="89"/>
      <c r="O929" s="110"/>
      <c r="P929" s="89"/>
      <c r="Q929" s="110"/>
      <c r="R929" s="89"/>
      <c r="S929" s="89"/>
      <c r="T929" s="89"/>
      <c r="U929" s="89"/>
      <c r="V929" s="89"/>
      <c r="W929" s="89"/>
      <c r="X929" s="89"/>
      <c r="Y929" s="89"/>
      <c r="Z929" s="89"/>
      <c r="AA929" s="89"/>
      <c r="AB929" s="89"/>
      <c r="AC929" s="89"/>
      <c r="AD929" s="89"/>
    </row>
    <row r="930" spans="1:30" ht="13.8">
      <c r="A930" s="89"/>
      <c r="B930" s="89"/>
      <c r="C930" s="89"/>
      <c r="D930" s="89"/>
      <c r="E930" s="89"/>
      <c r="F930" s="110"/>
      <c r="G930" s="89"/>
      <c r="H930" s="110"/>
      <c r="I930" s="89"/>
      <c r="J930" s="110"/>
      <c r="K930" s="89"/>
      <c r="L930" s="89"/>
      <c r="M930" s="110"/>
      <c r="N930" s="89"/>
      <c r="O930" s="110"/>
      <c r="P930" s="89"/>
      <c r="Q930" s="110"/>
      <c r="R930" s="89"/>
      <c r="S930" s="89"/>
      <c r="T930" s="89"/>
      <c r="U930" s="89"/>
      <c r="V930" s="89"/>
      <c r="W930" s="89"/>
      <c r="X930" s="89"/>
      <c r="Y930" s="89"/>
      <c r="Z930" s="89"/>
      <c r="AA930" s="89"/>
      <c r="AB930" s="89"/>
      <c r="AC930" s="89"/>
      <c r="AD930" s="89"/>
    </row>
    <row r="931" spans="1:30" ht="13.8">
      <c r="A931" s="89"/>
      <c r="B931" s="89"/>
      <c r="C931" s="89"/>
      <c r="D931" s="89"/>
      <c r="E931" s="89"/>
      <c r="F931" s="110"/>
      <c r="G931" s="89"/>
      <c r="H931" s="110"/>
      <c r="I931" s="89"/>
      <c r="J931" s="110"/>
      <c r="K931" s="89"/>
      <c r="L931" s="89"/>
      <c r="M931" s="110"/>
      <c r="N931" s="89"/>
      <c r="O931" s="110"/>
      <c r="P931" s="89"/>
      <c r="Q931" s="110"/>
      <c r="R931" s="89"/>
      <c r="S931" s="89"/>
      <c r="T931" s="89"/>
      <c r="U931" s="89"/>
      <c r="V931" s="89"/>
      <c r="W931" s="89"/>
      <c r="X931" s="89"/>
      <c r="Y931" s="89"/>
      <c r="Z931" s="89"/>
      <c r="AA931" s="89"/>
      <c r="AB931" s="89"/>
      <c r="AC931" s="89"/>
      <c r="AD931" s="89"/>
    </row>
    <row r="932" spans="1:30" ht="13.8">
      <c r="A932" s="89"/>
      <c r="B932" s="89"/>
      <c r="C932" s="89"/>
      <c r="D932" s="89"/>
      <c r="E932" s="89"/>
      <c r="F932" s="110"/>
      <c r="G932" s="89"/>
      <c r="H932" s="110"/>
      <c r="I932" s="89"/>
      <c r="J932" s="110"/>
      <c r="K932" s="89"/>
      <c r="L932" s="89"/>
      <c r="M932" s="110"/>
      <c r="N932" s="89"/>
      <c r="O932" s="110"/>
      <c r="P932" s="89"/>
      <c r="Q932" s="110"/>
      <c r="R932" s="89"/>
      <c r="S932" s="89"/>
      <c r="T932" s="89"/>
      <c r="U932" s="89"/>
      <c r="V932" s="89"/>
      <c r="W932" s="89"/>
      <c r="X932" s="89"/>
      <c r="Y932" s="89"/>
      <c r="Z932" s="89"/>
      <c r="AA932" s="89"/>
      <c r="AB932" s="89"/>
      <c r="AC932" s="89"/>
      <c r="AD932" s="89"/>
    </row>
    <row r="933" spans="1:30" ht="13.8">
      <c r="A933" s="89"/>
      <c r="B933" s="89"/>
      <c r="C933" s="89"/>
      <c r="D933" s="89"/>
      <c r="E933" s="89"/>
      <c r="F933" s="110"/>
      <c r="G933" s="89"/>
      <c r="H933" s="110"/>
      <c r="I933" s="89"/>
      <c r="J933" s="110"/>
      <c r="K933" s="89"/>
      <c r="L933" s="89"/>
      <c r="M933" s="110"/>
      <c r="N933" s="89"/>
      <c r="O933" s="110"/>
      <c r="P933" s="89"/>
      <c r="Q933" s="110"/>
      <c r="R933" s="89"/>
      <c r="S933" s="89"/>
      <c r="T933" s="89"/>
      <c r="U933" s="89"/>
      <c r="V933" s="89"/>
      <c r="W933" s="89"/>
      <c r="X933" s="89"/>
      <c r="Y933" s="89"/>
      <c r="Z933" s="89"/>
      <c r="AA933" s="89"/>
      <c r="AB933" s="89"/>
      <c r="AC933" s="89"/>
      <c r="AD933" s="89"/>
    </row>
    <row r="934" spans="1:30" ht="13.8">
      <c r="A934" s="89"/>
      <c r="B934" s="89"/>
      <c r="C934" s="89"/>
      <c r="D934" s="89"/>
      <c r="E934" s="89"/>
      <c r="F934" s="110"/>
      <c r="G934" s="89"/>
      <c r="H934" s="110"/>
      <c r="I934" s="89"/>
      <c r="J934" s="110"/>
      <c r="K934" s="89"/>
      <c r="L934" s="89"/>
      <c r="M934" s="110"/>
      <c r="N934" s="89"/>
      <c r="O934" s="110"/>
      <c r="P934" s="89"/>
      <c r="Q934" s="110"/>
      <c r="R934" s="89"/>
      <c r="S934" s="89"/>
      <c r="T934" s="89"/>
      <c r="U934" s="89"/>
      <c r="V934" s="89"/>
      <c r="W934" s="89"/>
      <c r="X934" s="89"/>
      <c r="Y934" s="89"/>
      <c r="Z934" s="89"/>
      <c r="AA934" s="89"/>
      <c r="AB934" s="89"/>
      <c r="AC934" s="89"/>
      <c r="AD934" s="89"/>
    </row>
    <row r="935" spans="1:30" ht="13.8">
      <c r="A935" s="89"/>
      <c r="B935" s="89"/>
      <c r="C935" s="89"/>
      <c r="D935" s="89"/>
      <c r="E935" s="89"/>
      <c r="F935" s="110"/>
      <c r="G935" s="89"/>
      <c r="H935" s="110"/>
      <c r="I935" s="89"/>
      <c r="J935" s="110"/>
      <c r="K935" s="89"/>
      <c r="L935" s="89"/>
      <c r="M935" s="110"/>
      <c r="N935" s="89"/>
      <c r="O935" s="110"/>
      <c r="P935" s="89"/>
      <c r="Q935" s="110"/>
      <c r="R935" s="89"/>
      <c r="S935" s="89"/>
      <c r="T935" s="89"/>
      <c r="U935" s="89"/>
      <c r="V935" s="89"/>
      <c r="W935" s="89"/>
      <c r="X935" s="89"/>
      <c r="Y935" s="89"/>
      <c r="Z935" s="89"/>
      <c r="AA935" s="89"/>
      <c r="AB935" s="89"/>
      <c r="AC935" s="89"/>
      <c r="AD935" s="89"/>
    </row>
    <row r="936" spans="1:30" ht="13.8">
      <c r="A936" s="89"/>
      <c r="B936" s="89"/>
      <c r="C936" s="89"/>
      <c r="D936" s="89"/>
      <c r="E936" s="89"/>
      <c r="F936" s="110"/>
      <c r="G936" s="89"/>
      <c r="H936" s="110"/>
      <c r="I936" s="89"/>
      <c r="J936" s="110"/>
      <c r="K936" s="89"/>
      <c r="L936" s="89"/>
      <c r="M936" s="110"/>
      <c r="N936" s="89"/>
      <c r="O936" s="110"/>
      <c r="P936" s="89"/>
      <c r="Q936" s="110"/>
      <c r="R936" s="89"/>
      <c r="S936" s="89"/>
      <c r="T936" s="89"/>
      <c r="U936" s="89"/>
      <c r="V936" s="89"/>
      <c r="W936" s="89"/>
      <c r="X936" s="89"/>
      <c r="Y936" s="89"/>
      <c r="Z936" s="89"/>
      <c r="AA936" s="89"/>
      <c r="AB936" s="89"/>
      <c r="AC936" s="89"/>
      <c r="AD936" s="89"/>
    </row>
    <row r="937" spans="1:30" ht="13.8">
      <c r="A937" s="89"/>
      <c r="B937" s="89"/>
      <c r="C937" s="89"/>
      <c r="D937" s="89"/>
      <c r="E937" s="89"/>
      <c r="F937" s="110"/>
      <c r="G937" s="89"/>
      <c r="H937" s="110"/>
      <c r="I937" s="89"/>
      <c r="J937" s="110"/>
      <c r="K937" s="89"/>
      <c r="L937" s="89"/>
      <c r="M937" s="110"/>
      <c r="N937" s="89"/>
      <c r="O937" s="110"/>
      <c r="P937" s="89"/>
      <c r="Q937" s="110"/>
      <c r="R937" s="89"/>
      <c r="S937" s="89"/>
      <c r="T937" s="89"/>
      <c r="U937" s="89"/>
      <c r="V937" s="89"/>
      <c r="W937" s="89"/>
      <c r="X937" s="89"/>
      <c r="Y937" s="89"/>
      <c r="Z937" s="89"/>
      <c r="AA937" s="89"/>
      <c r="AB937" s="89"/>
      <c r="AC937" s="89"/>
      <c r="AD937" s="89"/>
    </row>
    <row r="938" spans="1:30" ht="13.8">
      <c r="A938" s="89"/>
      <c r="B938" s="89"/>
      <c r="C938" s="89"/>
      <c r="D938" s="89"/>
      <c r="E938" s="89"/>
      <c r="F938" s="110"/>
      <c r="G938" s="89"/>
      <c r="H938" s="110"/>
      <c r="I938" s="89"/>
      <c r="J938" s="110"/>
      <c r="K938" s="89"/>
      <c r="L938" s="89"/>
      <c r="M938" s="110"/>
      <c r="N938" s="89"/>
      <c r="O938" s="110"/>
      <c r="P938" s="89"/>
      <c r="Q938" s="110"/>
      <c r="R938" s="89"/>
      <c r="S938" s="89"/>
      <c r="T938" s="89"/>
      <c r="U938" s="89"/>
      <c r="V938" s="89"/>
      <c r="W938" s="89"/>
      <c r="X938" s="89"/>
      <c r="Y938" s="89"/>
      <c r="Z938" s="89"/>
      <c r="AA938" s="89"/>
      <c r="AB938" s="89"/>
      <c r="AC938" s="89"/>
      <c r="AD938" s="89"/>
    </row>
    <row r="939" spans="1:30" ht="13.8">
      <c r="A939" s="89"/>
      <c r="B939" s="89"/>
      <c r="C939" s="89"/>
      <c r="D939" s="89"/>
      <c r="E939" s="89"/>
      <c r="F939" s="110"/>
      <c r="G939" s="89"/>
      <c r="H939" s="110"/>
      <c r="I939" s="89"/>
      <c r="J939" s="110"/>
      <c r="K939" s="89"/>
      <c r="L939" s="89"/>
      <c r="M939" s="110"/>
      <c r="N939" s="89"/>
      <c r="O939" s="110"/>
      <c r="P939" s="89"/>
      <c r="Q939" s="110"/>
      <c r="R939" s="89"/>
      <c r="S939" s="89"/>
      <c r="T939" s="89"/>
      <c r="U939" s="89"/>
      <c r="V939" s="89"/>
      <c r="W939" s="89"/>
      <c r="X939" s="89"/>
      <c r="Y939" s="89"/>
      <c r="Z939" s="89"/>
      <c r="AA939" s="89"/>
      <c r="AB939" s="89"/>
      <c r="AC939" s="89"/>
      <c r="AD939" s="89"/>
    </row>
    <row r="940" spans="1:30" ht="13.8">
      <c r="A940" s="89"/>
      <c r="B940" s="89"/>
      <c r="C940" s="89"/>
      <c r="D940" s="89"/>
      <c r="E940" s="89"/>
      <c r="F940" s="110"/>
      <c r="G940" s="89"/>
      <c r="H940" s="110"/>
      <c r="I940" s="89"/>
      <c r="J940" s="110"/>
      <c r="K940" s="89"/>
      <c r="L940" s="89"/>
      <c r="M940" s="110"/>
      <c r="N940" s="89"/>
      <c r="O940" s="110"/>
      <c r="P940" s="89"/>
      <c r="Q940" s="110"/>
      <c r="R940" s="89"/>
      <c r="S940" s="89"/>
      <c r="T940" s="89"/>
      <c r="U940" s="89"/>
      <c r="V940" s="89"/>
      <c r="W940" s="89"/>
      <c r="X940" s="89"/>
      <c r="Y940" s="89"/>
      <c r="Z940" s="89"/>
      <c r="AA940" s="89"/>
      <c r="AB940" s="89"/>
      <c r="AC940" s="89"/>
      <c r="AD940" s="89"/>
    </row>
    <row r="941" spans="1:30" ht="13.8">
      <c r="A941" s="89"/>
      <c r="B941" s="89"/>
      <c r="C941" s="89"/>
      <c r="D941" s="89"/>
      <c r="E941" s="89"/>
      <c r="F941" s="110"/>
      <c r="G941" s="89"/>
      <c r="H941" s="110"/>
      <c r="I941" s="89"/>
      <c r="J941" s="110"/>
      <c r="K941" s="89"/>
      <c r="L941" s="89"/>
      <c r="M941" s="110"/>
      <c r="N941" s="89"/>
      <c r="O941" s="110"/>
      <c r="P941" s="89"/>
      <c r="Q941" s="110"/>
      <c r="R941" s="89"/>
      <c r="S941" s="89"/>
      <c r="T941" s="89"/>
      <c r="U941" s="89"/>
      <c r="V941" s="89"/>
      <c r="W941" s="89"/>
      <c r="X941" s="89"/>
      <c r="Y941" s="89"/>
      <c r="Z941" s="89"/>
      <c r="AA941" s="89"/>
      <c r="AB941" s="89"/>
      <c r="AC941" s="89"/>
      <c r="AD941" s="89"/>
    </row>
    <row r="942" spans="1:30" ht="13.8">
      <c r="A942" s="89"/>
      <c r="B942" s="89"/>
      <c r="C942" s="89"/>
      <c r="D942" s="89"/>
      <c r="E942" s="89"/>
      <c r="F942" s="110"/>
      <c r="G942" s="89"/>
      <c r="H942" s="110"/>
      <c r="I942" s="89"/>
      <c r="J942" s="110"/>
      <c r="K942" s="89"/>
      <c r="L942" s="89"/>
      <c r="M942" s="110"/>
      <c r="N942" s="89"/>
      <c r="O942" s="110"/>
      <c r="P942" s="89"/>
      <c r="Q942" s="110"/>
      <c r="R942" s="89"/>
      <c r="S942" s="89"/>
      <c r="T942" s="89"/>
      <c r="U942" s="89"/>
      <c r="V942" s="89"/>
      <c r="W942" s="89"/>
      <c r="X942" s="89"/>
      <c r="Y942" s="89"/>
      <c r="Z942" s="89"/>
      <c r="AA942" s="89"/>
      <c r="AB942" s="89"/>
      <c r="AC942" s="89"/>
      <c r="AD942" s="89"/>
    </row>
    <row r="943" spans="1:30" ht="13.8">
      <c r="A943" s="89"/>
      <c r="B943" s="89"/>
      <c r="C943" s="89"/>
      <c r="D943" s="89"/>
      <c r="E943" s="89"/>
      <c r="F943" s="110"/>
      <c r="G943" s="89"/>
      <c r="H943" s="110"/>
      <c r="I943" s="89"/>
      <c r="J943" s="110"/>
      <c r="K943" s="89"/>
      <c r="L943" s="89"/>
      <c r="M943" s="110"/>
      <c r="N943" s="89"/>
      <c r="O943" s="110"/>
      <c r="P943" s="89"/>
      <c r="Q943" s="110"/>
      <c r="R943" s="89"/>
      <c r="S943" s="89"/>
      <c r="T943" s="89"/>
      <c r="U943" s="89"/>
      <c r="V943" s="89"/>
      <c r="W943" s="89"/>
      <c r="X943" s="89"/>
      <c r="Y943" s="89"/>
      <c r="Z943" s="89"/>
      <c r="AA943" s="89"/>
      <c r="AB943" s="89"/>
      <c r="AC943" s="89"/>
      <c r="AD943" s="89"/>
    </row>
    <row r="944" spans="1:30" ht="13.8">
      <c r="A944" s="89"/>
      <c r="B944" s="89"/>
      <c r="C944" s="89"/>
      <c r="D944" s="89"/>
      <c r="E944" s="89"/>
      <c r="F944" s="110"/>
      <c r="G944" s="89"/>
      <c r="H944" s="110"/>
      <c r="I944" s="89"/>
      <c r="J944" s="110"/>
      <c r="K944" s="89"/>
      <c r="L944" s="89"/>
      <c r="M944" s="110"/>
      <c r="N944" s="89"/>
      <c r="O944" s="110"/>
      <c r="P944" s="89"/>
      <c r="Q944" s="110"/>
      <c r="R944" s="89"/>
      <c r="S944" s="89"/>
      <c r="T944" s="89"/>
      <c r="U944" s="89"/>
      <c r="V944" s="89"/>
      <c r="W944" s="89"/>
      <c r="X944" s="89"/>
      <c r="Y944" s="89"/>
      <c r="Z944" s="89"/>
      <c r="AA944" s="89"/>
      <c r="AB944" s="89"/>
      <c r="AC944" s="89"/>
      <c r="AD944" s="89"/>
    </row>
    <row r="945" spans="1:30" ht="13.8">
      <c r="A945" s="89"/>
      <c r="B945" s="89"/>
      <c r="C945" s="89"/>
      <c r="D945" s="89"/>
      <c r="E945" s="89"/>
      <c r="F945" s="110"/>
      <c r="G945" s="89"/>
      <c r="H945" s="110"/>
      <c r="I945" s="89"/>
      <c r="J945" s="110"/>
      <c r="K945" s="89"/>
      <c r="L945" s="89"/>
      <c r="M945" s="110"/>
      <c r="N945" s="89"/>
      <c r="O945" s="110"/>
      <c r="P945" s="89"/>
      <c r="Q945" s="110"/>
      <c r="R945" s="89"/>
      <c r="S945" s="89"/>
      <c r="T945" s="89"/>
      <c r="U945" s="89"/>
      <c r="V945" s="89"/>
      <c r="W945" s="89"/>
      <c r="X945" s="89"/>
      <c r="Y945" s="89"/>
      <c r="Z945" s="89"/>
      <c r="AA945" s="89"/>
      <c r="AB945" s="89"/>
      <c r="AC945" s="89"/>
      <c r="AD945" s="89"/>
    </row>
    <row r="946" spans="1:30" ht="13.8">
      <c r="A946" s="89"/>
      <c r="B946" s="89"/>
      <c r="C946" s="89"/>
      <c r="D946" s="89"/>
      <c r="E946" s="89"/>
      <c r="F946" s="110"/>
      <c r="G946" s="89"/>
      <c r="H946" s="110"/>
      <c r="I946" s="89"/>
      <c r="J946" s="110"/>
      <c r="K946" s="89"/>
      <c r="L946" s="89"/>
      <c r="M946" s="110"/>
      <c r="N946" s="89"/>
      <c r="O946" s="110"/>
      <c r="P946" s="89"/>
      <c r="Q946" s="110"/>
      <c r="R946" s="89"/>
      <c r="S946" s="89"/>
      <c r="T946" s="89"/>
      <c r="U946" s="89"/>
      <c r="V946" s="89"/>
      <c r="W946" s="89"/>
      <c r="X946" s="89"/>
      <c r="Y946" s="89"/>
      <c r="Z946" s="89"/>
      <c r="AA946" s="89"/>
      <c r="AB946" s="89"/>
      <c r="AC946" s="89"/>
      <c r="AD946" s="89"/>
    </row>
    <row r="947" spans="1:30" ht="13.8">
      <c r="A947" s="89"/>
      <c r="B947" s="89"/>
      <c r="C947" s="89"/>
      <c r="D947" s="89"/>
      <c r="E947" s="89"/>
      <c r="F947" s="110"/>
      <c r="G947" s="89"/>
      <c r="H947" s="110"/>
      <c r="I947" s="89"/>
      <c r="J947" s="110"/>
      <c r="K947" s="89"/>
      <c r="L947" s="89"/>
      <c r="M947" s="110"/>
      <c r="N947" s="89"/>
      <c r="O947" s="110"/>
      <c r="P947" s="89"/>
      <c r="Q947" s="110"/>
      <c r="R947" s="89"/>
      <c r="S947" s="89"/>
      <c r="T947" s="89"/>
      <c r="U947" s="89"/>
      <c r="V947" s="89"/>
      <c r="W947" s="89"/>
      <c r="X947" s="89"/>
      <c r="Y947" s="89"/>
      <c r="Z947" s="89"/>
      <c r="AA947" s="89"/>
      <c r="AB947" s="89"/>
      <c r="AC947" s="89"/>
      <c r="AD947" s="89"/>
    </row>
    <row r="948" spans="1:30" ht="13.8">
      <c r="A948" s="89"/>
      <c r="B948" s="89"/>
      <c r="C948" s="89"/>
      <c r="D948" s="89"/>
      <c r="E948" s="89"/>
      <c r="F948" s="110"/>
      <c r="G948" s="89"/>
      <c r="H948" s="110"/>
      <c r="I948" s="89"/>
      <c r="J948" s="110"/>
      <c r="K948" s="89"/>
      <c r="L948" s="89"/>
      <c r="M948" s="110"/>
      <c r="N948" s="89"/>
      <c r="O948" s="110"/>
      <c r="P948" s="89"/>
      <c r="Q948" s="110"/>
      <c r="R948" s="89"/>
      <c r="S948" s="89"/>
      <c r="T948" s="89"/>
      <c r="U948" s="89"/>
      <c r="V948" s="89"/>
      <c r="W948" s="89"/>
      <c r="X948" s="89"/>
      <c r="Y948" s="89"/>
      <c r="Z948" s="89"/>
      <c r="AA948" s="89"/>
      <c r="AB948" s="89"/>
      <c r="AC948" s="89"/>
      <c r="AD948" s="89"/>
    </row>
    <row r="949" spans="1:30" ht="13.8">
      <c r="A949" s="89"/>
      <c r="B949" s="89"/>
      <c r="C949" s="89"/>
      <c r="D949" s="89"/>
      <c r="E949" s="89"/>
      <c r="F949" s="110"/>
      <c r="G949" s="89"/>
      <c r="H949" s="110"/>
      <c r="I949" s="89"/>
      <c r="J949" s="110"/>
      <c r="K949" s="89"/>
      <c r="L949" s="89"/>
      <c r="M949" s="110"/>
      <c r="N949" s="89"/>
      <c r="O949" s="110"/>
      <c r="P949" s="89"/>
      <c r="Q949" s="110"/>
      <c r="R949" s="89"/>
      <c r="S949" s="89"/>
      <c r="T949" s="89"/>
      <c r="U949" s="89"/>
      <c r="V949" s="89"/>
      <c r="W949" s="89"/>
      <c r="X949" s="89"/>
      <c r="Y949" s="89"/>
      <c r="Z949" s="89"/>
      <c r="AA949" s="89"/>
      <c r="AB949" s="89"/>
      <c r="AC949" s="89"/>
      <c r="AD949" s="89"/>
    </row>
    <row r="950" spans="1:30" ht="13.8">
      <c r="A950" s="89"/>
      <c r="B950" s="89"/>
      <c r="C950" s="89"/>
      <c r="D950" s="89"/>
      <c r="E950" s="89"/>
      <c r="F950" s="110"/>
      <c r="G950" s="89"/>
      <c r="H950" s="110"/>
      <c r="I950" s="89"/>
      <c r="J950" s="110"/>
      <c r="K950" s="89"/>
      <c r="L950" s="89"/>
      <c r="M950" s="110"/>
      <c r="N950" s="89"/>
      <c r="O950" s="110"/>
      <c r="P950" s="89"/>
      <c r="Q950" s="110"/>
      <c r="R950" s="89"/>
      <c r="S950" s="89"/>
      <c r="T950" s="89"/>
      <c r="U950" s="89"/>
      <c r="V950" s="89"/>
      <c r="W950" s="89"/>
      <c r="X950" s="89"/>
      <c r="Y950" s="89"/>
      <c r="Z950" s="89"/>
      <c r="AA950" s="89"/>
      <c r="AB950" s="89"/>
      <c r="AC950" s="89"/>
      <c r="AD950" s="89"/>
    </row>
    <row r="951" spans="1:30" ht="13.8">
      <c r="A951" s="89"/>
      <c r="B951" s="89"/>
      <c r="C951" s="89"/>
      <c r="D951" s="89"/>
      <c r="E951" s="89"/>
      <c r="F951" s="110"/>
      <c r="G951" s="89"/>
      <c r="H951" s="110"/>
      <c r="I951" s="89"/>
      <c r="J951" s="110"/>
      <c r="K951" s="89"/>
      <c r="L951" s="89"/>
      <c r="M951" s="110"/>
      <c r="N951" s="89"/>
      <c r="O951" s="110"/>
      <c r="P951" s="89"/>
      <c r="Q951" s="110"/>
      <c r="R951" s="89"/>
      <c r="S951" s="89"/>
      <c r="T951" s="89"/>
      <c r="U951" s="89"/>
      <c r="V951" s="89"/>
      <c r="W951" s="89"/>
      <c r="X951" s="89"/>
      <c r="Y951" s="89"/>
      <c r="Z951" s="89"/>
      <c r="AA951" s="89"/>
      <c r="AB951" s="89"/>
      <c r="AC951" s="89"/>
      <c r="AD951" s="89"/>
    </row>
    <row r="952" spans="1:30" ht="13.8">
      <c r="A952" s="89"/>
      <c r="B952" s="89"/>
      <c r="C952" s="89"/>
      <c r="D952" s="89"/>
      <c r="E952" s="89"/>
      <c r="F952" s="110"/>
      <c r="G952" s="89"/>
      <c r="H952" s="110"/>
      <c r="I952" s="89"/>
      <c r="J952" s="110"/>
      <c r="K952" s="89"/>
      <c r="L952" s="89"/>
      <c r="M952" s="110"/>
      <c r="N952" s="89"/>
      <c r="O952" s="110"/>
      <c r="P952" s="89"/>
      <c r="Q952" s="110"/>
      <c r="R952" s="89"/>
      <c r="S952" s="89"/>
      <c r="T952" s="89"/>
      <c r="U952" s="89"/>
      <c r="V952" s="89"/>
      <c r="W952" s="89"/>
      <c r="X952" s="89"/>
      <c r="Y952" s="89"/>
      <c r="Z952" s="89"/>
      <c r="AA952" s="89"/>
      <c r="AB952" s="89"/>
      <c r="AC952" s="89"/>
      <c r="AD952" s="89"/>
    </row>
    <row r="953" spans="1:30" ht="13.8">
      <c r="A953" s="89"/>
      <c r="B953" s="89"/>
      <c r="C953" s="89"/>
      <c r="D953" s="89"/>
      <c r="E953" s="89"/>
      <c r="F953" s="110"/>
      <c r="G953" s="89"/>
      <c r="H953" s="110"/>
      <c r="I953" s="89"/>
      <c r="J953" s="110"/>
      <c r="K953" s="89"/>
      <c r="L953" s="89"/>
      <c r="M953" s="110"/>
      <c r="N953" s="89"/>
      <c r="O953" s="110"/>
      <c r="P953" s="89"/>
      <c r="Q953" s="110"/>
      <c r="R953" s="89"/>
      <c r="S953" s="89"/>
      <c r="T953" s="89"/>
      <c r="U953" s="89"/>
      <c r="V953" s="89"/>
      <c r="W953" s="89"/>
      <c r="X953" s="89"/>
      <c r="Y953" s="89"/>
      <c r="Z953" s="89"/>
      <c r="AA953" s="89"/>
      <c r="AB953" s="89"/>
      <c r="AC953" s="89"/>
      <c r="AD953" s="89"/>
    </row>
    <row r="954" spans="1:30" ht="13.8">
      <c r="A954" s="89"/>
      <c r="B954" s="89"/>
      <c r="C954" s="89"/>
      <c r="D954" s="89"/>
      <c r="E954" s="89"/>
      <c r="F954" s="110"/>
      <c r="G954" s="89"/>
      <c r="H954" s="110"/>
      <c r="I954" s="89"/>
      <c r="J954" s="110"/>
      <c r="K954" s="89"/>
      <c r="L954" s="89"/>
      <c r="M954" s="110"/>
      <c r="N954" s="89"/>
      <c r="O954" s="110"/>
      <c r="P954" s="89"/>
      <c r="Q954" s="110"/>
      <c r="R954" s="89"/>
      <c r="S954" s="89"/>
      <c r="T954" s="89"/>
      <c r="U954" s="89"/>
      <c r="V954" s="89"/>
      <c r="W954" s="89"/>
      <c r="X954" s="89"/>
      <c r="Y954" s="89"/>
      <c r="Z954" s="89"/>
      <c r="AA954" s="89"/>
      <c r="AB954" s="89"/>
      <c r="AC954" s="89"/>
      <c r="AD954" s="89"/>
    </row>
    <row r="955" spans="1:30" ht="13.8">
      <c r="A955" s="89"/>
      <c r="B955" s="89"/>
      <c r="C955" s="89"/>
      <c r="D955" s="89"/>
      <c r="E955" s="89"/>
      <c r="F955" s="110"/>
      <c r="G955" s="89"/>
      <c r="H955" s="110"/>
      <c r="I955" s="89"/>
      <c r="J955" s="110"/>
      <c r="K955" s="89"/>
      <c r="L955" s="89"/>
      <c r="M955" s="110"/>
      <c r="N955" s="89"/>
      <c r="O955" s="110"/>
      <c r="P955" s="89"/>
      <c r="Q955" s="110"/>
      <c r="R955" s="89"/>
      <c r="S955" s="89"/>
      <c r="T955" s="89"/>
      <c r="U955" s="89"/>
      <c r="V955" s="89"/>
      <c r="W955" s="89"/>
      <c r="X955" s="89"/>
      <c r="Y955" s="89"/>
      <c r="Z955" s="89"/>
      <c r="AA955" s="89"/>
      <c r="AB955" s="89"/>
      <c r="AC955" s="89"/>
      <c r="AD955" s="89"/>
    </row>
    <row r="956" spans="1:30" ht="13.8">
      <c r="A956" s="89"/>
      <c r="B956" s="89"/>
      <c r="C956" s="89"/>
      <c r="D956" s="89"/>
      <c r="E956" s="89"/>
      <c r="F956" s="110"/>
      <c r="G956" s="89"/>
      <c r="H956" s="110"/>
      <c r="I956" s="89"/>
      <c r="J956" s="110"/>
      <c r="K956" s="89"/>
      <c r="L956" s="89"/>
      <c r="M956" s="110"/>
      <c r="N956" s="89"/>
      <c r="O956" s="110"/>
      <c r="P956" s="89"/>
      <c r="Q956" s="110"/>
      <c r="R956" s="89"/>
      <c r="S956" s="89"/>
      <c r="T956" s="89"/>
      <c r="U956" s="89"/>
      <c r="V956" s="89"/>
      <c r="W956" s="89"/>
      <c r="X956" s="89"/>
      <c r="Y956" s="89"/>
      <c r="Z956" s="89"/>
      <c r="AA956" s="89"/>
      <c r="AB956" s="89"/>
      <c r="AC956" s="89"/>
      <c r="AD956" s="89"/>
    </row>
    <row r="957" spans="1:30" ht="13.8">
      <c r="A957" s="89"/>
      <c r="B957" s="89"/>
      <c r="C957" s="89"/>
      <c r="D957" s="89"/>
      <c r="E957" s="89"/>
      <c r="F957" s="110"/>
      <c r="G957" s="89"/>
      <c r="H957" s="110"/>
      <c r="I957" s="89"/>
      <c r="J957" s="110"/>
      <c r="K957" s="89"/>
      <c r="L957" s="89"/>
      <c r="M957" s="110"/>
      <c r="N957" s="89"/>
      <c r="O957" s="110"/>
      <c r="P957" s="89"/>
      <c r="Q957" s="110"/>
      <c r="R957" s="89"/>
      <c r="S957" s="89"/>
      <c r="T957" s="89"/>
      <c r="U957" s="89"/>
      <c r="V957" s="89"/>
      <c r="W957" s="89"/>
      <c r="X957" s="89"/>
      <c r="Y957" s="89"/>
      <c r="Z957" s="89"/>
      <c r="AA957" s="89"/>
      <c r="AB957" s="89"/>
      <c r="AC957" s="89"/>
      <c r="AD957" s="89"/>
    </row>
    <row r="958" spans="1:30" ht="13.8">
      <c r="A958" s="89"/>
      <c r="B958" s="89"/>
      <c r="C958" s="89"/>
      <c r="D958" s="89"/>
      <c r="E958" s="89"/>
      <c r="F958" s="110"/>
      <c r="G958" s="89"/>
      <c r="H958" s="110"/>
      <c r="I958" s="89"/>
      <c r="J958" s="110"/>
      <c r="K958" s="89"/>
      <c r="L958" s="89"/>
      <c r="M958" s="110"/>
      <c r="N958" s="89"/>
      <c r="O958" s="110"/>
      <c r="P958" s="89"/>
      <c r="Q958" s="110"/>
      <c r="R958" s="89"/>
      <c r="S958" s="89"/>
      <c r="T958" s="89"/>
      <c r="U958" s="89"/>
      <c r="V958" s="89"/>
      <c r="W958" s="89"/>
      <c r="X958" s="89"/>
      <c r="Y958" s="89"/>
      <c r="Z958" s="89"/>
      <c r="AA958" s="89"/>
      <c r="AB958" s="89"/>
      <c r="AC958" s="89"/>
      <c r="AD958" s="89"/>
    </row>
    <row r="959" spans="1:30" ht="13.8">
      <c r="A959" s="89"/>
      <c r="B959" s="89"/>
      <c r="C959" s="89"/>
      <c r="D959" s="89"/>
      <c r="E959" s="89"/>
      <c r="F959" s="110"/>
      <c r="G959" s="89"/>
      <c r="H959" s="110"/>
      <c r="I959" s="89"/>
      <c r="J959" s="110"/>
      <c r="K959" s="89"/>
      <c r="L959" s="89"/>
      <c r="M959" s="110"/>
      <c r="N959" s="89"/>
      <c r="O959" s="110"/>
      <c r="P959" s="89"/>
      <c r="Q959" s="110"/>
      <c r="R959" s="89"/>
      <c r="S959" s="89"/>
      <c r="T959" s="89"/>
      <c r="U959" s="89"/>
      <c r="V959" s="89"/>
      <c r="W959" s="89"/>
      <c r="X959" s="89"/>
      <c r="Y959" s="89"/>
      <c r="Z959" s="89"/>
      <c r="AA959" s="89"/>
      <c r="AB959" s="89"/>
      <c r="AC959" s="89"/>
      <c r="AD959" s="89"/>
    </row>
    <row r="960" spans="1:30" ht="13.8">
      <c r="A960" s="89"/>
      <c r="B960" s="89"/>
      <c r="C960" s="89"/>
      <c r="D960" s="89"/>
      <c r="E960" s="89"/>
      <c r="F960" s="110"/>
      <c r="G960" s="89"/>
      <c r="H960" s="110"/>
      <c r="I960" s="89"/>
      <c r="J960" s="110"/>
      <c r="K960" s="89"/>
      <c r="L960" s="89"/>
      <c r="M960" s="110"/>
      <c r="N960" s="89"/>
      <c r="O960" s="110"/>
      <c r="P960" s="89"/>
      <c r="Q960" s="110"/>
      <c r="R960" s="89"/>
      <c r="S960" s="89"/>
      <c r="T960" s="89"/>
      <c r="U960" s="89"/>
      <c r="V960" s="89"/>
      <c r="W960" s="89"/>
      <c r="X960" s="89"/>
      <c r="Y960" s="89"/>
      <c r="Z960" s="89"/>
      <c r="AA960" s="89"/>
      <c r="AB960" s="89"/>
      <c r="AC960" s="89"/>
      <c r="AD960" s="89"/>
    </row>
    <row r="961" spans="1:30" ht="13.8">
      <c r="A961" s="89"/>
      <c r="B961" s="89"/>
      <c r="C961" s="89"/>
      <c r="D961" s="89"/>
      <c r="E961" s="89"/>
      <c r="F961" s="110"/>
      <c r="G961" s="89"/>
      <c r="H961" s="110"/>
      <c r="I961" s="89"/>
      <c r="J961" s="110"/>
      <c r="K961" s="89"/>
      <c r="L961" s="89"/>
      <c r="M961" s="110"/>
      <c r="N961" s="89"/>
      <c r="O961" s="110"/>
      <c r="P961" s="89"/>
      <c r="Q961" s="110"/>
      <c r="R961" s="89"/>
      <c r="S961" s="89"/>
      <c r="T961" s="89"/>
      <c r="U961" s="89"/>
      <c r="V961" s="89"/>
      <c r="W961" s="89"/>
      <c r="X961" s="89"/>
      <c r="Y961" s="89"/>
      <c r="Z961" s="89"/>
      <c r="AA961" s="89"/>
      <c r="AB961" s="89"/>
      <c r="AC961" s="89"/>
      <c r="AD961" s="89"/>
    </row>
    <row r="962" spans="1:30" ht="13.8">
      <c r="A962" s="89"/>
      <c r="B962" s="89"/>
      <c r="C962" s="89"/>
      <c r="D962" s="89"/>
      <c r="E962" s="89"/>
      <c r="F962" s="110"/>
      <c r="G962" s="89"/>
      <c r="H962" s="110"/>
      <c r="I962" s="89"/>
      <c r="J962" s="110"/>
      <c r="K962" s="89"/>
      <c r="L962" s="89"/>
      <c r="M962" s="110"/>
      <c r="N962" s="89"/>
      <c r="O962" s="110"/>
      <c r="P962" s="89"/>
      <c r="Q962" s="110"/>
      <c r="R962" s="89"/>
      <c r="S962" s="89"/>
      <c r="T962" s="89"/>
      <c r="U962" s="89"/>
      <c r="V962" s="89"/>
      <c r="W962" s="89"/>
      <c r="X962" s="89"/>
      <c r="Y962" s="89"/>
      <c r="Z962" s="89"/>
      <c r="AA962" s="89"/>
      <c r="AB962" s="89"/>
      <c r="AC962" s="89"/>
      <c r="AD962" s="89"/>
    </row>
    <row r="963" spans="1:30" ht="13.8">
      <c r="A963" s="89"/>
      <c r="B963" s="89"/>
      <c r="C963" s="89"/>
      <c r="D963" s="89"/>
      <c r="E963" s="89"/>
      <c r="F963" s="110"/>
      <c r="G963" s="89"/>
      <c r="H963" s="110"/>
      <c r="I963" s="89"/>
      <c r="J963" s="110"/>
      <c r="K963" s="89"/>
      <c r="L963" s="89"/>
      <c r="M963" s="110"/>
      <c r="N963" s="89"/>
      <c r="O963" s="110"/>
      <c r="P963" s="89"/>
      <c r="Q963" s="110"/>
      <c r="R963" s="89"/>
      <c r="S963" s="89"/>
      <c r="T963" s="89"/>
      <c r="U963" s="89"/>
      <c r="V963" s="89"/>
      <c r="W963" s="89"/>
      <c r="X963" s="89"/>
      <c r="Y963" s="89"/>
      <c r="Z963" s="89"/>
      <c r="AA963" s="89"/>
      <c r="AB963" s="89"/>
      <c r="AC963" s="89"/>
      <c r="AD963" s="89"/>
    </row>
    <row r="964" spans="1:30" ht="13.8">
      <c r="A964" s="89"/>
      <c r="B964" s="89"/>
      <c r="C964" s="89"/>
      <c r="D964" s="89"/>
      <c r="E964" s="89"/>
      <c r="F964" s="110"/>
      <c r="G964" s="89"/>
      <c r="H964" s="110"/>
      <c r="I964" s="89"/>
      <c r="J964" s="110"/>
      <c r="K964" s="89"/>
      <c r="L964" s="89"/>
      <c r="M964" s="110"/>
      <c r="N964" s="89"/>
      <c r="O964" s="110"/>
      <c r="P964" s="89"/>
      <c r="Q964" s="110"/>
      <c r="R964" s="89"/>
      <c r="S964" s="89"/>
      <c r="T964" s="89"/>
      <c r="U964" s="89"/>
      <c r="V964" s="89"/>
      <c r="W964" s="89"/>
      <c r="X964" s="89"/>
      <c r="Y964" s="89"/>
      <c r="Z964" s="89"/>
      <c r="AA964" s="89"/>
      <c r="AB964" s="89"/>
      <c r="AC964" s="89"/>
      <c r="AD964" s="89"/>
    </row>
    <row r="965" spans="1:30" ht="13.8">
      <c r="A965" s="89"/>
      <c r="B965" s="89"/>
      <c r="C965" s="89"/>
      <c r="D965" s="89"/>
      <c r="E965" s="89"/>
      <c r="F965" s="110"/>
      <c r="G965" s="89"/>
      <c r="H965" s="110"/>
      <c r="I965" s="89"/>
      <c r="J965" s="110"/>
      <c r="K965" s="89"/>
      <c r="L965" s="89"/>
      <c r="M965" s="110"/>
      <c r="N965" s="89"/>
      <c r="O965" s="110"/>
      <c r="P965" s="89"/>
      <c r="Q965" s="110"/>
      <c r="R965" s="89"/>
      <c r="S965" s="89"/>
      <c r="T965" s="89"/>
      <c r="U965" s="89"/>
      <c r="V965" s="89"/>
      <c r="W965" s="89"/>
      <c r="X965" s="89"/>
      <c r="Y965" s="89"/>
      <c r="Z965" s="89"/>
      <c r="AA965" s="89"/>
      <c r="AB965" s="89"/>
      <c r="AC965" s="89"/>
      <c r="AD965" s="89"/>
    </row>
    <row r="966" spans="1:30" ht="13.8">
      <c r="A966" s="89"/>
      <c r="B966" s="89"/>
      <c r="C966" s="89"/>
      <c r="D966" s="89"/>
      <c r="E966" s="89"/>
      <c r="F966" s="110"/>
      <c r="G966" s="89"/>
      <c r="H966" s="110"/>
      <c r="I966" s="89"/>
      <c r="J966" s="110"/>
      <c r="K966" s="89"/>
      <c r="L966" s="89"/>
      <c r="M966" s="110"/>
      <c r="N966" s="89"/>
      <c r="O966" s="110"/>
      <c r="P966" s="89"/>
      <c r="Q966" s="110"/>
      <c r="R966" s="89"/>
      <c r="S966" s="89"/>
      <c r="T966" s="89"/>
      <c r="U966" s="89"/>
      <c r="V966" s="89"/>
      <c r="W966" s="89"/>
      <c r="X966" s="89"/>
      <c r="Y966" s="89"/>
      <c r="Z966" s="89"/>
      <c r="AA966" s="89"/>
      <c r="AB966" s="89"/>
      <c r="AC966" s="89"/>
      <c r="AD966" s="89"/>
    </row>
    <row r="967" spans="1:30" ht="13.8">
      <c r="A967" s="89"/>
      <c r="B967" s="89"/>
      <c r="C967" s="89"/>
      <c r="D967" s="89"/>
      <c r="E967" s="89"/>
      <c r="F967" s="110"/>
      <c r="G967" s="89"/>
      <c r="H967" s="110"/>
      <c r="I967" s="89"/>
      <c r="J967" s="110"/>
      <c r="K967" s="89"/>
      <c r="L967" s="89"/>
      <c r="M967" s="110"/>
      <c r="N967" s="89"/>
      <c r="O967" s="110"/>
      <c r="P967" s="89"/>
      <c r="Q967" s="110"/>
      <c r="R967" s="89"/>
      <c r="S967" s="89"/>
      <c r="T967" s="89"/>
      <c r="U967" s="89"/>
      <c r="V967" s="89"/>
      <c r="W967" s="89"/>
      <c r="X967" s="89"/>
      <c r="Y967" s="89"/>
      <c r="Z967" s="89"/>
      <c r="AA967" s="89"/>
      <c r="AB967" s="89"/>
      <c r="AC967" s="89"/>
      <c r="AD967" s="89"/>
    </row>
    <row r="968" spans="1:30" ht="13.8">
      <c r="A968" s="89"/>
      <c r="B968" s="89"/>
      <c r="C968" s="89"/>
      <c r="D968" s="89"/>
      <c r="E968" s="89"/>
      <c r="F968" s="110"/>
      <c r="G968" s="89"/>
      <c r="H968" s="110"/>
      <c r="I968" s="89"/>
      <c r="J968" s="110"/>
      <c r="K968" s="89"/>
      <c r="L968" s="89"/>
      <c r="M968" s="110"/>
      <c r="N968" s="89"/>
      <c r="O968" s="110"/>
      <c r="P968" s="89"/>
      <c r="Q968" s="110"/>
      <c r="R968" s="89"/>
      <c r="S968" s="89"/>
      <c r="T968" s="89"/>
      <c r="U968" s="89"/>
      <c r="V968" s="89"/>
      <c r="W968" s="89"/>
      <c r="X968" s="89"/>
      <c r="Y968" s="89"/>
      <c r="Z968" s="89"/>
      <c r="AA968" s="89"/>
      <c r="AB968" s="89"/>
      <c r="AC968" s="89"/>
      <c r="AD968" s="89"/>
    </row>
    <row r="969" spans="1:30" ht="13.8">
      <c r="A969" s="89"/>
      <c r="B969" s="89"/>
      <c r="C969" s="89"/>
      <c r="D969" s="89"/>
      <c r="E969" s="89"/>
      <c r="F969" s="110"/>
      <c r="G969" s="89"/>
      <c r="H969" s="110"/>
      <c r="I969" s="89"/>
      <c r="J969" s="110"/>
      <c r="K969" s="89"/>
      <c r="L969" s="89"/>
      <c r="M969" s="110"/>
      <c r="N969" s="89"/>
      <c r="O969" s="110"/>
      <c r="P969" s="89"/>
      <c r="Q969" s="110"/>
      <c r="R969" s="89"/>
      <c r="S969" s="89"/>
      <c r="T969" s="89"/>
      <c r="U969" s="89"/>
      <c r="V969" s="89"/>
      <c r="W969" s="89"/>
      <c r="X969" s="89"/>
      <c r="Y969" s="89"/>
      <c r="Z969" s="89"/>
      <c r="AA969" s="89"/>
      <c r="AB969" s="89"/>
      <c r="AC969" s="89"/>
      <c r="AD969" s="89"/>
    </row>
    <row r="970" spans="1:30" ht="13.8">
      <c r="A970" s="89"/>
      <c r="B970" s="89"/>
      <c r="C970" s="89"/>
      <c r="D970" s="89"/>
      <c r="E970" s="89"/>
      <c r="F970" s="110"/>
      <c r="G970" s="89"/>
      <c r="H970" s="110"/>
      <c r="I970" s="89"/>
      <c r="J970" s="110"/>
      <c r="K970" s="89"/>
      <c r="L970" s="89"/>
      <c r="M970" s="110"/>
      <c r="N970" s="89"/>
      <c r="O970" s="110"/>
      <c r="P970" s="89"/>
      <c r="Q970" s="110"/>
      <c r="R970" s="89"/>
      <c r="S970" s="89"/>
      <c r="T970" s="89"/>
      <c r="U970" s="89"/>
      <c r="V970" s="89"/>
      <c r="W970" s="89"/>
      <c r="X970" s="89"/>
      <c r="Y970" s="89"/>
      <c r="Z970" s="89"/>
      <c r="AA970" s="89"/>
      <c r="AB970" s="89"/>
      <c r="AC970" s="89"/>
      <c r="AD970" s="89"/>
    </row>
    <row r="971" spans="1:30" ht="13.8">
      <c r="A971" s="89"/>
      <c r="B971" s="89"/>
      <c r="C971" s="89"/>
      <c r="D971" s="89"/>
      <c r="E971" s="89"/>
      <c r="F971" s="110"/>
      <c r="G971" s="89"/>
      <c r="H971" s="110"/>
      <c r="I971" s="89"/>
      <c r="J971" s="110"/>
      <c r="K971" s="89"/>
      <c r="L971" s="89"/>
      <c r="M971" s="110"/>
      <c r="N971" s="89"/>
      <c r="O971" s="110"/>
      <c r="P971" s="89"/>
      <c r="Q971" s="110"/>
      <c r="R971" s="89"/>
      <c r="S971" s="89"/>
      <c r="T971" s="89"/>
      <c r="U971" s="89"/>
      <c r="V971" s="89"/>
      <c r="W971" s="89"/>
      <c r="X971" s="89"/>
      <c r="Y971" s="89"/>
      <c r="Z971" s="89"/>
      <c r="AA971" s="89"/>
      <c r="AB971" s="89"/>
      <c r="AC971" s="89"/>
      <c r="AD971" s="89"/>
    </row>
    <row r="972" spans="1:30" ht="13.8">
      <c r="A972" s="89"/>
      <c r="B972" s="89"/>
      <c r="C972" s="89"/>
      <c r="D972" s="89"/>
      <c r="E972" s="89"/>
      <c r="F972" s="110"/>
      <c r="G972" s="89"/>
      <c r="H972" s="110"/>
      <c r="I972" s="89"/>
      <c r="J972" s="110"/>
      <c r="K972" s="89"/>
      <c r="L972" s="89"/>
      <c r="M972" s="110"/>
      <c r="N972" s="89"/>
      <c r="O972" s="110"/>
      <c r="P972" s="89"/>
      <c r="Q972" s="110"/>
      <c r="R972" s="89"/>
      <c r="S972" s="89"/>
      <c r="T972" s="89"/>
      <c r="U972" s="89"/>
      <c r="V972" s="89"/>
      <c r="W972" s="89"/>
      <c r="X972" s="89"/>
      <c r="Y972" s="89"/>
      <c r="Z972" s="89"/>
      <c r="AA972" s="89"/>
      <c r="AB972" s="89"/>
      <c r="AC972" s="89"/>
      <c r="AD972" s="89"/>
    </row>
    <row r="973" spans="1:30" ht="13.8">
      <c r="A973" s="89"/>
      <c r="B973" s="89"/>
      <c r="C973" s="89"/>
      <c r="D973" s="89"/>
      <c r="E973" s="89"/>
      <c r="F973" s="110"/>
      <c r="G973" s="89"/>
      <c r="H973" s="110"/>
      <c r="I973" s="89"/>
      <c r="J973" s="110"/>
      <c r="K973" s="89"/>
      <c r="L973" s="89"/>
      <c r="M973" s="110"/>
      <c r="N973" s="89"/>
      <c r="O973" s="110"/>
      <c r="P973" s="89"/>
      <c r="Q973" s="110"/>
      <c r="R973" s="89"/>
      <c r="S973" s="89"/>
      <c r="T973" s="89"/>
      <c r="U973" s="89"/>
      <c r="V973" s="89"/>
      <c r="W973" s="89"/>
      <c r="X973" s="89"/>
      <c r="Y973" s="89"/>
      <c r="Z973" s="89"/>
      <c r="AA973" s="89"/>
      <c r="AB973" s="89"/>
      <c r="AC973" s="89"/>
      <c r="AD973" s="89"/>
    </row>
    <row r="974" spans="1:30" ht="13.8">
      <c r="A974" s="89"/>
      <c r="B974" s="89"/>
      <c r="C974" s="89"/>
      <c r="D974" s="89"/>
      <c r="E974" s="89"/>
      <c r="F974" s="110"/>
      <c r="G974" s="89"/>
      <c r="H974" s="110"/>
      <c r="I974" s="89"/>
      <c r="J974" s="110"/>
      <c r="K974" s="89"/>
      <c r="L974" s="89"/>
      <c r="M974" s="110"/>
      <c r="N974" s="89"/>
      <c r="O974" s="110"/>
      <c r="P974" s="89"/>
      <c r="Q974" s="110"/>
      <c r="R974" s="89"/>
      <c r="S974" s="89"/>
      <c r="T974" s="89"/>
      <c r="U974" s="89"/>
      <c r="V974" s="89"/>
      <c r="W974" s="89"/>
      <c r="X974" s="89"/>
      <c r="Y974" s="89"/>
      <c r="Z974" s="89"/>
      <c r="AA974" s="89"/>
      <c r="AB974" s="89"/>
      <c r="AC974" s="89"/>
      <c r="AD974" s="89"/>
    </row>
    <row r="975" spans="1:30" ht="13.8">
      <c r="A975" s="89"/>
      <c r="B975" s="89"/>
      <c r="C975" s="89"/>
      <c r="D975" s="89"/>
      <c r="E975" s="89"/>
      <c r="F975" s="110"/>
      <c r="G975" s="89"/>
      <c r="H975" s="110"/>
      <c r="I975" s="89"/>
      <c r="J975" s="110"/>
      <c r="K975" s="89"/>
      <c r="L975" s="89"/>
      <c r="M975" s="110"/>
      <c r="N975" s="89"/>
      <c r="O975" s="110"/>
      <c r="P975" s="89"/>
      <c r="Q975" s="110"/>
      <c r="R975" s="89"/>
      <c r="S975" s="89"/>
      <c r="T975" s="89"/>
      <c r="U975" s="89"/>
      <c r="V975" s="89"/>
      <c r="W975" s="89"/>
      <c r="X975" s="89"/>
      <c r="Y975" s="89"/>
      <c r="Z975" s="89"/>
      <c r="AA975" s="89"/>
      <c r="AB975" s="89"/>
      <c r="AC975" s="89"/>
      <c r="AD975" s="89"/>
    </row>
    <row r="976" spans="1:30" ht="13.8">
      <c r="A976" s="89"/>
      <c r="B976" s="89"/>
      <c r="C976" s="89"/>
      <c r="D976" s="89"/>
      <c r="E976" s="89"/>
      <c r="F976" s="110"/>
      <c r="G976" s="89"/>
      <c r="H976" s="110"/>
      <c r="I976" s="89"/>
      <c r="J976" s="110"/>
      <c r="K976" s="89"/>
      <c r="L976" s="89"/>
      <c r="M976" s="110"/>
      <c r="N976" s="89"/>
      <c r="O976" s="110"/>
      <c r="P976" s="89"/>
      <c r="Q976" s="110"/>
      <c r="R976" s="89"/>
      <c r="S976" s="89"/>
      <c r="T976" s="89"/>
      <c r="U976" s="89"/>
      <c r="V976" s="89"/>
      <c r="W976" s="89"/>
      <c r="X976" s="89"/>
      <c r="Y976" s="89"/>
      <c r="Z976" s="89"/>
      <c r="AA976" s="89"/>
      <c r="AB976" s="89"/>
      <c r="AC976" s="89"/>
      <c r="AD976" s="89"/>
    </row>
    <row r="977" spans="1:30" ht="13.8">
      <c r="A977" s="89"/>
      <c r="B977" s="89"/>
      <c r="C977" s="89"/>
      <c r="D977" s="89"/>
      <c r="E977" s="89"/>
      <c r="F977" s="110"/>
      <c r="G977" s="89"/>
      <c r="H977" s="110"/>
      <c r="I977" s="89"/>
      <c r="J977" s="110"/>
      <c r="K977" s="89"/>
      <c r="L977" s="89"/>
      <c r="M977" s="110"/>
      <c r="N977" s="89"/>
      <c r="O977" s="110"/>
      <c r="P977" s="89"/>
      <c r="Q977" s="110"/>
      <c r="R977" s="89"/>
      <c r="S977" s="89"/>
      <c r="T977" s="89"/>
      <c r="U977" s="89"/>
      <c r="V977" s="89"/>
      <c r="W977" s="89"/>
      <c r="X977" s="89"/>
      <c r="Y977" s="89"/>
      <c r="Z977" s="89"/>
      <c r="AA977" s="89"/>
      <c r="AB977" s="89"/>
      <c r="AC977" s="89"/>
      <c r="AD977" s="89"/>
    </row>
    <row r="978" spans="1:30" ht="13.8">
      <c r="A978" s="89"/>
      <c r="B978" s="89"/>
      <c r="C978" s="89"/>
      <c r="D978" s="89"/>
      <c r="E978" s="89"/>
      <c r="F978" s="110"/>
      <c r="G978" s="89"/>
      <c r="H978" s="110"/>
      <c r="I978" s="89"/>
      <c r="J978" s="110"/>
      <c r="K978" s="89"/>
      <c r="L978" s="89"/>
      <c r="M978" s="110"/>
      <c r="N978" s="89"/>
      <c r="O978" s="110"/>
      <c r="P978" s="89"/>
      <c r="Q978" s="110"/>
      <c r="R978" s="89"/>
      <c r="S978" s="89"/>
      <c r="T978" s="89"/>
      <c r="U978" s="89"/>
      <c r="V978" s="89"/>
      <c r="W978" s="89"/>
      <c r="X978" s="89"/>
      <c r="Y978" s="89"/>
      <c r="Z978" s="89"/>
      <c r="AA978" s="89"/>
      <c r="AB978" s="89"/>
      <c r="AC978" s="89"/>
      <c r="AD978" s="89"/>
    </row>
    <row r="979" spans="1:30" ht="13.8">
      <c r="A979" s="89"/>
      <c r="B979" s="89"/>
      <c r="C979" s="89"/>
      <c r="D979" s="89"/>
      <c r="E979" s="89"/>
      <c r="F979" s="110"/>
      <c r="G979" s="89"/>
      <c r="H979" s="110"/>
      <c r="I979" s="89"/>
      <c r="J979" s="110"/>
      <c r="K979" s="89"/>
      <c r="L979" s="89"/>
      <c r="M979" s="110"/>
      <c r="N979" s="89"/>
      <c r="O979" s="110"/>
      <c r="P979" s="89"/>
      <c r="Q979" s="110"/>
      <c r="R979" s="89"/>
      <c r="S979" s="89"/>
      <c r="T979" s="89"/>
      <c r="U979" s="89"/>
      <c r="V979" s="89"/>
      <c r="W979" s="89"/>
      <c r="X979" s="89"/>
      <c r="Y979" s="89"/>
      <c r="Z979" s="89"/>
      <c r="AA979" s="89"/>
      <c r="AB979" s="89"/>
      <c r="AC979" s="89"/>
      <c r="AD979" s="89"/>
    </row>
    <row r="980" spans="1:30" ht="13.8">
      <c r="A980" s="89"/>
      <c r="B980" s="89"/>
      <c r="C980" s="89"/>
      <c r="D980" s="89"/>
      <c r="E980" s="89"/>
      <c r="F980" s="110"/>
      <c r="G980" s="89"/>
      <c r="H980" s="110"/>
      <c r="I980" s="89"/>
      <c r="J980" s="110"/>
      <c r="K980" s="89"/>
      <c r="L980" s="89"/>
      <c r="M980" s="110"/>
      <c r="N980" s="89"/>
      <c r="O980" s="110"/>
      <c r="P980" s="89"/>
      <c r="Q980" s="110"/>
      <c r="R980" s="89"/>
      <c r="S980" s="89"/>
      <c r="T980" s="89"/>
      <c r="U980" s="89"/>
      <c r="V980" s="89"/>
      <c r="W980" s="89"/>
      <c r="X980" s="89"/>
      <c r="Y980" s="89"/>
      <c r="Z980" s="89"/>
      <c r="AA980" s="89"/>
      <c r="AB980" s="89"/>
      <c r="AC980" s="89"/>
      <c r="AD980" s="89"/>
    </row>
    <row r="981" spans="1:30" ht="13.8">
      <c r="A981" s="89"/>
      <c r="B981" s="89"/>
      <c r="C981" s="89"/>
      <c r="D981" s="89"/>
      <c r="E981" s="89"/>
      <c r="F981" s="110"/>
      <c r="G981" s="89"/>
      <c r="H981" s="110"/>
      <c r="I981" s="89"/>
      <c r="J981" s="110"/>
      <c r="K981" s="89"/>
      <c r="L981" s="89"/>
      <c r="M981" s="110"/>
      <c r="N981" s="89"/>
      <c r="O981" s="110"/>
      <c r="P981" s="89"/>
      <c r="Q981" s="110"/>
      <c r="R981" s="89"/>
      <c r="S981" s="89"/>
      <c r="T981" s="89"/>
      <c r="U981" s="89"/>
      <c r="V981" s="89"/>
      <c r="W981" s="89"/>
      <c r="X981" s="89"/>
      <c r="Y981" s="89"/>
      <c r="Z981" s="89"/>
      <c r="AA981" s="89"/>
      <c r="AB981" s="89"/>
      <c r="AC981" s="89"/>
      <c r="AD981" s="89"/>
    </row>
    <row r="982" spans="1:30" ht="13.8">
      <c r="A982" s="89"/>
      <c r="B982" s="89"/>
      <c r="C982" s="89"/>
      <c r="D982" s="89"/>
      <c r="E982" s="89"/>
      <c r="F982" s="110"/>
      <c r="G982" s="89"/>
      <c r="H982" s="110"/>
      <c r="I982" s="89"/>
      <c r="J982" s="110"/>
      <c r="K982" s="89"/>
      <c r="L982" s="89"/>
      <c r="M982" s="110"/>
      <c r="N982" s="89"/>
      <c r="O982" s="110"/>
      <c r="P982" s="89"/>
      <c r="Q982" s="110"/>
      <c r="R982" s="89"/>
      <c r="S982" s="89"/>
      <c r="T982" s="89"/>
      <c r="U982" s="89"/>
      <c r="V982" s="89"/>
      <c r="W982" s="89"/>
      <c r="X982" s="89"/>
      <c r="Y982" s="89"/>
      <c r="Z982" s="89"/>
      <c r="AA982" s="89"/>
      <c r="AB982" s="89"/>
      <c r="AC982" s="89"/>
      <c r="AD982" s="89"/>
    </row>
    <row r="983" spans="1:30" ht="13.8">
      <c r="A983" s="89"/>
      <c r="B983" s="89"/>
      <c r="C983" s="89"/>
      <c r="D983" s="89"/>
      <c r="E983" s="89"/>
      <c r="F983" s="110"/>
      <c r="G983" s="89"/>
      <c r="H983" s="110"/>
      <c r="I983" s="89"/>
      <c r="J983" s="110"/>
      <c r="K983" s="89"/>
      <c r="L983" s="89"/>
      <c r="M983" s="110"/>
      <c r="N983" s="89"/>
      <c r="O983" s="110"/>
      <c r="P983" s="89"/>
      <c r="Q983" s="110"/>
      <c r="R983" s="89"/>
      <c r="S983" s="89"/>
      <c r="T983" s="89"/>
      <c r="U983" s="89"/>
      <c r="V983" s="89"/>
      <c r="W983" s="89"/>
      <c r="X983" s="89"/>
      <c r="Y983" s="89"/>
      <c r="Z983" s="89"/>
      <c r="AA983" s="89"/>
      <c r="AB983" s="89"/>
      <c r="AC983" s="89"/>
      <c r="AD983" s="89"/>
    </row>
    <row r="984" spans="1:30" ht="13.8">
      <c r="A984" s="89"/>
      <c r="B984" s="89"/>
      <c r="C984" s="89"/>
      <c r="D984" s="89"/>
      <c r="E984" s="89"/>
      <c r="F984" s="110"/>
      <c r="G984" s="89"/>
      <c r="H984" s="110"/>
      <c r="I984" s="89"/>
      <c r="J984" s="110"/>
      <c r="K984" s="89"/>
      <c r="L984" s="89"/>
      <c r="M984" s="110"/>
      <c r="N984" s="89"/>
      <c r="O984" s="110"/>
      <c r="P984" s="89"/>
      <c r="Q984" s="110"/>
      <c r="R984" s="89"/>
      <c r="S984" s="89"/>
      <c r="T984" s="89"/>
      <c r="U984" s="89"/>
      <c r="V984" s="89"/>
      <c r="W984" s="89"/>
      <c r="X984" s="89"/>
      <c r="Y984" s="89"/>
      <c r="Z984" s="89"/>
      <c r="AA984" s="89"/>
      <c r="AB984" s="89"/>
      <c r="AC984" s="89"/>
      <c r="AD984" s="89"/>
    </row>
    <row r="985" spans="1:30" ht="15.75" customHeight="1">
      <c r="A985" s="89"/>
      <c r="B985" s="89"/>
      <c r="C985" s="89"/>
      <c r="D985" s="89"/>
    </row>
    <row r="986" spans="1:30" ht="15.75" customHeight="1">
      <c r="A986" s="89"/>
      <c r="B986" s="89"/>
      <c r="C986" s="89"/>
      <c r="D986" s="89"/>
    </row>
    <row r="987" spans="1:30" ht="15.75" customHeight="1">
      <c r="A987" s="89"/>
      <c r="B987" s="89"/>
      <c r="C987" s="89"/>
      <c r="D987" s="89"/>
    </row>
    <row r="988" spans="1:30" ht="15.75" customHeight="1">
      <c r="A988" s="89"/>
      <c r="B988" s="89"/>
      <c r="C988" s="89"/>
      <c r="D988" s="89"/>
    </row>
    <row r="989" spans="1:30" ht="15.75" customHeight="1">
      <c r="A989" s="89"/>
      <c r="B989" s="89"/>
      <c r="C989" s="89"/>
      <c r="D989" s="89"/>
    </row>
    <row r="990" spans="1:30" ht="15.75" customHeight="1">
      <c r="A990" s="89"/>
      <c r="B990" s="89"/>
      <c r="C990" s="89"/>
      <c r="D990" s="89"/>
    </row>
    <row r="991" spans="1:30" ht="15.75" customHeight="1">
      <c r="A991" s="89"/>
      <c r="B991" s="89"/>
      <c r="C991" s="89"/>
      <c r="D991" s="89"/>
    </row>
    <row r="992" spans="1:30" ht="15.75" customHeight="1">
      <c r="A992" s="89"/>
      <c r="B992" s="89"/>
      <c r="C992" s="89"/>
      <c r="D992" s="89"/>
    </row>
  </sheetData>
  <mergeCells count="9">
    <mergeCell ref="A9:D9"/>
    <mergeCell ref="H1:I1"/>
    <mergeCell ref="S1:T1"/>
    <mergeCell ref="Q1:R1"/>
    <mergeCell ref="A1:D1"/>
    <mergeCell ref="F1:G1"/>
    <mergeCell ref="J1:K1"/>
    <mergeCell ref="M1:N1"/>
    <mergeCell ref="O1:P1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43"/>
  <sheetViews>
    <sheetView zoomScaleNormal="100" workbookViewId="0">
      <selection activeCell="D9" sqref="D9"/>
    </sheetView>
  </sheetViews>
  <sheetFormatPr defaultColWidth="15.59765625" defaultRowHeight="15" customHeight="1"/>
  <cols>
    <col min="1" max="1" width="56.69921875" style="123" customWidth="1"/>
    <col min="2" max="2" width="18.19921875" style="123" customWidth="1"/>
    <col min="3" max="5" width="12.5" style="123" customWidth="1"/>
    <col min="6" max="6" width="14.09765625" style="123" customWidth="1"/>
    <col min="7" max="7" width="18.3984375" style="123" customWidth="1"/>
    <col min="8" max="8" width="8" style="281" customWidth="1"/>
    <col min="9" max="16" width="8" style="123" customWidth="1"/>
    <col min="17" max="25" width="15.3984375" style="123" customWidth="1"/>
    <col min="26" max="16384" width="15.59765625" style="123"/>
  </cols>
  <sheetData>
    <row r="1" spans="1:11" s="283" customFormat="1" ht="14.25" customHeight="1">
      <c r="A1" s="284"/>
      <c r="B1" s="284"/>
      <c r="C1" s="284"/>
      <c r="D1" s="284"/>
      <c r="E1" s="284"/>
      <c r="F1" s="284"/>
      <c r="G1" s="284"/>
      <c r="H1" s="285"/>
      <c r="I1" s="284"/>
      <c r="J1" s="284"/>
      <c r="K1" s="284"/>
    </row>
    <row r="2" spans="1:11" s="283" customFormat="1" ht="22.5" customHeight="1">
      <c r="A2" s="815" t="s">
        <v>290</v>
      </c>
      <c r="B2" s="816"/>
      <c r="C2" s="816"/>
      <c r="D2" s="816"/>
      <c r="E2" s="816"/>
      <c r="F2" s="816"/>
      <c r="G2" s="286"/>
      <c r="H2" s="285"/>
      <c r="I2" s="284"/>
      <c r="J2" s="284"/>
      <c r="K2" s="284"/>
    </row>
    <row r="3" spans="1:11" s="283" customFormat="1" ht="12.75" customHeight="1">
      <c r="A3" s="299" t="s">
        <v>217</v>
      </c>
      <c r="B3" s="287">
        <v>2024</v>
      </c>
      <c r="C3" s="287">
        <v>2025</v>
      </c>
      <c r="D3" s="287">
        <v>2026</v>
      </c>
      <c r="E3" s="287">
        <v>2027</v>
      </c>
      <c r="F3" s="287">
        <v>2028</v>
      </c>
      <c r="G3" s="288"/>
      <c r="H3" s="285"/>
      <c r="I3" s="289"/>
      <c r="J3" s="290"/>
      <c r="K3" s="284"/>
    </row>
    <row r="4" spans="1:11" s="283" customFormat="1" ht="25.8" customHeight="1">
      <c r="A4" s="320" t="str">
        <f>План!A168</f>
        <v>Плата за выставку</v>
      </c>
      <c r="B4" s="129">
        <f>SUM(План!B168:E168)</f>
        <v>-6777.7777777777774</v>
      </c>
      <c r="C4" s="129">
        <f>SUM(План!F168:I168)</f>
        <v>-10444.444444444445</v>
      </c>
      <c r="D4" s="129">
        <f>SUM(План!J168:M168)</f>
        <v>-13333.333333333334</v>
      </c>
      <c r="E4" s="129">
        <f>SUM(План!N168:Q168)</f>
        <v>-13333.333333333334</v>
      </c>
      <c r="F4" s="129">
        <f>SUM(План!R168:U168)</f>
        <v>-13333.333333333334</v>
      </c>
      <c r="G4" s="292">
        <f t="shared" ref="G4:G9" si="0">SUM(B4:F4)</f>
        <v>-57222.222222222226</v>
      </c>
      <c r="H4" s="292"/>
      <c r="I4" s="293"/>
      <c r="J4" s="293"/>
      <c r="K4" s="293"/>
    </row>
    <row r="5" spans="1:11" s="283" customFormat="1" ht="25.8" customHeight="1">
      <c r="A5" s="320" t="str">
        <f>План!A169</f>
        <v>Каналы продаж</v>
      </c>
      <c r="B5" s="129">
        <f>SUM(План!B169:E169)</f>
        <v>0</v>
      </c>
      <c r="C5" s="129">
        <f>SUM(План!F169:I169)</f>
        <v>-87755.164444444439</v>
      </c>
      <c r="D5" s="129">
        <f>SUM(План!J169:M169)</f>
        <v>-779103.50222222228</v>
      </c>
      <c r="E5" s="129">
        <f>SUM(План!N169:Q169)</f>
        <v>-6879777.4222222231</v>
      </c>
      <c r="F5" s="129">
        <f>SUM(План!R169:U169)</f>
        <v>-69144749.226666659</v>
      </c>
      <c r="G5" s="292">
        <f t="shared" si="0"/>
        <v>-76891385.315555543</v>
      </c>
      <c r="H5" s="292"/>
      <c r="I5" s="293"/>
      <c r="J5" s="293"/>
      <c r="K5" s="293"/>
    </row>
    <row r="6" spans="1:11" s="283" customFormat="1" ht="28.8" customHeight="1">
      <c r="A6" s="321" t="str">
        <f>План!A170</f>
        <v>Реклама, ролики, сайт</v>
      </c>
      <c r="B6" s="129">
        <f>SUM(План!B170:E170)</f>
        <v>0</v>
      </c>
      <c r="C6" s="129">
        <f>SUM(План!F170:I170)</f>
        <v>-2222.2222222222222</v>
      </c>
      <c r="D6" s="129">
        <f>SUM(План!J170:M170)</f>
        <v>-2222.2222222222222</v>
      </c>
      <c r="E6" s="129">
        <f>SUM(План!N170:Q170)</f>
        <v>-3333.333333333333</v>
      </c>
      <c r="F6" s="129">
        <f>SUM(План!R170:U170)</f>
        <v>-4444.4444444444443</v>
      </c>
      <c r="G6" s="292">
        <f t="shared" si="0"/>
        <v>-12222.222222222223</v>
      </c>
      <c r="H6" s="292"/>
      <c r="I6" s="293"/>
      <c r="J6" s="293"/>
      <c r="K6" s="293"/>
    </row>
    <row r="7" spans="1:11" s="283" customFormat="1" ht="18.600000000000001" customHeight="1">
      <c r="A7" s="325" t="str">
        <f>План!A171</f>
        <v>Командировочные расходы</v>
      </c>
      <c r="B7" s="129">
        <f>SUM(План!B171:E171)</f>
        <v>-1533.3333333333333</v>
      </c>
      <c r="C7" s="129">
        <f>SUM(План!F171:I171)</f>
        <v>-2555.5555555555552</v>
      </c>
      <c r="D7" s="129">
        <f>SUM(План!J171:M171)</f>
        <v>-2666.6666666666665</v>
      </c>
      <c r="E7" s="129">
        <f>SUM(План!N171:Q171)</f>
        <v>-3666.6666666666665</v>
      </c>
      <c r="F7" s="129">
        <f>SUM(План!R171:U171)</f>
        <v>-4333.3333333333339</v>
      </c>
      <c r="G7" s="292">
        <f t="shared" si="0"/>
        <v>-14755.555555555555</v>
      </c>
      <c r="H7" s="282"/>
      <c r="I7" s="135"/>
      <c r="J7" s="135"/>
      <c r="K7" s="135"/>
    </row>
    <row r="8" spans="1:11" s="283" customFormat="1" ht="28.8" customHeight="1">
      <c r="A8" s="321" t="s">
        <v>508</v>
      </c>
      <c r="B8" s="129">
        <f>SUM(План!B190:E194)</f>
        <v>-10400</v>
      </c>
      <c r="C8" s="129">
        <f>SUM(План!F190:I194)</f>
        <v>-22000</v>
      </c>
      <c r="D8" s="129">
        <f>SUM(План!J190:M194)</f>
        <v>-45000</v>
      </c>
      <c r="E8" s="129">
        <f>SUM(План!N191:Q194)</f>
        <v>-20000</v>
      </c>
      <c r="F8" s="129">
        <f>SUM(План!R191:U194)</f>
        <v>-20000</v>
      </c>
      <c r="G8" s="292">
        <f t="shared" si="0"/>
        <v>-117400</v>
      </c>
      <c r="H8" s="292"/>
      <c r="I8" s="293"/>
      <c r="J8" s="293"/>
      <c r="K8" s="293"/>
    </row>
    <row r="9" spans="1:11" s="283" customFormat="1" ht="12.75" customHeight="1">
      <c r="A9" s="326" t="s">
        <v>291</v>
      </c>
      <c r="B9" s="327">
        <f>SUM(B4:B8)</f>
        <v>-18711.111111111109</v>
      </c>
      <c r="C9" s="327">
        <f t="shared" ref="C9:F9" si="1">SUM(C4:C8)</f>
        <v>-124977.38666666666</v>
      </c>
      <c r="D9" s="327">
        <f t="shared" si="1"/>
        <v>-842325.72444444452</v>
      </c>
      <c r="E9" s="327">
        <f t="shared" si="1"/>
        <v>-6920110.7555555562</v>
      </c>
      <c r="F9" s="327">
        <f t="shared" si="1"/>
        <v>-69186860.337777764</v>
      </c>
      <c r="G9" s="292">
        <f t="shared" si="0"/>
        <v>-77092985.315555543</v>
      </c>
      <c r="H9" s="282"/>
      <c r="I9" s="135"/>
      <c r="J9" s="135"/>
      <c r="K9" s="135"/>
    </row>
    <row r="10" spans="1:11" s="283" customFormat="1" ht="12.75" customHeight="1">
      <c r="A10" s="295"/>
      <c r="B10" s="135"/>
      <c r="C10" s="135"/>
      <c r="D10" s="135"/>
      <c r="E10" s="135"/>
      <c r="F10" s="135"/>
      <c r="G10" s="135"/>
      <c r="H10" s="282"/>
      <c r="I10" s="135"/>
      <c r="J10" s="135"/>
      <c r="K10" s="135"/>
    </row>
    <row r="11" spans="1:11" s="283" customFormat="1" ht="12.75" customHeight="1">
      <c r="A11" s="295"/>
      <c r="B11" s="135"/>
      <c r="C11" s="135"/>
      <c r="D11" s="135"/>
      <c r="E11" s="135"/>
      <c r="F11" s="135"/>
      <c r="G11" s="135"/>
      <c r="H11" s="282"/>
      <c r="I11" s="135"/>
      <c r="J11" s="135"/>
      <c r="K11" s="135"/>
    </row>
    <row r="12" spans="1:11" s="283" customFormat="1" ht="12.75" customHeight="1">
      <c r="A12" s="135"/>
      <c r="B12" s="135"/>
      <c r="C12" s="135"/>
      <c r="D12" s="135"/>
      <c r="E12" s="135"/>
      <c r="F12" s="135"/>
      <c r="G12" s="135"/>
      <c r="H12" s="282"/>
      <c r="I12" s="135"/>
      <c r="J12" s="135"/>
      <c r="K12" s="135"/>
    </row>
    <row r="13" spans="1:11" s="283" customFormat="1" ht="12.75" customHeight="1">
      <c r="A13" s="135"/>
      <c r="B13" s="135"/>
      <c r="C13" s="135"/>
      <c r="D13" s="135"/>
      <c r="E13" s="135"/>
      <c r="F13" s="135"/>
      <c r="G13" s="135"/>
      <c r="H13" s="282"/>
      <c r="I13" s="135"/>
      <c r="J13" s="135"/>
      <c r="K13" s="135"/>
    </row>
    <row r="14" spans="1:11" ht="13.2"/>
    <row r="15" spans="1:11" ht="13.2"/>
    <row r="16" spans="1:11" ht="13.2"/>
    <row r="17" ht="13.05" customHeight="1"/>
    <row r="18" ht="13.2"/>
    <row r="19" ht="13.2"/>
    <row r="20" ht="13.2"/>
    <row r="21" ht="13.2"/>
    <row r="22" ht="13.2"/>
    <row r="23" ht="13.2"/>
    <row r="24" ht="13.2"/>
    <row r="25" ht="13.2"/>
    <row r="26" ht="13.2"/>
    <row r="27" ht="13.2"/>
    <row r="28" ht="13.2"/>
    <row r="29" ht="13.2"/>
    <row r="30" ht="13.2"/>
    <row r="31" ht="13.2"/>
    <row r="32" ht="13.2"/>
    <row r="33" ht="13.2"/>
    <row r="34" ht="13.2"/>
    <row r="35" ht="13.2"/>
    <row r="36" ht="13.2"/>
    <row r="37" ht="13.2"/>
    <row r="38" ht="13.2"/>
    <row r="39" ht="13.2"/>
    <row r="40" ht="13.2"/>
    <row r="41" ht="13.2"/>
    <row r="42" ht="13.2"/>
    <row r="43" ht="13.2"/>
    <row r="44" ht="13.2"/>
    <row r="45" ht="13.2"/>
    <row r="46" ht="13.2"/>
    <row r="47" ht="13.2"/>
    <row r="48" ht="13.2"/>
    <row r="49" ht="13.2"/>
    <row r="50" ht="13.2"/>
    <row r="51" ht="13.2"/>
    <row r="52" ht="13.2"/>
    <row r="53" ht="13.2"/>
    <row r="54" ht="13.2"/>
    <row r="55" ht="13.2"/>
    <row r="56" ht="13.2"/>
    <row r="57" ht="13.2"/>
    <row r="58" ht="13.2"/>
    <row r="59" ht="13.2"/>
    <row r="60" ht="13.2"/>
    <row r="61" ht="13.2"/>
    <row r="62" ht="13.2"/>
    <row r="63" ht="13.2"/>
    <row r="64" ht="13.2"/>
    <row r="65" ht="13.2"/>
    <row r="66" ht="13.2"/>
    <row r="67" ht="13.2"/>
    <row r="68" ht="13.2"/>
    <row r="69" ht="13.2"/>
    <row r="70" ht="13.2"/>
    <row r="71" ht="13.2"/>
    <row r="72" ht="13.2"/>
    <row r="73" ht="13.2"/>
    <row r="74" ht="13.2"/>
    <row r="75" ht="13.2"/>
    <row r="76" ht="13.2"/>
    <row r="77" ht="13.2"/>
    <row r="78" ht="13.2"/>
    <row r="79" ht="13.2"/>
    <row r="80" ht="13.2"/>
    <row r="81" ht="13.2"/>
    <row r="82" ht="13.2"/>
    <row r="83" ht="13.2"/>
    <row r="84" ht="13.2"/>
    <row r="85" ht="13.2"/>
    <row r="86" ht="13.2"/>
    <row r="87" ht="13.2"/>
    <row r="88" ht="13.2"/>
    <row r="89" ht="13.2"/>
    <row r="90" ht="13.2"/>
    <row r="91" ht="13.2"/>
    <row r="92" ht="13.2"/>
    <row r="93" ht="13.2"/>
    <row r="94" ht="13.2"/>
    <row r="95" ht="13.2"/>
    <row r="96" ht="13.2"/>
    <row r="97" ht="13.2"/>
    <row r="98" ht="13.2"/>
    <row r="99" ht="13.2"/>
    <row r="100" ht="13.2"/>
    <row r="101" ht="13.2"/>
    <row r="102" ht="13.2"/>
    <row r="103" ht="13.2"/>
    <row r="104" ht="13.2"/>
    <row r="105" ht="13.2"/>
    <row r="106" ht="13.2"/>
    <row r="107" ht="13.2"/>
    <row r="108" ht="13.2"/>
    <row r="109" ht="13.2"/>
    <row r="110" ht="13.2"/>
    <row r="111" ht="13.2"/>
    <row r="112" ht="13.2"/>
    <row r="113" ht="13.2"/>
    <row r="114" ht="13.2"/>
    <row r="115" ht="13.2"/>
    <row r="116" ht="13.2"/>
    <row r="117" ht="13.2"/>
    <row r="118" ht="13.2"/>
    <row r="119" ht="13.2"/>
    <row r="120" ht="13.2"/>
    <row r="121" ht="13.2"/>
    <row r="122" ht="13.2"/>
    <row r="123" ht="13.2"/>
    <row r="124" ht="13.2"/>
    <row r="125" ht="13.2"/>
    <row r="126" ht="13.2"/>
    <row r="127" ht="13.2"/>
    <row r="128" ht="13.2"/>
    <row r="129" ht="13.2"/>
    <row r="130" ht="13.2"/>
    <row r="131" ht="13.2"/>
    <row r="132" ht="13.2"/>
    <row r="133" ht="13.2"/>
    <row r="134" ht="13.2"/>
    <row r="135" ht="13.2"/>
    <row r="136" ht="13.2"/>
    <row r="137" ht="13.2"/>
    <row r="138" ht="13.2"/>
    <row r="139" ht="13.2"/>
    <row r="140" ht="13.2"/>
    <row r="141" ht="13.2"/>
    <row r="142" ht="13.2"/>
    <row r="143" ht="13.2"/>
    <row r="144" ht="13.2"/>
    <row r="145" ht="13.2"/>
    <row r="146" ht="13.2"/>
    <row r="147" ht="13.2"/>
    <row r="148" ht="13.2"/>
    <row r="149" ht="13.2"/>
    <row r="150" ht="13.2"/>
    <row r="151" ht="13.2"/>
    <row r="152" ht="13.2"/>
    <row r="153" ht="13.2"/>
    <row r="154" ht="13.2"/>
    <row r="155" ht="13.2"/>
    <row r="156" ht="13.2"/>
    <row r="157" ht="13.2"/>
    <row r="158" ht="13.2"/>
    <row r="159" ht="13.2"/>
    <row r="160" ht="13.2"/>
    <row r="161" ht="13.2"/>
    <row r="162" ht="13.2"/>
    <row r="163" ht="13.2"/>
    <row r="164" ht="13.2"/>
    <row r="165" ht="13.2"/>
    <row r="166" ht="13.2"/>
    <row r="167" ht="13.2"/>
    <row r="168" ht="13.2"/>
    <row r="169" ht="13.2"/>
    <row r="170" ht="13.2"/>
    <row r="171" ht="13.2"/>
    <row r="172" ht="13.2"/>
    <row r="173" ht="13.2"/>
    <row r="174" ht="13.2"/>
    <row r="175" ht="13.2"/>
    <row r="176" ht="13.2"/>
    <row r="177" ht="13.2"/>
    <row r="178" ht="13.2"/>
    <row r="179" ht="13.2"/>
    <row r="180" ht="13.2"/>
    <row r="181" ht="13.2"/>
    <row r="182" ht="13.2"/>
    <row r="183" ht="13.2"/>
    <row r="184" ht="13.2"/>
    <row r="185" ht="13.2"/>
    <row r="186" ht="13.2"/>
    <row r="187" ht="13.2"/>
    <row r="188" ht="13.2"/>
    <row r="189" ht="13.2"/>
    <row r="190" ht="13.2"/>
    <row r="191" ht="13.2"/>
    <row r="192" ht="13.2"/>
    <row r="193" ht="13.2"/>
    <row r="194" ht="13.2"/>
    <row r="195" ht="13.2"/>
    <row r="196" ht="13.2"/>
    <row r="197" ht="13.2"/>
    <row r="198" ht="13.2"/>
    <row r="199" ht="13.2"/>
    <row r="200" ht="13.2"/>
    <row r="201" ht="13.2"/>
    <row r="202" ht="13.2"/>
    <row r="203" ht="13.2"/>
    <row r="204" ht="13.2"/>
    <row r="205" ht="13.2"/>
    <row r="206" ht="13.2"/>
    <row r="207" ht="13.2"/>
    <row r="208" ht="13.2"/>
    <row r="209" ht="13.2"/>
    <row r="210" ht="13.2"/>
    <row r="211" ht="13.2"/>
    <row r="212" ht="13.2"/>
    <row r="213" ht="13.2"/>
    <row r="214" ht="13.2"/>
    <row r="215" ht="13.2"/>
    <row r="216" ht="13.2"/>
    <row r="217" ht="13.2"/>
    <row r="218" ht="13.2"/>
    <row r="219" ht="13.2"/>
    <row r="220" ht="13.2"/>
    <row r="221" ht="13.2"/>
    <row r="222" ht="13.2"/>
    <row r="223" ht="13.2"/>
    <row r="224" ht="13.2"/>
    <row r="225" ht="13.2"/>
    <row r="226" ht="13.2"/>
    <row r="227" ht="13.2"/>
    <row r="228" ht="13.2"/>
    <row r="229" ht="13.2"/>
    <row r="230" ht="13.2"/>
    <row r="231" ht="13.2"/>
    <row r="232" ht="13.2"/>
    <row r="233" ht="13.2"/>
    <row r="234" ht="13.2"/>
    <row r="235" ht="13.2"/>
    <row r="236" ht="13.2"/>
    <row r="237" ht="13.2"/>
    <row r="238" ht="13.2"/>
    <row r="239" ht="13.2"/>
    <row r="240" ht="13.2"/>
    <row r="241" ht="13.2"/>
    <row r="242" ht="13.2"/>
    <row r="243" ht="13.2"/>
    <row r="244" ht="13.2"/>
    <row r="245" ht="13.2"/>
    <row r="246" ht="13.2"/>
    <row r="247" ht="13.2"/>
    <row r="248" ht="13.2"/>
    <row r="249" ht="13.2"/>
    <row r="250" ht="13.2"/>
    <row r="251" ht="13.2"/>
    <row r="252" ht="13.2"/>
    <row r="253" ht="13.2"/>
    <row r="254" ht="13.2"/>
    <row r="255" ht="13.2"/>
    <row r="256" ht="13.2"/>
    <row r="257" ht="13.2"/>
    <row r="258" ht="13.2"/>
    <row r="259" ht="13.2"/>
    <row r="260" ht="13.2"/>
    <row r="261" ht="13.2"/>
    <row r="262" ht="13.2"/>
    <row r="263" ht="13.2"/>
    <row r="264" ht="13.2"/>
    <row r="265" ht="13.2"/>
    <row r="266" ht="13.2"/>
    <row r="267" ht="13.2"/>
    <row r="268" ht="13.2"/>
    <row r="269" ht="13.2"/>
    <row r="270" ht="13.2"/>
    <row r="271" ht="13.2"/>
    <row r="272" ht="13.2"/>
    <row r="273" ht="13.2"/>
    <row r="274" ht="13.2"/>
    <row r="275" ht="13.2"/>
    <row r="276" ht="13.2"/>
    <row r="277" ht="13.2"/>
    <row r="278" ht="13.2"/>
    <row r="279" ht="13.2"/>
    <row r="280" ht="13.2"/>
    <row r="281" ht="13.2"/>
    <row r="282" ht="13.2"/>
    <row r="283" ht="13.2"/>
    <row r="284" ht="13.2"/>
    <row r="285" ht="13.2"/>
    <row r="286" ht="13.2"/>
    <row r="287" ht="13.2"/>
    <row r="288" ht="13.2"/>
    <row r="289" ht="13.2"/>
    <row r="290" ht="13.2"/>
    <row r="291" ht="13.2"/>
    <row r="292" ht="13.2"/>
    <row r="293" ht="13.2"/>
    <row r="294" ht="13.2"/>
    <row r="295" ht="13.2"/>
    <row r="296" ht="13.2"/>
    <row r="297" ht="13.2"/>
    <row r="298" ht="13.2"/>
    <row r="299" ht="13.2"/>
    <row r="300" ht="13.2"/>
    <row r="301" ht="13.2"/>
    <row r="302" ht="13.2"/>
    <row r="303" ht="13.2"/>
    <row r="304" ht="13.2"/>
    <row r="305" ht="13.2"/>
    <row r="306" ht="13.2"/>
    <row r="307" ht="13.2"/>
    <row r="308" ht="13.2"/>
    <row r="309" ht="13.2"/>
    <row r="310" ht="13.2"/>
    <row r="311" ht="13.2"/>
    <row r="312" ht="13.2"/>
    <row r="313" ht="13.2"/>
    <row r="314" ht="13.2"/>
    <row r="315" ht="13.2"/>
    <row r="316" ht="13.2"/>
    <row r="317" ht="13.2"/>
    <row r="318" ht="13.2"/>
    <row r="319" ht="13.2"/>
    <row r="320" ht="13.2"/>
    <row r="321" ht="13.2"/>
    <row r="322" ht="13.2"/>
    <row r="323" ht="13.2"/>
    <row r="324" ht="13.2"/>
    <row r="325" ht="13.2"/>
    <row r="326" ht="13.2"/>
    <row r="327" ht="13.2"/>
    <row r="328" ht="13.2"/>
    <row r="329" ht="13.2"/>
    <row r="330" ht="13.2"/>
    <row r="331" ht="13.2"/>
    <row r="332" ht="13.2"/>
    <row r="333" ht="13.2"/>
    <row r="334" ht="13.2"/>
    <row r="335" ht="13.2"/>
    <row r="336" ht="13.2"/>
    <row r="337" ht="13.2"/>
    <row r="338" ht="13.2"/>
    <row r="339" ht="13.2"/>
    <row r="340" ht="13.2"/>
    <row r="341" ht="13.2"/>
    <row r="342" ht="13.2"/>
    <row r="343" ht="13.2"/>
    <row r="344" ht="13.2"/>
    <row r="345" ht="13.2"/>
    <row r="346" ht="13.2"/>
    <row r="347" ht="13.2"/>
    <row r="348" ht="13.2"/>
    <row r="349" ht="13.2"/>
    <row r="350" ht="13.2"/>
    <row r="351" ht="13.2"/>
    <row r="352" ht="13.2"/>
    <row r="353" ht="13.2"/>
    <row r="354" ht="13.2"/>
    <row r="355" ht="13.2"/>
    <row r="356" ht="13.2"/>
    <row r="357" ht="13.2"/>
    <row r="358" ht="13.2"/>
    <row r="359" ht="13.2"/>
    <row r="360" ht="13.2"/>
    <row r="361" ht="13.2"/>
    <row r="362" ht="13.2"/>
    <row r="363" ht="13.2"/>
    <row r="364" ht="13.2"/>
    <row r="365" ht="13.2"/>
    <row r="366" ht="13.2"/>
    <row r="367" ht="13.2"/>
    <row r="368" ht="13.2"/>
    <row r="369" ht="13.2"/>
    <row r="370" ht="13.2"/>
    <row r="371" ht="13.2"/>
    <row r="372" ht="13.2"/>
    <row r="373" ht="13.2"/>
    <row r="374" ht="13.2"/>
    <row r="375" ht="13.2"/>
    <row r="376" ht="13.2"/>
    <row r="377" ht="13.2"/>
    <row r="378" ht="13.2"/>
    <row r="379" ht="13.2"/>
    <row r="380" ht="13.2"/>
    <row r="381" ht="13.2"/>
    <row r="382" ht="13.2"/>
    <row r="383" ht="13.2"/>
    <row r="384" ht="13.2"/>
    <row r="385" ht="13.2"/>
    <row r="386" ht="13.2"/>
    <row r="387" ht="13.2"/>
    <row r="388" ht="13.2"/>
    <row r="389" ht="13.2"/>
    <row r="390" ht="13.2"/>
    <row r="391" ht="13.2"/>
    <row r="392" ht="13.2"/>
    <row r="393" ht="13.2"/>
    <row r="394" ht="13.2"/>
    <row r="395" ht="13.2"/>
    <row r="396" ht="13.2"/>
    <row r="397" ht="13.2"/>
    <row r="398" ht="13.2"/>
    <row r="399" ht="13.2"/>
    <row r="400" ht="13.2"/>
    <row r="401" ht="13.2"/>
    <row r="402" ht="13.2"/>
    <row r="403" ht="13.2"/>
    <row r="404" ht="13.2"/>
    <row r="405" ht="13.2"/>
    <row r="406" ht="13.2"/>
    <row r="407" ht="13.2"/>
    <row r="408" ht="13.2"/>
    <row r="409" ht="13.2"/>
    <row r="410" ht="13.2"/>
    <row r="411" ht="13.2"/>
    <row r="412" ht="13.2"/>
    <row r="413" ht="13.2"/>
    <row r="414" ht="13.2"/>
    <row r="415" ht="13.2"/>
    <row r="416" ht="13.2"/>
    <row r="417" ht="13.2"/>
    <row r="418" ht="13.2"/>
    <row r="419" ht="13.2"/>
    <row r="420" ht="13.2"/>
    <row r="421" ht="13.2"/>
    <row r="422" ht="13.2"/>
    <row r="423" ht="13.2"/>
    <row r="424" ht="13.2"/>
    <row r="425" ht="13.2"/>
    <row r="426" ht="13.2"/>
    <row r="427" ht="13.2"/>
    <row r="428" ht="13.2"/>
    <row r="429" ht="13.2"/>
    <row r="430" ht="13.2"/>
    <row r="431" ht="13.2"/>
    <row r="432" ht="13.2"/>
    <row r="433" ht="13.2"/>
    <row r="434" ht="13.2"/>
    <row r="435" ht="13.2"/>
    <row r="436" ht="13.2"/>
    <row r="437" ht="13.2"/>
    <row r="438" ht="13.2"/>
    <row r="439" ht="13.2"/>
    <row r="440" ht="13.2"/>
    <row r="441" ht="13.2"/>
    <row r="442" ht="13.2"/>
    <row r="443" ht="13.2"/>
    <row r="444" ht="13.2"/>
    <row r="445" ht="13.2"/>
    <row r="446" ht="13.2"/>
    <row r="447" ht="13.2"/>
    <row r="448" ht="13.2"/>
    <row r="449" ht="13.2"/>
    <row r="450" ht="13.2"/>
    <row r="451" ht="13.2"/>
    <row r="452" ht="13.2"/>
    <row r="453" ht="13.2"/>
    <row r="454" ht="13.2"/>
    <row r="455" ht="13.2"/>
    <row r="456" ht="13.2"/>
    <row r="457" ht="13.2"/>
    <row r="458" ht="13.2"/>
    <row r="459" ht="13.2"/>
    <row r="460" ht="13.2"/>
    <row r="461" ht="13.2"/>
    <row r="462" ht="13.2"/>
    <row r="463" ht="13.2"/>
    <row r="464" ht="13.2"/>
    <row r="465" ht="13.2"/>
    <row r="466" ht="13.2"/>
    <row r="467" ht="13.2"/>
    <row r="468" ht="13.2"/>
    <row r="469" ht="13.2"/>
    <row r="470" ht="13.2"/>
    <row r="471" ht="13.2"/>
    <row r="472" ht="13.2"/>
    <row r="473" ht="13.2"/>
    <row r="474" ht="13.2"/>
    <row r="475" ht="13.2"/>
    <row r="476" ht="13.2"/>
    <row r="477" ht="13.2"/>
    <row r="478" ht="13.2"/>
    <row r="479" ht="13.2"/>
    <row r="480" ht="13.2"/>
    <row r="481" ht="13.2"/>
    <row r="482" ht="13.2"/>
    <row r="483" ht="13.2"/>
    <row r="484" ht="13.2"/>
    <row r="485" ht="13.2"/>
    <row r="486" ht="13.2"/>
    <row r="487" ht="13.2"/>
    <row r="488" ht="13.2"/>
    <row r="489" ht="13.2"/>
    <row r="490" ht="13.2"/>
    <row r="491" ht="13.2"/>
    <row r="492" ht="13.2"/>
    <row r="493" ht="13.2"/>
    <row r="494" ht="13.2"/>
    <row r="495" ht="13.2"/>
    <row r="496" ht="13.2"/>
    <row r="497" ht="13.2"/>
    <row r="498" ht="13.2"/>
    <row r="499" ht="13.2"/>
    <row r="500" ht="13.2"/>
    <row r="501" ht="13.2"/>
    <row r="502" ht="13.2"/>
    <row r="503" ht="13.2"/>
    <row r="504" ht="13.2"/>
    <row r="505" ht="13.2"/>
    <row r="506" ht="13.2"/>
    <row r="507" ht="13.2"/>
    <row r="508" ht="13.2"/>
    <row r="509" ht="13.2"/>
    <row r="510" ht="13.2"/>
    <row r="511" ht="13.2"/>
    <row r="512" ht="13.2"/>
    <row r="513" ht="13.2"/>
    <row r="514" ht="13.2"/>
    <row r="515" ht="13.2"/>
    <row r="516" ht="13.2"/>
    <row r="517" ht="13.2"/>
    <row r="518" ht="13.2"/>
    <row r="519" ht="13.2"/>
    <row r="520" ht="13.2"/>
    <row r="521" ht="13.2"/>
    <row r="522" ht="13.2"/>
    <row r="523" ht="13.2"/>
    <row r="524" ht="13.2"/>
    <row r="525" ht="13.2"/>
    <row r="526" ht="13.2"/>
    <row r="527" ht="13.2"/>
    <row r="528" ht="13.2"/>
    <row r="529" ht="13.2"/>
    <row r="530" ht="13.2"/>
    <row r="531" ht="13.2"/>
    <row r="532" ht="13.2"/>
    <row r="533" ht="13.2"/>
    <row r="534" ht="13.2"/>
    <row r="535" ht="13.2"/>
    <row r="536" ht="13.2"/>
    <row r="537" ht="13.2"/>
    <row r="538" ht="13.2"/>
    <row r="539" ht="13.2"/>
    <row r="540" ht="13.2"/>
    <row r="541" ht="13.2"/>
    <row r="542" ht="13.2"/>
    <row r="543" ht="13.2"/>
    <row r="544" ht="13.2"/>
    <row r="545" ht="13.2"/>
    <row r="546" ht="13.2"/>
    <row r="547" ht="13.2"/>
    <row r="548" ht="13.2"/>
    <row r="549" ht="13.2"/>
    <row r="550" ht="13.2"/>
    <row r="551" ht="13.2"/>
    <row r="552" ht="13.2"/>
    <row r="553" ht="13.2"/>
    <row r="554" ht="13.2"/>
    <row r="555" ht="13.2"/>
    <row r="556" ht="13.2"/>
    <row r="557" ht="13.2"/>
    <row r="558" ht="13.2"/>
    <row r="559" ht="13.2"/>
    <row r="560" ht="13.2"/>
    <row r="561" ht="13.2"/>
    <row r="562" ht="13.2"/>
    <row r="563" ht="13.2"/>
    <row r="564" ht="13.2"/>
    <row r="565" ht="13.2"/>
    <row r="566" ht="13.2"/>
    <row r="567" ht="13.2"/>
    <row r="568" ht="13.2"/>
    <row r="569" ht="13.2"/>
    <row r="570" ht="13.2"/>
    <row r="571" ht="13.2"/>
    <row r="572" ht="13.2"/>
    <row r="573" ht="13.2"/>
    <row r="574" ht="13.2"/>
    <row r="575" ht="13.2"/>
    <row r="576" ht="13.2"/>
    <row r="577" ht="13.2"/>
    <row r="578" ht="13.2"/>
    <row r="579" ht="13.2"/>
    <row r="580" ht="13.2"/>
    <row r="581" ht="13.2"/>
    <row r="582" ht="13.2"/>
    <row r="583" ht="13.2"/>
    <row r="584" ht="13.2"/>
    <row r="585" ht="13.2"/>
    <row r="586" ht="13.2"/>
    <row r="587" ht="13.2"/>
    <row r="588" ht="13.2"/>
    <row r="589" ht="13.2"/>
    <row r="590" ht="13.2"/>
    <row r="591" ht="13.2"/>
    <row r="592" ht="13.2"/>
    <row r="593" ht="13.2"/>
    <row r="594" ht="13.2"/>
    <row r="595" ht="13.2"/>
    <row r="596" ht="13.2"/>
    <row r="597" ht="13.2"/>
    <row r="598" ht="13.2"/>
    <row r="599" ht="13.2"/>
    <row r="600" ht="13.2"/>
    <row r="601" ht="13.2"/>
    <row r="602" ht="13.2"/>
    <row r="603" ht="13.2"/>
    <row r="604" ht="13.2"/>
    <row r="605" ht="13.2"/>
    <row r="606" ht="13.2"/>
    <row r="607" ht="13.2"/>
    <row r="608" ht="13.2"/>
    <row r="609" ht="13.2"/>
    <row r="610" ht="13.2"/>
    <row r="611" ht="13.2"/>
    <row r="612" ht="13.2"/>
    <row r="613" ht="13.2"/>
    <row r="614" ht="13.2"/>
    <row r="615" ht="13.2"/>
    <row r="616" ht="13.2"/>
    <row r="617" ht="13.2"/>
    <row r="618" ht="13.2"/>
    <row r="619" ht="13.2"/>
    <row r="620" ht="13.2"/>
    <row r="621" ht="13.2"/>
    <row r="622" ht="13.2"/>
    <row r="623" ht="13.2"/>
    <row r="624" ht="13.2"/>
    <row r="625" ht="13.2"/>
    <row r="626" ht="13.2"/>
    <row r="627" ht="13.2"/>
    <row r="628" ht="13.2"/>
    <row r="629" ht="13.2"/>
    <row r="630" ht="13.2"/>
    <row r="631" ht="13.2"/>
    <row r="632" ht="13.2"/>
    <row r="633" ht="13.2"/>
    <row r="634" ht="13.2"/>
    <row r="635" ht="13.2"/>
    <row r="636" ht="13.2"/>
    <row r="637" ht="13.2"/>
    <row r="638" ht="13.2"/>
    <row r="639" ht="13.2"/>
    <row r="640" ht="13.2"/>
    <row r="641" ht="13.2"/>
    <row r="642" ht="13.2"/>
    <row r="643" ht="13.2"/>
    <row r="644" ht="13.2"/>
    <row r="645" ht="13.2"/>
    <row r="646" ht="13.2"/>
    <row r="647" ht="13.2"/>
    <row r="648" ht="13.2"/>
    <row r="649" ht="13.2"/>
    <row r="650" ht="13.2"/>
    <row r="651" ht="13.2"/>
    <row r="652" ht="13.2"/>
    <row r="653" ht="13.2"/>
    <row r="654" ht="13.2"/>
    <row r="655" ht="13.2"/>
    <row r="656" ht="13.2"/>
    <row r="657" ht="13.2"/>
    <row r="658" ht="13.2"/>
    <row r="659" ht="13.2"/>
    <row r="660" ht="13.2"/>
    <row r="661" ht="13.2"/>
    <row r="662" ht="13.2"/>
    <row r="663" ht="13.2"/>
    <row r="664" ht="13.2"/>
    <row r="665" ht="13.2"/>
    <row r="666" ht="13.2"/>
    <row r="667" ht="13.2"/>
    <row r="668" ht="13.2"/>
    <row r="669" ht="13.2"/>
    <row r="670" ht="13.2"/>
    <row r="671" ht="13.2"/>
    <row r="672" ht="13.2"/>
    <row r="673" ht="13.2"/>
    <row r="674" ht="13.2"/>
    <row r="675" ht="13.2"/>
    <row r="676" ht="13.2"/>
    <row r="677" ht="13.2"/>
    <row r="678" ht="13.2"/>
    <row r="679" ht="13.2"/>
    <row r="680" ht="13.2"/>
    <row r="681" ht="13.2"/>
    <row r="682" ht="13.2"/>
    <row r="683" ht="13.2"/>
    <row r="684" ht="13.2"/>
    <row r="685" ht="13.2"/>
    <row r="686" ht="13.2"/>
    <row r="687" ht="13.2"/>
    <row r="688" ht="13.2"/>
    <row r="689" ht="13.2"/>
    <row r="690" ht="13.2"/>
    <row r="691" ht="13.2"/>
    <row r="692" ht="13.2"/>
    <row r="693" ht="13.2"/>
    <row r="694" ht="13.2"/>
    <row r="695" ht="13.2"/>
    <row r="696" ht="13.2"/>
    <row r="697" ht="13.2"/>
    <row r="698" ht="13.2"/>
    <row r="699" ht="13.2"/>
    <row r="700" ht="13.2"/>
    <row r="701" ht="13.2"/>
    <row r="702" ht="13.2"/>
    <row r="703" ht="13.2"/>
    <row r="704" ht="13.2"/>
    <row r="705" ht="13.2"/>
    <row r="706" ht="13.2"/>
    <row r="707" ht="13.2"/>
    <row r="708" ht="13.2"/>
    <row r="709" ht="13.2"/>
    <row r="710" ht="13.2"/>
    <row r="711" ht="13.2"/>
    <row r="712" ht="13.2"/>
    <row r="713" ht="13.2"/>
    <row r="714" ht="13.2"/>
    <row r="715" ht="13.2"/>
    <row r="716" ht="13.2"/>
    <row r="717" ht="13.2"/>
    <row r="718" ht="13.2"/>
    <row r="719" ht="13.2"/>
    <row r="720" ht="13.2"/>
    <row r="721" ht="13.2"/>
    <row r="722" ht="13.2"/>
    <row r="723" ht="13.2"/>
    <row r="724" ht="13.2"/>
    <row r="725" ht="13.2"/>
    <row r="726" ht="13.2"/>
    <row r="727" ht="13.2"/>
    <row r="728" ht="13.2"/>
    <row r="729" ht="13.2"/>
    <row r="730" ht="13.2"/>
    <row r="731" ht="13.2"/>
    <row r="732" ht="13.2"/>
    <row r="733" ht="13.2"/>
    <row r="734" ht="13.2"/>
    <row r="735" ht="13.2"/>
    <row r="736" ht="13.2"/>
    <row r="737" ht="13.2"/>
    <row r="738" ht="13.2"/>
    <row r="739" ht="13.2"/>
    <row r="740" ht="13.2"/>
    <row r="741" ht="13.2"/>
    <row r="742" ht="13.2"/>
    <row r="743" ht="13.2"/>
    <row r="744" ht="13.2"/>
    <row r="745" ht="13.2"/>
    <row r="746" ht="13.2"/>
    <row r="747" ht="13.2"/>
    <row r="748" ht="13.2"/>
    <row r="749" ht="13.2"/>
    <row r="750" ht="13.2"/>
    <row r="751" ht="13.2"/>
    <row r="752" ht="13.2"/>
    <row r="753" ht="13.2"/>
    <row r="754" ht="13.2"/>
    <row r="755" ht="13.2"/>
    <row r="756" ht="13.2"/>
    <row r="757" ht="13.2"/>
    <row r="758" ht="13.2"/>
    <row r="759" ht="13.2"/>
    <row r="760" ht="13.2"/>
    <row r="761" ht="13.2"/>
    <row r="762" ht="13.2"/>
    <row r="763" ht="13.2"/>
    <row r="764" ht="13.2"/>
    <row r="765" ht="13.2"/>
    <row r="766" ht="13.2"/>
    <row r="767" ht="13.2"/>
    <row r="768" ht="13.2"/>
    <row r="769" ht="13.2"/>
    <row r="770" ht="13.2"/>
    <row r="771" ht="13.2"/>
    <row r="772" ht="13.2"/>
    <row r="773" ht="13.2"/>
    <row r="774" ht="13.2"/>
    <row r="775" ht="13.2"/>
    <row r="776" ht="13.2"/>
    <row r="777" ht="13.2"/>
    <row r="778" ht="13.2"/>
    <row r="779" ht="13.2"/>
    <row r="780" ht="13.2"/>
    <row r="781" ht="13.2"/>
    <row r="782" ht="13.2"/>
    <row r="783" ht="13.2"/>
    <row r="784" ht="13.2"/>
    <row r="785" ht="13.2"/>
    <row r="786" ht="13.2"/>
    <row r="787" ht="13.2"/>
    <row r="788" ht="13.2"/>
    <row r="789" ht="13.2"/>
    <row r="790" ht="13.2"/>
    <row r="791" ht="13.2"/>
    <row r="792" ht="13.2"/>
    <row r="793" ht="13.2"/>
    <row r="794" ht="13.2"/>
    <row r="795" ht="13.2"/>
    <row r="796" ht="13.2"/>
    <row r="797" ht="13.2"/>
    <row r="798" ht="13.2"/>
    <row r="799" ht="13.2"/>
    <row r="800" ht="13.2"/>
    <row r="801" ht="13.2"/>
    <row r="802" ht="13.2"/>
    <row r="803" ht="13.2"/>
    <row r="804" ht="13.2"/>
    <row r="805" ht="13.2"/>
    <row r="806" ht="13.2"/>
    <row r="807" ht="13.2"/>
    <row r="808" ht="13.2"/>
    <row r="809" ht="13.2"/>
    <row r="810" ht="13.2"/>
    <row r="811" ht="13.2"/>
    <row r="812" ht="13.2"/>
    <row r="813" ht="13.2"/>
    <row r="814" ht="13.2"/>
    <row r="815" ht="13.2"/>
    <row r="816" ht="13.2"/>
    <row r="817" ht="13.2"/>
    <row r="818" ht="13.2"/>
    <row r="819" ht="13.2"/>
    <row r="820" ht="13.2"/>
    <row r="821" ht="13.2"/>
    <row r="822" ht="13.2"/>
    <row r="823" ht="13.2"/>
    <row r="824" ht="13.2"/>
    <row r="825" ht="13.2"/>
    <row r="826" ht="13.2"/>
    <row r="827" ht="13.2"/>
    <row r="828" ht="13.2"/>
    <row r="829" ht="13.2"/>
    <row r="830" ht="13.2"/>
    <row r="831" ht="13.2"/>
    <row r="832" ht="13.2"/>
    <row r="833" ht="13.2"/>
    <row r="834" ht="13.2"/>
    <row r="835" ht="13.2"/>
    <row r="836" ht="13.2"/>
    <row r="837" ht="13.2"/>
    <row r="838" ht="13.2"/>
    <row r="839" ht="13.2"/>
    <row r="840" ht="13.2"/>
    <row r="841" ht="13.2"/>
    <row r="842" ht="13.2"/>
    <row r="843" ht="13.2"/>
    <row r="844" ht="13.2"/>
    <row r="845" ht="13.2"/>
    <row r="846" ht="13.2"/>
    <row r="847" ht="13.2"/>
    <row r="848" ht="13.2"/>
    <row r="849" ht="13.2"/>
    <row r="850" ht="13.2"/>
    <row r="851" ht="13.2"/>
    <row r="852" ht="13.2"/>
    <row r="853" ht="13.2"/>
    <row r="854" ht="13.2"/>
    <row r="855" ht="13.2"/>
    <row r="856" ht="13.2"/>
    <row r="857" ht="13.2"/>
    <row r="858" ht="13.2"/>
    <row r="859" ht="13.2"/>
    <row r="860" ht="13.2"/>
    <row r="861" ht="13.2"/>
    <row r="862" ht="13.2"/>
    <row r="863" ht="13.2"/>
    <row r="864" ht="13.2"/>
    <row r="865" ht="13.2"/>
    <row r="866" ht="13.2"/>
    <row r="867" ht="13.2"/>
    <row r="868" ht="13.2"/>
    <row r="869" ht="13.2"/>
    <row r="870" ht="13.2"/>
    <row r="871" ht="13.2"/>
    <row r="872" ht="13.2"/>
    <row r="873" ht="13.2"/>
    <row r="874" ht="13.2"/>
    <row r="875" ht="13.2"/>
    <row r="876" ht="13.2"/>
    <row r="877" ht="13.2"/>
    <row r="878" ht="13.2"/>
    <row r="879" ht="13.2"/>
    <row r="880" ht="13.2"/>
    <row r="881" ht="13.2"/>
    <row r="882" ht="13.2"/>
    <row r="883" ht="13.2"/>
    <row r="884" ht="13.2"/>
    <row r="885" ht="13.2"/>
    <row r="886" ht="13.2"/>
    <row r="887" ht="13.2"/>
    <row r="888" ht="13.2"/>
    <row r="889" ht="13.2"/>
    <row r="890" ht="13.2"/>
    <row r="891" ht="13.2"/>
    <row r="892" ht="13.2"/>
    <row r="893" ht="13.2"/>
    <row r="894" ht="13.2"/>
    <row r="895" ht="13.2"/>
    <row r="896" ht="13.2"/>
    <row r="897" ht="13.2"/>
    <row r="898" ht="13.2"/>
    <row r="899" ht="13.2"/>
    <row r="900" ht="13.2"/>
    <row r="901" ht="13.2"/>
    <row r="902" ht="13.2"/>
    <row r="903" ht="13.2"/>
    <row r="904" ht="13.2"/>
    <row r="905" ht="13.2"/>
    <row r="906" ht="13.2"/>
    <row r="907" ht="13.2"/>
    <row r="908" ht="13.2"/>
    <row r="909" ht="13.2"/>
    <row r="910" ht="13.2"/>
    <row r="911" ht="13.2"/>
    <row r="912" ht="13.2"/>
    <row r="913" ht="13.2"/>
    <row r="914" ht="13.2"/>
    <row r="915" ht="13.2"/>
    <row r="916" ht="13.2"/>
    <row r="917" ht="13.2"/>
    <row r="918" ht="13.2"/>
    <row r="919" ht="13.2"/>
    <row r="920" ht="13.2"/>
    <row r="921" ht="13.2"/>
    <row r="922" ht="13.2"/>
    <row r="923" ht="13.2"/>
    <row r="924" ht="13.2"/>
    <row r="925" ht="13.2"/>
    <row r="926" ht="13.2"/>
    <row r="927" ht="13.2"/>
    <row r="928" ht="13.2"/>
    <row r="929" ht="13.2"/>
    <row r="930" ht="13.2"/>
    <row r="931" ht="13.2"/>
    <row r="932" ht="13.2"/>
    <row r="933" ht="13.2"/>
    <row r="934" ht="13.2"/>
    <row r="935" ht="13.2"/>
    <row r="936" ht="13.2"/>
    <row r="937" ht="13.2"/>
    <row r="938" ht="13.2"/>
    <row r="939" ht="13.2"/>
    <row r="940" ht="13.2"/>
    <row r="941" ht="13.2"/>
    <row r="942" ht="13.2"/>
    <row r="943" ht="13.2"/>
  </sheetData>
  <mergeCells count="1">
    <mergeCell ref="A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23</vt:i4>
      </vt:variant>
      <vt:variant>
        <vt:lpstr>Именованные диапазоны</vt:lpstr>
      </vt:variant>
      <vt:variant>
        <vt:i4>1</vt:i4>
      </vt:variant>
    </vt:vector>
  </HeadingPairs>
  <TitlesOfParts>
    <vt:vector size="24" baseType="lpstr">
      <vt:lpstr>Прогноз выручки</vt:lpstr>
      <vt:lpstr>План</vt:lpstr>
      <vt:lpstr>Осн. Показ</vt:lpstr>
      <vt:lpstr>Штат</vt:lpstr>
      <vt:lpstr>Пост.Расх</vt:lpstr>
      <vt:lpstr>CAPEX</vt:lpstr>
      <vt:lpstr>Осн.Показ</vt:lpstr>
      <vt:lpstr>VR курсы</vt:lpstr>
      <vt:lpstr>Пр.ком.расх</vt:lpstr>
      <vt:lpstr>Перем.Расх</vt:lpstr>
      <vt:lpstr>Расх перс</vt:lpstr>
      <vt:lpstr>Запасы</vt:lpstr>
      <vt:lpstr>ДебитЗадолж</vt:lpstr>
      <vt:lpstr>КредЗадолж</vt:lpstr>
      <vt:lpstr>капитал</vt:lpstr>
      <vt:lpstr>TAU Tracker</vt:lpstr>
      <vt:lpstr>TAU Easy</vt:lpstr>
      <vt:lpstr>TAU Haptic</vt:lpstr>
      <vt:lpstr>TAU Suit</vt:lpstr>
      <vt:lpstr>Конкуренты</vt:lpstr>
      <vt:lpstr>CustDev</vt:lpstr>
      <vt:lpstr>Рынок</vt:lpstr>
      <vt:lpstr>Лист1</vt:lpstr>
      <vt:lpstr>'Осн. Показ'!solver_opt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Зайцев</dc:creator>
  <cp:lastModifiedBy>l.kotova</cp:lastModifiedBy>
  <dcterms:created xsi:type="dcterms:W3CDTF">2014-05-07T20:19:28Z</dcterms:created>
  <dcterms:modified xsi:type="dcterms:W3CDTF">2024-02-05T04:46:52Z</dcterms:modified>
</cp:coreProperties>
</file>