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filterPrivacy="1" defaultThemeVersion="124226"/>
  <xr:revisionPtr revIDLastSave="0" documentId="8_{ADEC6C80-9ED9-40FF-8712-AE8EEE930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проекта" sheetId="2" r:id="rId1"/>
    <sheet name="EBITDA" sheetId="15" r:id="rId2"/>
    <sheet name="ROI" sheetId="16" r:id="rId3"/>
  </sheets>
  <externalReferences>
    <externalReference r:id="rId4"/>
    <externalReference r:id="rId5"/>
  </externalReferences>
  <definedNames>
    <definedName name="bk">[1]cart!$AW$1:$AW$4</definedName>
    <definedName name="cur">[2]Резюме!$BA$1:$BA$6</definedName>
    <definedName name="EUR">39</definedName>
    <definedName name="f" localSheetId="0">#REF!</definedName>
    <definedName name="f">#REF!</definedName>
    <definedName name="g" localSheetId="0">#REF!</definedName>
    <definedName name="g">#REF!</definedName>
    <definedName name="in">[1]cart!$AY$1:$AY$4</definedName>
    <definedName name="m" localSheetId="0">#REF!</definedName>
    <definedName name="m">#REF!</definedName>
    <definedName name="op">[1]cart!$AT$1:$AT$9</definedName>
    <definedName name="rko">[1]cart!$BA$1:$BA$2</definedName>
    <definedName name="rr" localSheetId="0">#REF!</definedName>
    <definedName name="rr">#REF!</definedName>
    <definedName name="RUR">1</definedName>
    <definedName name="USD">30</definedName>
    <definedName name="vk">[1]cart!$AX$1:$AX$3</definedName>
    <definedName name="zero">[1]cart!$BB$1:$BB$7</definedName>
    <definedName name="_xlnm.Print_Titles" localSheetId="0">'Расчет проекта'!$A:$A</definedName>
    <definedName name="_xlnm.Print_Area" localSheetId="0">'Расчет проекта'!$A$1:$AG$64</definedName>
    <definedName name="с" localSheetId="0">#REF!</definedName>
    <definedName name="с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2" l="1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C2" i="15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C39" i="2"/>
  <c r="Z42" i="2"/>
  <c r="AA42" i="2"/>
  <c r="AB42" i="2"/>
  <c r="AC42" i="2"/>
  <c r="AD42" i="2"/>
  <c r="AE42" i="2"/>
  <c r="AF42" i="2"/>
  <c r="AG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C42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D30" i="2"/>
  <c r="E30" i="2"/>
  <c r="F30" i="2"/>
  <c r="G30" i="2"/>
  <c r="H30" i="2"/>
  <c r="I30" i="2"/>
  <c r="J30" i="2"/>
  <c r="K30" i="2"/>
  <c r="D2" i="16"/>
  <c r="AH33" i="2"/>
  <c r="AH34" i="2"/>
  <c r="AH35" i="2"/>
  <c r="AH36" i="2"/>
  <c r="AH39" i="2"/>
  <c r="AH41" i="2"/>
  <c r="AH46" i="2"/>
  <c r="AH44" i="2"/>
  <c r="AH42" i="2"/>
  <c r="AH47" i="2"/>
  <c r="AH49" i="2"/>
  <c r="AH50" i="2"/>
  <c r="AH5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T38" i="2"/>
  <c r="U38" i="2"/>
  <c r="V38" i="2"/>
  <c r="W38" i="2"/>
  <c r="X38" i="2"/>
  <c r="Y38" i="2"/>
  <c r="Z38" i="2"/>
  <c r="AA38" i="2"/>
  <c r="AG38" i="2"/>
  <c r="AF38" i="2"/>
  <c r="AE38" i="2"/>
  <c r="AD38" i="2"/>
  <c r="AC38" i="2"/>
  <c r="AB38" i="2"/>
  <c r="M38" i="2"/>
  <c r="N38" i="2"/>
  <c r="O38" i="2"/>
  <c r="P38" i="2"/>
  <c r="Q38" i="2"/>
  <c r="R38" i="2"/>
  <c r="S38" i="2"/>
  <c r="D38" i="2"/>
  <c r="E38" i="2"/>
  <c r="F38" i="2"/>
  <c r="G38" i="2"/>
  <c r="H38" i="2"/>
  <c r="I38" i="2"/>
  <c r="J38" i="2"/>
  <c r="K38" i="2"/>
  <c r="L38" i="2"/>
  <c r="C38" i="2"/>
  <c r="D40" i="2"/>
  <c r="E40" i="2"/>
  <c r="F40" i="2"/>
  <c r="G40" i="2"/>
  <c r="H40" i="2"/>
  <c r="I40" i="2"/>
  <c r="J40" i="2"/>
  <c r="K40" i="2"/>
  <c r="C40" i="2"/>
  <c r="L37" i="2"/>
  <c r="L43" i="2" s="1"/>
  <c r="M37" i="2"/>
  <c r="M43" i="2" s="1"/>
  <c r="N37" i="2"/>
  <c r="N43" i="2" s="1"/>
  <c r="O37" i="2"/>
  <c r="O43" i="2" s="1"/>
  <c r="P37" i="2"/>
  <c r="P43" i="2" s="1"/>
  <c r="Q37" i="2"/>
  <c r="Q43" i="2" s="1"/>
  <c r="D37" i="2"/>
  <c r="D43" i="2" s="1"/>
  <c r="E37" i="2"/>
  <c r="E43" i="2" s="1"/>
  <c r="F37" i="2"/>
  <c r="F43" i="2" s="1"/>
  <c r="G37" i="2"/>
  <c r="G43" i="2" s="1"/>
  <c r="H37" i="2"/>
  <c r="H43" i="2" s="1"/>
  <c r="I37" i="2"/>
  <c r="I43" i="2" s="1"/>
  <c r="J37" i="2"/>
  <c r="J43" i="2" s="1"/>
  <c r="K37" i="2"/>
  <c r="K43" i="2" s="1"/>
  <c r="C37" i="2"/>
  <c r="P31" i="2"/>
  <c r="P32" i="2" s="1"/>
  <c r="Q31" i="2"/>
  <c r="Q32" i="2" s="1"/>
  <c r="J31" i="2"/>
  <c r="J32" i="2" s="1"/>
  <c r="K31" i="2"/>
  <c r="K32" i="2" s="1"/>
  <c r="L31" i="2"/>
  <c r="L32" i="2" s="1"/>
  <c r="M31" i="2"/>
  <c r="M32" i="2" s="1"/>
  <c r="N31" i="2"/>
  <c r="N32" i="2" s="1"/>
  <c r="O31" i="2"/>
  <c r="O32" i="2" s="1"/>
  <c r="D31" i="2"/>
  <c r="D32" i="2" s="1"/>
  <c r="E31" i="2"/>
  <c r="E32" i="2" s="1"/>
  <c r="F31" i="2"/>
  <c r="F32" i="2" s="1"/>
  <c r="G31" i="2"/>
  <c r="G32" i="2" s="1"/>
  <c r="H31" i="2"/>
  <c r="H32" i="2" s="1"/>
  <c r="I31" i="2"/>
  <c r="I32" i="2" s="1"/>
  <c r="C31" i="2"/>
  <c r="A17" i="2"/>
  <c r="A19" i="2"/>
  <c r="C43" i="2" l="1"/>
  <c r="AH37" i="2"/>
  <c r="S43" i="2"/>
  <c r="R43" i="2"/>
  <c r="V43" i="2"/>
  <c r="U43" i="2"/>
  <c r="T43" i="2"/>
  <c r="R32" i="2"/>
  <c r="T32" i="2"/>
  <c r="U32" i="2"/>
  <c r="V32" i="2"/>
  <c r="X32" i="2"/>
  <c r="Y32" i="2"/>
  <c r="Z32" i="2"/>
  <c r="AC32" i="2"/>
  <c r="AD32" i="2"/>
  <c r="AF32" i="2"/>
  <c r="AG32" i="2"/>
  <c r="W32" i="2"/>
  <c r="AA32" i="2"/>
  <c r="AE32" i="2"/>
  <c r="S32" i="2"/>
  <c r="AB32" i="2"/>
  <c r="C32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J16" i="2" l="1"/>
  <c r="K16" i="2"/>
  <c r="B16" i="2"/>
  <c r="B29" i="2" s="1"/>
  <c r="M9" i="2"/>
  <c r="B32" i="2"/>
  <c r="AH16" i="2" l="1"/>
  <c r="C29" i="2"/>
  <c r="D29" i="2" s="1"/>
  <c r="E29" i="2" s="1"/>
  <c r="F29" i="2" s="1"/>
  <c r="G29" i="2" s="1"/>
  <c r="H29" i="2" s="1"/>
  <c r="I29" i="2" s="1"/>
  <c r="J29" i="2" s="1"/>
  <c r="K29" i="2" s="1"/>
  <c r="L29" i="2" l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AA29" i="2" s="1"/>
  <c r="AB29" i="2" s="1"/>
  <c r="AC29" i="2" s="1"/>
  <c r="AD29" i="2" s="1"/>
  <c r="AE29" i="2" s="1"/>
  <c r="AF29" i="2" s="1"/>
  <c r="AG29" i="2" s="1"/>
  <c r="B43" i="2"/>
  <c r="B45" i="2" s="1"/>
  <c r="D45" i="2" l="1"/>
  <c r="B48" i="2"/>
  <c r="C45" i="2"/>
  <c r="C48" i="2" l="1"/>
  <c r="E45" i="2"/>
  <c r="D48" i="2"/>
  <c r="C52" i="2"/>
  <c r="B52" i="2"/>
  <c r="B54" i="2" s="1"/>
  <c r="B55" i="2" s="1"/>
  <c r="AH30" i="2" l="1"/>
  <c r="C54" i="2"/>
  <c r="F45" i="2"/>
  <c r="E48" i="2"/>
  <c r="D52" i="2"/>
  <c r="C55" i="2"/>
  <c r="AH40" i="2" l="1"/>
  <c r="F48" i="2"/>
  <c r="F52" i="2" s="1"/>
  <c r="E52" i="2"/>
  <c r="G45" i="2"/>
  <c r="D54" i="2"/>
  <c r="AH31" i="2" l="1"/>
  <c r="AH38" i="2"/>
  <c r="H45" i="2"/>
  <c r="G48" i="2"/>
  <c r="E54" i="2"/>
  <c r="D55" i="2"/>
  <c r="AH32" i="2" l="1"/>
  <c r="H48" i="2"/>
  <c r="I45" i="2"/>
  <c r="G52" i="2"/>
  <c r="E55" i="2"/>
  <c r="F54" i="2"/>
  <c r="H52" i="2" l="1"/>
  <c r="J45" i="2"/>
  <c r="I48" i="2"/>
  <c r="F55" i="2"/>
  <c r="G54" i="2"/>
  <c r="J48" i="2" l="1"/>
  <c r="K45" i="2"/>
  <c r="I52" i="2"/>
  <c r="G55" i="2"/>
  <c r="H54" i="2"/>
  <c r="J52" i="2" l="1"/>
  <c r="L45" i="2"/>
  <c r="K48" i="2"/>
  <c r="I54" i="2"/>
  <c r="H55" i="2"/>
  <c r="L48" i="2" l="1"/>
  <c r="M45" i="2"/>
  <c r="K52" i="2"/>
  <c r="J54" i="2"/>
  <c r="I55" i="2"/>
  <c r="L52" i="2" l="1"/>
  <c r="M48" i="2"/>
  <c r="N45" i="2"/>
  <c r="J55" i="2"/>
  <c r="K54" i="2"/>
  <c r="O45" i="2" l="1"/>
  <c r="O48" i="2" s="1"/>
  <c r="M52" i="2"/>
  <c r="K55" i="2"/>
  <c r="L54" i="2"/>
  <c r="N48" i="2"/>
  <c r="O52" i="2"/>
  <c r="P45" i="2" l="1"/>
  <c r="N52" i="2"/>
  <c r="L55" i="2"/>
  <c r="M54" i="2"/>
  <c r="Q45" i="2" l="1"/>
  <c r="P48" i="2"/>
  <c r="M55" i="2"/>
  <c r="N54" i="2"/>
  <c r="Q48" i="2" l="1"/>
  <c r="R45" i="2"/>
  <c r="P52" i="2"/>
  <c r="O54" i="2"/>
  <c r="N55" i="2"/>
  <c r="Q52" i="2" l="1"/>
  <c r="R48" i="2"/>
  <c r="S45" i="2"/>
  <c r="O55" i="2"/>
  <c r="P54" i="2"/>
  <c r="T45" i="2" l="1"/>
  <c r="R52" i="2"/>
  <c r="S48" i="2"/>
  <c r="Q54" i="2"/>
  <c r="P55" i="2"/>
  <c r="T48" i="2" l="1"/>
  <c r="U45" i="2"/>
  <c r="S52" i="2"/>
  <c r="Q55" i="2"/>
  <c r="R54" i="2"/>
  <c r="T52" i="2" l="1"/>
  <c r="V45" i="2"/>
  <c r="U48" i="2"/>
  <c r="V48" i="2"/>
  <c r="R55" i="2"/>
  <c r="S54" i="2"/>
  <c r="W43" i="2"/>
  <c r="V52" i="2"/>
  <c r="W45" i="2" l="1"/>
  <c r="U52" i="2"/>
  <c r="T54" i="2"/>
  <c r="S55" i="2"/>
  <c r="X43" i="2"/>
  <c r="X45" i="2" l="1"/>
  <c r="W48" i="2"/>
  <c r="T55" i="2"/>
  <c r="U54" i="2"/>
  <c r="Y43" i="2"/>
  <c r="X48" i="2" l="1"/>
  <c r="Y45" i="2"/>
  <c r="W52" i="2"/>
  <c r="U55" i="2"/>
  <c r="V54" i="2"/>
  <c r="Z43" i="2"/>
  <c r="X52" i="2" l="1"/>
  <c r="Z45" i="2"/>
  <c r="Y48" i="2"/>
  <c r="V55" i="2"/>
  <c r="W54" i="2"/>
  <c r="AA43" i="2"/>
  <c r="Z48" i="2" l="1"/>
  <c r="AA45" i="2"/>
  <c r="Y52" i="2"/>
  <c r="W55" i="2"/>
  <c r="X54" i="2"/>
  <c r="AB43" i="2"/>
  <c r="Z52" i="2" l="1"/>
  <c r="AB45" i="2"/>
  <c r="AA48" i="2"/>
  <c r="Y54" i="2"/>
  <c r="X55" i="2"/>
  <c r="AC43" i="2"/>
  <c r="AB48" i="2" l="1"/>
  <c r="AC45" i="2"/>
  <c r="AA52" i="2"/>
  <c r="Y55" i="2"/>
  <c r="Z54" i="2"/>
  <c r="AD43" i="2"/>
  <c r="AB52" i="2" l="1"/>
  <c r="AD45" i="2"/>
  <c r="AC48" i="2"/>
  <c r="AA54" i="2"/>
  <c r="Z55" i="2"/>
  <c r="AE43" i="2"/>
  <c r="AD48" i="2" l="1"/>
  <c r="AE45" i="2"/>
  <c r="AC52" i="2"/>
  <c r="AB54" i="2"/>
  <c r="AA55" i="2"/>
  <c r="AF43" i="2"/>
  <c r="AD52" i="2" l="1"/>
  <c r="AF45" i="2"/>
  <c r="AE48" i="2"/>
  <c r="AB55" i="2"/>
  <c r="AC54" i="2"/>
  <c r="AG43" i="2"/>
  <c r="AF48" i="2" l="1"/>
  <c r="AG45" i="2"/>
  <c r="AE52" i="2"/>
  <c r="AD54" i="2"/>
  <c r="AC55" i="2"/>
  <c r="AF52" i="2" l="1"/>
  <c r="AG48" i="2"/>
  <c r="AD55" i="2"/>
  <c r="AE54" i="2"/>
  <c r="AG52" i="2" l="1"/>
  <c r="AE55" i="2"/>
  <c r="AF54" i="2"/>
  <c r="AG54" i="2" l="1"/>
  <c r="AF55" i="2"/>
  <c r="AG55" i="2" l="1"/>
  <c r="AH43" i="2"/>
  <c r="AH45" i="2" l="1"/>
  <c r="AH48" i="2" l="1"/>
  <c r="AH52" i="2" l="1"/>
  <c r="AH5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1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ВСЕ ДАННЫЕ ЗАПОЛНЯЮТСЯ ТОЛЬКО В РУБЛЯХ 
(не тысячи и не миллионы)</t>
        </r>
      </text>
    </comment>
  </commentList>
</comments>
</file>

<file path=xl/sharedStrings.xml><?xml version="1.0" encoding="utf-8"?>
<sst xmlns="http://schemas.openxmlformats.org/spreadsheetml/2006/main" count="55" uniqueCount="51">
  <si>
    <t>План финансирования проекта</t>
  </si>
  <si>
    <t>* стоимость, доставка, таможня, монтаж, создание запаса сырья, и т.п.                                                                      RUR</t>
  </si>
  <si>
    <t>Инвестиции / товар или услуги приобретаемые (перечислить расходы)</t>
  </si>
  <si>
    <t>период вложений</t>
  </si>
  <si>
    <t>Привлекаемые средства</t>
  </si>
  <si>
    <t>Собственные средства</t>
  </si>
  <si>
    <t>Закупка материалов/товаров</t>
  </si>
  <si>
    <t>аренда</t>
  </si>
  <si>
    <t xml:space="preserve">Пополнение оборотных средств </t>
  </si>
  <si>
    <t>ИТОГО</t>
  </si>
  <si>
    <t>уже осуществленные вложения (при наличии)</t>
  </si>
  <si>
    <t>Расчет проекта (руб.)</t>
  </si>
  <si>
    <t>Месяц :</t>
  </si>
  <si>
    <t>Вложения/план финансирования (перечислить расходы)</t>
  </si>
  <si>
    <t>Аккумулированные вложения</t>
  </si>
  <si>
    <t>Выручка от продаж</t>
  </si>
  <si>
    <t xml:space="preserve">Себестоиомсть </t>
  </si>
  <si>
    <t>Валовая прибыль</t>
  </si>
  <si>
    <t>Расходы, связанные только с реализацией проекта, в т.ч.:</t>
  </si>
  <si>
    <t>Зарплата с начислениями</t>
  </si>
  <si>
    <t>Аренда и коммунальные</t>
  </si>
  <si>
    <t>Транспортные расходы</t>
  </si>
  <si>
    <t>Реклама и маркетинг</t>
  </si>
  <si>
    <t>КВ</t>
  </si>
  <si>
    <t>Реконструкция зданий,облагоустройство</t>
  </si>
  <si>
    <t>Налоги</t>
  </si>
  <si>
    <t>Выплаты % дивиденды</t>
  </si>
  <si>
    <t>Постановка на кадастр, юр.сопровождение</t>
  </si>
  <si>
    <t xml:space="preserve">ИТОГО </t>
  </si>
  <si>
    <t>Результат основной деятельности</t>
  </si>
  <si>
    <t>Прочие доходы</t>
  </si>
  <si>
    <t xml:space="preserve">Прочие расходы </t>
  </si>
  <si>
    <t>Операционная прибыль</t>
  </si>
  <si>
    <t>выплаты основного долга по кредитам</t>
  </si>
  <si>
    <t>выплаты основного долга по займам</t>
  </si>
  <si>
    <t>выплаты лизинговых платежей</t>
  </si>
  <si>
    <t>Чистая прибыль</t>
  </si>
  <si>
    <t>Аккумулированная прибыль</t>
  </si>
  <si>
    <t>Окупаемость проекта</t>
  </si>
  <si>
    <t>2 года</t>
  </si>
  <si>
    <t>Прибыль до налогооблажения</t>
  </si>
  <si>
    <t>Общий объем вложений</t>
  </si>
  <si>
    <t>EBITDA</t>
  </si>
  <si>
    <t>NPV, тыс. руб.</t>
  </si>
  <si>
    <t>IRR</t>
  </si>
  <si>
    <t>Срок</t>
  </si>
  <si>
    <t>2,5 года</t>
  </si>
  <si>
    <t>Ставка дисконтирования - 20%</t>
  </si>
  <si>
    <t>Расчет ROI производится по следующей формуле: (Чистая прибыль/Объем инвестиции)*100%</t>
  </si>
  <si>
    <t>Объем инвестиций</t>
  </si>
  <si>
    <t>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</si>
</sst>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#,##0.00\ &quot;₽&quot;"/>
  </numFmts>
  <fonts count="2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22"/>
      <name val="Arial"/>
      <family val="2"/>
      <charset val="204"/>
    </font>
    <font>
      <sz val="10"/>
      <name val="Arial Cyr"/>
    </font>
    <font>
      <b/>
      <sz val="9"/>
      <name val="Arial Cyr"/>
      <family val="2"/>
      <charset val="204"/>
    </font>
    <font>
      <sz val="16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2"/>
      <color indexed="12"/>
      <name val="Arial Cyr"/>
      <family val="2"/>
      <charset val="204"/>
    </font>
    <font>
      <b/>
      <sz val="12"/>
      <name val="Arial Cyr"/>
      <charset val="204"/>
    </font>
    <font>
      <sz val="12"/>
      <color indexed="9"/>
      <name val="Arial Cyr"/>
      <family val="2"/>
      <charset val="204"/>
    </font>
    <font>
      <b/>
      <sz val="8"/>
      <color indexed="81"/>
      <name val="Tahoma"/>
      <family val="2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 Cyr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2" fontId="8" fillId="0" borderId="0"/>
  </cellStyleXfs>
  <cellXfs count="136">
    <xf numFmtId="0" fontId="0" fillId="0" borderId="0" xfId="0"/>
    <xf numFmtId="0" fontId="1" fillId="2" borderId="0" xfId="1" applyFill="1"/>
    <xf numFmtId="0" fontId="1" fillId="2" borderId="0" xfId="2" applyFill="1"/>
    <xf numFmtId="0" fontId="1" fillId="2" borderId="0" xfId="1" applyFill="1" applyProtection="1">
      <protection locked="0"/>
    </xf>
    <xf numFmtId="0" fontId="1" fillId="2" borderId="0" xfId="2" applyFill="1" applyProtection="1">
      <protection locked="0"/>
    </xf>
    <xf numFmtId="164" fontId="4" fillId="2" borderId="1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1" fontId="10" fillId="2" borderId="0" xfId="3" applyNumberFormat="1" applyFont="1" applyFill="1"/>
    <xf numFmtId="1" fontId="13" fillId="2" borderId="0" xfId="3" applyNumberFormat="1" applyFont="1" applyFill="1"/>
    <xf numFmtId="1" fontId="14" fillId="2" borderId="3" xfId="3" applyNumberFormat="1" applyFont="1" applyFill="1" applyBorder="1" applyAlignment="1">
      <alignment horizontal="center"/>
    </xf>
    <xf numFmtId="1" fontId="14" fillId="2" borderId="4" xfId="3" applyNumberFormat="1" applyFont="1" applyFill="1" applyBorder="1" applyAlignment="1">
      <alignment horizontal="center"/>
    </xf>
    <xf numFmtId="1" fontId="14" fillId="2" borderId="5" xfId="3" applyNumberFormat="1" applyFont="1" applyFill="1" applyBorder="1" applyAlignment="1">
      <alignment horizontal="center"/>
    </xf>
    <xf numFmtId="1" fontId="14" fillId="2" borderId="6" xfId="3" applyNumberFormat="1" applyFont="1" applyFill="1" applyBorder="1" applyAlignment="1">
      <alignment horizontal="center"/>
    </xf>
    <xf numFmtId="1" fontId="4" fillId="2" borderId="1" xfId="3" applyNumberFormat="1" applyFont="1" applyFill="1" applyBorder="1" applyAlignment="1">
      <alignment horizontal="left" wrapText="1"/>
    </xf>
    <xf numFmtId="1" fontId="5" fillId="2" borderId="1" xfId="3" applyNumberFormat="1" applyFont="1" applyFill="1" applyBorder="1" applyAlignment="1" applyProtection="1">
      <alignment horizontal="left" wrapText="1"/>
      <protection locked="0"/>
    </xf>
    <xf numFmtId="1" fontId="5" fillId="2" borderId="1" xfId="3" applyNumberFormat="1" applyFont="1" applyFill="1" applyBorder="1" applyAlignment="1" applyProtection="1">
      <alignment horizontal="left"/>
      <protection locked="0"/>
    </xf>
    <xf numFmtId="1" fontId="4" fillId="2" borderId="1" xfId="3" applyNumberFormat="1" applyFont="1" applyFill="1" applyBorder="1" applyAlignment="1" applyProtection="1">
      <alignment horizontal="left"/>
      <protection locked="0"/>
    </xf>
    <xf numFmtId="1" fontId="4" fillId="2" borderId="1" xfId="3" applyNumberFormat="1" applyFont="1" applyFill="1" applyBorder="1" applyAlignment="1">
      <alignment horizontal="left"/>
    </xf>
    <xf numFmtId="1" fontId="6" fillId="2" borderId="1" xfId="3" applyNumberFormat="1" applyFont="1" applyFill="1" applyBorder="1" applyAlignment="1">
      <alignment horizontal="left" wrapText="1"/>
    </xf>
    <xf numFmtId="1" fontId="5" fillId="2" borderId="1" xfId="3" applyNumberFormat="1" applyFont="1" applyFill="1" applyBorder="1" applyAlignment="1">
      <alignment horizontal="left" wrapText="1"/>
    </xf>
    <xf numFmtId="1" fontId="16" fillId="2" borderId="1" xfId="3" applyNumberFormat="1" applyFont="1" applyFill="1" applyBorder="1" applyAlignment="1">
      <alignment horizontal="left" wrapText="1"/>
    </xf>
    <xf numFmtId="1" fontId="17" fillId="2" borderId="0" xfId="3" applyNumberFormat="1" applyFont="1" applyFill="1" applyAlignment="1">
      <alignment horizontal="left" wrapText="1"/>
    </xf>
    <xf numFmtId="1" fontId="13" fillId="2" borderId="0" xfId="3" applyNumberFormat="1" applyFont="1" applyFill="1" applyAlignment="1">
      <alignment horizontal="left"/>
    </xf>
    <xf numFmtId="16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2" borderId="1" xfId="3" applyNumberFormat="1" applyFont="1" applyFill="1" applyBorder="1" applyAlignment="1" applyProtection="1">
      <alignment horizontal="center"/>
      <protection locked="0"/>
    </xf>
    <xf numFmtId="0" fontId="1" fillId="2" borderId="0" xfId="1" applyFill="1" applyAlignment="1">
      <alignment horizontal="center"/>
    </xf>
    <xf numFmtId="0" fontId="1" fillId="2" borderId="0" xfId="1" applyFill="1" applyAlignment="1" applyProtection="1">
      <alignment horizontal="center"/>
      <protection locked="0"/>
    </xf>
    <xf numFmtId="3" fontId="5" fillId="2" borderId="1" xfId="3" applyNumberFormat="1" applyFont="1" applyFill="1" applyBorder="1" applyAlignment="1">
      <alignment horizontal="center"/>
    </xf>
    <xf numFmtId="1" fontId="5" fillId="2" borderId="1" xfId="3" applyNumberFormat="1" applyFont="1" applyFill="1" applyBorder="1" applyAlignment="1" applyProtection="1">
      <alignment horizontal="center"/>
      <protection locked="0"/>
    </xf>
    <xf numFmtId="3" fontId="4" fillId="2" borderId="1" xfId="3" applyNumberFormat="1" applyFont="1" applyFill="1" applyBorder="1" applyAlignment="1" applyProtection="1">
      <alignment horizontal="center"/>
      <protection locked="0"/>
    </xf>
    <xf numFmtId="1" fontId="5" fillId="2" borderId="1" xfId="3" applyNumberFormat="1" applyFont="1" applyFill="1" applyBorder="1" applyAlignment="1" applyProtection="1">
      <alignment horizontal="center" wrapText="1"/>
      <protection locked="0"/>
    </xf>
    <xf numFmtId="1" fontId="15" fillId="2" borderId="1" xfId="3" applyNumberFormat="1" applyFont="1" applyFill="1" applyBorder="1" applyAlignment="1" applyProtection="1">
      <alignment horizontal="center" wrapText="1"/>
      <protection locked="0"/>
    </xf>
    <xf numFmtId="3" fontId="4" fillId="2" borderId="1" xfId="3" applyNumberFormat="1" applyFont="1" applyFill="1" applyBorder="1" applyAlignment="1">
      <alignment horizontal="center"/>
    </xf>
    <xf numFmtId="1" fontId="17" fillId="2" borderId="0" xfId="3" applyNumberFormat="1" applyFont="1" applyFill="1" applyAlignment="1">
      <alignment horizontal="center" wrapText="1"/>
    </xf>
    <xf numFmtId="3" fontId="17" fillId="2" borderId="0" xfId="3" applyNumberFormat="1" applyFont="1" applyFill="1" applyAlignment="1">
      <alignment horizontal="center"/>
    </xf>
    <xf numFmtId="1" fontId="13" fillId="2" borderId="0" xfId="3" applyNumberFormat="1" applyFont="1" applyFill="1" applyAlignment="1">
      <alignment horizontal="center"/>
    </xf>
    <xf numFmtId="3" fontId="13" fillId="2" borderId="0" xfId="3" applyNumberFormat="1" applyFont="1" applyFill="1" applyAlignment="1">
      <alignment horizontal="center"/>
    </xf>
    <xf numFmtId="1" fontId="14" fillId="2" borderId="1" xfId="3" applyNumberFormat="1" applyFont="1" applyFill="1" applyBorder="1" applyAlignment="1">
      <alignment horizontal="center"/>
    </xf>
    <xf numFmtId="1" fontId="14" fillId="2" borderId="1" xfId="3" applyNumberFormat="1" applyFont="1" applyFill="1" applyBorder="1" applyAlignment="1" applyProtection="1">
      <alignment horizontal="center"/>
      <protection locked="0"/>
    </xf>
    <xf numFmtId="4" fontId="14" fillId="2" borderId="1" xfId="3" applyNumberFormat="1" applyFont="1" applyFill="1" applyBorder="1" applyAlignment="1" applyProtection="1">
      <alignment horizontal="center"/>
      <protection locked="0"/>
    </xf>
    <xf numFmtId="1" fontId="5" fillId="2" borderId="1" xfId="3" applyNumberFormat="1" applyFont="1" applyFill="1" applyBorder="1" applyAlignment="1">
      <alignment horizontal="center" wrapText="1"/>
    </xf>
    <xf numFmtId="1" fontId="19" fillId="2" borderId="1" xfId="3" applyNumberFormat="1" applyFont="1" applyFill="1" applyBorder="1" applyAlignment="1">
      <alignment horizontal="left" wrapText="1"/>
    </xf>
    <xf numFmtId="3" fontId="13" fillId="2" borderId="1" xfId="3" applyNumberFormat="1" applyFont="1" applyFill="1" applyBorder="1" applyAlignment="1">
      <alignment horizontal="center"/>
    </xf>
    <xf numFmtId="0" fontId="20" fillId="2" borderId="0" xfId="2" applyFont="1" applyFill="1"/>
    <xf numFmtId="1" fontId="5" fillId="2" borderId="1" xfId="3" applyNumberFormat="1" applyFont="1" applyFill="1" applyBorder="1" applyAlignment="1">
      <alignment horizontal="center"/>
    </xf>
    <xf numFmtId="164" fontId="5" fillId="2" borderId="1" xfId="3" applyNumberFormat="1" applyFont="1" applyFill="1" applyBorder="1" applyAlignment="1">
      <alignment horizontal="center"/>
    </xf>
    <xf numFmtId="0" fontId="21" fillId="2" borderId="0" xfId="2" applyFont="1" applyFill="1"/>
    <xf numFmtId="3" fontId="5" fillId="4" borderId="1" xfId="3" applyNumberFormat="1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1" fillId="4" borderId="1" xfId="2" applyFill="1" applyBorder="1" applyAlignment="1" applyProtection="1">
      <alignment horizontal="center"/>
      <protection locked="0"/>
    </xf>
    <xf numFmtId="3" fontId="1" fillId="2" borderId="0" xfId="2" applyNumberFormat="1" applyFill="1"/>
    <xf numFmtId="3" fontId="2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7" xfId="3" applyNumberFormat="1" applyFont="1" applyFill="1" applyBorder="1" applyAlignment="1">
      <alignment horizontal="left" wrapText="1"/>
    </xf>
    <xf numFmtId="1" fontId="4" fillId="2" borderId="0" xfId="3" applyNumberFormat="1" applyFont="1" applyFill="1" applyAlignment="1">
      <alignment horizontal="left" wrapText="1"/>
    </xf>
    <xf numFmtId="1" fontId="11" fillId="2" borderId="0" xfId="3" applyNumberFormat="1" applyFont="1" applyFill="1" applyAlignment="1">
      <alignment horizontal="center"/>
    </xf>
    <xf numFmtId="1" fontId="12" fillId="2" borderId="0" xfId="3" applyNumberFormat="1" applyFont="1" applyFill="1" applyAlignment="1">
      <alignment horizontal="center"/>
    </xf>
    <xf numFmtId="1" fontId="12" fillId="2" borderId="0" xfId="3" applyNumberFormat="1" applyFont="1" applyFill="1" applyAlignment="1">
      <alignment horizont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" fontId="9" fillId="2" borderId="0" xfId="3" applyNumberFormat="1" applyFont="1" applyFill="1" applyAlignment="1">
      <alignment horizontal="center" vertical="center" wrapText="1"/>
    </xf>
    <xf numFmtId="1" fontId="9" fillId="2" borderId="2" xfId="3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3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1" applyFont="1" applyFill="1" applyBorder="1" applyAlignment="1" applyProtection="1">
      <alignment horizontal="center" vertical="center" wrapText="1"/>
      <protection locked="0"/>
    </xf>
    <xf numFmtId="3" fontId="2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wrapText="1"/>
    </xf>
    <xf numFmtId="1" fontId="14" fillId="2" borderId="11" xfId="3" applyNumberFormat="1" applyFont="1" applyFill="1" applyBorder="1" applyAlignment="1">
      <alignment horizontal="center"/>
    </xf>
    <xf numFmtId="164" fontId="5" fillId="2" borderId="8" xfId="3" applyNumberFormat="1" applyFont="1" applyFill="1" applyBorder="1" applyAlignment="1">
      <alignment horizontal="center"/>
    </xf>
    <xf numFmtId="1" fontId="4" fillId="2" borderId="0" xfId="3" applyNumberFormat="1" applyFont="1" applyFill="1" applyBorder="1" applyAlignment="1">
      <alignment horizontal="left" wrapText="1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vertical="top"/>
    </xf>
    <xf numFmtId="0" fontId="23" fillId="0" borderId="11" xfId="0" applyFont="1" applyBorder="1" applyAlignment="1">
      <alignment vertical="top"/>
    </xf>
    <xf numFmtId="0" fontId="0" fillId="0" borderId="0" xfId="0" applyAlignment="1">
      <alignment vertical="top"/>
    </xf>
    <xf numFmtId="3" fontId="20" fillId="2" borderId="0" xfId="2" applyNumberFormat="1" applyFont="1" applyFill="1"/>
    <xf numFmtId="3" fontId="1" fillId="2" borderId="12" xfId="2" applyNumberFormat="1" applyFill="1" applyBorder="1"/>
    <xf numFmtId="10" fontId="23" fillId="5" borderId="11" xfId="0" applyNumberFormat="1" applyFont="1" applyFill="1" applyBorder="1" applyAlignment="1">
      <alignment vertical="top"/>
    </xf>
    <xf numFmtId="3" fontId="5" fillId="5" borderId="1" xfId="3" applyNumberFormat="1" applyFont="1" applyFill="1" applyBorder="1" applyAlignment="1" applyProtection="1">
      <alignment horizontal="center"/>
      <protection locked="0"/>
    </xf>
    <xf numFmtId="3" fontId="1" fillId="5" borderId="0" xfId="2" applyNumberFormat="1" applyFill="1"/>
    <xf numFmtId="0" fontId="1" fillId="5" borderId="0" xfId="2" applyFill="1"/>
    <xf numFmtId="3" fontId="5" fillId="5" borderId="1" xfId="3" applyNumberFormat="1" applyFont="1" applyFill="1" applyBorder="1" applyAlignment="1">
      <alignment horizontal="center"/>
    </xf>
    <xf numFmtId="1" fontId="16" fillId="0" borderId="1" xfId="3" applyNumberFormat="1" applyFont="1" applyFill="1" applyBorder="1" applyAlignment="1">
      <alignment horizontal="left" wrapText="1"/>
    </xf>
    <xf numFmtId="1" fontId="4" fillId="0" borderId="1" xfId="3" applyNumberFormat="1" applyFont="1" applyFill="1" applyBorder="1" applyAlignment="1">
      <alignment horizontal="left" wrapText="1"/>
    </xf>
    <xf numFmtId="1" fontId="5" fillId="0" borderId="1" xfId="3" applyNumberFormat="1" applyFont="1" applyFill="1" applyBorder="1" applyAlignment="1" applyProtection="1">
      <alignment horizontal="left" wrapText="1"/>
      <protection locked="0"/>
    </xf>
    <xf numFmtId="3" fontId="4" fillId="5" borderId="1" xfId="3" applyNumberFormat="1" applyFont="1" applyFill="1" applyBorder="1" applyAlignment="1">
      <alignment horizontal="center"/>
    </xf>
    <xf numFmtId="0" fontId="24" fillId="0" borderId="11" xfId="0" applyFont="1" applyBorder="1"/>
    <xf numFmtId="3" fontId="0" fillId="0" borderId="11" xfId="0" applyNumberFormat="1" applyBorder="1"/>
    <xf numFmtId="9" fontId="0" fillId="0" borderId="11" xfId="0" applyNumberFormat="1" applyBorder="1" applyAlignment="1">
      <alignment wrapText="1"/>
    </xf>
    <xf numFmtId="165" fontId="0" fillId="0" borderId="11" xfId="0" applyNumberFormat="1" applyBorder="1"/>
    <xf numFmtId="165" fontId="1" fillId="2" borderId="11" xfId="2" applyNumberFormat="1" applyFill="1" applyBorder="1"/>
    <xf numFmtId="0" fontId="1" fillId="2" borderId="0" xfId="1" applyFill="1" applyBorder="1" applyAlignment="1">
      <alignment horizontal="center"/>
    </xf>
    <xf numFmtId="0" fontId="1" fillId="2" borderId="0" xfId="1" applyFill="1" applyBorder="1" applyAlignment="1" applyProtection="1">
      <alignment horizontal="center"/>
      <protection locked="0"/>
    </xf>
    <xf numFmtId="1" fontId="12" fillId="2" borderId="0" xfId="3" applyNumberFormat="1" applyFont="1" applyFill="1" applyBorder="1" applyAlignment="1">
      <alignment horizontal="center" wrapText="1"/>
    </xf>
    <xf numFmtId="3" fontId="17" fillId="2" borderId="0" xfId="3" applyNumberFormat="1" applyFont="1" applyFill="1" applyBorder="1" applyAlignment="1">
      <alignment horizontal="center"/>
    </xf>
    <xf numFmtId="3" fontId="13" fillId="2" borderId="0" xfId="3" applyNumberFormat="1" applyFont="1" applyFill="1" applyBorder="1" applyAlignment="1">
      <alignment horizontal="center"/>
    </xf>
    <xf numFmtId="164" fontId="5" fillId="2" borderId="13" xfId="3" applyNumberFormat="1" applyFont="1" applyFill="1" applyBorder="1" applyAlignment="1">
      <alignment horizontal="center"/>
    </xf>
    <xf numFmtId="164" fontId="5" fillId="2" borderId="14" xfId="3" applyNumberFormat="1" applyFont="1" applyFill="1" applyBorder="1" applyAlignment="1">
      <alignment horizontal="center"/>
    </xf>
    <xf numFmtId="4" fontId="14" fillId="2" borderId="15" xfId="3" applyNumberFormat="1" applyFont="1" applyFill="1" applyBorder="1" applyAlignment="1" applyProtection="1">
      <alignment horizontal="center"/>
      <protection locked="0"/>
    </xf>
    <xf numFmtId="4" fontId="14" fillId="2" borderId="16" xfId="3" applyNumberFormat="1" applyFont="1" applyFill="1" applyBorder="1" applyAlignment="1" applyProtection="1">
      <alignment horizontal="center"/>
      <protection locked="0"/>
    </xf>
    <xf numFmtId="3" fontId="13" fillId="2" borderId="15" xfId="3" applyNumberFormat="1" applyFont="1" applyFill="1" applyBorder="1" applyAlignment="1">
      <alignment horizontal="center"/>
    </xf>
    <xf numFmtId="3" fontId="13" fillId="2" borderId="16" xfId="3" applyNumberFormat="1" applyFont="1" applyFill="1" applyBorder="1" applyAlignment="1">
      <alignment horizontal="center"/>
    </xf>
    <xf numFmtId="3" fontId="5" fillId="2" borderId="15" xfId="3" applyNumberFormat="1" applyFont="1" applyFill="1" applyBorder="1" applyAlignment="1" applyProtection="1">
      <alignment horizontal="center"/>
      <protection locked="0"/>
    </xf>
    <xf numFmtId="3" fontId="5" fillId="2" borderId="16" xfId="3" applyNumberFormat="1" applyFont="1" applyFill="1" applyBorder="1" applyAlignment="1" applyProtection="1">
      <alignment horizontal="center"/>
      <protection locked="0"/>
    </xf>
    <xf numFmtId="3" fontId="5" fillId="4" borderId="15" xfId="3" applyNumberFormat="1" applyFont="1" applyFill="1" applyBorder="1" applyAlignment="1" applyProtection="1">
      <alignment horizontal="center"/>
      <protection locked="0"/>
    </xf>
    <xf numFmtId="3" fontId="5" fillId="4" borderId="16" xfId="3" applyNumberFormat="1" applyFont="1" applyFill="1" applyBorder="1" applyAlignment="1" applyProtection="1">
      <alignment horizontal="center"/>
      <protection locked="0"/>
    </xf>
    <xf numFmtId="3" fontId="5" fillId="2" borderId="15" xfId="3" applyNumberFormat="1" applyFont="1" applyFill="1" applyBorder="1" applyAlignment="1">
      <alignment horizontal="center"/>
    </xf>
    <xf numFmtId="3" fontId="5" fillId="2" borderId="16" xfId="3" applyNumberFormat="1" applyFont="1" applyFill="1" applyBorder="1" applyAlignment="1">
      <alignment horizontal="center"/>
    </xf>
    <xf numFmtId="3" fontId="4" fillId="2" borderId="15" xfId="3" applyNumberFormat="1" applyFont="1" applyFill="1" applyBorder="1" applyAlignment="1" applyProtection="1">
      <alignment horizontal="center"/>
      <protection locked="0"/>
    </xf>
    <xf numFmtId="3" fontId="4" fillId="2" borderId="16" xfId="3" applyNumberFormat="1" applyFont="1" applyFill="1" applyBorder="1" applyAlignment="1" applyProtection="1">
      <alignment horizontal="center"/>
      <protection locked="0"/>
    </xf>
    <xf numFmtId="3" fontId="5" fillId="5" borderId="15" xfId="3" applyNumberFormat="1" applyFont="1" applyFill="1" applyBorder="1" applyAlignment="1">
      <alignment horizontal="center"/>
    </xf>
    <xf numFmtId="3" fontId="5" fillId="5" borderId="16" xfId="3" applyNumberFormat="1" applyFont="1" applyFill="1" applyBorder="1" applyAlignment="1">
      <alignment horizontal="center"/>
    </xf>
    <xf numFmtId="1" fontId="5" fillId="2" borderId="15" xfId="3" applyNumberFormat="1" applyFont="1" applyFill="1" applyBorder="1" applyAlignment="1" applyProtection="1">
      <alignment horizontal="center" wrapText="1"/>
      <protection locked="0"/>
    </xf>
    <xf numFmtId="1" fontId="5" fillId="2" borderId="16" xfId="3" applyNumberFormat="1" applyFont="1" applyFill="1" applyBorder="1" applyAlignment="1" applyProtection="1">
      <alignment horizontal="center" wrapText="1"/>
      <protection locked="0"/>
    </xf>
    <xf numFmtId="3" fontId="4" fillId="5" borderId="15" xfId="3" applyNumberFormat="1" applyFont="1" applyFill="1" applyBorder="1" applyAlignment="1">
      <alignment horizontal="center"/>
    </xf>
    <xf numFmtId="3" fontId="4" fillId="5" borderId="16" xfId="3" applyNumberFormat="1" applyFont="1" applyFill="1" applyBorder="1" applyAlignment="1">
      <alignment horizontal="center"/>
    </xf>
    <xf numFmtId="3" fontId="4" fillId="2" borderId="15" xfId="3" applyNumberFormat="1" applyFont="1" applyFill="1" applyBorder="1" applyAlignment="1">
      <alignment horizontal="center"/>
    </xf>
    <xf numFmtId="3" fontId="4" fillId="2" borderId="16" xfId="3" applyNumberFormat="1" applyFont="1" applyFill="1" applyBorder="1" applyAlignment="1">
      <alignment horizontal="center"/>
    </xf>
    <xf numFmtId="1" fontId="4" fillId="2" borderId="17" xfId="3" applyNumberFormat="1" applyFont="1" applyFill="1" applyBorder="1" applyAlignment="1">
      <alignment horizontal="left" wrapText="1"/>
    </xf>
    <xf numFmtId="1" fontId="4" fillId="2" borderId="18" xfId="3" applyNumberFormat="1" applyFont="1" applyFill="1" applyBorder="1" applyAlignment="1">
      <alignment horizontal="left" wrapText="1"/>
    </xf>
    <xf numFmtId="3" fontId="4" fillId="2" borderId="19" xfId="3" applyNumberFormat="1" applyFont="1" applyFill="1" applyBorder="1" applyAlignment="1">
      <alignment horizontal="center"/>
    </xf>
    <xf numFmtId="3" fontId="4" fillId="2" borderId="20" xfId="3" applyNumberFormat="1" applyFont="1" applyFill="1" applyBorder="1" applyAlignment="1">
      <alignment horizontal="center"/>
    </xf>
    <xf numFmtId="3" fontId="5" fillId="5" borderId="1" xfId="3" applyNumberFormat="1" applyFont="1" applyFill="1" applyBorder="1" applyAlignment="1" applyProtection="1">
      <alignment horizontal="center" wrapText="1"/>
      <protection locked="0"/>
    </xf>
    <xf numFmtId="1" fontId="1" fillId="4" borderId="1" xfId="1" applyNumberFormat="1" applyFill="1" applyBorder="1" applyAlignment="1">
      <alignment horizontal="center"/>
    </xf>
  </cellXfs>
  <cellStyles count="4">
    <cellStyle name="Normal_5)  Резюме" xfId="1" xr:uid="{00000000-0005-0000-0000-000000000000}"/>
    <cellStyle name="Обычный" xfId="0" builtinId="0"/>
    <cellStyle name="Обычный 2" xfId="2" xr:uid="{00000000-0005-0000-0000-000002000000}"/>
    <cellStyle name="Обычный_CFSibir" xfId="3" xr:uid="{00000000-0005-0000-0000-000003000000}"/>
  </cellStyles>
  <dxfs count="1"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Q$\Regional_Development\Corporate_Business\buntova\Alberti\&#1050;&#1072;&#1088;&#1090;&#1086;&#1095;&#1082;&#1072;%20&#1082;&#1083;&#1080;&#1077;&#1085;&#1090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Q$\Documents%20and%20Settings\CreditRisk\Local%20Settings\Temporary%20Internet%20Files\OLKBF\&#1056;&#1077;&#1079;&#1102;&#1084;&#1077;%20&#1057;&#1084;&#1086;&#1083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"/>
      <sheetName val="Карточка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зюме"/>
      <sheetName val="АКТ"/>
      <sheetName val="СashFlow"/>
      <sheetName val="График"/>
      <sheetName val="Project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8"/>
  <sheetViews>
    <sheetView tabSelected="1" showWhiteSpace="0" zoomScale="70" zoomScaleNormal="70" zoomScaleSheetLayoutView="85" zoomScalePageLayoutView="40" workbookViewId="0">
      <pane xSplit="1" ySplit="15" topLeftCell="I36" activePane="bottomRight" state="frozen"/>
      <selection pane="bottomRight" activeCell="H43" sqref="H43"/>
      <selection pane="bottomLeft" activeCell="A16" sqref="A16"/>
      <selection pane="topRight" activeCell="B1" sqref="B1"/>
    </sheetView>
  </sheetViews>
  <sheetFormatPr defaultRowHeight="12.75" customHeight="1"/>
  <cols>
    <col min="1" max="1" width="56.85546875" style="1" customWidth="1"/>
    <col min="2" max="2" width="16.28515625" style="25" hidden="1" customWidth="1"/>
    <col min="3" max="3" width="19" style="25" customWidth="1"/>
    <col min="4" max="4" width="15" style="25" customWidth="1"/>
    <col min="5" max="5" width="17.5703125" style="25" customWidth="1"/>
    <col min="6" max="12" width="14.28515625" style="25" customWidth="1"/>
    <col min="13" max="13" width="16.140625" style="25" customWidth="1"/>
    <col min="14" max="31" width="14.28515625" style="25" customWidth="1"/>
    <col min="32" max="33" width="14.28515625" style="103" customWidth="1"/>
    <col min="34" max="34" width="18.140625" style="2" customWidth="1"/>
    <col min="35" max="35" width="12" style="2" customWidth="1"/>
    <col min="36" max="16384" width="9.140625" style="2"/>
  </cols>
  <sheetData>
    <row r="1" spans="1:39" ht="23.25">
      <c r="C1" s="74" t="s">
        <v>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39" ht="15.75" customHeight="1">
      <c r="C2" s="75" t="s">
        <v>1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39" ht="36" customHeight="1">
      <c r="C3" s="76" t="s">
        <v>2</v>
      </c>
      <c r="D3" s="76"/>
      <c r="E3" s="76"/>
      <c r="F3" s="76"/>
      <c r="G3" s="76"/>
      <c r="H3" s="76"/>
      <c r="I3" s="76"/>
      <c r="J3" s="76"/>
      <c r="K3" s="76"/>
      <c r="L3" s="76" t="s">
        <v>3</v>
      </c>
      <c r="M3" s="76" t="s">
        <v>4</v>
      </c>
      <c r="N3" s="76"/>
      <c r="O3" s="76"/>
      <c r="P3" s="77" t="s">
        <v>5</v>
      </c>
      <c r="Q3" s="77"/>
      <c r="R3" s="77"/>
    </row>
    <row r="4" spans="1:39" s="4" customFormat="1" ht="27" customHeight="1">
      <c r="A4" s="3"/>
      <c r="B4" s="26"/>
      <c r="C4" s="72" t="s">
        <v>6</v>
      </c>
      <c r="D4" s="72"/>
      <c r="E4" s="72"/>
      <c r="F4" s="72"/>
      <c r="G4" s="72"/>
      <c r="H4" s="72"/>
      <c r="I4" s="72"/>
      <c r="J4" s="72"/>
      <c r="K4" s="72"/>
      <c r="L4" s="48"/>
      <c r="M4" s="73">
        <v>225000000</v>
      </c>
      <c r="N4" s="73"/>
      <c r="O4" s="73"/>
      <c r="P4" s="71">
        <v>70000000</v>
      </c>
      <c r="Q4" s="71"/>
      <c r="R4" s="71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04"/>
      <c r="AG4" s="104"/>
    </row>
    <row r="5" spans="1:39" s="4" customFormat="1" ht="22.5" customHeight="1">
      <c r="A5" s="3"/>
      <c r="B5" s="26"/>
      <c r="C5" s="67" t="s">
        <v>7</v>
      </c>
      <c r="D5" s="68"/>
      <c r="E5" s="68"/>
      <c r="F5" s="68"/>
      <c r="G5" s="68"/>
      <c r="H5" s="68"/>
      <c r="I5" s="68"/>
      <c r="J5" s="68"/>
      <c r="K5" s="69"/>
      <c r="L5" s="48"/>
      <c r="M5" s="70">
        <v>0</v>
      </c>
      <c r="N5" s="70"/>
      <c r="O5" s="70"/>
      <c r="P5" s="71"/>
      <c r="Q5" s="71"/>
      <c r="R5" s="71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104"/>
      <c r="AG5" s="104"/>
    </row>
    <row r="6" spans="1:39" s="4" customFormat="1" ht="30.75" customHeight="1">
      <c r="A6" s="3"/>
      <c r="B6" s="26"/>
      <c r="C6" s="67" t="s">
        <v>8</v>
      </c>
      <c r="D6" s="68"/>
      <c r="E6" s="68"/>
      <c r="F6" s="68"/>
      <c r="G6" s="68"/>
      <c r="H6" s="68"/>
      <c r="I6" s="68"/>
      <c r="J6" s="68"/>
      <c r="K6" s="69"/>
      <c r="L6" s="48"/>
      <c r="M6" s="55"/>
      <c r="N6" s="55"/>
      <c r="O6" s="55"/>
      <c r="P6" s="55"/>
      <c r="Q6" s="55"/>
      <c r="R6" s="55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104"/>
      <c r="AG6" s="104"/>
    </row>
    <row r="7" spans="1:39" s="4" customFormat="1" ht="33" customHeight="1">
      <c r="A7" s="3"/>
      <c r="B7" s="26"/>
      <c r="C7" s="54"/>
      <c r="D7" s="54"/>
      <c r="E7" s="54"/>
      <c r="F7" s="54"/>
      <c r="G7" s="54"/>
      <c r="H7" s="54"/>
      <c r="I7" s="54"/>
      <c r="J7" s="54"/>
      <c r="K7" s="54"/>
      <c r="L7" s="23">
        <v>46113</v>
      </c>
      <c r="M7" s="55"/>
      <c r="N7" s="55"/>
      <c r="O7" s="55"/>
      <c r="P7" s="55"/>
      <c r="Q7" s="55"/>
      <c r="R7" s="55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104"/>
      <c r="AG7" s="104"/>
    </row>
    <row r="8" spans="1:39" s="4" customFormat="1" ht="24" customHeight="1">
      <c r="A8" s="3"/>
      <c r="B8" s="26"/>
      <c r="C8" s="54"/>
      <c r="D8" s="54"/>
      <c r="E8" s="54"/>
      <c r="F8" s="54"/>
      <c r="G8" s="54"/>
      <c r="H8" s="54"/>
      <c r="I8" s="54"/>
      <c r="J8" s="54"/>
      <c r="K8" s="54"/>
      <c r="L8" s="23">
        <v>46113</v>
      </c>
      <c r="M8" s="55"/>
      <c r="N8" s="55"/>
      <c r="O8" s="55"/>
      <c r="P8" s="55"/>
      <c r="Q8" s="55"/>
      <c r="R8" s="55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104"/>
      <c r="AG8" s="104"/>
    </row>
    <row r="9" spans="1:39" ht="15.75" customHeight="1">
      <c r="C9" s="61" t="s">
        <v>9</v>
      </c>
      <c r="D9" s="62"/>
      <c r="E9" s="62"/>
      <c r="F9" s="62"/>
      <c r="G9" s="62"/>
      <c r="H9" s="62"/>
      <c r="I9" s="62"/>
      <c r="J9" s="62"/>
      <c r="K9" s="63"/>
      <c r="L9" s="5"/>
      <c r="M9" s="64">
        <f>SUM(M4:O8)</f>
        <v>225000000</v>
      </c>
      <c r="N9" s="64"/>
      <c r="O9" s="64"/>
      <c r="P9" s="64">
        <v>70000000</v>
      </c>
      <c r="Q9" s="64"/>
      <c r="R9" s="64"/>
    </row>
    <row r="10" spans="1:39" ht="28.5" customHeight="1">
      <c r="A10" s="6"/>
      <c r="B10" s="65" t="s">
        <v>10</v>
      </c>
    </row>
    <row r="11" spans="1:39" ht="46.5" customHeight="1">
      <c r="A11" s="7"/>
      <c r="B11" s="65"/>
      <c r="D11" s="58" t="s">
        <v>11</v>
      </c>
      <c r="E11" s="58"/>
      <c r="F11" s="58"/>
      <c r="G11" s="58"/>
      <c r="H11" s="58"/>
      <c r="I11" s="58"/>
      <c r="J11" s="59"/>
      <c r="K11" s="59"/>
      <c r="L11" s="60"/>
      <c r="M11" s="60"/>
      <c r="N11" s="60"/>
      <c r="O11" s="60"/>
      <c r="P11" s="60"/>
      <c r="Q11" s="60"/>
      <c r="R11" s="60"/>
      <c r="V11" s="58" t="s">
        <v>11</v>
      </c>
      <c r="W11" s="58"/>
      <c r="X11" s="58"/>
      <c r="Y11" s="58"/>
      <c r="Z11" s="58"/>
      <c r="AA11" s="58"/>
      <c r="AB11" s="59"/>
      <c r="AC11" s="59"/>
      <c r="AD11" s="60"/>
      <c r="AE11" s="60"/>
      <c r="AF11" s="105"/>
      <c r="AG11" s="105"/>
    </row>
    <row r="12" spans="1:39" ht="21.75" customHeight="1">
      <c r="A12" s="8"/>
      <c r="B12" s="66"/>
    </row>
    <row r="13" spans="1:39">
      <c r="A13" s="9"/>
      <c r="B13" s="10">
        <v>0</v>
      </c>
      <c r="C13" s="10">
        <v>1</v>
      </c>
      <c r="D13" s="11">
        <v>2</v>
      </c>
      <c r="E13" s="11">
        <v>3</v>
      </c>
      <c r="F13" s="11">
        <v>4</v>
      </c>
      <c r="G13" s="11">
        <v>5</v>
      </c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11">
        <v>11</v>
      </c>
      <c r="N13" s="11">
        <v>12</v>
      </c>
      <c r="O13" s="11">
        <v>13</v>
      </c>
      <c r="P13" s="11">
        <v>14</v>
      </c>
      <c r="Q13" s="11">
        <v>15</v>
      </c>
      <c r="R13" s="11">
        <v>16</v>
      </c>
      <c r="S13" s="11">
        <v>17</v>
      </c>
      <c r="T13" s="12">
        <v>18</v>
      </c>
      <c r="U13" s="11">
        <v>19</v>
      </c>
      <c r="V13" s="11">
        <v>20</v>
      </c>
      <c r="W13" s="11">
        <v>21</v>
      </c>
      <c r="X13" s="11">
        <v>22</v>
      </c>
      <c r="Y13" s="11">
        <v>23</v>
      </c>
      <c r="Z13" s="11">
        <v>24</v>
      </c>
      <c r="AA13" s="11">
        <v>25</v>
      </c>
      <c r="AB13" s="11">
        <v>26</v>
      </c>
      <c r="AC13" s="11">
        <v>27</v>
      </c>
      <c r="AD13" s="11">
        <v>28</v>
      </c>
      <c r="AE13" s="11">
        <v>29</v>
      </c>
      <c r="AF13" s="11">
        <v>30</v>
      </c>
      <c r="AG13" s="11">
        <v>31</v>
      </c>
      <c r="AH13" s="80"/>
      <c r="AI13" s="80"/>
      <c r="AJ13" s="80"/>
      <c r="AK13" s="80"/>
      <c r="AL13" s="80"/>
      <c r="AM13" s="80"/>
    </row>
    <row r="14" spans="1:39" s="46" customFormat="1" ht="15">
      <c r="A14" s="44" t="s">
        <v>12</v>
      </c>
      <c r="B14" s="30" t="s">
        <v>3</v>
      </c>
      <c r="C14" s="45">
        <v>46138</v>
      </c>
      <c r="D14" s="45">
        <f t="shared" ref="D14:AG14" si="0">EDATE($C$14,-1+D13)</f>
        <v>46168</v>
      </c>
      <c r="E14" s="45">
        <f t="shared" si="0"/>
        <v>46199</v>
      </c>
      <c r="F14" s="45">
        <f t="shared" si="0"/>
        <v>46229</v>
      </c>
      <c r="G14" s="45">
        <f t="shared" si="0"/>
        <v>46260</v>
      </c>
      <c r="H14" s="45">
        <f t="shared" si="0"/>
        <v>46291</v>
      </c>
      <c r="I14" s="45">
        <f t="shared" si="0"/>
        <v>46321</v>
      </c>
      <c r="J14" s="45">
        <f t="shared" si="0"/>
        <v>46352</v>
      </c>
      <c r="K14" s="45">
        <f t="shared" si="0"/>
        <v>46382</v>
      </c>
      <c r="L14" s="45">
        <f t="shared" si="0"/>
        <v>46413</v>
      </c>
      <c r="M14" s="45">
        <f t="shared" si="0"/>
        <v>46444</v>
      </c>
      <c r="N14" s="45">
        <f t="shared" si="0"/>
        <v>46472</v>
      </c>
      <c r="O14" s="45">
        <f t="shared" si="0"/>
        <v>46503</v>
      </c>
      <c r="P14" s="45">
        <f t="shared" si="0"/>
        <v>46533</v>
      </c>
      <c r="Q14" s="45">
        <f t="shared" si="0"/>
        <v>46564</v>
      </c>
      <c r="R14" s="45">
        <f t="shared" si="0"/>
        <v>46594</v>
      </c>
      <c r="S14" s="45">
        <f t="shared" si="0"/>
        <v>46625</v>
      </c>
      <c r="T14" s="45">
        <f t="shared" si="0"/>
        <v>46656</v>
      </c>
      <c r="U14" s="45">
        <f t="shared" si="0"/>
        <v>46686</v>
      </c>
      <c r="V14" s="45">
        <f t="shared" si="0"/>
        <v>46717</v>
      </c>
      <c r="W14" s="45">
        <f t="shared" si="0"/>
        <v>46747</v>
      </c>
      <c r="X14" s="45">
        <f t="shared" si="0"/>
        <v>46778</v>
      </c>
      <c r="Y14" s="45">
        <f t="shared" si="0"/>
        <v>46809</v>
      </c>
      <c r="Z14" s="45">
        <f t="shared" si="0"/>
        <v>46838</v>
      </c>
      <c r="AA14" s="45">
        <f t="shared" si="0"/>
        <v>46869</v>
      </c>
      <c r="AB14" s="45">
        <f t="shared" si="0"/>
        <v>46899</v>
      </c>
      <c r="AC14" s="45">
        <f t="shared" si="0"/>
        <v>46930</v>
      </c>
      <c r="AD14" s="45">
        <f t="shared" si="0"/>
        <v>46960</v>
      </c>
      <c r="AE14" s="45">
        <f t="shared" si="0"/>
        <v>46991</v>
      </c>
      <c r="AF14" s="108">
        <f t="shared" si="0"/>
        <v>47022</v>
      </c>
      <c r="AG14" s="109">
        <f t="shared" si="0"/>
        <v>47052</v>
      </c>
      <c r="AH14" s="81"/>
      <c r="AI14" s="81"/>
      <c r="AJ14" s="81"/>
      <c r="AK14" s="81"/>
      <c r="AL14" s="81"/>
    </row>
    <row r="15" spans="1:39">
      <c r="A15" s="37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110"/>
      <c r="AG15" s="111"/>
    </row>
    <row r="16" spans="1:39" s="43" customFormat="1" ht="35.25" customHeight="1">
      <c r="A16" s="41" t="s">
        <v>13</v>
      </c>
      <c r="B16" s="42">
        <f t="shared" ref="B16:K16" si="1">B17+B18+B19+B20+B21+B22</f>
        <v>0</v>
      </c>
      <c r="C16" s="42">
        <v>70000000</v>
      </c>
      <c r="D16" s="42">
        <v>50000000</v>
      </c>
      <c r="E16" s="42"/>
      <c r="F16" s="42"/>
      <c r="G16" s="42"/>
      <c r="H16" s="42">
        <v>0</v>
      </c>
      <c r="I16" s="42">
        <v>55000000</v>
      </c>
      <c r="J16" s="42">
        <f t="shared" si="1"/>
        <v>0</v>
      </c>
      <c r="K16" s="42">
        <f t="shared" si="1"/>
        <v>0</v>
      </c>
      <c r="L16" s="42">
        <v>50000000</v>
      </c>
      <c r="M16" s="42">
        <v>0</v>
      </c>
      <c r="N16" s="42">
        <v>0</v>
      </c>
      <c r="O16" s="42">
        <v>0</v>
      </c>
      <c r="P16" s="42"/>
      <c r="Q16" s="42">
        <v>0</v>
      </c>
      <c r="R16" s="42"/>
      <c r="S16" s="42">
        <v>80000000</v>
      </c>
      <c r="T16" s="42">
        <v>0</v>
      </c>
      <c r="U16" s="42"/>
      <c r="V16" s="42">
        <v>0</v>
      </c>
      <c r="W16" s="42">
        <v>0</v>
      </c>
      <c r="X16" s="42"/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112">
        <v>0</v>
      </c>
      <c r="AG16" s="113">
        <v>0</v>
      </c>
      <c r="AH16" s="87">
        <f>SUM(C16:AG16)</f>
        <v>305000000</v>
      </c>
    </row>
    <row r="17" spans="1:35" s="4" customFormat="1" ht="30" hidden="1" customHeight="1">
      <c r="A17" s="49" t="str">
        <f>C4</f>
        <v>Закупка материалов/товаров</v>
      </c>
      <c r="B17" s="49"/>
      <c r="C17" s="53"/>
      <c r="D17" s="49"/>
      <c r="E17" s="49"/>
      <c r="F17" s="49"/>
      <c r="G17" s="49"/>
      <c r="H17" s="49"/>
      <c r="I17" s="49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24"/>
      <c r="AF17" s="114"/>
      <c r="AG17" s="115"/>
    </row>
    <row r="18" spans="1:35" s="4" customFormat="1" ht="30" hidden="1" customHeight="1">
      <c r="A18" s="50" t="s">
        <v>7</v>
      </c>
      <c r="B18" s="50"/>
      <c r="C18" s="53"/>
      <c r="D18" s="50"/>
      <c r="E18" s="50"/>
      <c r="F18" s="50"/>
      <c r="G18" s="50"/>
      <c r="H18" s="50"/>
      <c r="I18" s="50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116"/>
      <c r="AG18" s="117"/>
    </row>
    <row r="19" spans="1:35" s="4" customFormat="1" ht="30" hidden="1" customHeight="1">
      <c r="A19" s="50" t="str">
        <f>C6</f>
        <v xml:space="preserve">Пополнение оборотных средств </v>
      </c>
      <c r="B19" s="50"/>
      <c r="C19" s="53"/>
      <c r="D19" s="50"/>
      <c r="E19" s="50"/>
      <c r="F19" s="50"/>
      <c r="G19" s="50"/>
      <c r="H19" s="50"/>
      <c r="I19" s="50"/>
      <c r="J19" s="24"/>
      <c r="K19" s="24"/>
      <c r="L19" s="24"/>
      <c r="M19" s="24"/>
      <c r="N19" s="24"/>
      <c r="O19" s="24"/>
      <c r="P19" s="24"/>
      <c r="Q19" s="24">
        <v>16000</v>
      </c>
      <c r="R19" s="47">
        <v>16000</v>
      </c>
      <c r="S19" s="47">
        <v>30800</v>
      </c>
      <c r="T19" s="47">
        <v>16000</v>
      </c>
      <c r="U19" s="47">
        <v>30000</v>
      </c>
      <c r="V19" s="47">
        <v>16000</v>
      </c>
      <c r="W19" s="47">
        <v>16000</v>
      </c>
      <c r="X19" s="47">
        <v>36000</v>
      </c>
      <c r="Y19" s="47">
        <v>43200</v>
      </c>
      <c r="Z19" s="47">
        <v>16000</v>
      </c>
      <c r="AA19" s="47">
        <v>51840</v>
      </c>
      <c r="AB19" s="47"/>
      <c r="AC19" s="24"/>
      <c r="AD19" s="24"/>
      <c r="AE19" s="24"/>
      <c r="AF19" s="114"/>
      <c r="AG19" s="115"/>
    </row>
    <row r="20" spans="1:35" s="4" customFormat="1" ht="30" hidden="1" customHeight="1">
      <c r="A20" s="14"/>
      <c r="B20" s="24"/>
      <c r="C20" s="5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114"/>
      <c r="AG20" s="115"/>
    </row>
    <row r="21" spans="1:35" s="4" customFormat="1" ht="30" hidden="1" customHeight="1">
      <c r="A21" s="14"/>
      <c r="B21" s="24"/>
      <c r="C21" s="47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114"/>
      <c r="AG21" s="115"/>
    </row>
    <row r="22" spans="1:35" s="4" customFormat="1" ht="21" hidden="1" customHeight="1">
      <c r="A22" s="1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114"/>
      <c r="AG22" s="115"/>
    </row>
    <row r="23" spans="1:35" s="4" customFormat="1" ht="15" hidden="1" customHeight="1">
      <c r="A23" s="15"/>
      <c r="B23" s="2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114"/>
      <c r="AG23" s="115"/>
    </row>
    <row r="24" spans="1:35" s="4" customFormat="1" ht="15" hidden="1" customHeight="1">
      <c r="A24" s="15"/>
      <c r="B24" s="2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114"/>
      <c r="AG24" s="115"/>
    </row>
    <row r="25" spans="1:35" s="4" customFormat="1" ht="15" hidden="1" customHeight="1">
      <c r="A25" s="15"/>
      <c r="B25" s="2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114"/>
      <c r="AG25" s="115"/>
    </row>
    <row r="26" spans="1:35" s="4" customFormat="1" ht="15" hidden="1" customHeight="1">
      <c r="A26" s="15"/>
      <c r="B26" s="2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114"/>
      <c r="AG26" s="115"/>
    </row>
    <row r="27" spans="1:35" s="4" customFormat="1" ht="15" hidden="1" customHeight="1">
      <c r="A27" s="15"/>
      <c r="B27" s="2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114"/>
      <c r="AG27" s="115"/>
    </row>
    <row r="28" spans="1:35" s="4" customFormat="1" ht="15.75" hidden="1" customHeight="1">
      <c r="A28" s="16"/>
      <c r="B28" s="2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114"/>
      <c r="AG28" s="115"/>
    </row>
    <row r="29" spans="1:35" ht="18" customHeight="1">
      <c r="A29" s="17" t="s">
        <v>14</v>
      </c>
      <c r="B29" s="27">
        <f>B16</f>
        <v>0</v>
      </c>
      <c r="C29" s="27">
        <f t="shared" ref="C29:AG29" si="2">B29+C16</f>
        <v>70000000</v>
      </c>
      <c r="D29" s="27">
        <f t="shared" si="2"/>
        <v>120000000</v>
      </c>
      <c r="E29" s="27">
        <f t="shared" si="2"/>
        <v>120000000</v>
      </c>
      <c r="F29" s="27">
        <f t="shared" si="2"/>
        <v>120000000</v>
      </c>
      <c r="G29" s="27">
        <f t="shared" si="2"/>
        <v>120000000</v>
      </c>
      <c r="H29" s="27">
        <f t="shared" si="2"/>
        <v>120000000</v>
      </c>
      <c r="I29" s="27">
        <f t="shared" si="2"/>
        <v>175000000</v>
      </c>
      <c r="J29" s="27">
        <f t="shared" si="2"/>
        <v>175000000</v>
      </c>
      <c r="K29" s="27">
        <f t="shared" si="2"/>
        <v>175000000</v>
      </c>
      <c r="L29" s="27">
        <f t="shared" si="2"/>
        <v>225000000</v>
      </c>
      <c r="M29" s="27">
        <f t="shared" si="2"/>
        <v>225000000</v>
      </c>
      <c r="N29" s="27">
        <f t="shared" si="2"/>
        <v>225000000</v>
      </c>
      <c r="O29" s="27">
        <f t="shared" si="2"/>
        <v>225000000</v>
      </c>
      <c r="P29" s="27">
        <f t="shared" si="2"/>
        <v>225000000</v>
      </c>
      <c r="Q29" s="27">
        <f t="shared" si="2"/>
        <v>225000000</v>
      </c>
      <c r="R29" s="27">
        <f t="shared" si="2"/>
        <v>225000000</v>
      </c>
      <c r="S29" s="27">
        <f t="shared" si="2"/>
        <v>305000000</v>
      </c>
      <c r="T29" s="27">
        <f t="shared" si="2"/>
        <v>305000000</v>
      </c>
      <c r="U29" s="27">
        <f t="shared" si="2"/>
        <v>305000000</v>
      </c>
      <c r="V29" s="27">
        <f t="shared" si="2"/>
        <v>305000000</v>
      </c>
      <c r="W29" s="27">
        <f t="shared" si="2"/>
        <v>305000000</v>
      </c>
      <c r="X29" s="27">
        <f t="shared" si="2"/>
        <v>305000000</v>
      </c>
      <c r="Y29" s="27">
        <f t="shared" si="2"/>
        <v>305000000</v>
      </c>
      <c r="Z29" s="27">
        <f t="shared" si="2"/>
        <v>305000000</v>
      </c>
      <c r="AA29" s="27">
        <f t="shared" si="2"/>
        <v>305000000</v>
      </c>
      <c r="AB29" s="27">
        <f t="shared" si="2"/>
        <v>305000000</v>
      </c>
      <c r="AC29" s="27">
        <f t="shared" si="2"/>
        <v>305000000</v>
      </c>
      <c r="AD29" s="27">
        <f t="shared" si="2"/>
        <v>305000000</v>
      </c>
      <c r="AE29" s="27">
        <f t="shared" si="2"/>
        <v>305000000</v>
      </c>
      <c r="AF29" s="118">
        <f t="shared" si="2"/>
        <v>305000000</v>
      </c>
      <c r="AG29" s="119">
        <f t="shared" si="2"/>
        <v>305000000</v>
      </c>
    </row>
    <row r="30" spans="1:35" s="92" customFormat="1" ht="47.25" customHeight="1">
      <c r="A30" s="96" t="s">
        <v>15</v>
      </c>
      <c r="B30" s="90"/>
      <c r="C30" s="90">
        <v>9286000</v>
      </c>
      <c r="D30" s="134">
        <f>9286000+7738000</f>
        <v>17024000</v>
      </c>
      <c r="E30" s="134">
        <f>9286000+7738001</f>
        <v>17024001</v>
      </c>
      <c r="F30" s="134">
        <f>9286000+7738002</f>
        <v>17024002</v>
      </c>
      <c r="G30" s="134">
        <f>9286000+7738003</f>
        <v>17024003</v>
      </c>
      <c r="H30" s="134">
        <f>9286000+7738004</f>
        <v>17024004</v>
      </c>
      <c r="I30" s="134">
        <f>9286000+7738005+8535000</f>
        <v>25559005</v>
      </c>
      <c r="J30" s="134">
        <f>9286000+7738005+8535001</f>
        <v>25559006</v>
      </c>
      <c r="K30" s="134">
        <f>9286000+7738005+8535002</f>
        <v>25559007</v>
      </c>
      <c r="L30" s="134">
        <f>9286000+8738005+8535003+8260000</f>
        <v>34819008</v>
      </c>
      <c r="M30" s="134">
        <f>9286000+8738005+8535003+8260001</f>
        <v>34819009</v>
      </c>
      <c r="N30" s="134">
        <f>9286000+8738005+8535003+8260002</f>
        <v>34819010</v>
      </c>
      <c r="O30" s="134">
        <f>9286000+9738005+8535003+8260003</f>
        <v>35819011</v>
      </c>
      <c r="P30" s="134">
        <f>9286000+9738005+8535003+8260004</f>
        <v>35819012</v>
      </c>
      <c r="Q30" s="134">
        <f>9286000+9738005+8535003+8260005</f>
        <v>35819013</v>
      </c>
      <c r="R30" s="134">
        <f>9286000+9738005+8535003+8260006</f>
        <v>35819014</v>
      </c>
      <c r="S30" s="134">
        <f>9286000+9738005+8535003+8260007+14154000</f>
        <v>49973015</v>
      </c>
      <c r="T30" s="134">
        <f>9286000+9738005+8535003+8260007+14154001</f>
        <v>49973016</v>
      </c>
      <c r="U30" s="134">
        <f>9286000+9738005+8535003+8260007+14154002</f>
        <v>49973017</v>
      </c>
      <c r="V30" s="134">
        <f>9286000+9738005+8535003+8260007+14154003</f>
        <v>49973018</v>
      </c>
      <c r="W30" s="134">
        <f>9286000+9738005+8535003+8260007+14154004</f>
        <v>49973019</v>
      </c>
      <c r="X30" s="134">
        <f>9286000+9738005+8535003+8260007+14154005</f>
        <v>49973020</v>
      </c>
      <c r="Y30" s="134">
        <f>9286000+9738005+8535003+8260007+14154006</f>
        <v>49973021</v>
      </c>
      <c r="Z30" s="134">
        <f>9286000+9938005+8535003+8260007+14154007</f>
        <v>50173022</v>
      </c>
      <c r="AA30" s="134">
        <f>9286000+9738005+8535003+8260007+14154008</f>
        <v>49973023</v>
      </c>
      <c r="AB30" s="134">
        <f>9286000+9738005+8535003+8260007+14154009</f>
        <v>49973024</v>
      </c>
      <c r="AC30" s="134">
        <f>9286000+9738005+8535003+8260007+14154010</f>
        <v>49973025</v>
      </c>
      <c r="AD30" s="134">
        <f>9286000+9738005+8535003+8260007+14154011</f>
        <v>49973026</v>
      </c>
      <c r="AE30" s="134">
        <f>9286000+9738005+8535003+8260007+14154012</f>
        <v>49973027</v>
      </c>
      <c r="AF30" s="134">
        <f>9286000+9738005+8535003+8260007+14154013</f>
        <v>49973028</v>
      </c>
      <c r="AG30" s="134">
        <f>9286000+9738005+8535003+8260007+14154014</f>
        <v>49973029</v>
      </c>
      <c r="AH30" s="91">
        <f>SUM(C30:AG30)</f>
        <v>1168611435</v>
      </c>
      <c r="AI30" s="91"/>
    </row>
    <row r="31" spans="1:35" ht="48.75" customHeight="1">
      <c r="A31" s="18" t="s">
        <v>16</v>
      </c>
      <c r="B31" s="29"/>
      <c r="C31" s="29">
        <f>(C30/131313)*70707</f>
        <v>5000153.846153846</v>
      </c>
      <c r="D31" s="29">
        <f t="shared" ref="D31:I31" si="3">(D30/131313)*70707</f>
        <v>9166769.2307692301</v>
      </c>
      <c r="E31" s="29">
        <f t="shared" si="3"/>
        <v>9166769.7692307699</v>
      </c>
      <c r="F31" s="29">
        <f t="shared" si="3"/>
        <v>9166770.307692308</v>
      </c>
      <c r="G31" s="29">
        <f t="shared" si="3"/>
        <v>9166770.8461538479</v>
      </c>
      <c r="H31" s="29">
        <f t="shared" si="3"/>
        <v>9166771.384615384</v>
      </c>
      <c r="I31" s="29">
        <f t="shared" si="3"/>
        <v>13762541.153846154</v>
      </c>
      <c r="J31" s="29">
        <f>(J30/131313)*70707</f>
        <v>13762541.692307692</v>
      </c>
      <c r="K31" s="29">
        <f t="shared" ref="K31" si="4">(K30/131313)*70707</f>
        <v>13762542.230769232</v>
      </c>
      <c r="L31" s="29">
        <f t="shared" ref="L31" si="5">(L30/131313)*70707</f>
        <v>18748696.615384616</v>
      </c>
      <c r="M31" s="29">
        <f t="shared" ref="M31" si="6">(M30/131313)*70707</f>
        <v>18748697.153846156</v>
      </c>
      <c r="N31" s="29">
        <f t="shared" ref="N31" si="7">(N30/131313)*70707</f>
        <v>18748697.692307692</v>
      </c>
      <c r="O31" s="29">
        <f t="shared" ref="O31" si="8">(O30/131313)*70707</f>
        <v>19287159.769230768</v>
      </c>
      <c r="P31" s="29">
        <f>(P30/131313)*70707</f>
        <v>19287160.307692308</v>
      </c>
      <c r="Q31" s="29">
        <f t="shared" ref="Q31" si="9">(Q30/131313)*70707</f>
        <v>19287160.846153848</v>
      </c>
      <c r="R31" s="29">
        <f t="shared" ref="R31" si="10">(R30/131313)*70707</f>
        <v>19287161.384615384</v>
      </c>
      <c r="S31" s="29">
        <f t="shared" ref="S31" si="11">(S30/131313)*70707</f>
        <v>26908546.538461536</v>
      </c>
      <c r="T31" s="29">
        <f t="shared" ref="T31" si="12">(T30/131313)*70707</f>
        <v>26908547.076923076</v>
      </c>
      <c r="U31" s="29">
        <f t="shared" ref="U31" si="13">(U30/131313)*70707</f>
        <v>26908547.615384616</v>
      </c>
      <c r="V31" s="29">
        <f t="shared" ref="V31" si="14">(V30/131313)*70707</f>
        <v>26908548.153846152</v>
      </c>
      <c r="W31" s="29">
        <f t="shared" ref="W31" si="15">(W30/131313)*70707</f>
        <v>26908548.692307692</v>
      </c>
      <c r="X31" s="29">
        <f t="shared" ref="X31" si="16">(X30/131313)*70707</f>
        <v>26908549.230769232</v>
      </c>
      <c r="Y31" s="29">
        <f t="shared" ref="Y31" si="17">(Y30/131313)*70707</f>
        <v>26908549.769230768</v>
      </c>
      <c r="Z31" s="29">
        <f t="shared" ref="Z31" si="18">(Z30/131313)*70707</f>
        <v>27016242.615384616</v>
      </c>
      <c r="AA31" s="29">
        <f t="shared" ref="AA31" si="19">(AA30/131313)*70707</f>
        <v>26908550.846153848</v>
      </c>
      <c r="AB31" s="29">
        <f t="shared" ref="AB31" si="20">(AB30/131313)*70707</f>
        <v>26908551.384615388</v>
      </c>
      <c r="AC31" s="29">
        <f t="shared" ref="AC31" si="21">(AC30/131313)*70707</f>
        <v>26908551.923076924</v>
      </c>
      <c r="AD31" s="29">
        <f t="shared" ref="AD31" si="22">(AD30/131313)*70707</f>
        <v>26908552.461538464</v>
      </c>
      <c r="AE31" s="29">
        <f t="shared" ref="AE31" si="23">(AE30/131313)*70707</f>
        <v>26908553</v>
      </c>
      <c r="AF31" s="120">
        <f t="shared" ref="AF31" si="24">(AF30/131313)*70707</f>
        <v>26908553.538461536</v>
      </c>
      <c r="AG31" s="121">
        <f t="shared" ref="AG31" si="25">(AG30/131313)*70707</f>
        <v>26908554.076923076</v>
      </c>
      <c r="AH31" s="52">
        <f>SUM(C31:AG31)</f>
        <v>629252311.15384638</v>
      </c>
      <c r="AI31" s="52"/>
    </row>
    <row r="32" spans="1:35" s="92" customFormat="1" ht="20.25" customHeight="1">
      <c r="A32" s="95" t="s">
        <v>17</v>
      </c>
      <c r="B32" s="93">
        <f>B30-B31</f>
        <v>0</v>
      </c>
      <c r="C32" s="93">
        <f>C30-C31</f>
        <v>4285846.153846154</v>
      </c>
      <c r="D32" s="93">
        <f t="shared" ref="D32:M32" si="26">D30-D31</f>
        <v>7857230.7692307699</v>
      </c>
      <c r="E32" s="93">
        <f t="shared" si="26"/>
        <v>7857231.2307692301</v>
      </c>
      <c r="F32" s="93">
        <f t="shared" si="26"/>
        <v>7857231.692307692</v>
      </c>
      <c r="G32" s="93">
        <f t="shared" si="26"/>
        <v>7857232.1538461521</v>
      </c>
      <c r="H32" s="93">
        <f t="shared" si="26"/>
        <v>7857232.615384616</v>
      </c>
      <c r="I32" s="93">
        <f t="shared" si="26"/>
        <v>11796463.846153846</v>
      </c>
      <c r="J32" s="93">
        <f t="shared" si="26"/>
        <v>11796464.307692308</v>
      </c>
      <c r="K32" s="93">
        <f t="shared" si="26"/>
        <v>11796464.769230768</v>
      </c>
      <c r="L32" s="93">
        <f t="shared" si="26"/>
        <v>16070311.384615384</v>
      </c>
      <c r="M32" s="93">
        <f t="shared" si="26"/>
        <v>16070311.846153844</v>
      </c>
      <c r="N32" s="93">
        <f>N30-N31</f>
        <v>16070312.307692308</v>
      </c>
      <c r="O32" s="93">
        <f t="shared" ref="O32" si="27">O30-O31</f>
        <v>16531851.230769232</v>
      </c>
      <c r="P32" s="93">
        <f t="shared" ref="P32" si="28">P30-P31</f>
        <v>16531851.692307692</v>
      </c>
      <c r="Q32" s="93">
        <f t="shared" ref="Q32" si="29">Q30-Q31</f>
        <v>16531852.153846152</v>
      </c>
      <c r="R32" s="93">
        <f t="shared" ref="R32:AG32" si="30">R30-R31</f>
        <v>16531852.615384616</v>
      </c>
      <c r="S32" s="93">
        <f t="shared" si="30"/>
        <v>23064468.461538464</v>
      </c>
      <c r="T32" s="93">
        <f t="shared" si="30"/>
        <v>23064468.923076924</v>
      </c>
      <c r="U32" s="93">
        <f t="shared" si="30"/>
        <v>23064469.384615384</v>
      </c>
      <c r="V32" s="93">
        <f t="shared" si="30"/>
        <v>23064469.846153848</v>
      </c>
      <c r="W32" s="93">
        <f t="shared" si="30"/>
        <v>23064470.307692308</v>
      </c>
      <c r="X32" s="93">
        <f t="shared" si="30"/>
        <v>23064470.769230768</v>
      </c>
      <c r="Y32" s="93">
        <f t="shared" si="30"/>
        <v>23064471.230769232</v>
      </c>
      <c r="Z32" s="93">
        <f t="shared" si="30"/>
        <v>23156779.384615384</v>
      </c>
      <c r="AA32" s="93">
        <f t="shared" si="30"/>
        <v>23064472.153846152</v>
      </c>
      <c r="AB32" s="93">
        <f t="shared" si="30"/>
        <v>23064472.615384612</v>
      </c>
      <c r="AC32" s="93">
        <f t="shared" si="30"/>
        <v>23064473.076923076</v>
      </c>
      <c r="AD32" s="93">
        <f t="shared" si="30"/>
        <v>23064473.538461536</v>
      </c>
      <c r="AE32" s="93">
        <f t="shared" si="30"/>
        <v>23064474</v>
      </c>
      <c r="AF32" s="122">
        <f t="shared" si="30"/>
        <v>23064474.461538464</v>
      </c>
      <c r="AG32" s="123">
        <f t="shared" si="30"/>
        <v>23064474.923076924</v>
      </c>
      <c r="AH32" s="91">
        <f>SUM(C32:AG32)</f>
        <v>539359123.84615374</v>
      </c>
      <c r="AI32" s="91"/>
    </row>
    <row r="33" spans="1:35" ht="15.75">
      <c r="A33" s="17" t="s">
        <v>18</v>
      </c>
      <c r="B33" s="40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18"/>
      <c r="AG33" s="119"/>
      <c r="AH33" s="52">
        <f>SUM(C33:AG33)</f>
        <v>0</v>
      </c>
      <c r="AI33" s="52"/>
    </row>
    <row r="34" spans="1:35" ht="17.25">
      <c r="A34" s="19" t="s">
        <v>19</v>
      </c>
      <c r="B34" s="30"/>
      <c r="C34" s="47">
        <v>500000</v>
      </c>
      <c r="D34" s="47">
        <v>500000</v>
      </c>
      <c r="E34" s="47">
        <v>500000</v>
      </c>
      <c r="F34" s="47">
        <v>500000</v>
      </c>
      <c r="G34" s="47">
        <v>500000</v>
      </c>
      <c r="H34" s="47">
        <v>500000</v>
      </c>
      <c r="I34" s="47">
        <v>500000</v>
      </c>
      <c r="J34" s="47">
        <v>500000</v>
      </c>
      <c r="K34" s="47">
        <v>500000</v>
      </c>
      <c r="L34" s="47">
        <v>500000</v>
      </c>
      <c r="M34" s="47">
        <v>500000</v>
      </c>
      <c r="N34" s="47">
        <v>500000</v>
      </c>
      <c r="O34" s="47">
        <v>500000</v>
      </c>
      <c r="P34" s="47">
        <v>500000</v>
      </c>
      <c r="Q34" s="47">
        <v>500000</v>
      </c>
      <c r="R34" s="47">
        <v>500000</v>
      </c>
      <c r="S34" s="47">
        <v>500000</v>
      </c>
      <c r="T34" s="47">
        <v>500000</v>
      </c>
      <c r="U34" s="47">
        <v>500000</v>
      </c>
      <c r="V34" s="47">
        <v>500000</v>
      </c>
      <c r="W34" s="47">
        <v>500000</v>
      </c>
      <c r="X34" s="47">
        <v>600000</v>
      </c>
      <c r="Y34" s="47">
        <v>600000</v>
      </c>
      <c r="Z34" s="47">
        <v>600000</v>
      </c>
      <c r="AA34" s="47">
        <v>600000</v>
      </c>
      <c r="AB34" s="47">
        <v>600000</v>
      </c>
      <c r="AC34" s="47">
        <v>600000</v>
      </c>
      <c r="AD34" s="47">
        <v>600000</v>
      </c>
      <c r="AE34" s="47">
        <v>600000</v>
      </c>
      <c r="AF34" s="116">
        <v>600000</v>
      </c>
      <c r="AG34" s="117">
        <v>600000</v>
      </c>
      <c r="AH34" s="52">
        <f>SUM(C34:AG34)</f>
        <v>16500000</v>
      </c>
      <c r="AI34" s="52"/>
    </row>
    <row r="35" spans="1:35" ht="17.25">
      <c r="A35" s="19" t="s">
        <v>20</v>
      </c>
      <c r="B35" s="30"/>
      <c r="C35" s="47">
        <v>35000</v>
      </c>
      <c r="D35" s="47">
        <v>35000</v>
      </c>
      <c r="E35" s="47">
        <v>35000</v>
      </c>
      <c r="F35" s="47">
        <v>35000</v>
      </c>
      <c r="G35" s="47">
        <v>35000</v>
      </c>
      <c r="H35" s="47">
        <v>35000</v>
      </c>
      <c r="I35" s="47">
        <v>35000</v>
      </c>
      <c r="J35" s="47">
        <v>35000</v>
      </c>
      <c r="K35" s="47">
        <v>35000</v>
      </c>
      <c r="L35" s="47">
        <v>50000</v>
      </c>
      <c r="M35" s="47">
        <v>50000</v>
      </c>
      <c r="N35" s="47">
        <v>50000</v>
      </c>
      <c r="O35" s="47">
        <v>50000</v>
      </c>
      <c r="P35" s="47">
        <v>50000</v>
      </c>
      <c r="Q35" s="47">
        <v>50000</v>
      </c>
      <c r="R35" s="47">
        <v>50000</v>
      </c>
      <c r="S35" s="47">
        <v>50000</v>
      </c>
      <c r="T35" s="47">
        <v>50000</v>
      </c>
      <c r="U35" s="47">
        <v>50000</v>
      </c>
      <c r="V35" s="47">
        <v>50000</v>
      </c>
      <c r="W35" s="47">
        <v>50000</v>
      </c>
      <c r="X35" s="47">
        <v>52000</v>
      </c>
      <c r="Y35" s="47">
        <v>52000</v>
      </c>
      <c r="Z35" s="47">
        <v>52000</v>
      </c>
      <c r="AA35" s="47">
        <v>52000</v>
      </c>
      <c r="AB35" s="47">
        <v>52000</v>
      </c>
      <c r="AC35" s="47">
        <v>52000</v>
      </c>
      <c r="AD35" s="47">
        <v>52000</v>
      </c>
      <c r="AE35" s="47">
        <v>52000</v>
      </c>
      <c r="AF35" s="116">
        <v>52000</v>
      </c>
      <c r="AG35" s="117">
        <v>52000</v>
      </c>
      <c r="AH35" s="52">
        <f>SUM(C35:AG35)</f>
        <v>1435000</v>
      </c>
      <c r="AI35" s="52"/>
    </row>
    <row r="36" spans="1:35" ht="17.25">
      <c r="A36" s="19" t="s">
        <v>21</v>
      </c>
      <c r="B36" s="31"/>
      <c r="C36" s="47">
        <v>8000</v>
      </c>
      <c r="D36" s="47">
        <v>8000</v>
      </c>
      <c r="E36" s="47">
        <v>8000</v>
      </c>
      <c r="F36" s="47">
        <v>8000</v>
      </c>
      <c r="G36" s="47">
        <v>8000</v>
      </c>
      <c r="H36" s="47">
        <v>8000</v>
      </c>
      <c r="I36" s="47">
        <v>8000</v>
      </c>
      <c r="J36" s="47">
        <v>8000</v>
      </c>
      <c r="K36" s="47">
        <v>8000</v>
      </c>
      <c r="L36" s="47">
        <v>8000</v>
      </c>
      <c r="M36" s="47">
        <v>8000</v>
      </c>
      <c r="N36" s="47">
        <v>8000</v>
      </c>
      <c r="O36" s="47">
        <v>8000</v>
      </c>
      <c r="P36" s="47">
        <v>8000</v>
      </c>
      <c r="Q36" s="47">
        <v>8000</v>
      </c>
      <c r="R36" s="47">
        <v>8000</v>
      </c>
      <c r="S36" s="47">
        <v>8000</v>
      </c>
      <c r="T36" s="47">
        <v>8000</v>
      </c>
      <c r="U36" s="47">
        <v>8000</v>
      </c>
      <c r="V36" s="47">
        <v>8000</v>
      </c>
      <c r="W36" s="47">
        <v>8000</v>
      </c>
      <c r="X36" s="47">
        <v>8000</v>
      </c>
      <c r="Y36" s="47">
        <v>8000</v>
      </c>
      <c r="Z36" s="47">
        <v>8000</v>
      </c>
      <c r="AA36" s="47">
        <v>8000</v>
      </c>
      <c r="AB36" s="47">
        <v>8000</v>
      </c>
      <c r="AC36" s="47">
        <v>8000</v>
      </c>
      <c r="AD36" s="47">
        <v>8000</v>
      </c>
      <c r="AE36" s="47">
        <v>8000</v>
      </c>
      <c r="AF36" s="116">
        <v>8000</v>
      </c>
      <c r="AG36" s="117">
        <v>8000</v>
      </c>
      <c r="AH36" s="52">
        <f>SUM(C36:AG36)</f>
        <v>248000</v>
      </c>
      <c r="AI36" s="52"/>
    </row>
    <row r="37" spans="1:35" ht="17.25">
      <c r="A37" s="19" t="s">
        <v>22</v>
      </c>
      <c r="B37" s="30"/>
      <c r="C37" s="47">
        <f>1500000/12</f>
        <v>125000</v>
      </c>
      <c r="D37" s="47">
        <f t="shared" ref="D37:Q37" si="31">1500000/12</f>
        <v>125000</v>
      </c>
      <c r="E37" s="47">
        <f t="shared" si="31"/>
        <v>125000</v>
      </c>
      <c r="F37" s="47">
        <f t="shared" si="31"/>
        <v>125000</v>
      </c>
      <c r="G37" s="47">
        <f t="shared" si="31"/>
        <v>125000</v>
      </c>
      <c r="H37" s="47">
        <f t="shared" si="31"/>
        <v>125000</v>
      </c>
      <c r="I37" s="47">
        <f t="shared" si="31"/>
        <v>125000</v>
      </c>
      <c r="J37" s="47">
        <f t="shared" si="31"/>
        <v>125000</v>
      </c>
      <c r="K37" s="47">
        <f t="shared" si="31"/>
        <v>125000</v>
      </c>
      <c r="L37" s="47">
        <f>1500000/12</f>
        <v>125000</v>
      </c>
      <c r="M37" s="47">
        <f t="shared" si="31"/>
        <v>125000</v>
      </c>
      <c r="N37" s="47">
        <f t="shared" si="31"/>
        <v>125000</v>
      </c>
      <c r="O37" s="47">
        <f t="shared" si="31"/>
        <v>125000</v>
      </c>
      <c r="P37" s="47">
        <f t="shared" si="31"/>
        <v>125000</v>
      </c>
      <c r="Q37" s="47">
        <f t="shared" si="31"/>
        <v>125000</v>
      </c>
      <c r="R37" s="47">
        <v>250000</v>
      </c>
      <c r="S37" s="47">
        <v>250000</v>
      </c>
      <c r="T37" s="47">
        <v>250000</v>
      </c>
      <c r="U37" s="47">
        <v>250000</v>
      </c>
      <c r="V37" s="47">
        <v>250000</v>
      </c>
      <c r="W37" s="47">
        <v>250000</v>
      </c>
      <c r="X37" s="47">
        <v>250000</v>
      </c>
      <c r="Y37" s="47">
        <v>250000</v>
      </c>
      <c r="Z37" s="47">
        <v>250000</v>
      </c>
      <c r="AA37" s="47">
        <v>250000</v>
      </c>
      <c r="AB37" s="47">
        <v>250000</v>
      </c>
      <c r="AC37" s="47">
        <v>250000</v>
      </c>
      <c r="AD37" s="47">
        <v>300000</v>
      </c>
      <c r="AE37" s="47">
        <v>300000</v>
      </c>
      <c r="AF37" s="116">
        <v>300000</v>
      </c>
      <c r="AG37" s="117">
        <v>300000</v>
      </c>
      <c r="AH37" s="52">
        <f>SUM(C37:AG37)</f>
        <v>6075000</v>
      </c>
      <c r="AI37" s="52"/>
    </row>
    <row r="38" spans="1:35" ht="17.25">
      <c r="A38" s="19" t="s">
        <v>23</v>
      </c>
      <c r="B38" s="30"/>
      <c r="C38" s="47">
        <f>C30*0.03</f>
        <v>278580</v>
      </c>
      <c r="D38" s="47">
        <f t="shared" ref="D38:AG38" si="32">D30*0.03</f>
        <v>510720</v>
      </c>
      <c r="E38" s="47">
        <f t="shared" si="32"/>
        <v>510720.02999999997</v>
      </c>
      <c r="F38" s="47">
        <f t="shared" si="32"/>
        <v>510720.06</v>
      </c>
      <c r="G38" s="47">
        <f t="shared" si="32"/>
        <v>510720.08999999997</v>
      </c>
      <c r="H38" s="47">
        <f t="shared" si="32"/>
        <v>510720.12</v>
      </c>
      <c r="I38" s="47">
        <f t="shared" si="32"/>
        <v>766770.15</v>
      </c>
      <c r="J38" s="47">
        <f t="shared" si="32"/>
        <v>766770.17999999993</v>
      </c>
      <c r="K38" s="47">
        <f t="shared" si="32"/>
        <v>766770.21</v>
      </c>
      <c r="L38" s="47">
        <f t="shared" si="32"/>
        <v>1044570.24</v>
      </c>
      <c r="M38" s="47">
        <f>M30*0.03</f>
        <v>1044570.27</v>
      </c>
      <c r="N38" s="47">
        <f t="shared" si="32"/>
        <v>1044570.2999999999</v>
      </c>
      <c r="O38" s="47">
        <f t="shared" si="32"/>
        <v>1074570.33</v>
      </c>
      <c r="P38" s="47">
        <f t="shared" si="32"/>
        <v>1074570.3599999999</v>
      </c>
      <c r="Q38" s="47">
        <f t="shared" si="32"/>
        <v>1074570.3899999999</v>
      </c>
      <c r="R38" s="47">
        <f t="shared" si="32"/>
        <v>1074570.42</v>
      </c>
      <c r="S38" s="47">
        <f t="shared" si="32"/>
        <v>1499190.45</v>
      </c>
      <c r="T38" s="47">
        <f t="shared" si="32"/>
        <v>1499190.48</v>
      </c>
      <c r="U38" s="47">
        <f t="shared" si="32"/>
        <v>1499190.51</v>
      </c>
      <c r="V38" s="47">
        <f t="shared" si="32"/>
        <v>1499190.54</v>
      </c>
      <c r="W38" s="47">
        <f t="shared" si="32"/>
        <v>1499190.5699999998</v>
      </c>
      <c r="X38" s="47">
        <f t="shared" si="32"/>
        <v>1499190.5999999999</v>
      </c>
      <c r="Y38" s="47">
        <f t="shared" si="32"/>
        <v>1499190.63</v>
      </c>
      <c r="Z38" s="47">
        <f t="shared" si="32"/>
        <v>1505190.66</v>
      </c>
      <c r="AA38" s="47">
        <f t="shared" si="32"/>
        <v>1499190.69</v>
      </c>
      <c r="AB38" s="47">
        <f t="shared" si="32"/>
        <v>1499190.72</v>
      </c>
      <c r="AC38" s="47">
        <f t="shared" si="32"/>
        <v>1499190.75</v>
      </c>
      <c r="AD38" s="47">
        <f t="shared" si="32"/>
        <v>1499190.78</v>
      </c>
      <c r="AE38" s="47">
        <f t="shared" si="32"/>
        <v>1499190.81</v>
      </c>
      <c r="AF38" s="116">
        <f t="shared" si="32"/>
        <v>1499190.8399999999</v>
      </c>
      <c r="AG38" s="117">
        <f t="shared" si="32"/>
        <v>1499190.8699999999</v>
      </c>
      <c r="AH38" s="52">
        <f>SUM(C38:AG38)</f>
        <v>35058343.049999997</v>
      </c>
      <c r="AI38" s="52"/>
    </row>
    <row r="39" spans="1:35" ht="17.25">
      <c r="A39" s="19" t="s">
        <v>24</v>
      </c>
      <c r="B39" s="30"/>
      <c r="C39" s="47">
        <f>11600000/30</f>
        <v>386666.66666666669</v>
      </c>
      <c r="D39" s="47">
        <f t="shared" ref="D39:AG39" si="33">11600000/30</f>
        <v>386666.66666666669</v>
      </c>
      <c r="E39" s="47">
        <f t="shared" si="33"/>
        <v>386666.66666666669</v>
      </c>
      <c r="F39" s="47">
        <f t="shared" si="33"/>
        <v>386666.66666666669</v>
      </c>
      <c r="G39" s="47">
        <f t="shared" si="33"/>
        <v>386666.66666666669</v>
      </c>
      <c r="H39" s="47">
        <f t="shared" si="33"/>
        <v>386666.66666666669</v>
      </c>
      <c r="I39" s="47">
        <f t="shared" si="33"/>
        <v>386666.66666666669</v>
      </c>
      <c r="J39" s="47">
        <f t="shared" si="33"/>
        <v>386666.66666666669</v>
      </c>
      <c r="K39" s="47">
        <f t="shared" si="33"/>
        <v>386666.66666666669</v>
      </c>
      <c r="L39" s="47">
        <f t="shared" si="33"/>
        <v>386666.66666666669</v>
      </c>
      <c r="M39" s="47">
        <f t="shared" si="33"/>
        <v>386666.66666666669</v>
      </c>
      <c r="N39" s="47">
        <f t="shared" si="33"/>
        <v>386666.66666666669</v>
      </c>
      <c r="O39" s="47">
        <f t="shared" si="33"/>
        <v>386666.66666666669</v>
      </c>
      <c r="P39" s="47">
        <f t="shared" si="33"/>
        <v>386666.66666666669</v>
      </c>
      <c r="Q39" s="47">
        <f t="shared" si="33"/>
        <v>386666.66666666669</v>
      </c>
      <c r="R39" s="47">
        <f t="shared" si="33"/>
        <v>386666.66666666669</v>
      </c>
      <c r="S39" s="47">
        <f t="shared" si="33"/>
        <v>386666.66666666669</v>
      </c>
      <c r="T39" s="47">
        <f>11600000/30</f>
        <v>386666.66666666669</v>
      </c>
      <c r="U39" s="47">
        <f t="shared" si="33"/>
        <v>386666.66666666669</v>
      </c>
      <c r="V39" s="47">
        <f t="shared" si="33"/>
        <v>386666.66666666669</v>
      </c>
      <c r="W39" s="47">
        <f t="shared" si="33"/>
        <v>386666.66666666669</v>
      </c>
      <c r="X39" s="47">
        <f t="shared" si="33"/>
        <v>386666.66666666669</v>
      </c>
      <c r="Y39" s="47">
        <f t="shared" si="33"/>
        <v>386666.66666666669</v>
      </c>
      <c r="Z39" s="47">
        <f t="shared" si="33"/>
        <v>386666.66666666669</v>
      </c>
      <c r="AA39" s="47">
        <f t="shared" si="33"/>
        <v>386666.66666666669</v>
      </c>
      <c r="AB39" s="47">
        <f t="shared" si="33"/>
        <v>386666.66666666669</v>
      </c>
      <c r="AC39" s="47">
        <f t="shared" si="33"/>
        <v>386666.66666666669</v>
      </c>
      <c r="AD39" s="47">
        <f t="shared" si="33"/>
        <v>386666.66666666669</v>
      </c>
      <c r="AE39" s="47">
        <f t="shared" si="33"/>
        <v>386666.66666666669</v>
      </c>
      <c r="AF39" s="47">
        <f t="shared" si="33"/>
        <v>386666.66666666669</v>
      </c>
      <c r="AG39" s="47">
        <f t="shared" si="33"/>
        <v>386666.66666666669</v>
      </c>
      <c r="AH39" s="52">
        <f>SUM(C39:AG39)</f>
        <v>11986666.666666664</v>
      </c>
      <c r="AI39" s="52"/>
    </row>
    <row r="40" spans="1:35" ht="17.25">
      <c r="A40" s="19" t="s">
        <v>25</v>
      </c>
      <c r="B40" s="30"/>
      <c r="C40" s="47">
        <f>C30*0.06</f>
        <v>557160</v>
      </c>
      <c r="D40" s="47">
        <f t="shared" ref="D40:AG40" si="34">D30*0.06</f>
        <v>1021440</v>
      </c>
      <c r="E40" s="47">
        <f t="shared" si="34"/>
        <v>1021440.0599999999</v>
      </c>
      <c r="F40" s="47">
        <f t="shared" si="34"/>
        <v>1021440.12</v>
      </c>
      <c r="G40" s="47">
        <f t="shared" si="34"/>
        <v>1021440.1799999999</v>
      </c>
      <c r="H40" s="47">
        <f t="shared" si="34"/>
        <v>1021440.24</v>
      </c>
      <c r="I40" s="47">
        <f t="shared" si="34"/>
        <v>1533540.3</v>
      </c>
      <c r="J40" s="47">
        <f t="shared" si="34"/>
        <v>1533540.3599999999</v>
      </c>
      <c r="K40" s="47">
        <f t="shared" si="34"/>
        <v>1533540.42</v>
      </c>
      <c r="L40" s="47">
        <f t="shared" si="34"/>
        <v>2089140.48</v>
      </c>
      <c r="M40" s="47">
        <f t="shared" si="34"/>
        <v>2089140.54</v>
      </c>
      <c r="N40" s="47">
        <f>N30*0.06</f>
        <v>2089140.5999999999</v>
      </c>
      <c r="O40" s="47">
        <f t="shared" si="34"/>
        <v>2149140.66</v>
      </c>
      <c r="P40" s="47">
        <f t="shared" si="34"/>
        <v>2149140.7199999997</v>
      </c>
      <c r="Q40" s="47">
        <f t="shared" si="34"/>
        <v>2149140.7799999998</v>
      </c>
      <c r="R40" s="47">
        <f t="shared" si="34"/>
        <v>2149140.84</v>
      </c>
      <c r="S40" s="47">
        <f t="shared" si="34"/>
        <v>2998380.9</v>
      </c>
      <c r="T40" s="47">
        <f t="shared" si="34"/>
        <v>2998380.96</v>
      </c>
      <c r="U40" s="47">
        <f t="shared" si="34"/>
        <v>2998381.02</v>
      </c>
      <c r="V40" s="47">
        <f t="shared" si="34"/>
        <v>2998381.08</v>
      </c>
      <c r="W40" s="47">
        <f t="shared" si="34"/>
        <v>2998381.1399999997</v>
      </c>
      <c r="X40" s="47">
        <f t="shared" si="34"/>
        <v>2998381.1999999997</v>
      </c>
      <c r="Y40" s="47">
        <f t="shared" si="34"/>
        <v>2998381.26</v>
      </c>
      <c r="Z40" s="47">
        <f t="shared" si="34"/>
        <v>3010381.32</v>
      </c>
      <c r="AA40" s="47">
        <f t="shared" si="34"/>
        <v>2998381.38</v>
      </c>
      <c r="AB40" s="47">
        <f t="shared" si="34"/>
        <v>2998381.44</v>
      </c>
      <c r="AC40" s="47">
        <f t="shared" si="34"/>
        <v>2998381.5</v>
      </c>
      <c r="AD40" s="47">
        <f t="shared" si="34"/>
        <v>2998381.56</v>
      </c>
      <c r="AE40" s="47">
        <f t="shared" si="34"/>
        <v>2998381.62</v>
      </c>
      <c r="AF40" s="116">
        <f t="shared" si="34"/>
        <v>2998381.6799999997</v>
      </c>
      <c r="AG40" s="117">
        <f t="shared" si="34"/>
        <v>2998381.7399999998</v>
      </c>
      <c r="AH40" s="52">
        <f>SUM(C40:AG40)</f>
        <v>70116686.099999994</v>
      </c>
      <c r="AI40" s="52"/>
    </row>
    <row r="41" spans="1:35" ht="15" hidden="1" customHeight="1">
      <c r="A41" s="19" t="s">
        <v>26</v>
      </c>
      <c r="B41" s="30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116"/>
      <c r="AG41" s="117"/>
      <c r="AH41" s="52">
        <f>SUM(C41:AG41)</f>
        <v>0</v>
      </c>
      <c r="AI41" s="52"/>
    </row>
    <row r="42" spans="1:35" ht="15.75" customHeight="1">
      <c r="A42" s="19" t="s">
        <v>27</v>
      </c>
      <c r="B42" s="30"/>
      <c r="C42" s="135">
        <f>20000000/30</f>
        <v>666666.66666666663</v>
      </c>
      <c r="D42" s="135">
        <f t="shared" ref="D42:AG42" si="35">20000000/30</f>
        <v>666666.66666666663</v>
      </c>
      <c r="E42" s="135">
        <f t="shared" si="35"/>
        <v>666666.66666666663</v>
      </c>
      <c r="F42" s="135">
        <f t="shared" si="35"/>
        <v>666666.66666666663</v>
      </c>
      <c r="G42" s="135">
        <f t="shared" si="35"/>
        <v>666666.66666666663</v>
      </c>
      <c r="H42" s="135">
        <f t="shared" si="35"/>
        <v>666666.66666666663</v>
      </c>
      <c r="I42" s="135">
        <f t="shared" si="35"/>
        <v>666666.66666666663</v>
      </c>
      <c r="J42" s="135">
        <f t="shared" si="35"/>
        <v>666666.66666666663</v>
      </c>
      <c r="K42" s="135">
        <f t="shared" si="35"/>
        <v>666666.66666666663</v>
      </c>
      <c r="L42" s="135">
        <f t="shared" si="35"/>
        <v>666666.66666666663</v>
      </c>
      <c r="M42" s="135">
        <f t="shared" si="35"/>
        <v>666666.66666666663</v>
      </c>
      <c r="N42" s="135">
        <f t="shared" si="35"/>
        <v>666666.66666666663</v>
      </c>
      <c r="O42" s="135">
        <f t="shared" si="35"/>
        <v>666666.66666666663</v>
      </c>
      <c r="P42" s="135">
        <f t="shared" si="35"/>
        <v>666666.66666666663</v>
      </c>
      <c r="Q42" s="135">
        <f t="shared" si="35"/>
        <v>666666.66666666663</v>
      </c>
      <c r="R42" s="135">
        <f t="shared" si="35"/>
        <v>666666.66666666663</v>
      </c>
      <c r="S42" s="135">
        <f t="shared" si="35"/>
        <v>666666.66666666663</v>
      </c>
      <c r="T42" s="135">
        <f t="shared" si="35"/>
        <v>666666.66666666663</v>
      </c>
      <c r="U42" s="135">
        <f t="shared" si="35"/>
        <v>666666.66666666663</v>
      </c>
      <c r="V42" s="135">
        <f t="shared" si="35"/>
        <v>666666.66666666663</v>
      </c>
      <c r="W42" s="135">
        <f t="shared" si="35"/>
        <v>666666.66666666663</v>
      </c>
      <c r="X42" s="135">
        <f t="shared" si="35"/>
        <v>666666.66666666663</v>
      </c>
      <c r="Y42" s="135">
        <f t="shared" si="35"/>
        <v>666666.66666666663</v>
      </c>
      <c r="Z42" s="135">
        <f>20000000/30</f>
        <v>666666.66666666663</v>
      </c>
      <c r="AA42" s="135">
        <f t="shared" si="35"/>
        <v>666666.66666666663</v>
      </c>
      <c r="AB42" s="135">
        <f t="shared" si="35"/>
        <v>666666.66666666663</v>
      </c>
      <c r="AC42" s="135">
        <f t="shared" si="35"/>
        <v>666666.66666666663</v>
      </c>
      <c r="AD42" s="135">
        <f t="shared" si="35"/>
        <v>666666.66666666663</v>
      </c>
      <c r="AE42" s="135">
        <f t="shared" si="35"/>
        <v>666666.66666666663</v>
      </c>
      <c r="AF42" s="135">
        <f t="shared" si="35"/>
        <v>666666.66666666663</v>
      </c>
      <c r="AG42" s="135">
        <f t="shared" si="35"/>
        <v>666666.66666666663</v>
      </c>
      <c r="AH42" s="52">
        <f>SUM(C42:AG42)</f>
        <v>20666666.666666668</v>
      </c>
      <c r="AI42" s="52"/>
    </row>
    <row r="43" spans="1:35" s="4" customFormat="1" ht="17.25">
      <c r="A43" s="14" t="s">
        <v>28</v>
      </c>
      <c r="B43" s="30">
        <f>SUM(B34:B42)</f>
        <v>0</v>
      </c>
      <c r="C43" s="30">
        <f>SUM(C34:C42)</f>
        <v>2557073.3333333335</v>
      </c>
      <c r="D43" s="30">
        <f>SUM(D34:D42)</f>
        <v>3253493.3333333335</v>
      </c>
      <c r="E43" s="30">
        <f>SUM(E34:E42)</f>
        <v>3253493.4233333333</v>
      </c>
      <c r="F43" s="30">
        <f>SUM(F34:F42)</f>
        <v>3253493.5133333332</v>
      </c>
      <c r="G43" s="30">
        <f>SUM(G34:G42)</f>
        <v>3253493.603333333</v>
      </c>
      <c r="H43" s="30">
        <f>SUM(H34:H42)</f>
        <v>3253493.6933333334</v>
      </c>
      <c r="I43" s="30">
        <f>SUM(I34:I42)</f>
        <v>4021643.7833333332</v>
      </c>
      <c r="J43" s="30">
        <f>SUM(J34:J42)</f>
        <v>4021643.8733333331</v>
      </c>
      <c r="K43" s="30">
        <f>SUM(K34:K42)</f>
        <v>4021643.9633333334</v>
      </c>
      <c r="L43" s="30">
        <f>SUM(L34:L42)</f>
        <v>4870044.0533333337</v>
      </c>
      <c r="M43" s="30">
        <f>SUM(M34:M42)</f>
        <v>4870044.1433333335</v>
      </c>
      <c r="N43" s="30">
        <f>SUM(N34:N42)</f>
        <v>4870044.2333333334</v>
      </c>
      <c r="O43" s="30">
        <f>SUM(O34:O42)</f>
        <v>4960044.3233333332</v>
      </c>
      <c r="P43" s="30">
        <f>SUM(P34:P42)</f>
        <v>4960044.4133333331</v>
      </c>
      <c r="Q43" s="30">
        <f>SUM(Q34:Q42)</f>
        <v>4960044.5033333329</v>
      </c>
      <c r="R43" s="30">
        <f>SUM(R34:R42)</f>
        <v>5085044.5933333328</v>
      </c>
      <c r="S43" s="30">
        <f>SUM(S34:S42)</f>
        <v>6358904.6833333336</v>
      </c>
      <c r="T43" s="30">
        <f>SUM(T34:T42)</f>
        <v>6358904.7733333334</v>
      </c>
      <c r="U43" s="30">
        <f>SUM(U34:U42)</f>
        <v>6358904.8633333333</v>
      </c>
      <c r="V43" s="30">
        <f>SUM(V34:V42)</f>
        <v>6358904.9533333341</v>
      </c>
      <c r="W43" s="30">
        <f>SUM(W34:W42)</f>
        <v>6358905.043333333</v>
      </c>
      <c r="X43" s="30">
        <f>SUM(X34:X42)</f>
        <v>6460905.1333333328</v>
      </c>
      <c r="Y43" s="30">
        <f>SUM(Y34:Y42)</f>
        <v>6460905.2233333336</v>
      </c>
      <c r="Z43" s="30">
        <f>SUM(Z34:Z42)</f>
        <v>6478905.3133333335</v>
      </c>
      <c r="AA43" s="30">
        <f>SUM(AA34:AA42)</f>
        <v>6460905.4033333333</v>
      </c>
      <c r="AB43" s="30">
        <f>SUM(AB34:AB42)</f>
        <v>6460905.4933333332</v>
      </c>
      <c r="AC43" s="30">
        <f>SUM(AC34:AC42)</f>
        <v>6460905.583333333</v>
      </c>
      <c r="AD43" s="30">
        <f>SUM(AD34:AD42)</f>
        <v>6510905.6733333338</v>
      </c>
      <c r="AE43" s="30">
        <f>SUM(AE34:AE42)</f>
        <v>6510905.7633333337</v>
      </c>
      <c r="AF43" s="124">
        <f>SUM(AF34:AF42)</f>
        <v>6510905.8533333326</v>
      </c>
      <c r="AG43" s="125">
        <f>SUM(AG34:AG42)</f>
        <v>6510905.9433333334</v>
      </c>
      <c r="AH43" s="52">
        <f>SUM(C43:AG43)</f>
        <v>162086362.48333332</v>
      </c>
      <c r="AI43" s="52"/>
    </row>
    <row r="44" spans="1:35" s="4" customFormat="1" ht="15">
      <c r="A44" s="14"/>
      <c r="B44" s="3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114"/>
      <c r="AG44" s="115"/>
      <c r="AH44" s="52">
        <f>SUM(C44:AG44)</f>
        <v>0</v>
      </c>
      <c r="AI44" s="52"/>
    </row>
    <row r="45" spans="1:35" s="92" customFormat="1" ht="17.25">
      <c r="A45" s="95" t="s">
        <v>29</v>
      </c>
      <c r="B45" s="97">
        <f>B32-B43</f>
        <v>0</v>
      </c>
      <c r="C45" s="97">
        <f>C32-C43</f>
        <v>1728772.8205128205</v>
      </c>
      <c r="D45" s="97">
        <f>D32-D43</f>
        <v>4603737.435897436</v>
      </c>
      <c r="E45" s="97">
        <f>E32-E43</f>
        <v>4603737.8074358962</v>
      </c>
      <c r="F45" s="97">
        <f>F32-F43</f>
        <v>4603738.1789743584</v>
      </c>
      <c r="G45" s="97">
        <f>G32-G43</f>
        <v>4603738.5505128186</v>
      </c>
      <c r="H45" s="97">
        <f>H32-H43</f>
        <v>4603738.9220512826</v>
      </c>
      <c r="I45" s="97">
        <f>I32-I43</f>
        <v>7774820.0628205128</v>
      </c>
      <c r="J45" s="97">
        <f>J32-J43</f>
        <v>7774820.4343589749</v>
      </c>
      <c r="K45" s="97">
        <f>K32-K43</f>
        <v>7774820.8058974352</v>
      </c>
      <c r="L45" s="97">
        <f>L32-L43</f>
        <v>11200267.331282049</v>
      </c>
      <c r="M45" s="97">
        <f>M32-M43</f>
        <v>11200267.70282051</v>
      </c>
      <c r="N45" s="97">
        <f>N32-N43</f>
        <v>11200268.074358974</v>
      </c>
      <c r="O45" s="97">
        <f>O32-O43</f>
        <v>11571806.907435898</v>
      </c>
      <c r="P45" s="97">
        <f>P32-P43</f>
        <v>11571807.278974358</v>
      </c>
      <c r="Q45" s="97">
        <f>Q32-Q43</f>
        <v>11571807.650512818</v>
      </c>
      <c r="R45" s="97">
        <f>R32-R43</f>
        <v>11446808.022051282</v>
      </c>
      <c r="S45" s="97">
        <f>S32-S43</f>
        <v>16705563.77820513</v>
      </c>
      <c r="T45" s="97">
        <f>T32-T43</f>
        <v>16705564.149743591</v>
      </c>
      <c r="U45" s="97">
        <f>U32-U43</f>
        <v>16705564.521282051</v>
      </c>
      <c r="V45" s="97">
        <f>V32-V43</f>
        <v>16705564.892820515</v>
      </c>
      <c r="W45" s="97">
        <f>W32-W43</f>
        <v>16705565.264358975</v>
      </c>
      <c r="X45" s="97">
        <f>X32-X43</f>
        <v>16603565.635897435</v>
      </c>
      <c r="Y45" s="97">
        <f>Y32-Y43</f>
        <v>16603566.007435899</v>
      </c>
      <c r="Z45" s="97">
        <f>Z32-Z43</f>
        <v>16677874.071282052</v>
      </c>
      <c r="AA45" s="97">
        <f>AA32-AA43</f>
        <v>16603566.75051282</v>
      </c>
      <c r="AB45" s="97">
        <f>AB32-AB43</f>
        <v>16603567.12205128</v>
      </c>
      <c r="AC45" s="97">
        <f>AC32-AC43</f>
        <v>16603567.493589744</v>
      </c>
      <c r="AD45" s="97">
        <f>AD32-AD43</f>
        <v>16553567.865128202</v>
      </c>
      <c r="AE45" s="97">
        <f>AE32-AE43</f>
        <v>16553568.236666666</v>
      </c>
      <c r="AF45" s="126">
        <f>AF32-AF43</f>
        <v>16553568.608205132</v>
      </c>
      <c r="AG45" s="127">
        <f>AG32-AG43</f>
        <v>16553568.979743591</v>
      </c>
      <c r="AH45" s="91">
        <f>SUM(C45:AG45)</f>
        <v>377272761.36282051</v>
      </c>
      <c r="AI45" s="91"/>
    </row>
    <row r="46" spans="1:35" ht="17.25">
      <c r="A46" s="19" t="s">
        <v>30</v>
      </c>
      <c r="B46" s="24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24"/>
      <c r="AB46" s="24"/>
      <c r="AC46" s="24"/>
      <c r="AD46" s="24"/>
      <c r="AE46" s="24"/>
      <c r="AF46" s="114"/>
      <c r="AG46" s="115"/>
      <c r="AH46" s="52">
        <f>SUM(C46:AG46)</f>
        <v>0</v>
      </c>
      <c r="AI46" s="52"/>
    </row>
    <row r="47" spans="1:35" ht="17.25">
      <c r="A47" s="19" t="s">
        <v>31</v>
      </c>
      <c r="B47" s="24"/>
      <c r="C47" s="47">
        <v>55000</v>
      </c>
      <c r="D47" s="47">
        <v>55000</v>
      </c>
      <c r="E47" s="47">
        <v>55000</v>
      </c>
      <c r="F47" s="47">
        <v>55000</v>
      </c>
      <c r="G47" s="47">
        <v>55000</v>
      </c>
      <c r="H47" s="47">
        <v>55000</v>
      </c>
      <c r="I47" s="47">
        <v>55000</v>
      </c>
      <c r="J47" s="47">
        <v>55000</v>
      </c>
      <c r="K47" s="47">
        <v>55000</v>
      </c>
      <c r="L47" s="47">
        <v>57000</v>
      </c>
      <c r="M47" s="47">
        <v>57000</v>
      </c>
      <c r="N47" s="47">
        <v>57000</v>
      </c>
      <c r="O47" s="47">
        <v>57000</v>
      </c>
      <c r="P47" s="47">
        <v>57000</v>
      </c>
      <c r="Q47" s="47">
        <v>57000</v>
      </c>
      <c r="R47" s="47">
        <v>57000</v>
      </c>
      <c r="S47" s="47">
        <v>57000</v>
      </c>
      <c r="T47" s="47">
        <v>57000</v>
      </c>
      <c r="U47" s="47">
        <v>57000</v>
      </c>
      <c r="V47" s="47">
        <v>57000</v>
      </c>
      <c r="W47" s="47">
        <v>57000</v>
      </c>
      <c r="X47" s="47">
        <v>63000</v>
      </c>
      <c r="Y47" s="47">
        <v>63000</v>
      </c>
      <c r="Z47" s="47">
        <v>63000</v>
      </c>
      <c r="AA47" s="47">
        <v>63000</v>
      </c>
      <c r="AB47" s="47">
        <v>63000</v>
      </c>
      <c r="AC47" s="47">
        <v>63000</v>
      </c>
      <c r="AD47" s="47">
        <v>63000</v>
      </c>
      <c r="AE47" s="47">
        <v>63000</v>
      </c>
      <c r="AF47" s="116">
        <v>63000</v>
      </c>
      <c r="AG47" s="117">
        <v>63000</v>
      </c>
      <c r="AH47" s="52">
        <f>SUM(C47:AG47)</f>
        <v>1809000</v>
      </c>
      <c r="AI47" s="52"/>
    </row>
    <row r="48" spans="1:35" s="92" customFormat="1" ht="17.25">
      <c r="A48" s="94" t="s">
        <v>32</v>
      </c>
      <c r="B48" s="93">
        <f t="shared" ref="B48:AG48" si="36">B45+B46-B47</f>
        <v>0</v>
      </c>
      <c r="C48" s="93">
        <f t="shared" si="36"/>
        <v>1673772.8205128205</v>
      </c>
      <c r="D48" s="93">
        <f t="shared" si="36"/>
        <v>4548737.435897436</v>
      </c>
      <c r="E48" s="93">
        <f t="shared" si="36"/>
        <v>4548737.8074358962</v>
      </c>
      <c r="F48" s="93">
        <f t="shared" si="36"/>
        <v>4548738.1789743584</v>
      </c>
      <c r="G48" s="93">
        <f t="shared" si="36"/>
        <v>4548738.5505128186</v>
      </c>
      <c r="H48" s="93">
        <f t="shared" si="36"/>
        <v>4548738.9220512826</v>
      </c>
      <c r="I48" s="93">
        <f t="shared" si="36"/>
        <v>7719820.0628205128</v>
      </c>
      <c r="J48" s="93">
        <f t="shared" si="36"/>
        <v>7719820.4343589749</v>
      </c>
      <c r="K48" s="93">
        <f t="shared" si="36"/>
        <v>7719820.8058974352</v>
      </c>
      <c r="L48" s="93">
        <f t="shared" si="36"/>
        <v>11143267.331282049</v>
      </c>
      <c r="M48" s="93">
        <f t="shared" si="36"/>
        <v>11143267.70282051</v>
      </c>
      <c r="N48" s="93">
        <f t="shared" si="36"/>
        <v>11143268.074358974</v>
      </c>
      <c r="O48" s="93">
        <f t="shared" si="36"/>
        <v>11514806.907435898</v>
      </c>
      <c r="P48" s="93">
        <f t="shared" si="36"/>
        <v>11514807.278974358</v>
      </c>
      <c r="Q48" s="93">
        <f t="shared" si="36"/>
        <v>11514807.650512818</v>
      </c>
      <c r="R48" s="93">
        <f t="shared" si="36"/>
        <v>11389808.022051282</v>
      </c>
      <c r="S48" s="93">
        <f t="shared" si="36"/>
        <v>16648563.77820513</v>
      </c>
      <c r="T48" s="93">
        <f t="shared" si="36"/>
        <v>16648564.149743591</v>
      </c>
      <c r="U48" s="93">
        <f t="shared" si="36"/>
        <v>16648564.521282051</v>
      </c>
      <c r="V48" s="93">
        <f t="shared" si="36"/>
        <v>16648564.892820515</v>
      </c>
      <c r="W48" s="93">
        <f t="shared" si="36"/>
        <v>16648565.264358975</v>
      </c>
      <c r="X48" s="93">
        <f t="shared" si="36"/>
        <v>16540565.635897435</v>
      </c>
      <c r="Y48" s="93">
        <f t="shared" si="36"/>
        <v>16540566.007435899</v>
      </c>
      <c r="Z48" s="93">
        <f t="shared" si="36"/>
        <v>16614874.071282052</v>
      </c>
      <c r="AA48" s="93">
        <f t="shared" si="36"/>
        <v>16540566.75051282</v>
      </c>
      <c r="AB48" s="93">
        <f t="shared" si="36"/>
        <v>16540567.12205128</v>
      </c>
      <c r="AC48" s="93">
        <f t="shared" si="36"/>
        <v>16540567.493589744</v>
      </c>
      <c r="AD48" s="93">
        <f t="shared" si="36"/>
        <v>16490567.865128202</v>
      </c>
      <c r="AE48" s="93">
        <f t="shared" si="36"/>
        <v>16490568.236666666</v>
      </c>
      <c r="AF48" s="122">
        <f t="shared" si="36"/>
        <v>16490568.608205132</v>
      </c>
      <c r="AG48" s="123">
        <f t="shared" si="36"/>
        <v>16490568.979743591</v>
      </c>
      <c r="AH48" s="91">
        <f>SUM(C48:AG48)</f>
        <v>375463761.36282051</v>
      </c>
      <c r="AI48" s="91"/>
    </row>
    <row r="49" spans="1:35" ht="17.25">
      <c r="A49" s="19" t="s">
        <v>33</v>
      </c>
      <c r="B49" s="30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116"/>
      <c r="AG49" s="117"/>
      <c r="AH49" s="52">
        <f>SUM(C49:AG49)</f>
        <v>0</v>
      </c>
      <c r="AI49" s="52"/>
    </row>
    <row r="50" spans="1:35" ht="19.5" customHeight="1">
      <c r="A50" s="19" t="s">
        <v>34</v>
      </c>
      <c r="B50" s="30"/>
      <c r="C50" s="24"/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/>
      <c r="O50" s="24"/>
      <c r="P50" s="24"/>
      <c r="Q50" s="24"/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/>
      <c r="AE50" s="24"/>
      <c r="AF50" s="114"/>
      <c r="AG50" s="115"/>
      <c r="AH50" s="52">
        <f>SUM(C50:AG50)</f>
        <v>0</v>
      </c>
      <c r="AI50" s="52"/>
    </row>
    <row r="51" spans="1:35" ht="17.25">
      <c r="A51" s="19" t="s">
        <v>35</v>
      </c>
      <c r="B51" s="3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114"/>
      <c r="AG51" s="115"/>
      <c r="AH51" s="52">
        <f>SUM(C51:AG51)</f>
        <v>0</v>
      </c>
      <c r="AI51" s="52"/>
    </row>
    <row r="52" spans="1:35" ht="17.25">
      <c r="A52" s="13" t="s">
        <v>36</v>
      </c>
      <c r="B52" s="32">
        <f>B48-B49-B50-B51</f>
        <v>0</v>
      </c>
      <c r="C52" s="32">
        <f t="shared" ref="C52:AG52" si="37">C48-C49-C50-C51</f>
        <v>1673772.8205128205</v>
      </c>
      <c r="D52" s="32">
        <f t="shared" si="37"/>
        <v>4548737.435897436</v>
      </c>
      <c r="E52" s="32">
        <f t="shared" si="37"/>
        <v>4548737.8074358962</v>
      </c>
      <c r="F52" s="32">
        <f t="shared" si="37"/>
        <v>4548738.1789743584</v>
      </c>
      <c r="G52" s="32">
        <f t="shared" si="37"/>
        <v>4548738.5505128186</v>
      </c>
      <c r="H52" s="32">
        <f t="shared" si="37"/>
        <v>4548738.9220512826</v>
      </c>
      <c r="I52" s="32">
        <f t="shared" si="37"/>
        <v>7719820.0628205128</v>
      </c>
      <c r="J52" s="32">
        <f t="shared" si="37"/>
        <v>7719820.4343589749</v>
      </c>
      <c r="K52" s="32">
        <f t="shared" si="37"/>
        <v>7719820.8058974352</v>
      </c>
      <c r="L52" s="32">
        <f t="shared" si="37"/>
        <v>11143267.331282049</v>
      </c>
      <c r="M52" s="32">
        <f t="shared" si="37"/>
        <v>11143267.70282051</v>
      </c>
      <c r="N52" s="32">
        <f t="shared" si="37"/>
        <v>11143268.074358974</v>
      </c>
      <c r="O52" s="32">
        <f t="shared" si="37"/>
        <v>11514806.907435898</v>
      </c>
      <c r="P52" s="32">
        <f t="shared" si="37"/>
        <v>11514807.278974358</v>
      </c>
      <c r="Q52" s="32">
        <f t="shared" si="37"/>
        <v>11514807.650512818</v>
      </c>
      <c r="R52" s="32">
        <f t="shared" si="37"/>
        <v>11389808.022051282</v>
      </c>
      <c r="S52" s="32">
        <f t="shared" si="37"/>
        <v>16648563.77820513</v>
      </c>
      <c r="T52" s="32">
        <f t="shared" si="37"/>
        <v>16648564.149743591</v>
      </c>
      <c r="U52" s="32">
        <f t="shared" si="37"/>
        <v>16648564.521282051</v>
      </c>
      <c r="V52" s="32">
        <f t="shared" si="37"/>
        <v>16648564.892820515</v>
      </c>
      <c r="W52" s="32">
        <f t="shared" si="37"/>
        <v>16648565.264358975</v>
      </c>
      <c r="X52" s="32">
        <f t="shared" si="37"/>
        <v>16540565.635897435</v>
      </c>
      <c r="Y52" s="32">
        <f t="shared" si="37"/>
        <v>16540566.007435899</v>
      </c>
      <c r="Z52" s="32">
        <f t="shared" si="37"/>
        <v>16614874.071282052</v>
      </c>
      <c r="AA52" s="32">
        <f t="shared" si="37"/>
        <v>16540566.75051282</v>
      </c>
      <c r="AB52" s="32">
        <f t="shared" si="37"/>
        <v>16540567.12205128</v>
      </c>
      <c r="AC52" s="32">
        <f t="shared" si="37"/>
        <v>16540567.493589744</v>
      </c>
      <c r="AD52" s="32">
        <f t="shared" si="37"/>
        <v>16490567.865128202</v>
      </c>
      <c r="AE52" s="32">
        <f t="shared" si="37"/>
        <v>16490568.236666666</v>
      </c>
      <c r="AF52" s="128">
        <f t="shared" si="37"/>
        <v>16490568.608205132</v>
      </c>
      <c r="AG52" s="129">
        <f t="shared" si="37"/>
        <v>16490568.979743591</v>
      </c>
      <c r="AH52" s="52">
        <f>SUM(C52:AG52)</f>
        <v>375463761.36282051</v>
      </c>
      <c r="AI52" s="52"/>
    </row>
    <row r="53" spans="1:35" s="56" customFormat="1" ht="15.75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130"/>
      <c r="AG53" s="131"/>
      <c r="AH53" s="82"/>
    </row>
    <row r="54" spans="1:35" ht="18.75" customHeight="1">
      <c r="A54" s="20" t="s">
        <v>37</v>
      </c>
      <c r="B54" s="32">
        <f>B52</f>
        <v>0</v>
      </c>
      <c r="C54" s="32">
        <f>C52</f>
        <v>1673772.8205128205</v>
      </c>
      <c r="D54" s="32">
        <f t="shared" ref="D54:AG54" si="38">C54+D52</f>
        <v>6222510.256410256</v>
      </c>
      <c r="E54" s="32">
        <f t="shared" si="38"/>
        <v>10771248.063846152</v>
      </c>
      <c r="F54" s="32">
        <f t="shared" si="38"/>
        <v>15319986.242820511</v>
      </c>
      <c r="G54" s="32">
        <f t="shared" si="38"/>
        <v>19868724.793333329</v>
      </c>
      <c r="H54" s="32">
        <f t="shared" si="38"/>
        <v>24417463.71538461</v>
      </c>
      <c r="I54" s="32">
        <f t="shared" si="38"/>
        <v>32137283.778205123</v>
      </c>
      <c r="J54" s="32">
        <f>I54+J52</f>
        <v>39857104.212564096</v>
      </c>
      <c r="K54" s="32">
        <f t="shared" si="38"/>
        <v>47576925.018461533</v>
      </c>
      <c r="L54" s="32">
        <f t="shared" si="38"/>
        <v>58720192.349743582</v>
      </c>
      <c r="M54" s="32">
        <f t="shared" si="38"/>
        <v>69863460.052564085</v>
      </c>
      <c r="N54" s="32">
        <f t="shared" si="38"/>
        <v>81006728.126923054</v>
      </c>
      <c r="O54" s="32">
        <f t="shared" si="38"/>
        <v>92521535.034358948</v>
      </c>
      <c r="P54" s="32">
        <f t="shared" si="38"/>
        <v>104036342.3133333</v>
      </c>
      <c r="Q54" s="32">
        <f t="shared" si="38"/>
        <v>115551149.96384612</v>
      </c>
      <c r="R54" s="32">
        <f t="shared" si="38"/>
        <v>126940957.98589739</v>
      </c>
      <c r="S54" s="32">
        <f t="shared" si="38"/>
        <v>143589521.76410252</v>
      </c>
      <c r="T54" s="32">
        <f t="shared" si="38"/>
        <v>160238085.91384611</v>
      </c>
      <c r="U54" s="32">
        <f t="shared" si="38"/>
        <v>176886650.43512815</v>
      </c>
      <c r="V54" s="32">
        <f t="shared" si="38"/>
        <v>193535215.32794866</v>
      </c>
      <c r="W54" s="32">
        <f t="shared" si="38"/>
        <v>210183780.59230763</v>
      </c>
      <c r="X54" s="32">
        <f t="shared" si="38"/>
        <v>226724346.22820505</v>
      </c>
      <c r="Y54" s="32">
        <f t="shared" si="38"/>
        <v>243264912.23564094</v>
      </c>
      <c r="Z54" s="32">
        <f t="shared" si="38"/>
        <v>259879786.306923</v>
      </c>
      <c r="AA54" s="32">
        <f t="shared" si="38"/>
        <v>276420353.05743581</v>
      </c>
      <c r="AB54" s="32">
        <f t="shared" si="38"/>
        <v>292960920.17948711</v>
      </c>
      <c r="AC54" s="32">
        <f t="shared" si="38"/>
        <v>309501487.67307687</v>
      </c>
      <c r="AD54" s="32">
        <f t="shared" si="38"/>
        <v>325992055.53820509</v>
      </c>
      <c r="AE54" s="32">
        <f t="shared" si="38"/>
        <v>342482623.77487177</v>
      </c>
      <c r="AF54" s="128">
        <f t="shared" si="38"/>
        <v>358973192.38307691</v>
      </c>
      <c r="AG54" s="129">
        <f t="shared" si="38"/>
        <v>375463761.36282051</v>
      </c>
      <c r="AH54" s="52">
        <f>SUM(C54:AG54)</f>
        <v>4742582077.5012808</v>
      </c>
      <c r="AI54" s="52"/>
    </row>
    <row r="55" spans="1:35" ht="18.75" customHeight="1">
      <c r="A55" s="17" t="s">
        <v>38</v>
      </c>
      <c r="B55" s="32">
        <f>B54-B29</f>
        <v>0</v>
      </c>
      <c r="C55" s="32">
        <f>C54-C29</f>
        <v>-68326227.179487184</v>
      </c>
      <c r="D55" s="32">
        <f>D54-D29</f>
        <v>-113777489.74358974</v>
      </c>
      <c r="E55" s="32">
        <f>E54-E29</f>
        <v>-109228751.93615384</v>
      </c>
      <c r="F55" s="32">
        <f>F54-F29</f>
        <v>-104680013.75717948</v>
      </c>
      <c r="G55" s="32">
        <f>G54-G29</f>
        <v>-100131275.20666668</v>
      </c>
      <c r="H55" s="32">
        <f>H54-H29</f>
        <v>-95582536.284615397</v>
      </c>
      <c r="I55" s="32">
        <f>I54-I29</f>
        <v>-142862716.22179487</v>
      </c>
      <c r="J55" s="32">
        <f>J54-J29</f>
        <v>-135142895.78743589</v>
      </c>
      <c r="K55" s="32">
        <f>K54-K29</f>
        <v>-127423074.98153847</v>
      </c>
      <c r="L55" s="32">
        <f>L54-L29</f>
        <v>-166279807.65025643</v>
      </c>
      <c r="M55" s="32">
        <f>M54-M29</f>
        <v>-155136539.94743592</v>
      </c>
      <c r="N55" s="32">
        <f>N54-N29</f>
        <v>-143993271.87307695</v>
      </c>
      <c r="O55" s="32">
        <f>O54-O29</f>
        <v>-132478464.96564105</v>
      </c>
      <c r="P55" s="32">
        <f>P54-P29</f>
        <v>-120963657.6866667</v>
      </c>
      <c r="Q55" s="32">
        <f>Q54-Q29</f>
        <v>-109448850.03615388</v>
      </c>
      <c r="R55" s="32">
        <f>R54-R29</f>
        <v>-98059042.014102608</v>
      </c>
      <c r="S55" s="32">
        <f>S54-S29</f>
        <v>-161410478.23589748</v>
      </c>
      <c r="T55" s="32">
        <f>T54-T29</f>
        <v>-144761914.08615389</v>
      </c>
      <c r="U55" s="32">
        <f>U54-U29</f>
        <v>-128113349.56487185</v>
      </c>
      <c r="V55" s="32">
        <f>V54-V29</f>
        <v>-111464784.67205134</v>
      </c>
      <c r="W55" s="32">
        <f>W54-W29</f>
        <v>-94816219.407692373</v>
      </c>
      <c r="X55" s="32">
        <f>X54-X29</f>
        <v>-78275653.771794945</v>
      </c>
      <c r="Y55" s="32">
        <f>Y54-Y29</f>
        <v>-61735087.764359057</v>
      </c>
      <c r="Z55" s="32">
        <f>Z54-Z29</f>
        <v>-45120213.693076998</v>
      </c>
      <c r="AA55" s="32">
        <f>AA54-AA29</f>
        <v>-28579646.942564189</v>
      </c>
      <c r="AB55" s="32">
        <f>AB54-AB29</f>
        <v>-12039079.820512891</v>
      </c>
      <c r="AC55" s="32">
        <f>AC54-AC29</f>
        <v>4501487.6730768681</v>
      </c>
      <c r="AD55" s="32">
        <f>AD54-AD29</f>
        <v>20992055.538205087</v>
      </c>
      <c r="AE55" s="32">
        <f>AE54-AE29</f>
        <v>37482623.774871767</v>
      </c>
      <c r="AF55" s="132">
        <f>AF54-AF29</f>
        <v>53973192.383076906</v>
      </c>
      <c r="AG55" s="133">
        <f>AG54-AG29</f>
        <v>70463761.362820506</v>
      </c>
      <c r="AH55" s="52" t="s">
        <v>39</v>
      </c>
      <c r="AI55" s="52"/>
    </row>
    <row r="56" spans="1:35" ht="4.5" customHeight="1">
      <c r="A56" s="21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106"/>
      <c r="AG56" s="106"/>
    </row>
    <row r="57" spans="1:35" ht="18">
      <c r="A57" s="22"/>
      <c r="B57" s="35"/>
      <c r="C57" s="35"/>
      <c r="D57" s="35"/>
      <c r="E57" s="35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107"/>
      <c r="AG57" s="107"/>
    </row>
    <row r="58" spans="1:35">
      <c r="A58" s="2"/>
    </row>
  </sheetData>
  <sheetProtection formatCells="0" formatColumns="0" formatRows="0" insertRows="0" selectLockedCells="1"/>
  <conditionalFormatting sqref="B52:AG52 B54:AG55">
    <cfRule type="cellIs" dxfId="0" priority="3" stopIfTrue="1" operator="greaterThan">
      <formula>0</formula>
    </cfRule>
  </conditionalFormatting>
  <pageMargins left="0.39370078740157483" right="0.39370078740157483" top="0.51181102362204722" bottom="0.19685039370078741" header="0.39370078740157483" footer="0.19685039370078741"/>
  <pageSetup paperSize="9" scale="40" fitToWidth="2" orientation="landscape" r:id="rId1"/>
  <headerFooter alignWithMargins="0"/>
  <colBreaks count="1" manualBreakCount="1">
    <brk id="20" max="7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6D6F-EB55-4C77-BF03-04EE062A2704}">
  <dimension ref="A1:E4"/>
  <sheetViews>
    <sheetView workbookViewId="0">
      <selection activeCell="C2" sqref="C2"/>
    </sheetView>
  </sheetViews>
  <sheetFormatPr defaultRowHeight="15"/>
  <cols>
    <col min="1" max="1" width="28.85546875" customWidth="1"/>
    <col min="2" max="2" width="16.7109375" customWidth="1"/>
    <col min="3" max="3" width="13.7109375" customWidth="1"/>
    <col min="4" max="4" width="13.28515625" bestFit="1" customWidth="1"/>
  </cols>
  <sheetData>
    <row r="1" spans="1:5">
      <c r="A1" s="78" t="s">
        <v>40</v>
      </c>
      <c r="B1" s="78" t="s">
        <v>41</v>
      </c>
      <c r="C1" s="98" t="s">
        <v>42</v>
      </c>
      <c r="D1" s="78" t="s">
        <v>43</v>
      </c>
      <c r="E1" s="78" t="s">
        <v>44</v>
      </c>
    </row>
    <row r="2" spans="1:5">
      <c r="A2" s="102">
        <v>1143079104</v>
      </c>
      <c r="B2" s="101">
        <v>305000000</v>
      </c>
      <c r="C2" s="99">
        <f>A2+B2</f>
        <v>1448079104</v>
      </c>
      <c r="D2" s="78">
        <v>524.18799999999999</v>
      </c>
      <c r="E2" s="100">
        <v>1.1000000000000001</v>
      </c>
    </row>
    <row r="3" spans="1:5">
      <c r="A3" s="79" t="s">
        <v>45</v>
      </c>
      <c r="B3" s="79" t="s">
        <v>46</v>
      </c>
    </row>
    <row r="4" spans="1: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CF176-3CBC-47DE-BE9F-0D1E50F7BBBD}">
  <dimension ref="A1:D3"/>
  <sheetViews>
    <sheetView workbookViewId="0">
      <selection activeCell="B2" sqref="B2"/>
    </sheetView>
  </sheetViews>
  <sheetFormatPr defaultRowHeight="15"/>
  <cols>
    <col min="1" max="1" width="30.85546875" customWidth="1"/>
    <col min="2" max="2" width="15.7109375" customWidth="1"/>
    <col min="3" max="3" width="10.5703125" customWidth="1"/>
  </cols>
  <sheetData>
    <row r="1" spans="1:4" ht="60.75">
      <c r="A1" s="83" t="s">
        <v>48</v>
      </c>
      <c r="B1" s="84" t="s">
        <v>36</v>
      </c>
      <c r="C1" s="84" t="s">
        <v>49</v>
      </c>
      <c r="D1" s="85" t="s">
        <v>50</v>
      </c>
    </row>
    <row r="2" spans="1:4">
      <c r="A2" s="84"/>
      <c r="B2" s="88">
        <v>375463761</v>
      </c>
      <c r="C2" s="84">
        <v>305000000</v>
      </c>
      <c r="D2" s="89">
        <f>(B2/C2)*100%</f>
        <v>1.2310287245901639</v>
      </c>
    </row>
    <row r="3" spans="1:4">
      <c r="A3" s="86"/>
      <c r="B3" s="86"/>
      <c r="C3" s="86"/>
      <c r="D3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2026-05-14T09:43:59Z</dcterms:modified>
  <cp:category/>
  <cp:contentStatus/>
</cp:coreProperties>
</file>