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для инвестора\ИП Гончарова\"/>
    </mc:Choice>
  </mc:AlternateContent>
  <xr:revisionPtr revIDLastSave="0" documentId="13_ncr:1_{AD3B11AF-A6A9-4251-B763-1BEF52F39543}" xr6:coauthVersionLast="47" xr6:coauthVersionMax="47" xr10:uidLastSave="{00000000-0000-0000-0000-000000000000}"/>
  <bookViews>
    <workbookView xWindow="-120" yWindow="-120" windowWidth="20730" windowHeight="11160" tabRatio="655" xr2:uid="{00000000-000D-0000-FFFF-FFFF00000000}"/>
  </bookViews>
  <sheets>
    <sheet name="Титульный лист" sheetId="11" r:id="rId1"/>
    <sheet name="Оборудование" sheetId="7" r:id="rId2"/>
    <sheet name="Инвестиции" sheetId="2" r:id="rId3"/>
    <sheet name="Продажи" sheetId="4" r:id="rId4"/>
    <sheet name="ФОТ" sheetId="3" r:id="rId5"/>
    <sheet name="К" sheetId="12" state="hidden" r:id="rId6"/>
    <sheet name="Затраты" sheetId="9" r:id="rId7"/>
    <sheet name="Расчет окупаемости" sheetId="5" r:id="rId8"/>
    <sheet name="Экономические показатели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B5" i="3"/>
  <c r="E5" i="3" s="1"/>
  <c r="D5" i="3" l="1"/>
  <c r="E5" i="7"/>
  <c r="E6" i="7"/>
  <c r="E7" i="7"/>
  <c r="E8" i="7"/>
  <c r="E9" i="7"/>
  <c r="E12" i="7" l="1"/>
  <c r="E11" i="7"/>
  <c r="E10" i="7"/>
  <c r="B3" i="3" l="1"/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C7" i="4"/>
  <c r="C4" i="9" l="1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B4" i="9"/>
  <c r="C19" i="2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B9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B8" i="9"/>
  <c r="B7" i="9"/>
  <c r="B4" i="3"/>
  <c r="D3" i="3"/>
  <c r="D4" i="3" l="1"/>
  <c r="E4" i="3"/>
  <c r="B2" i="3"/>
  <c r="D2" i="3" s="1"/>
  <c r="D6" i="3" l="1"/>
  <c r="D7" i="3"/>
  <c r="C16" i="2"/>
  <c r="C13" i="2"/>
  <c r="D10" i="9" l="1"/>
  <c r="F10" i="9"/>
  <c r="B10" i="9"/>
  <c r="I10" i="9"/>
  <c r="K10" i="9"/>
  <c r="M10" i="9"/>
  <c r="O10" i="9"/>
  <c r="Q10" i="9"/>
  <c r="S10" i="9"/>
  <c r="U10" i="9"/>
  <c r="W10" i="9"/>
  <c r="Y10" i="9"/>
  <c r="C10" i="9"/>
  <c r="E10" i="9"/>
  <c r="G10" i="9"/>
  <c r="H10" i="9"/>
  <c r="J10" i="9"/>
  <c r="L10" i="9"/>
  <c r="N10" i="9"/>
  <c r="P10" i="9"/>
  <c r="R10" i="9"/>
  <c r="T10" i="9"/>
  <c r="V10" i="9"/>
  <c r="X10" i="9"/>
  <c r="Y3" i="9"/>
  <c r="D3" i="9"/>
  <c r="F3" i="9"/>
  <c r="H3" i="9"/>
  <c r="J3" i="9"/>
  <c r="L3" i="9"/>
  <c r="N3" i="9"/>
  <c r="P3" i="9"/>
  <c r="R3" i="9"/>
  <c r="T3" i="9"/>
  <c r="V3" i="9"/>
  <c r="X3" i="9"/>
  <c r="C3" i="9"/>
  <c r="E3" i="9"/>
  <c r="G3" i="9"/>
  <c r="I3" i="9"/>
  <c r="K3" i="9"/>
  <c r="M3" i="9"/>
  <c r="O3" i="9"/>
  <c r="Q3" i="9"/>
  <c r="S3" i="9"/>
  <c r="U3" i="9"/>
  <c r="W3" i="9"/>
  <c r="B3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C17" i="2"/>
  <c r="C15" i="2"/>
  <c r="E3" i="7" l="1"/>
  <c r="E4" i="7"/>
  <c r="E13" i="7"/>
  <c r="E14" i="7" l="1"/>
  <c r="C7" i="2" s="1"/>
  <c r="C9" i="2" l="1"/>
  <c r="D36" i="12"/>
  <c r="D37" i="12" s="1"/>
  <c r="P28" i="12"/>
  <c r="Q28" i="12"/>
  <c r="R28" i="12"/>
  <c r="S28" i="12"/>
  <c r="T28" i="12"/>
  <c r="U28" i="12"/>
  <c r="V28" i="12"/>
  <c r="W28" i="12"/>
  <c r="X28" i="12"/>
  <c r="Y28" i="12"/>
  <c r="O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B28" i="12"/>
  <c r="Q27" i="12"/>
  <c r="R27" i="12"/>
  <c r="S27" i="12"/>
  <c r="T27" i="12"/>
  <c r="U27" i="12"/>
  <c r="V27" i="12"/>
  <c r="W27" i="12"/>
  <c r="X27" i="12"/>
  <c r="Y27" i="12"/>
  <c r="P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B27" i="12"/>
  <c r="R26" i="12"/>
  <c r="S26" i="12"/>
  <c r="T26" i="12"/>
  <c r="U26" i="12"/>
  <c r="V26" i="12"/>
  <c r="W26" i="12"/>
  <c r="X26" i="12"/>
  <c r="Y26" i="12"/>
  <c r="Q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B26" i="12"/>
  <c r="S25" i="12"/>
  <c r="T25" i="12"/>
  <c r="U25" i="12"/>
  <c r="V25" i="12"/>
  <c r="W25" i="12"/>
  <c r="X25" i="12"/>
  <c r="Y25" i="12"/>
  <c r="R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B25" i="12"/>
  <c r="T24" i="12"/>
  <c r="U24" i="12"/>
  <c r="V24" i="12"/>
  <c r="W24" i="12"/>
  <c r="X24" i="12"/>
  <c r="Y24" i="12"/>
  <c r="S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B24" i="12"/>
  <c r="U23" i="12"/>
  <c r="V23" i="12"/>
  <c r="W23" i="12"/>
  <c r="X23" i="12"/>
  <c r="Y23" i="12"/>
  <c r="T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V22" i="12"/>
  <c r="W22" i="12"/>
  <c r="X22" i="12"/>
  <c r="Y22" i="12"/>
  <c r="U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B22" i="12"/>
  <c r="W21" i="12"/>
  <c r="X21" i="12"/>
  <c r="Y21" i="12"/>
  <c r="V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B21" i="12"/>
  <c r="X20" i="12"/>
  <c r="Y20" i="12"/>
  <c r="W20" i="12"/>
  <c r="X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B20" i="12"/>
  <c r="Y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B19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B18" i="12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C6" i="4" l="1"/>
  <c r="W6" i="4"/>
  <c r="W4" i="4"/>
  <c r="U6" i="4"/>
  <c r="U4" i="4"/>
  <c r="S6" i="4"/>
  <c r="S4" i="4"/>
  <c r="Q6" i="4"/>
  <c r="Q4" i="4"/>
  <c r="O6" i="4"/>
  <c r="O4" i="4"/>
  <c r="M6" i="4"/>
  <c r="M4" i="4"/>
  <c r="K6" i="4"/>
  <c r="K4" i="4"/>
  <c r="I6" i="4"/>
  <c r="I4" i="4"/>
  <c r="G6" i="4"/>
  <c r="G4" i="4"/>
  <c r="E6" i="4"/>
  <c r="E4" i="4"/>
  <c r="Z6" i="4"/>
  <c r="Z4" i="4"/>
  <c r="Y6" i="4"/>
  <c r="Y4" i="4"/>
  <c r="X6" i="4"/>
  <c r="X4" i="4"/>
  <c r="V6" i="4"/>
  <c r="V4" i="4"/>
  <c r="T6" i="4"/>
  <c r="T4" i="4"/>
  <c r="R6" i="4"/>
  <c r="R4" i="4"/>
  <c r="P6" i="4"/>
  <c r="P4" i="4"/>
  <c r="N6" i="4"/>
  <c r="N4" i="4"/>
  <c r="L6" i="4"/>
  <c r="L4" i="4"/>
  <c r="J6" i="4"/>
  <c r="J4" i="4"/>
  <c r="H6" i="4"/>
  <c r="H4" i="4"/>
  <c r="F6" i="4"/>
  <c r="F4" i="4"/>
  <c r="D6" i="4"/>
  <c r="D4" i="4"/>
  <c r="F38" i="12"/>
  <c r="C14" i="2" s="1"/>
  <c r="D8" i="4" l="1"/>
  <c r="C6" i="9"/>
  <c r="F8" i="4"/>
  <c r="E6" i="9"/>
  <c r="H8" i="4"/>
  <c r="G6" i="9"/>
  <c r="J8" i="4"/>
  <c r="I6" i="9"/>
  <c r="L8" i="4"/>
  <c r="K6" i="9"/>
  <c r="N8" i="4"/>
  <c r="M6" i="9"/>
  <c r="P8" i="4"/>
  <c r="O6" i="9"/>
  <c r="R8" i="4"/>
  <c r="Q6" i="9"/>
  <c r="T8" i="4"/>
  <c r="S6" i="9"/>
  <c r="V8" i="4"/>
  <c r="U6" i="9"/>
  <c r="X8" i="4"/>
  <c r="W6" i="9"/>
  <c r="X6" i="9"/>
  <c r="Y8" i="4"/>
  <c r="Z8" i="4"/>
  <c r="Y6" i="9"/>
  <c r="D6" i="9"/>
  <c r="E8" i="4"/>
  <c r="F6" i="9"/>
  <c r="G8" i="4"/>
  <c r="H6" i="9"/>
  <c r="I8" i="4"/>
  <c r="J6" i="9"/>
  <c r="K8" i="4"/>
  <c r="L6" i="9"/>
  <c r="M8" i="4"/>
  <c r="N6" i="9"/>
  <c r="O8" i="4"/>
  <c r="P6" i="9"/>
  <c r="Q8" i="4"/>
  <c r="R6" i="9"/>
  <c r="S8" i="4"/>
  <c r="T6" i="9"/>
  <c r="U8" i="4"/>
  <c r="V6" i="9"/>
  <c r="W8" i="4"/>
  <c r="B6" i="9"/>
  <c r="C8" i="4"/>
  <c r="E5" i="9"/>
  <c r="I5" i="9"/>
  <c r="M5" i="9"/>
  <c r="Q5" i="9"/>
  <c r="U5" i="9"/>
  <c r="Y5" i="9"/>
  <c r="D5" i="9"/>
  <c r="H5" i="9"/>
  <c r="L5" i="9"/>
  <c r="P5" i="9"/>
  <c r="T5" i="9"/>
  <c r="X5" i="9"/>
  <c r="C5" i="9"/>
  <c r="G5" i="9"/>
  <c r="K5" i="9"/>
  <c r="O5" i="9"/>
  <c r="S5" i="9"/>
  <c r="W5" i="9"/>
  <c r="B5" i="9"/>
  <c r="B11" i="9" s="1"/>
  <c r="F5" i="9"/>
  <c r="J5" i="9"/>
  <c r="N5" i="9"/>
  <c r="R5" i="9"/>
  <c r="V5" i="9"/>
  <c r="U3" i="5" l="1"/>
  <c r="U6" i="5" s="1"/>
  <c r="S3" i="5"/>
  <c r="S6" i="5" s="1"/>
  <c r="Q3" i="5"/>
  <c r="Q6" i="5" s="1"/>
  <c r="O3" i="5"/>
  <c r="O6" i="5" s="1"/>
  <c r="M3" i="5"/>
  <c r="M6" i="5" s="1"/>
  <c r="C3" i="5"/>
  <c r="C6" i="5" s="1"/>
  <c r="V3" i="5"/>
  <c r="V6" i="5" s="1"/>
  <c r="T3" i="5"/>
  <c r="T6" i="5" s="1"/>
  <c r="R3" i="5"/>
  <c r="R6" i="5" s="1"/>
  <c r="P3" i="5"/>
  <c r="P6" i="5" s="1"/>
  <c r="N3" i="5"/>
  <c r="N6" i="5" s="1"/>
  <c r="D3" i="5"/>
  <c r="D6" i="5" s="1"/>
  <c r="K3" i="5"/>
  <c r="K6" i="5" s="1"/>
  <c r="I3" i="5"/>
  <c r="I6" i="5" s="1"/>
  <c r="G3" i="5"/>
  <c r="G6" i="5" s="1"/>
  <c r="E3" i="5"/>
  <c r="E6" i="5" s="1"/>
  <c r="L3" i="5"/>
  <c r="L6" i="5" s="1"/>
  <c r="J3" i="5"/>
  <c r="J6" i="5" s="1"/>
  <c r="H3" i="5"/>
  <c r="H6" i="5" s="1"/>
  <c r="F3" i="5"/>
  <c r="F6" i="5" s="1"/>
  <c r="Y3" i="5"/>
  <c r="Y6" i="5" s="1"/>
  <c r="X3" i="5"/>
  <c r="X6" i="5" s="1"/>
  <c r="W3" i="5"/>
  <c r="W6" i="5" s="1"/>
  <c r="B3" i="5"/>
  <c r="B6" i="5" s="1"/>
  <c r="C11" i="9" l="1"/>
  <c r="E11" i="9"/>
  <c r="G11" i="9"/>
  <c r="I11" i="9"/>
  <c r="K11" i="9"/>
  <c r="M11" i="9"/>
  <c r="O11" i="9"/>
  <c r="Q11" i="9"/>
  <c r="S11" i="9"/>
  <c r="U11" i="9"/>
  <c r="W11" i="9"/>
  <c r="X11" i="9"/>
  <c r="Y11" i="9"/>
  <c r="D11" i="9"/>
  <c r="F11" i="9"/>
  <c r="H11" i="9"/>
  <c r="J11" i="9"/>
  <c r="L11" i="9"/>
  <c r="N11" i="9"/>
  <c r="P11" i="9"/>
  <c r="R11" i="9"/>
  <c r="T11" i="9"/>
  <c r="V11" i="9"/>
  <c r="B4" i="5"/>
  <c r="B13" i="5" s="1"/>
  <c r="C18" i="2"/>
  <c r="C12" i="2" l="1"/>
  <c r="C20" i="2" s="1"/>
  <c r="C4" i="5"/>
  <c r="C13" i="5" s="1"/>
  <c r="D4" i="5"/>
  <c r="D13" i="5" s="1"/>
  <c r="E4" i="5"/>
  <c r="E13" i="5" s="1"/>
  <c r="F4" i="5"/>
  <c r="F13" i="5" s="1"/>
  <c r="G4" i="5"/>
  <c r="G13" i="5" s="1"/>
  <c r="H4" i="5"/>
  <c r="H13" i="5" s="1"/>
  <c r="I4" i="5"/>
  <c r="I13" i="5" s="1"/>
  <c r="J4" i="5"/>
  <c r="J13" i="5" s="1"/>
  <c r="K4" i="5"/>
  <c r="K13" i="5" s="1"/>
  <c r="L4" i="5"/>
  <c r="L13" i="5" s="1"/>
  <c r="M4" i="5"/>
  <c r="M13" i="5" s="1"/>
  <c r="N4" i="5"/>
  <c r="N13" i="5" s="1"/>
  <c r="O4" i="5"/>
  <c r="O13" i="5" s="1"/>
  <c r="P4" i="5"/>
  <c r="P13" i="5" s="1"/>
  <c r="Q4" i="5"/>
  <c r="Q13" i="5" s="1"/>
  <c r="R4" i="5"/>
  <c r="R13" i="5" s="1"/>
  <c r="S4" i="5"/>
  <c r="S13" i="5" s="1"/>
  <c r="T4" i="5"/>
  <c r="T13" i="5" s="1"/>
  <c r="U4" i="5"/>
  <c r="U13" i="5" s="1"/>
  <c r="V4" i="5"/>
  <c r="V13" i="5" s="1"/>
  <c r="W4" i="5"/>
  <c r="W13" i="5" s="1"/>
  <c r="X4" i="5"/>
  <c r="X13" i="5" s="1"/>
  <c r="Y4" i="5"/>
  <c r="Y13" i="5" s="1"/>
  <c r="B5" i="5"/>
  <c r="B7" i="5" s="1"/>
  <c r="B12" i="5" l="1"/>
  <c r="B11" i="5" s="1"/>
  <c r="B9" i="5"/>
  <c r="B10" i="5" s="1"/>
  <c r="B8" i="5"/>
  <c r="C5" i="5"/>
  <c r="C7" i="5" s="1"/>
  <c r="D5" i="5"/>
  <c r="D7" i="5" s="1"/>
  <c r="E5" i="5"/>
  <c r="E7" i="5" s="1"/>
  <c r="F5" i="5"/>
  <c r="F7" i="5" s="1"/>
  <c r="G5" i="5"/>
  <c r="G7" i="5" s="1"/>
  <c r="H5" i="5"/>
  <c r="H7" i="5" s="1"/>
  <c r="I5" i="5"/>
  <c r="I7" i="5" s="1"/>
  <c r="J5" i="5"/>
  <c r="J7" i="5" s="1"/>
  <c r="K5" i="5"/>
  <c r="K7" i="5" s="1"/>
  <c r="L5" i="5"/>
  <c r="L7" i="5" s="1"/>
  <c r="M5" i="5"/>
  <c r="M7" i="5" s="1"/>
  <c r="N5" i="5"/>
  <c r="N7" i="5" s="1"/>
  <c r="O5" i="5"/>
  <c r="O7" i="5" s="1"/>
  <c r="P5" i="5"/>
  <c r="P7" i="5" s="1"/>
  <c r="Q5" i="5"/>
  <c r="Q7" i="5" s="1"/>
  <c r="R5" i="5"/>
  <c r="R7" i="5" s="1"/>
  <c r="S5" i="5"/>
  <c r="S7" i="5" s="1"/>
  <c r="T5" i="5"/>
  <c r="T7" i="5" s="1"/>
  <c r="U5" i="5"/>
  <c r="U7" i="5" s="1"/>
  <c r="V5" i="5"/>
  <c r="V7" i="5" s="1"/>
  <c r="W5" i="5"/>
  <c r="W7" i="5" s="1"/>
  <c r="X5" i="5"/>
  <c r="X7" i="5" s="1"/>
  <c r="Y5" i="5"/>
  <c r="Y7" i="5" s="1"/>
  <c r="C7" i="6" l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I10" i="11"/>
  <c r="C19" i="6"/>
  <c r="C15" i="6"/>
  <c r="C18" i="6"/>
  <c r="C16" i="6"/>
  <c r="C14" i="6"/>
  <c r="Z13" i="5"/>
  <c r="C8" i="6" s="1"/>
  <c r="C11" i="6"/>
  <c r="C20" i="6"/>
  <c r="C9" i="5"/>
  <c r="F5" i="6"/>
  <c r="C8" i="5"/>
  <c r="D8" i="5" s="1"/>
  <c r="E8" i="5" s="1"/>
  <c r="F8" i="5" s="1"/>
  <c r="G8" i="5" s="1"/>
  <c r="H8" i="5" s="1"/>
  <c r="I8" i="5" s="1"/>
  <c r="J8" i="5" s="1"/>
  <c r="K8" i="5" s="1"/>
  <c r="L8" i="5" s="1"/>
  <c r="M8" i="5" s="1"/>
  <c r="C22" i="6"/>
  <c r="C17" i="6"/>
  <c r="C13" i="6"/>
  <c r="C23" i="6"/>
  <c r="C12" i="6"/>
  <c r="C5" i="6" l="1"/>
  <c r="C6" i="6" s="1"/>
  <c r="C11" i="5"/>
  <c r="C10" i="5"/>
  <c r="D9" i="5"/>
  <c r="N8" i="5"/>
  <c r="O8" i="5" s="1"/>
  <c r="P8" i="5" s="1"/>
  <c r="Q8" i="5" s="1"/>
  <c r="R8" i="5" s="1"/>
  <c r="S8" i="5" s="1"/>
  <c r="T8" i="5" s="1"/>
  <c r="U8" i="5" s="1"/>
  <c r="V8" i="5" s="1"/>
  <c r="W8" i="5" s="1"/>
  <c r="X8" i="5" s="1"/>
  <c r="Y8" i="5" s="1"/>
  <c r="D11" i="5" l="1"/>
  <c r="E9" i="5"/>
  <c r="D10" i="5"/>
  <c r="E11" i="5" l="1"/>
  <c r="F9" i="5"/>
  <c r="E10" i="5"/>
  <c r="F11" i="5" l="1"/>
  <c r="G9" i="5"/>
  <c r="F10" i="5"/>
  <c r="G11" i="5" l="1"/>
  <c r="G10" i="5"/>
  <c r="H9" i="5"/>
  <c r="H11" i="5" l="1"/>
  <c r="I9" i="5"/>
  <c r="H10" i="5"/>
  <c r="I11" i="5" l="1"/>
  <c r="J9" i="5"/>
  <c r="I10" i="5"/>
  <c r="J11" i="5" l="1"/>
  <c r="K9" i="5"/>
  <c r="J10" i="5"/>
  <c r="K11" i="5" l="1"/>
  <c r="K10" i="5"/>
  <c r="L9" i="5"/>
  <c r="L11" i="5" l="1"/>
  <c r="M9" i="5"/>
  <c r="L10" i="5"/>
  <c r="M11" i="5" l="1"/>
  <c r="N9" i="5"/>
  <c r="M10" i="5"/>
  <c r="N11" i="5" l="1"/>
  <c r="O9" i="5"/>
  <c r="N10" i="5"/>
  <c r="O11" i="5" l="1"/>
  <c r="O10" i="5"/>
  <c r="P9" i="5"/>
  <c r="P11" i="5" l="1"/>
  <c r="Q9" i="5"/>
  <c r="P10" i="5"/>
  <c r="Q11" i="5" l="1"/>
  <c r="R9" i="5"/>
  <c r="Q10" i="5"/>
  <c r="R11" i="5" l="1"/>
  <c r="S9" i="5"/>
  <c r="R10" i="5"/>
  <c r="S11" i="5" l="1"/>
  <c r="S10" i="5"/>
  <c r="T9" i="5"/>
  <c r="T11" i="5" l="1"/>
  <c r="U9" i="5"/>
  <c r="T10" i="5"/>
  <c r="U11" i="5" l="1"/>
  <c r="V9" i="5"/>
  <c r="U10" i="5"/>
  <c r="V11" i="5" l="1"/>
  <c r="W9" i="5"/>
  <c r="V10" i="5"/>
  <c r="W11" i="5" l="1"/>
  <c r="W10" i="5"/>
  <c r="X9" i="5"/>
  <c r="Y11" i="5" l="1"/>
  <c r="X11" i="5"/>
  <c r="Y9" i="5"/>
  <c r="X10" i="5"/>
  <c r="C4" i="6" l="1"/>
  <c r="Y10" i="5"/>
</calcChain>
</file>

<file path=xl/sharedStrings.xml><?xml version="1.0" encoding="utf-8"?>
<sst xmlns="http://schemas.openxmlformats.org/spreadsheetml/2006/main" count="492" uniqueCount="159">
  <si>
    <t>Инвестиции на открытие</t>
  </si>
  <si>
    <t>Ежемесячные затраты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</si>
  <si>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</si>
  <si>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</si>
  <si>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</si>
  <si>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</si>
  <si>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</si>
  <si>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</si>
  <si>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</si>
  <si>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</si>
  <si>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</si>
  <si>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</si>
  <si>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</si>
  <si>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</si>
  <si>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Итого</t>
  </si>
  <si>
    <t>Финансовая модель</t>
  </si>
  <si>
    <t>Выручка(доход)</t>
  </si>
  <si>
    <t>Инвестзатраты</t>
  </si>
  <si>
    <t>Чистая прибыль нарастающим итогом</t>
  </si>
  <si>
    <t>Чистая прибыль</t>
  </si>
  <si>
    <t>Валовый доход</t>
  </si>
  <si>
    <t>Основные показатели</t>
  </si>
  <si>
    <t>Сумма первоначальных инвестиций</t>
  </si>
  <si>
    <t>Средняя ежемесячная прибыль</t>
  </si>
  <si>
    <t>Показатель</t>
  </si>
  <si>
    <t>Ставка дисконтирования, %</t>
  </si>
  <si>
    <t>Дисконтированный срок окупаемости – DPB, мес.</t>
  </si>
  <si>
    <t>Чистый дисконтированный доход – NPV, руб.</t>
  </si>
  <si>
    <t>Индекс прибыльности – PI</t>
  </si>
  <si>
    <t>Внутренняя норма рентабельности – IRR,%</t>
  </si>
  <si>
    <t>Значение</t>
  </si>
  <si>
    <t>Источники дохода</t>
  </si>
  <si>
    <t>Показатели</t>
  </si>
  <si>
    <t>13 месяц</t>
  </si>
  <si>
    <t>14 месяц</t>
  </si>
  <si>
    <t>15 месяц</t>
  </si>
  <si>
    <t>16 месяц</t>
  </si>
  <si>
    <t>17 месяц</t>
  </si>
  <si>
    <t>18 месяц</t>
  </si>
  <si>
    <t>19 месяц</t>
  </si>
  <si>
    <t>20 месяц</t>
  </si>
  <si>
    <t>21 месяц</t>
  </si>
  <si>
    <t>22 месяц</t>
  </si>
  <si>
    <t>23 месяц</t>
  </si>
  <si>
    <t>24 месяц</t>
  </si>
  <si>
    <t>Выручка</t>
  </si>
  <si>
    <t>Расчет окупаемости компании, руб.</t>
  </si>
  <si>
    <t>Срок окупаемости, мес.</t>
  </si>
  <si>
    <t>PV1 год 1</t>
  </si>
  <si>
    <t>PV2 месяц 13</t>
  </si>
  <si>
    <t>PV3 месяц 14</t>
  </si>
  <si>
    <t>PV4 месяц 15</t>
  </si>
  <si>
    <t>PV5 месяц 16</t>
  </si>
  <si>
    <t>PV6 месяц 17</t>
  </si>
  <si>
    <t>PV7 месяц 18</t>
  </si>
  <si>
    <t>PV8 месяц 19</t>
  </si>
  <si>
    <t>PV9 месяц 20</t>
  </si>
  <si>
    <t>положительное значение</t>
  </si>
  <si>
    <t>PV1 год 2</t>
  </si>
  <si>
    <t>Доходы 1</t>
  </si>
  <si>
    <t>Доходы 2</t>
  </si>
  <si>
    <t>Наименование</t>
  </si>
  <si>
    <t>Количество</t>
  </si>
  <si>
    <t>Цена за 1 шт.</t>
  </si>
  <si>
    <t>Обшая сумма</t>
  </si>
  <si>
    <t>Затраты, руб.</t>
  </si>
  <si>
    <t>Продажи, руб.</t>
  </si>
  <si>
    <t>Точка безубыточности (мес)</t>
  </si>
  <si>
    <t>Срок окупаемости (мес)</t>
  </si>
  <si>
    <t>Итого:</t>
  </si>
  <si>
    <t>Продажи</t>
  </si>
  <si>
    <t>Средняя стоимость одного квадратного метра в аренду</t>
  </si>
  <si>
    <t>Коэффициент сезонности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</si>
  <si>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</si>
  <si>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</si>
  <si>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</si>
  <si>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</si>
  <si>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</si>
  <si>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</si>
  <si>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</si>
  <si>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</si>
  <si>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</si>
  <si>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</si>
  <si>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</si>
  <si>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</si>
  <si>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Коэффициент роста продаж с момента открытия</t>
  </si>
  <si>
    <t>Январь</t>
  </si>
  <si>
    <t>Расчет амортизации</t>
  </si>
  <si>
    <t xml:space="preserve">Период эксплуатации, лет </t>
  </si>
  <si>
    <t>Норма амортизирования </t>
  </si>
  <si>
    <t>Сумма амортизации</t>
  </si>
  <si>
    <t>Амортизационные отчисления каждый месяц</t>
  </si>
  <si>
    <t>Амортизация</t>
  </si>
  <si>
    <t>Реклама</t>
  </si>
  <si>
    <t>Коммунальные услуги</t>
  </si>
  <si>
    <t>Бухгалтерия (удаленная)</t>
  </si>
  <si>
    <t xml:space="preserve">Реклама </t>
  </si>
  <si>
    <t xml:space="preserve">Затраты </t>
  </si>
  <si>
    <t>Наценка (в процентах)</t>
  </si>
  <si>
    <t>Количество сотрудников</t>
  </si>
  <si>
    <t>Страховые взносы</t>
  </si>
  <si>
    <t>Итого ФОТ</t>
  </si>
  <si>
    <t>Оклад</t>
  </si>
  <si>
    <t>Сумма</t>
  </si>
  <si>
    <t>ФОТ (включая отчисления)</t>
  </si>
  <si>
    <t>Налоги (УСН 6%)</t>
  </si>
  <si>
    <t>Амортизация оборудования</t>
  </si>
  <si>
    <t>Коммунальные расходы</t>
  </si>
  <si>
    <t>Рентабельность продаж, %</t>
  </si>
  <si>
    <t>Ремонт</t>
  </si>
  <si>
    <t>Постоянные расходы</t>
  </si>
  <si>
    <t>Регистрация, включая получение всех разрешений</t>
  </si>
  <si>
    <t>Средняя з/п в месяц на сотрудника</t>
  </si>
  <si>
    <t>Услуги логистики по графику  (микрогрузовик)  - аутсорсинг</t>
  </si>
  <si>
    <t>Создание сайта плюс реклама на первый месяц</t>
  </si>
  <si>
    <t>Услуги транспортной логистики</t>
  </si>
  <si>
    <t>Бухгалтерия (аутсорсинг)</t>
  </si>
  <si>
    <t xml:space="preserve">Расходы  на производство </t>
  </si>
  <si>
    <t>Прямострочная швейная машина</t>
  </si>
  <si>
    <t>Оверложная автоматическая машина</t>
  </si>
  <si>
    <t>Столы  для швейных машин</t>
  </si>
  <si>
    <t>Раскроечные столы</t>
  </si>
  <si>
    <t>Стеллаж складской</t>
  </si>
  <si>
    <t>Портняжные инструменты компл.</t>
  </si>
  <si>
    <t>Компьютеры  для оборудования офисных рабочих мест</t>
  </si>
  <si>
    <t>Светильное оборудование</t>
  </si>
  <si>
    <t>Пожарное оборудование и охранная  сигнализация</t>
  </si>
  <si>
    <t xml:space="preserve">Месяц запуска производства и продаж </t>
  </si>
  <si>
    <t>Затраты и издержки на производство бытового текстиля</t>
  </si>
  <si>
    <t>Затраты и издержки на производство для корпоративных заказчиков</t>
  </si>
  <si>
    <t>Затраты и издержки на производство по специальным заказам</t>
  </si>
  <si>
    <t>Среднее количество продаж  постельного белья, бытового текстиля компл.</t>
  </si>
  <si>
    <t>Средняя цена  компл. постельного белья</t>
  </si>
  <si>
    <t>Среднее количество продаж по специальным заказам</t>
  </si>
  <si>
    <t>Средняя цена  пошива по специальному заказу</t>
  </si>
  <si>
    <t>Продажа продукции для корпоративных заказчиков, заказ в мес.</t>
  </si>
  <si>
    <t>Продажа специальных заказов, заказ в месяц</t>
  </si>
  <si>
    <t>Продажи постельного белья, бытового текстиля  компл. в мес.</t>
  </si>
  <si>
    <t>Площадь помещения, м2</t>
  </si>
  <si>
    <t>Постельное белье для гостиниц/отелей/санаториев</t>
  </si>
  <si>
    <t>Продажа  постельного белья,  заказы в мес.</t>
  </si>
  <si>
    <t>Затраты и издержки на производство постельного белья</t>
  </si>
  <si>
    <t>Оклад руководителя</t>
  </si>
  <si>
    <t>Оклад раскройщика-упаковщика</t>
  </si>
  <si>
    <t>Оклад швеи 1</t>
  </si>
  <si>
    <t>Оклад швеи 2</t>
  </si>
  <si>
    <t>Сабельный нож</t>
  </si>
  <si>
    <t>Кондиционеры  компл.</t>
  </si>
  <si>
    <t>Дозакупка оборудования</t>
  </si>
  <si>
    <t>Аренда (70 кв.м.)</t>
  </si>
  <si>
    <t>Руководитель</t>
  </si>
  <si>
    <t>Раскройщик - упаковщик</t>
  </si>
  <si>
    <t>Швея 1</t>
  </si>
  <si>
    <t>Швея 2</t>
  </si>
  <si>
    <t>Арендная плата 70 кв. м, в мес.</t>
  </si>
  <si>
    <t>ФОТ</t>
  </si>
  <si>
    <t>БИЗНЕС-ПЛАН Швейного производства DeLen Textile</t>
  </si>
  <si>
    <t>Закупка оборудования</t>
  </si>
  <si>
    <t>Закуп тканей, махровых изделий (халаты, полотенца, оснащение гостиниц/отелей)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</si>
</sst>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13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9" fillId="14" borderId="6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/>
    </xf>
    <xf numFmtId="0" fontId="8" fillId="17" borderId="1" xfId="0" applyFont="1" applyFill="1" applyBorder="1" applyAlignment="1">
      <alignment horizontal="center" vertical="center" wrapText="1"/>
    </xf>
    <xf numFmtId="3" fontId="8" fillId="17" borderId="1" xfId="0" applyNumberFormat="1" applyFont="1" applyFill="1" applyBorder="1" applyAlignment="1">
      <alignment horizontal="center" vertical="center" wrapText="1"/>
    </xf>
    <xf numFmtId="3" fontId="10" fillId="17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vertical="center"/>
    </xf>
    <xf numFmtId="0" fontId="9" fillId="17" borderId="1" xfId="0" applyFont="1" applyFill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3" fontId="5" fillId="6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3" fontId="5" fillId="6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3" fontId="8" fillId="0" borderId="0" xfId="0" applyNumberFormat="1" applyFont="1"/>
    <xf numFmtId="3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hidden="1"/>
    </xf>
    <xf numFmtId="3" fontId="8" fillId="0" borderId="1" xfId="0" applyNumberFormat="1" applyFont="1" applyBorder="1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15" borderId="1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3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5" fillId="16" borderId="1" xfId="0" applyFont="1" applyFill="1" applyBorder="1" applyProtection="1">
      <protection hidden="1"/>
    </xf>
    <xf numFmtId="0" fontId="9" fillId="10" borderId="1" xfId="0" applyFont="1" applyFill="1" applyBorder="1" applyAlignment="1" applyProtection="1">
      <alignment horizontal="center"/>
      <protection hidden="1"/>
    </xf>
    <xf numFmtId="0" fontId="8" fillId="9" borderId="1" xfId="0" applyFont="1" applyFill="1" applyBorder="1" applyAlignment="1" applyProtection="1">
      <alignment wrapText="1"/>
      <protection hidden="1"/>
    </xf>
    <xf numFmtId="0" fontId="13" fillId="11" borderId="1" xfId="0" applyFont="1" applyFill="1" applyBorder="1" applyAlignment="1" applyProtection="1">
      <alignment wrapText="1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0" fontId="11" fillId="13" borderId="2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0" fillId="12" borderId="1" xfId="0" applyFont="1" applyFill="1" applyBorder="1" applyAlignment="1" applyProtection="1">
      <alignment vertical="center"/>
      <protection hidden="1"/>
    </xf>
    <xf numFmtId="1" fontId="10" fillId="0" borderId="1" xfId="0" applyNumberFormat="1" applyFont="1" applyBorder="1" applyAlignment="1" applyProtection="1">
      <alignment horizontal="center" vertical="center"/>
      <protection hidden="1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3" fontId="8" fillId="0" borderId="0" xfId="0" applyNumberFormat="1" applyFont="1" applyProtection="1">
      <protection hidden="1"/>
    </xf>
    <xf numFmtId="2" fontId="10" fillId="0" borderId="1" xfId="0" applyNumberFormat="1" applyFont="1" applyBorder="1" applyAlignment="1" applyProtection="1">
      <alignment horizontal="center" vertical="center"/>
      <protection locked="0" hidden="1"/>
    </xf>
    <xf numFmtId="9" fontId="8" fillId="0" borderId="0" xfId="1" applyFont="1"/>
    <xf numFmtId="9" fontId="10" fillId="0" borderId="1" xfId="1" applyFont="1" applyBorder="1" applyAlignment="1" applyProtection="1">
      <alignment horizontal="center" vertical="center"/>
      <protection hidden="1"/>
    </xf>
    <xf numFmtId="3" fontId="8" fillId="0" borderId="1" xfId="0" applyNumberFormat="1" applyFont="1" applyBorder="1" applyAlignment="1">
      <alignment horizontal="center"/>
    </xf>
    <xf numFmtId="0" fontId="9" fillId="8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>
      <alignment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/>
    <xf numFmtId="3" fontId="9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hidden="1"/>
    </xf>
    <xf numFmtId="0" fontId="14" fillId="0" borderId="0" xfId="0" applyFont="1"/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0" fontId="14" fillId="0" borderId="0" xfId="1" applyNumberFormat="1" applyFont="1" applyFill="1" applyBorder="1" applyProtection="1">
      <protection hidden="1"/>
    </xf>
    <xf numFmtId="0" fontId="9" fillId="5" borderId="1" xfId="0" applyFont="1" applyFill="1" applyBorder="1" applyAlignment="1" applyProtection="1">
      <alignment wrapText="1"/>
      <protection hidden="1"/>
    </xf>
    <xf numFmtId="0" fontId="9" fillId="5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8" fillId="18" borderId="1" xfId="0" applyFont="1" applyFill="1" applyBorder="1" applyProtection="1">
      <protection hidden="1"/>
    </xf>
    <xf numFmtId="0" fontId="9" fillId="18" borderId="1" xfId="0" applyFont="1" applyFill="1" applyBorder="1" applyProtection="1">
      <protection hidden="1"/>
    </xf>
    <xf numFmtId="0" fontId="9" fillId="5" borderId="1" xfId="0" applyFont="1" applyFill="1" applyBorder="1" applyAlignment="1" applyProtection="1">
      <alignment horizontal="left" wrapText="1"/>
      <protection hidden="1"/>
    </xf>
    <xf numFmtId="0" fontId="8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3" fontId="8" fillId="0" borderId="2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8" borderId="1" xfId="0" applyFont="1" applyFill="1" applyBorder="1" applyAlignment="1" applyProtection="1">
      <alignment horizontal="center"/>
      <protection hidden="1"/>
    </xf>
    <xf numFmtId="0" fontId="9" fillId="8" borderId="9" xfId="0" applyFont="1" applyFill="1" applyBorder="1" applyAlignment="1" applyProtection="1">
      <alignment horizontal="center" vertical="center"/>
      <protection hidden="1"/>
    </xf>
    <xf numFmtId="0" fontId="9" fillId="8" borderId="10" xfId="0" applyFont="1" applyFill="1" applyBorder="1" applyAlignment="1" applyProtection="1">
      <alignment horizontal="center" vertical="center"/>
      <protection hidden="1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0" fontId="9" fillId="7" borderId="9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center" vertical="center"/>
      <protection hidden="1"/>
    </xf>
    <xf numFmtId="0" fontId="9" fillId="7" borderId="1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9" fillId="15" borderId="1" xfId="0" applyFont="1" applyFill="1" applyBorder="1" applyAlignment="1" applyProtection="1">
      <alignment horizontal="center" vertical="center"/>
      <protection hidden="1"/>
    </xf>
    <xf numFmtId="0" fontId="9" fillId="10" borderId="1" xfId="0" applyFont="1" applyFill="1" applyBorder="1" applyAlignment="1" applyProtection="1">
      <alignment horizontal="center" vertical="center" wrapText="1"/>
      <protection hidden="1"/>
    </xf>
    <xf numFmtId="0" fontId="9" fillId="10" borderId="4" xfId="0" applyFont="1" applyFill="1" applyBorder="1" applyAlignment="1" applyProtection="1">
      <alignment horizontal="center"/>
      <protection hidden="1"/>
    </xf>
    <xf numFmtId="0" fontId="9" fillId="10" borderId="5" xfId="0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'Расчет окупаемости'!$A$8</c:f>
              <c:strCache>
                <c:ptCount val="1"/>
                <c:pt idx="0">
                  <c:v>Чистая прибыль нарастающим итогом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'Расчет окупаемости'!$B$8:$Y$8</c:f>
              <c:numCache>
                <c:formatCode>#,##0</c:formatCode>
                <c:ptCount val="24"/>
                <c:pt idx="0">
                  <c:v>-148222.22222222225</c:v>
                </c:pt>
                <c:pt idx="1">
                  <c:v>-65780.444444444496</c:v>
                </c:pt>
                <c:pt idx="2">
                  <c:v>313229.33333333349</c:v>
                </c:pt>
                <c:pt idx="3">
                  <c:v>840523.11111111124</c:v>
                </c:pt>
                <c:pt idx="4">
                  <c:v>1680860.888888889</c:v>
                </c:pt>
                <c:pt idx="5">
                  <c:v>2521198.666666667</c:v>
                </c:pt>
                <c:pt idx="6">
                  <c:v>3526296.444444445</c:v>
                </c:pt>
                <c:pt idx="7">
                  <c:v>4531394.2222222229</c:v>
                </c:pt>
                <c:pt idx="8">
                  <c:v>5206972.0000000009</c:v>
                </c:pt>
                <c:pt idx="9">
                  <c:v>6212069.7777777789</c:v>
                </c:pt>
                <c:pt idx="10">
                  <c:v>7217167.5555555569</c:v>
                </c:pt>
                <c:pt idx="11">
                  <c:v>8057505.3333333349</c:v>
                </c:pt>
                <c:pt idx="12">
                  <c:v>8897843.1111111119</c:v>
                </c:pt>
                <c:pt idx="13">
                  <c:v>9573420.8888888899</c:v>
                </c:pt>
                <c:pt idx="14">
                  <c:v>10248998.666666668</c:v>
                </c:pt>
                <c:pt idx="15">
                  <c:v>10924576.444444446</c:v>
                </c:pt>
                <c:pt idx="16">
                  <c:v>11764914.222222224</c:v>
                </c:pt>
                <c:pt idx="17">
                  <c:v>12605252.000000002</c:v>
                </c:pt>
                <c:pt idx="18">
                  <c:v>13610349.77777778</c:v>
                </c:pt>
                <c:pt idx="19">
                  <c:v>14615447.555555558</c:v>
                </c:pt>
                <c:pt idx="20">
                  <c:v>15291025.333333336</c:v>
                </c:pt>
                <c:pt idx="21">
                  <c:v>16296123.111111114</c:v>
                </c:pt>
                <c:pt idx="22">
                  <c:v>17301220.888888892</c:v>
                </c:pt>
                <c:pt idx="23">
                  <c:v>18141558.666666668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9-43AF-90F7-215F025A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476160"/>
        <c:axId val="74498432"/>
      </c:barChart>
      <c:catAx>
        <c:axId val="7447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74498432"/>
        <c:crosses val="autoZero"/>
        <c:auto val="1"/>
        <c:lblAlgn val="ctr"/>
        <c:lblOffset val="100"/>
        <c:noMultiLvlLbl val="0"/>
      </c:catAx>
      <c:valAx>
        <c:axId val="7449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7447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I$13" fmlaRange="К!$B$3:$B$14" noThreeD="1" sel="5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10</xdr:col>
          <xdr:colOff>476250</xdr:colOff>
          <xdr:row>12</xdr:row>
          <xdr:rowOff>228600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1888331</xdr:colOff>
      <xdr:row>13</xdr:row>
      <xdr:rowOff>145256</xdr:rowOff>
    </xdr:from>
    <xdr:to>
      <xdr:col>12</xdr:col>
      <xdr:colOff>592931</xdr:colOff>
      <xdr:row>30</xdr:row>
      <xdr:rowOff>140494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2:K32"/>
  <sheetViews>
    <sheetView showGridLines="0" tabSelected="1" topLeftCell="A7" workbookViewId="0">
      <selection activeCell="I8" sqref="I8:K8"/>
    </sheetView>
  </sheetViews>
  <sheetFormatPr defaultRowHeight="15" x14ac:dyDescent="0.25"/>
  <cols>
    <col min="2" max="2" width="11.28515625" customWidth="1"/>
    <col min="3" max="3" width="13.85546875" customWidth="1"/>
    <col min="4" max="4" width="13.5703125" customWidth="1"/>
    <col min="5" max="5" width="13.7109375" customWidth="1"/>
    <col min="9" max="9" width="16.28515625" customWidth="1"/>
    <col min="11" max="11" width="7.28515625" customWidth="1"/>
  </cols>
  <sheetData>
    <row r="2" spans="2:11" ht="26.25" x14ac:dyDescent="0.4">
      <c r="B2" s="88" t="s">
        <v>156</v>
      </c>
      <c r="C2" s="88"/>
      <c r="D2" s="88"/>
      <c r="E2" s="88"/>
      <c r="F2" s="88"/>
      <c r="G2" s="88"/>
      <c r="H2" s="88"/>
      <c r="I2" s="88"/>
      <c r="J2" s="88"/>
      <c r="K2" s="88"/>
    </row>
    <row r="3" spans="2:11" ht="26.25" x14ac:dyDescent="0.4">
      <c r="B3" s="89" t="s">
        <v>15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18.75" x14ac:dyDescent="0.3">
      <c r="B4" s="90" t="s">
        <v>139</v>
      </c>
      <c r="C4" s="90"/>
      <c r="D4" s="90"/>
      <c r="E4" s="90"/>
      <c r="F4" s="90"/>
      <c r="G4" s="90"/>
      <c r="H4" s="90"/>
      <c r="I4" s="90"/>
      <c r="J4" s="90"/>
      <c r="K4" s="90"/>
    </row>
    <row r="6" spans="2:11" ht="18.75" x14ac:dyDescent="0.3">
      <c r="B6" s="90" t="s">
        <v>21</v>
      </c>
      <c r="C6" s="90"/>
      <c r="D6" s="90"/>
      <c r="E6" s="90"/>
      <c r="F6" s="90"/>
      <c r="G6" s="90"/>
      <c r="H6" s="90"/>
      <c r="I6" s="90"/>
      <c r="J6" s="90"/>
      <c r="K6" s="90"/>
    </row>
    <row r="7" spans="2:11" ht="18.75" x14ac:dyDescent="0.3">
      <c r="B7" s="83" t="s">
        <v>22</v>
      </c>
      <c r="C7" s="83"/>
      <c r="D7" s="83"/>
      <c r="E7" s="83"/>
      <c r="F7" s="83"/>
      <c r="G7" s="83"/>
      <c r="H7" s="83"/>
      <c r="I7" s="84">
        <v>15132000</v>
      </c>
      <c r="J7" s="87"/>
      <c r="K7" s="87"/>
    </row>
    <row r="8" spans="2:11" ht="18.75" x14ac:dyDescent="0.3">
      <c r="B8" s="83" t="s">
        <v>67</v>
      </c>
      <c r="C8" s="83"/>
      <c r="D8" s="83"/>
      <c r="E8" s="83"/>
      <c r="F8" s="83"/>
      <c r="G8" s="83"/>
      <c r="H8" s="83"/>
      <c r="I8" s="87">
        <v>3</v>
      </c>
      <c r="J8" s="87"/>
      <c r="K8" s="87"/>
    </row>
    <row r="9" spans="2:11" ht="18.75" x14ac:dyDescent="0.3">
      <c r="B9" s="83" t="s">
        <v>68</v>
      </c>
      <c r="C9" s="83"/>
      <c r="D9" s="83"/>
      <c r="E9" s="83"/>
      <c r="F9" s="83"/>
      <c r="G9" s="83"/>
      <c r="H9" s="83"/>
      <c r="I9" s="87">
        <v>21</v>
      </c>
      <c r="J9" s="87"/>
      <c r="K9" s="87"/>
    </row>
    <row r="10" spans="2:11" ht="18.75" x14ac:dyDescent="0.3">
      <c r="B10" s="83" t="s">
        <v>23</v>
      </c>
      <c r="C10" s="83"/>
      <c r="D10" s="83"/>
      <c r="E10" s="83"/>
      <c r="F10" s="83"/>
      <c r="G10" s="83"/>
      <c r="H10" s="83"/>
      <c r="I10" s="84">
        <f>AVERAGE('Расчет окупаемости'!B7:Y7)</f>
        <v>755898.27777777787</v>
      </c>
      <c r="J10" s="87"/>
      <c r="K10" s="87"/>
    </row>
    <row r="12" spans="2:11" ht="18.75" x14ac:dyDescent="0.3">
      <c r="B12" s="85" t="s">
        <v>32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2:11" ht="18.75" x14ac:dyDescent="0.3">
      <c r="B13" s="83" t="s">
        <v>127</v>
      </c>
      <c r="C13" s="83"/>
      <c r="D13" s="83"/>
      <c r="E13" s="83"/>
      <c r="F13" s="83"/>
      <c r="G13" s="83"/>
      <c r="H13" s="83"/>
      <c r="I13" s="86">
        <v>5</v>
      </c>
      <c r="J13" s="86"/>
      <c r="K13" s="86"/>
    </row>
    <row r="14" spans="2:11" ht="18.75" x14ac:dyDescent="0.3">
      <c r="B14" s="83" t="s">
        <v>137</v>
      </c>
      <c r="C14" s="83"/>
      <c r="D14" s="83"/>
      <c r="E14" s="83"/>
      <c r="F14" s="83"/>
      <c r="G14" s="83"/>
      <c r="H14" s="83"/>
      <c r="I14" s="84">
        <v>1500</v>
      </c>
      <c r="J14" s="84"/>
      <c r="K14" s="84"/>
    </row>
    <row r="15" spans="2:11" ht="18.75" x14ac:dyDescent="0.3">
      <c r="B15" s="77" t="s">
        <v>128</v>
      </c>
      <c r="C15" s="78"/>
      <c r="D15" s="78"/>
      <c r="E15" s="78"/>
      <c r="F15" s="78"/>
      <c r="G15" s="78"/>
      <c r="H15" s="79"/>
      <c r="I15" s="80">
        <v>800</v>
      </c>
      <c r="J15" s="81"/>
      <c r="K15" s="82"/>
    </row>
    <row r="16" spans="2:11" ht="18.75" x14ac:dyDescent="0.3">
      <c r="B16" s="77" t="s">
        <v>140</v>
      </c>
      <c r="C16" s="78"/>
      <c r="D16" s="78"/>
      <c r="E16" s="78"/>
      <c r="F16" s="78"/>
      <c r="G16" s="78"/>
      <c r="H16" s="79"/>
      <c r="I16" s="80">
        <v>30</v>
      </c>
      <c r="J16" s="81"/>
      <c r="K16" s="82"/>
    </row>
    <row r="17" spans="2:11" ht="18.75" x14ac:dyDescent="0.3">
      <c r="B17" s="77" t="s">
        <v>141</v>
      </c>
      <c r="C17" s="78"/>
      <c r="D17" s="78"/>
      <c r="E17" s="78"/>
      <c r="F17" s="78"/>
      <c r="G17" s="78"/>
      <c r="H17" s="79"/>
      <c r="I17" s="80">
        <v>3000</v>
      </c>
      <c r="J17" s="81"/>
      <c r="K17" s="82"/>
    </row>
    <row r="18" spans="2:11" ht="18.75" x14ac:dyDescent="0.3">
      <c r="B18" s="77" t="s">
        <v>135</v>
      </c>
      <c r="C18" s="78"/>
      <c r="D18" s="78"/>
      <c r="E18" s="78"/>
      <c r="F18" s="78"/>
      <c r="G18" s="78"/>
      <c r="H18" s="79"/>
      <c r="I18" s="80">
        <v>30</v>
      </c>
      <c r="J18" s="81"/>
      <c r="K18" s="82"/>
    </row>
    <row r="19" spans="2:11" ht="18.75" x14ac:dyDescent="0.3">
      <c r="B19" s="77" t="s">
        <v>129</v>
      </c>
      <c r="C19" s="78"/>
      <c r="D19" s="78"/>
      <c r="E19" s="78"/>
      <c r="F19" s="78"/>
      <c r="G19" s="78"/>
      <c r="H19" s="79"/>
      <c r="I19" s="80">
        <v>10000</v>
      </c>
      <c r="J19" s="81"/>
      <c r="K19" s="82"/>
    </row>
    <row r="20" spans="2:11" ht="18.75" x14ac:dyDescent="0.3">
      <c r="B20" s="77" t="s">
        <v>136</v>
      </c>
      <c r="C20" s="78"/>
      <c r="D20" s="78"/>
      <c r="E20" s="78"/>
      <c r="F20" s="78"/>
      <c r="G20" s="78"/>
      <c r="H20" s="79"/>
      <c r="I20" s="80">
        <v>1</v>
      </c>
      <c r="J20" s="81"/>
      <c r="K20" s="82"/>
    </row>
    <row r="21" spans="2:11" ht="18.75" x14ac:dyDescent="0.3">
      <c r="B21" s="77" t="s">
        <v>130</v>
      </c>
      <c r="C21" s="78"/>
      <c r="D21" s="78"/>
      <c r="E21" s="78"/>
      <c r="F21" s="78"/>
      <c r="G21" s="78"/>
      <c r="H21" s="79"/>
      <c r="I21" s="80">
        <v>20000</v>
      </c>
      <c r="J21" s="81"/>
      <c r="K21" s="82"/>
    </row>
    <row r="22" spans="2:11" ht="18.75" x14ac:dyDescent="0.3">
      <c r="B22" s="77" t="s">
        <v>98</v>
      </c>
      <c r="C22" s="78"/>
      <c r="D22" s="78"/>
      <c r="E22" s="78"/>
      <c r="F22" s="78"/>
      <c r="G22" s="78"/>
      <c r="H22" s="79"/>
      <c r="I22" s="80">
        <v>100</v>
      </c>
      <c r="J22" s="81"/>
      <c r="K22" s="82"/>
    </row>
    <row r="23" spans="2:11" ht="18.75" x14ac:dyDescent="0.3">
      <c r="B23" s="77" t="s">
        <v>138</v>
      </c>
      <c r="C23" s="78"/>
      <c r="D23" s="78"/>
      <c r="E23" s="78"/>
      <c r="F23" s="78"/>
      <c r="G23" s="78"/>
      <c r="H23" s="79"/>
      <c r="I23" s="80">
        <v>70</v>
      </c>
      <c r="J23" s="81"/>
      <c r="K23" s="82"/>
    </row>
    <row r="24" spans="2:11" ht="18.75" x14ac:dyDescent="0.3">
      <c r="B24" s="83" t="s">
        <v>71</v>
      </c>
      <c r="C24" s="83"/>
      <c r="D24" s="83"/>
      <c r="E24" s="83"/>
      <c r="F24" s="83"/>
      <c r="G24" s="83"/>
      <c r="H24" s="83"/>
      <c r="I24" s="84">
        <v>572</v>
      </c>
      <c r="J24" s="84"/>
      <c r="K24" s="84"/>
    </row>
    <row r="25" spans="2:11" ht="18.75" x14ac:dyDescent="0.3">
      <c r="B25" s="83" t="s">
        <v>142</v>
      </c>
      <c r="C25" s="83"/>
      <c r="D25" s="83"/>
      <c r="E25" s="83"/>
      <c r="F25" s="83"/>
      <c r="G25" s="83"/>
      <c r="H25" s="83"/>
      <c r="I25" s="84">
        <v>90000</v>
      </c>
      <c r="J25" s="84"/>
      <c r="K25" s="84"/>
    </row>
    <row r="26" spans="2:11" ht="18.75" x14ac:dyDescent="0.3">
      <c r="B26" s="77" t="s">
        <v>143</v>
      </c>
      <c r="C26" s="78"/>
      <c r="D26" s="78"/>
      <c r="E26" s="78"/>
      <c r="F26" s="78"/>
      <c r="G26" s="78"/>
      <c r="H26" s="79"/>
      <c r="I26" s="80">
        <v>130000</v>
      </c>
      <c r="J26" s="81"/>
      <c r="K26" s="82"/>
    </row>
    <row r="27" spans="2:11" ht="18.75" x14ac:dyDescent="0.3">
      <c r="B27" s="77" t="s">
        <v>144</v>
      </c>
      <c r="C27" s="78"/>
      <c r="D27" s="78"/>
      <c r="E27" s="78"/>
      <c r="F27" s="78"/>
      <c r="G27" s="78"/>
      <c r="H27" s="79"/>
      <c r="I27" s="80">
        <v>50000</v>
      </c>
      <c r="J27" s="81"/>
      <c r="K27" s="82"/>
    </row>
    <row r="28" spans="2:11" ht="18.75" x14ac:dyDescent="0.3">
      <c r="B28" s="77" t="s">
        <v>145</v>
      </c>
      <c r="C28" s="78"/>
      <c r="D28" s="78"/>
      <c r="E28" s="78"/>
      <c r="F28" s="78"/>
      <c r="G28" s="78"/>
      <c r="H28" s="79"/>
      <c r="I28" s="80">
        <v>50000</v>
      </c>
      <c r="J28" s="81"/>
      <c r="K28" s="82"/>
    </row>
    <row r="29" spans="2:11" ht="18.75" x14ac:dyDescent="0.3">
      <c r="B29" s="83" t="s">
        <v>93</v>
      </c>
      <c r="C29" s="83"/>
      <c r="D29" s="83"/>
      <c r="E29" s="83"/>
      <c r="F29" s="83"/>
      <c r="G29" s="83"/>
      <c r="H29" s="83"/>
      <c r="I29" s="84">
        <v>100000</v>
      </c>
      <c r="J29" s="84"/>
      <c r="K29" s="84"/>
    </row>
    <row r="30" spans="2:11" ht="18.75" x14ac:dyDescent="0.3">
      <c r="B30" s="83" t="s">
        <v>94</v>
      </c>
      <c r="C30" s="83"/>
      <c r="D30" s="83"/>
      <c r="E30" s="83"/>
      <c r="F30" s="83"/>
      <c r="G30" s="83"/>
      <c r="H30" s="83"/>
      <c r="I30" s="84">
        <v>10000</v>
      </c>
      <c r="J30" s="84"/>
      <c r="K30" s="84"/>
    </row>
    <row r="31" spans="2:11" ht="18.75" x14ac:dyDescent="0.3">
      <c r="B31" s="83" t="s">
        <v>95</v>
      </c>
      <c r="C31" s="83"/>
      <c r="D31" s="83"/>
      <c r="E31" s="83"/>
      <c r="F31" s="83"/>
      <c r="G31" s="83"/>
      <c r="H31" s="83"/>
      <c r="I31" s="84">
        <v>10000</v>
      </c>
      <c r="J31" s="84"/>
      <c r="K31" s="84"/>
    </row>
    <row r="32" spans="2:11" ht="18.75" x14ac:dyDescent="0.3">
      <c r="B32" s="77" t="s">
        <v>113</v>
      </c>
      <c r="C32" s="78"/>
      <c r="D32" s="78"/>
      <c r="E32" s="78"/>
      <c r="F32" s="78"/>
      <c r="G32" s="78"/>
      <c r="H32" s="79"/>
      <c r="I32" s="80">
        <v>300000</v>
      </c>
      <c r="J32" s="81"/>
      <c r="K32" s="82"/>
    </row>
  </sheetData>
  <mergeCells count="53">
    <mergeCell ref="I21:K21"/>
    <mergeCell ref="B16:H16"/>
    <mergeCell ref="B17:H17"/>
    <mergeCell ref="B18:H18"/>
    <mergeCell ref="B19:H19"/>
    <mergeCell ref="B20:H20"/>
    <mergeCell ref="B21:H21"/>
    <mergeCell ref="I16:K16"/>
    <mergeCell ref="I17:K17"/>
    <mergeCell ref="I18:K18"/>
    <mergeCell ref="I19:K19"/>
    <mergeCell ref="I20:K20"/>
    <mergeCell ref="B30:H30"/>
    <mergeCell ref="I30:K30"/>
    <mergeCell ref="B29:H29"/>
    <mergeCell ref="I29:K29"/>
    <mergeCell ref="B27:H27"/>
    <mergeCell ref="I27:K27"/>
    <mergeCell ref="B28:H28"/>
    <mergeCell ref="I28:K28"/>
    <mergeCell ref="B2:K2"/>
    <mergeCell ref="B3:K3"/>
    <mergeCell ref="B4:K4"/>
    <mergeCell ref="B6:K6"/>
    <mergeCell ref="B7:H7"/>
    <mergeCell ref="I7:K7"/>
    <mergeCell ref="B8:H8"/>
    <mergeCell ref="I8:K8"/>
    <mergeCell ref="B9:H9"/>
    <mergeCell ref="I9:K9"/>
    <mergeCell ref="B10:H10"/>
    <mergeCell ref="I10:K10"/>
    <mergeCell ref="B12:K12"/>
    <mergeCell ref="B14:H14"/>
    <mergeCell ref="I14:K14"/>
    <mergeCell ref="B13:H13"/>
    <mergeCell ref="I13:K13"/>
    <mergeCell ref="B15:H15"/>
    <mergeCell ref="I15:K15"/>
    <mergeCell ref="B32:H32"/>
    <mergeCell ref="I32:K32"/>
    <mergeCell ref="B24:H24"/>
    <mergeCell ref="I24:K24"/>
    <mergeCell ref="B23:H23"/>
    <mergeCell ref="I23:K23"/>
    <mergeCell ref="B31:H31"/>
    <mergeCell ref="I31:K31"/>
    <mergeCell ref="B22:H22"/>
    <mergeCell ref="I22:K22"/>
    <mergeCell ref="B26:H26"/>
    <mergeCell ref="I26:K26"/>
    <mergeCell ref="B25:H25"/>
    <mergeCell ref="I25:K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10</xdr:col>
                    <xdr:colOff>476250</xdr:colOff>
                    <xdr:row>12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1:E14"/>
  <sheetViews>
    <sheetView showGridLines="0" topLeftCell="A2" workbookViewId="0">
      <selection activeCell="D5" sqref="D5"/>
    </sheetView>
  </sheetViews>
  <sheetFormatPr defaultRowHeight="18.75" x14ac:dyDescent="0.3"/>
  <cols>
    <col min="2" max="2" width="65.42578125" style="7" customWidth="1"/>
    <col min="3" max="5" width="16.85546875" style="8" customWidth="1"/>
  </cols>
  <sheetData>
    <row r="1" spans="2:5" ht="19.5" thickBot="1" x14ac:dyDescent="0.35"/>
    <row r="2" spans="2:5" ht="37.5" x14ac:dyDescent="0.25">
      <c r="B2" s="9" t="s">
        <v>61</v>
      </c>
      <c r="C2" s="10" t="s">
        <v>62</v>
      </c>
      <c r="D2" s="10" t="s">
        <v>63</v>
      </c>
      <c r="E2" s="11" t="s">
        <v>64</v>
      </c>
    </row>
    <row r="3" spans="2:5" x14ac:dyDescent="0.25">
      <c r="B3" s="12" t="s">
        <v>118</v>
      </c>
      <c r="C3" s="13">
        <v>5</v>
      </c>
      <c r="D3" s="14">
        <v>100000</v>
      </c>
      <c r="E3" s="15">
        <f t="shared" ref="E3:E13" si="0">C3*D3</f>
        <v>500000</v>
      </c>
    </row>
    <row r="4" spans="2:5" x14ac:dyDescent="0.25">
      <c r="B4" s="12" t="s">
        <v>119</v>
      </c>
      <c r="C4" s="13">
        <v>3</v>
      </c>
      <c r="D4" s="14">
        <v>50000</v>
      </c>
      <c r="E4" s="15">
        <f t="shared" si="0"/>
        <v>150000</v>
      </c>
    </row>
    <row r="5" spans="2:5" x14ac:dyDescent="0.25">
      <c r="B5" s="12" t="s">
        <v>120</v>
      </c>
      <c r="C5" s="13">
        <v>3</v>
      </c>
      <c r="D5" s="14">
        <v>6000</v>
      </c>
      <c r="E5" s="15">
        <f t="shared" si="0"/>
        <v>18000</v>
      </c>
    </row>
    <row r="6" spans="2:5" x14ac:dyDescent="0.25">
      <c r="B6" s="12" t="s">
        <v>121</v>
      </c>
      <c r="C6" s="13">
        <v>1</v>
      </c>
      <c r="D6" s="14">
        <v>50000</v>
      </c>
      <c r="E6" s="15">
        <f t="shared" si="0"/>
        <v>50000</v>
      </c>
    </row>
    <row r="7" spans="2:5" x14ac:dyDescent="0.25">
      <c r="B7" s="12" t="s">
        <v>146</v>
      </c>
      <c r="C7" s="13">
        <v>1</v>
      </c>
      <c r="D7" s="14">
        <v>40000</v>
      </c>
      <c r="E7" s="15">
        <f t="shared" si="0"/>
        <v>40000</v>
      </c>
    </row>
    <row r="8" spans="2:5" x14ac:dyDescent="0.25">
      <c r="B8" s="12" t="s">
        <v>122</v>
      </c>
      <c r="C8" s="13">
        <v>8</v>
      </c>
      <c r="D8" s="14">
        <v>8000</v>
      </c>
      <c r="E8" s="15">
        <f t="shared" si="0"/>
        <v>64000</v>
      </c>
    </row>
    <row r="9" spans="2:5" x14ac:dyDescent="0.25">
      <c r="B9" s="12" t="s">
        <v>123</v>
      </c>
      <c r="C9" s="13">
        <v>3</v>
      </c>
      <c r="D9" s="14">
        <v>10000</v>
      </c>
      <c r="E9" s="15">
        <f t="shared" si="0"/>
        <v>30000</v>
      </c>
    </row>
    <row r="10" spans="2:5" x14ac:dyDescent="0.25">
      <c r="B10" s="12" t="s">
        <v>124</v>
      </c>
      <c r="C10" s="13">
        <v>1</v>
      </c>
      <c r="D10" s="14">
        <v>50000</v>
      </c>
      <c r="E10" s="15">
        <f t="shared" si="0"/>
        <v>50000</v>
      </c>
    </row>
    <row r="11" spans="2:5" x14ac:dyDescent="0.25">
      <c r="B11" s="12" t="s">
        <v>125</v>
      </c>
      <c r="C11" s="13">
        <v>1</v>
      </c>
      <c r="D11" s="14">
        <v>70000</v>
      </c>
      <c r="E11" s="15">
        <f t="shared" si="0"/>
        <v>70000</v>
      </c>
    </row>
    <row r="12" spans="2:5" x14ac:dyDescent="0.25">
      <c r="B12" s="12" t="s">
        <v>147</v>
      </c>
      <c r="C12" s="13">
        <v>1</v>
      </c>
      <c r="D12" s="14">
        <v>100000</v>
      </c>
      <c r="E12" s="15">
        <f t="shared" si="0"/>
        <v>100000</v>
      </c>
    </row>
    <row r="13" spans="2:5" x14ac:dyDescent="0.25">
      <c r="B13" s="12" t="s">
        <v>126</v>
      </c>
      <c r="C13" s="13">
        <v>1</v>
      </c>
      <c r="D13" s="14">
        <v>60000</v>
      </c>
      <c r="E13" s="15">
        <f t="shared" si="0"/>
        <v>60000</v>
      </c>
    </row>
    <row r="14" spans="2:5" ht="15.75" customHeight="1" x14ac:dyDescent="0.25">
      <c r="B14" s="16" t="s">
        <v>69</v>
      </c>
      <c r="C14" s="17"/>
      <c r="D14" s="17"/>
      <c r="E14" s="18">
        <f>SUM(E3:E13)</f>
        <v>1132000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2:C70"/>
  <sheetViews>
    <sheetView showGridLines="0" topLeftCell="A9" zoomScaleNormal="100" workbookViewId="0">
      <selection activeCell="C9" sqref="C9"/>
    </sheetView>
  </sheetViews>
  <sheetFormatPr defaultRowHeight="18.75" x14ac:dyDescent="0.3"/>
  <cols>
    <col min="2" max="2" width="96.85546875" style="22" bestFit="1" customWidth="1"/>
    <col min="3" max="3" width="18.42578125" style="57" customWidth="1"/>
  </cols>
  <sheetData>
    <row r="2" spans="2:3" x14ac:dyDescent="0.3">
      <c r="B2" s="91" t="s">
        <v>0</v>
      </c>
      <c r="C2" s="91"/>
    </row>
    <row r="3" spans="2:3" x14ac:dyDescent="0.25">
      <c r="B3" s="19" t="s">
        <v>111</v>
      </c>
      <c r="C3" s="28">
        <v>300000</v>
      </c>
    </row>
    <row r="4" spans="2:3" x14ac:dyDescent="0.25">
      <c r="B4" s="19" t="s">
        <v>109</v>
      </c>
      <c r="C4" s="28">
        <v>100000</v>
      </c>
    </row>
    <row r="5" spans="2:3" ht="37.5" x14ac:dyDescent="0.25">
      <c r="B5" s="19" t="s">
        <v>158</v>
      </c>
      <c r="C5" s="28">
        <v>13000000</v>
      </c>
    </row>
    <row r="6" spans="2:3" x14ac:dyDescent="0.3">
      <c r="B6" s="56" t="s">
        <v>114</v>
      </c>
      <c r="C6" s="54">
        <v>300000</v>
      </c>
    </row>
    <row r="7" spans="2:3" x14ac:dyDescent="0.25">
      <c r="B7" s="19" t="s">
        <v>148</v>
      </c>
      <c r="C7" s="28">
        <f>Оборудование!E14</f>
        <v>1132000</v>
      </c>
    </row>
    <row r="8" spans="2:3" x14ac:dyDescent="0.25">
      <c r="B8" s="19" t="s">
        <v>115</v>
      </c>
      <c r="C8" s="28">
        <v>300000</v>
      </c>
    </row>
    <row r="9" spans="2:3" x14ac:dyDescent="0.3">
      <c r="B9" s="20" t="s">
        <v>14</v>
      </c>
      <c r="C9" s="21">
        <f>SUM(C3:C8)</f>
        <v>15132000</v>
      </c>
    </row>
    <row r="11" spans="2:3" x14ac:dyDescent="0.3">
      <c r="B11" s="92" t="s">
        <v>1</v>
      </c>
      <c r="C11" s="93"/>
    </row>
    <row r="12" spans="2:3" x14ac:dyDescent="0.25">
      <c r="B12" s="19" t="s">
        <v>104</v>
      </c>
      <c r="C12" s="28">
        <f>AVERAGE(Затраты!B10:Y10)</f>
        <v>320000</v>
      </c>
    </row>
    <row r="13" spans="2:3" x14ac:dyDescent="0.25">
      <c r="B13" s="19" t="s">
        <v>149</v>
      </c>
      <c r="C13" s="28">
        <f>'Титульный лист'!I23*'Титульный лист'!I24</f>
        <v>40040</v>
      </c>
    </row>
    <row r="14" spans="2:3" x14ac:dyDescent="0.25">
      <c r="B14" s="19" t="s">
        <v>92</v>
      </c>
      <c r="C14" s="28">
        <f>К!F38</f>
        <v>27222.222222222219</v>
      </c>
    </row>
    <row r="15" spans="2:3" x14ac:dyDescent="0.25">
      <c r="B15" s="19" t="s">
        <v>94</v>
      </c>
      <c r="C15" s="28">
        <f>'Титульный лист'!$I$30</f>
        <v>10000</v>
      </c>
    </row>
    <row r="16" spans="2:3" x14ac:dyDescent="0.25">
      <c r="B16" s="19" t="s">
        <v>93</v>
      </c>
      <c r="C16" s="28">
        <f>'Титульный лист'!I29</f>
        <v>100000</v>
      </c>
    </row>
    <row r="17" spans="2:3" x14ac:dyDescent="0.25">
      <c r="B17" s="19" t="s">
        <v>95</v>
      </c>
      <c r="C17" s="28">
        <f>'Титульный лист'!$I$31</f>
        <v>10000</v>
      </c>
    </row>
    <row r="18" spans="2:3" x14ac:dyDescent="0.25">
      <c r="B18" s="19" t="s">
        <v>157</v>
      </c>
      <c r="C18" s="28">
        <f>AVERAGE(Затраты!B6:Y6)</f>
        <v>1147987.5</v>
      </c>
    </row>
    <row r="19" spans="2:3" x14ac:dyDescent="0.25">
      <c r="B19" s="19" t="s">
        <v>113</v>
      </c>
      <c r="C19" s="28">
        <f>'Титульный лист'!I32</f>
        <v>300000</v>
      </c>
    </row>
    <row r="20" spans="2:3" x14ac:dyDescent="0.3">
      <c r="B20" s="20" t="s">
        <v>14</v>
      </c>
      <c r="C20" s="23">
        <f>SUM(C12:C19)</f>
        <v>1955249.7222222222</v>
      </c>
    </row>
    <row r="21" spans="2:3" x14ac:dyDescent="0.3">
      <c r="B21" s="24"/>
    </row>
    <row r="22" spans="2:3" x14ac:dyDescent="0.3">
      <c r="C22" s="27"/>
    </row>
    <row r="23" spans="2:3" x14ac:dyDescent="0.3">
      <c r="B23" s="25"/>
      <c r="C23" s="27"/>
    </row>
    <row r="24" spans="2:3" x14ac:dyDescent="0.3">
      <c r="B24" s="25"/>
      <c r="C24" s="27"/>
    </row>
    <row r="25" spans="2:3" x14ac:dyDescent="0.3">
      <c r="B25" s="25"/>
      <c r="C25" s="27"/>
    </row>
    <row r="26" spans="2:3" x14ac:dyDescent="0.3">
      <c r="B26" s="25"/>
      <c r="C26" s="27"/>
    </row>
    <row r="27" spans="2:3" x14ac:dyDescent="0.3">
      <c r="B27" s="25"/>
      <c r="C27" s="27"/>
    </row>
    <row r="28" spans="2:3" x14ac:dyDescent="0.3">
      <c r="B28" s="25"/>
      <c r="C28" s="27"/>
    </row>
    <row r="29" spans="2:3" x14ac:dyDescent="0.3">
      <c r="B29" s="25"/>
      <c r="C29" s="27"/>
    </row>
    <row r="30" spans="2:3" x14ac:dyDescent="0.3">
      <c r="B30" s="25"/>
      <c r="C30" s="27"/>
    </row>
    <row r="31" spans="2:3" x14ac:dyDescent="0.3">
      <c r="B31" s="25"/>
      <c r="C31" s="27"/>
    </row>
    <row r="32" spans="2:3" x14ac:dyDescent="0.3">
      <c r="B32" s="25"/>
      <c r="C32" s="58"/>
    </row>
    <row r="33" spans="2:3" x14ac:dyDescent="0.3">
      <c r="B33" s="25"/>
      <c r="C33" s="58"/>
    </row>
    <row r="34" spans="2:3" x14ac:dyDescent="0.3">
      <c r="B34" s="25"/>
      <c r="C34" s="58"/>
    </row>
    <row r="35" spans="2:3" x14ac:dyDescent="0.3">
      <c r="B35" s="25"/>
      <c r="C35" s="58"/>
    </row>
    <row r="36" spans="2:3" x14ac:dyDescent="0.3">
      <c r="B36" s="25"/>
      <c r="C36" s="58"/>
    </row>
    <row r="37" spans="2:3" x14ac:dyDescent="0.3">
      <c r="B37" s="25"/>
      <c r="C37" s="58"/>
    </row>
    <row r="38" spans="2:3" x14ac:dyDescent="0.3">
      <c r="B38" s="25"/>
      <c r="C38" s="58"/>
    </row>
    <row r="39" spans="2:3" x14ac:dyDescent="0.3">
      <c r="B39" s="25"/>
      <c r="C39" s="58"/>
    </row>
    <row r="40" spans="2:3" x14ac:dyDescent="0.3">
      <c r="B40" s="25"/>
      <c r="C40" s="58"/>
    </row>
    <row r="41" spans="2:3" x14ac:dyDescent="0.3">
      <c r="B41" s="25"/>
      <c r="C41" s="58"/>
    </row>
    <row r="42" spans="2:3" x14ac:dyDescent="0.3">
      <c r="B42" s="25"/>
      <c r="C42" s="58"/>
    </row>
    <row r="43" spans="2:3" x14ac:dyDescent="0.3">
      <c r="B43" s="25"/>
      <c r="C43" s="58"/>
    </row>
    <row r="44" spans="2:3" x14ac:dyDescent="0.3">
      <c r="B44" s="25"/>
      <c r="C44" s="58"/>
    </row>
    <row r="45" spans="2:3" x14ac:dyDescent="0.3">
      <c r="B45" s="25"/>
      <c r="C45" s="58"/>
    </row>
    <row r="46" spans="2:3" x14ac:dyDescent="0.3">
      <c r="B46" s="25"/>
      <c r="C46" s="58"/>
    </row>
    <row r="47" spans="2:3" x14ac:dyDescent="0.3">
      <c r="B47" s="25"/>
      <c r="C47" s="58"/>
    </row>
    <row r="48" spans="2:3" x14ac:dyDescent="0.3">
      <c r="B48" s="25"/>
      <c r="C48" s="58"/>
    </row>
    <row r="49" spans="2:3" x14ac:dyDescent="0.3">
      <c r="B49" s="25"/>
      <c r="C49" s="58"/>
    </row>
    <row r="50" spans="2:3" x14ac:dyDescent="0.3">
      <c r="B50" s="25"/>
      <c r="C50" s="58"/>
    </row>
    <row r="51" spans="2:3" x14ac:dyDescent="0.3">
      <c r="C51" s="27"/>
    </row>
    <row r="52" spans="2:3" x14ac:dyDescent="0.3">
      <c r="C52" s="27"/>
    </row>
    <row r="53" spans="2:3" x14ac:dyDescent="0.3">
      <c r="B53" s="26"/>
      <c r="C53" s="59"/>
    </row>
    <row r="54" spans="2:3" x14ac:dyDescent="0.3">
      <c r="C54" s="27"/>
    </row>
    <row r="55" spans="2:3" x14ac:dyDescent="0.3">
      <c r="C55" s="27"/>
    </row>
    <row r="56" spans="2:3" x14ac:dyDescent="0.3">
      <c r="C56" s="27"/>
    </row>
    <row r="57" spans="2:3" x14ac:dyDescent="0.3">
      <c r="C57" s="27"/>
    </row>
    <row r="58" spans="2:3" x14ac:dyDescent="0.3">
      <c r="C58" s="27"/>
    </row>
    <row r="59" spans="2:3" x14ac:dyDescent="0.3">
      <c r="C59" s="27"/>
    </row>
    <row r="60" spans="2:3" x14ac:dyDescent="0.3">
      <c r="C60" s="27"/>
    </row>
    <row r="61" spans="2:3" x14ac:dyDescent="0.3">
      <c r="C61" s="27"/>
    </row>
    <row r="62" spans="2:3" x14ac:dyDescent="0.3">
      <c r="C62" s="27"/>
    </row>
    <row r="63" spans="2:3" x14ac:dyDescent="0.3">
      <c r="B63" s="26"/>
      <c r="C63" s="59"/>
    </row>
    <row r="64" spans="2:3" x14ac:dyDescent="0.3">
      <c r="C64" s="27"/>
    </row>
    <row r="65" spans="3:3" x14ac:dyDescent="0.3">
      <c r="C65" s="27"/>
    </row>
    <row r="66" spans="3:3" x14ac:dyDescent="0.3">
      <c r="C66" s="27"/>
    </row>
    <row r="67" spans="3:3" x14ac:dyDescent="0.3">
      <c r="C67" s="27"/>
    </row>
    <row r="68" spans="3:3" x14ac:dyDescent="0.3">
      <c r="C68" s="27"/>
    </row>
    <row r="69" spans="3:3" x14ac:dyDescent="0.3">
      <c r="C69" s="27"/>
    </row>
    <row r="70" spans="3:3" x14ac:dyDescent="0.3">
      <c r="C70" s="27"/>
    </row>
  </sheetData>
  <mergeCells count="2">
    <mergeCell ref="B2:C2"/>
    <mergeCell ref="B11:C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Z30"/>
  <sheetViews>
    <sheetView showGridLines="0" zoomScaleNormal="100" workbookViewId="0">
      <selection activeCell="C4" sqref="C4"/>
    </sheetView>
  </sheetViews>
  <sheetFormatPr defaultRowHeight="18.75" x14ac:dyDescent="0.3"/>
  <cols>
    <col min="1" max="1" width="23.28515625" style="47" bestFit="1" customWidth="1"/>
    <col min="2" max="2" width="90.85546875" style="62" bestFit="1" customWidth="1"/>
    <col min="3" max="3" width="13.42578125" style="62" customWidth="1"/>
    <col min="4" max="4" width="12.42578125" style="62" bestFit="1" customWidth="1"/>
    <col min="5" max="5" width="12.7109375" style="62" customWidth="1"/>
    <col min="6" max="6" width="12.42578125" style="47" customWidth="1"/>
    <col min="7" max="7" width="12.42578125" style="47" bestFit="1" customWidth="1"/>
    <col min="8" max="8" width="12.28515625" style="47" customWidth="1"/>
    <col min="9" max="9" width="12.85546875" style="47" customWidth="1"/>
    <col min="10" max="10" width="13.140625" style="47" customWidth="1"/>
    <col min="11" max="11" width="13.28515625" style="47" customWidth="1"/>
    <col min="12" max="26" width="12.42578125" style="47" bestFit="1" customWidth="1"/>
    <col min="27" max="16384" width="9.140625" style="61"/>
  </cols>
  <sheetData>
    <row r="1" spans="1:26" x14ac:dyDescent="0.3">
      <c r="A1" s="95" t="s">
        <v>31</v>
      </c>
      <c r="B1" s="95" t="s">
        <v>32</v>
      </c>
      <c r="C1" s="94" t="s">
        <v>66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x14ac:dyDescent="0.3">
      <c r="A2" s="96"/>
      <c r="B2" s="96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33</v>
      </c>
      <c r="P2" s="55" t="s">
        <v>34</v>
      </c>
      <c r="Q2" s="55" t="s">
        <v>35</v>
      </c>
      <c r="R2" s="55" t="s">
        <v>36</v>
      </c>
      <c r="S2" s="55" t="s">
        <v>37</v>
      </c>
      <c r="T2" s="55" t="s">
        <v>38</v>
      </c>
      <c r="U2" s="55" t="s">
        <v>39</v>
      </c>
      <c r="V2" s="55" t="s">
        <v>40</v>
      </c>
      <c r="W2" s="55" t="s">
        <v>41</v>
      </c>
      <c r="X2" s="55" t="s">
        <v>42</v>
      </c>
      <c r="Y2" s="55" t="s">
        <v>43</v>
      </c>
      <c r="Z2" s="55" t="s">
        <v>44</v>
      </c>
    </row>
    <row r="3" spans="1:26" x14ac:dyDescent="0.3">
      <c r="A3" s="97"/>
      <c r="B3" s="97"/>
      <c r="C3" s="55" t="str">
        <f>VLOOKUP('Титульный лист'!$I$13,К!$A$3:$B$14,2,FALSE)</f>
        <v>Май</v>
      </c>
      <c r="D3" s="55" t="str">
        <f>VLOOKUP('Титульный лист'!$I$13,К!$A$3:$Z$14,3,FALSE)</f>
        <v>Июнь</v>
      </c>
      <c r="E3" s="55" t="str">
        <f>VLOOKUP('Титульный лист'!$I$13,К!$A$3:$Z$14,4,FALSE)</f>
        <v>Июль</v>
      </c>
      <c r="F3" s="55" t="str">
        <f>VLOOKUP('Титульный лист'!$I$13,К!$A$3:$Z$14,5,FALSE)</f>
        <v>Август</v>
      </c>
      <c r="G3" s="55" t="str">
        <f>VLOOKUP('Титульный лист'!$I$13,К!$A$3:$Z$14,6,FALSE)</f>
        <v>Сентябрь</v>
      </c>
      <c r="H3" s="55" t="str">
        <f>VLOOKUP('Титульный лист'!$I$13,К!$A$3:$Z$14,7,FALSE)</f>
        <v>Октябрь</v>
      </c>
      <c r="I3" s="55" t="str">
        <f>VLOOKUP('Титульный лист'!$I$13,К!$A$3:$Z$14,8,FALSE)</f>
        <v>Ноябрь</v>
      </c>
      <c r="J3" s="55" t="str">
        <f>VLOOKUP('Титульный лист'!$I$13,К!$A$3:$Z$14,9,FALSE)</f>
        <v>Декабрь</v>
      </c>
      <c r="K3" s="55" t="str">
        <f>VLOOKUP('Титульный лист'!$I$13,К!$A$3:$Z$14,10,FALSE)</f>
        <v>Январь</v>
      </c>
      <c r="L3" s="55" t="str">
        <f>VLOOKUP('Титульный лист'!$I$13,К!$A$3:$Z$14,11,FALSE)</f>
        <v>Февраль</v>
      </c>
      <c r="M3" s="55" t="str">
        <f>VLOOKUP('Титульный лист'!$I$13,К!$A$3:$Z$14,12,FALSE)</f>
        <v>Март</v>
      </c>
      <c r="N3" s="55" t="str">
        <f>VLOOKUP('Титульный лист'!$I$13,К!$A$3:$Z$14,13,FALSE)</f>
        <v>Апрель</v>
      </c>
      <c r="O3" s="55" t="str">
        <f>VLOOKUP('Титульный лист'!$I$13,К!$A$3:$Z$14,14,FALSE)</f>
        <v>Май</v>
      </c>
      <c r="P3" s="55" t="str">
        <f>VLOOKUP('Титульный лист'!$I$13,К!$A$3:$Z$14,15,FALSE)</f>
        <v>Июнь</v>
      </c>
      <c r="Q3" s="55" t="str">
        <f>VLOOKUP('Титульный лист'!$I$13,К!$A$3:$Z$14,16,FALSE)</f>
        <v>Июль</v>
      </c>
      <c r="R3" s="55" t="str">
        <f>VLOOKUP('Титульный лист'!$I$13,К!$A$3:$Z$14,17,FALSE)</f>
        <v>Август</v>
      </c>
      <c r="S3" s="55" t="str">
        <f>VLOOKUP('Титульный лист'!$I$13,К!$A$3:$Z$14,18,FALSE)</f>
        <v>Сентябрь</v>
      </c>
      <c r="T3" s="55" t="str">
        <f>VLOOKUP('Титульный лист'!$I$13,К!$A$3:$Z$14,19,FALSE)</f>
        <v>Октябрь</v>
      </c>
      <c r="U3" s="55" t="str">
        <f>VLOOKUP('Титульный лист'!$I$13,К!$A$3:$Z$14,20,FALSE)</f>
        <v>Ноябрь</v>
      </c>
      <c r="V3" s="55" t="str">
        <f>VLOOKUP('Титульный лист'!$I$13,К!$A$3:$Z$14,21,FALSE)</f>
        <v>Декабрь</v>
      </c>
      <c r="W3" s="55" t="str">
        <f>VLOOKUP('Титульный лист'!$I$13,К!$A$3:$Z$14,22,FALSE)</f>
        <v>Январь</v>
      </c>
      <c r="X3" s="55" t="str">
        <f>VLOOKUP('Титульный лист'!$I$13,К!$A$3:$Z$14,23,FALSE)</f>
        <v>Февраль</v>
      </c>
      <c r="Y3" s="55" t="str">
        <f>VLOOKUP('Титульный лист'!$I$13,К!$A$3:$Z$14,24,FALSE)</f>
        <v>Март</v>
      </c>
      <c r="Z3" s="55" t="str">
        <f>VLOOKUP('Титульный лист'!$I$13,К!$A$3:$Z$14,25,FALSE)</f>
        <v>Апрель</v>
      </c>
    </row>
    <row r="4" spans="1:26" x14ac:dyDescent="0.3">
      <c r="A4" s="98" t="s">
        <v>70</v>
      </c>
      <c r="B4" s="29" t="s">
        <v>131</v>
      </c>
      <c r="C4" s="30">
        <f>(VLOOKUP('Титульный лист'!$I$13,К!$A$17:$Y$28,2,FALSE))*'Титульный лист'!$I$14*К!B30</f>
        <v>600</v>
      </c>
      <c r="D4" s="30">
        <f>(VLOOKUP('Титульный лист'!$I$13,К!$A$17:$Y$28,3,FALSE))*К!C30*'Титульный лист'!$I$14</f>
        <v>810</v>
      </c>
      <c r="E4" s="30">
        <f>(VLOOKUP('Титульный лист'!$I$13,К!$A$17:$Y$28,4,FALSE))*К!D30*'Титульный лист'!$I$14</f>
        <v>1080.0000000000002</v>
      </c>
      <c r="F4" s="30">
        <f>(VLOOKUP('Титульный лист'!$I$13,К!$A$17:$Y$28,5,FALSE))*К!E30*'Титульный лист'!$I$14</f>
        <v>1215</v>
      </c>
      <c r="G4" s="30">
        <f>(VLOOKUP('Титульный лист'!$I$13,К!$A$17:$Y$28,6,FALSE))*К!F30*'Титульный лист'!$I$14</f>
        <v>1500</v>
      </c>
      <c r="H4" s="30">
        <f>(VLOOKUP('Титульный лист'!$I$13,К!$A$17:$Y$28,7,FALSE))*К!G30*'Титульный лист'!$I$14</f>
        <v>1500</v>
      </c>
      <c r="I4" s="30">
        <f>(VLOOKUP('Титульный лист'!$I$13,К!$A$17:$Y$28,8,FALSE))*К!H30*'Титульный лист'!$I$14</f>
        <v>1650.0000000000002</v>
      </c>
      <c r="J4" s="30">
        <f>(VLOOKUP('Титульный лист'!$I$13,К!$A$17:$Y$28,9,FALSE))*К!I30*'Титульный лист'!$I$14</f>
        <v>1650.0000000000002</v>
      </c>
      <c r="K4" s="30">
        <f>(VLOOKUP('Титульный лист'!$I$13,К!$A$17:$Y$28,10,FALSE))*К!J30*'Титульный лист'!$I$14</f>
        <v>1350</v>
      </c>
      <c r="L4" s="30">
        <f>(VLOOKUP('Титульный лист'!$I$13,К!$A$17:$Y$28,11,FALSE))*К!K30*'Титульный лист'!$I$14</f>
        <v>1650.0000000000002</v>
      </c>
      <c r="M4" s="30">
        <f>(VLOOKUP('Титульный лист'!$I$13,К!$A$17:$Y$28,12,FALSE))*К!L30*'Титульный лист'!$I$14</f>
        <v>1650.0000000000002</v>
      </c>
      <c r="N4" s="30">
        <f>(VLOOKUP('Титульный лист'!$I$13,К!$A$17:$Y$28,13,FALSE))*К!M30*'Титульный лист'!$I$14</f>
        <v>1500</v>
      </c>
      <c r="O4" s="30">
        <f>(VLOOKUP('Титульный лист'!$I$13,К!$A$17:$Y$28,14,FALSE))*К!N30*'Титульный лист'!$I$14</f>
        <v>1500</v>
      </c>
      <c r="P4" s="30">
        <f>(VLOOKUP('Титульный лист'!$I$13,К!$A$17:$Y$28,15,FALSE))*К!O30*'Титульный лист'!$I$14</f>
        <v>1350</v>
      </c>
      <c r="Q4" s="30">
        <f>(VLOOKUP('Титульный лист'!$I$13,К!$A$17:$Y$28,16,FALSE))*К!P30*'Титульный лист'!$I$14</f>
        <v>1350</v>
      </c>
      <c r="R4" s="30">
        <f>(VLOOKUP('Титульный лист'!$I$13,К!$A$17:$Y$28,17,FALSE))*К!Q30*'Титульный лист'!$I$14</f>
        <v>1350</v>
      </c>
      <c r="S4" s="30">
        <f>(VLOOKUP('Титульный лист'!$I$13,К!$A$17:$Y$28,18,FALSE))*К!R30*'Титульный лист'!$I$14</f>
        <v>1500</v>
      </c>
      <c r="T4" s="30">
        <f>(VLOOKUP('Титульный лист'!$I$13,К!$A$17:$Y$28,19,FALSE))*К!S30*'Титульный лист'!$I$14</f>
        <v>1500</v>
      </c>
      <c r="U4" s="30">
        <f>(VLOOKUP('Титульный лист'!$I$13,К!$A$17:$Y$28,20,FALSE))*К!T30*'Титульный лист'!$I$14</f>
        <v>1650.0000000000002</v>
      </c>
      <c r="V4" s="30">
        <f>(VLOOKUP('Титульный лист'!$I$13,К!$A$17:$Y$28,21,FALSE))*К!U30*'Титульный лист'!$I$14</f>
        <v>1650.0000000000002</v>
      </c>
      <c r="W4" s="30">
        <f>(VLOOKUP('Титульный лист'!$I$13,К!$A$17:$Y$28,22,FALSE))*К!V30*'Титульный лист'!$I$14</f>
        <v>1350</v>
      </c>
      <c r="X4" s="30">
        <f>(VLOOKUP('Титульный лист'!$I$13,К!$A$17:$Y$28,23,FALSE))*К!W30*'Титульный лист'!$I$14</f>
        <v>1650.0000000000002</v>
      </c>
      <c r="Y4" s="30">
        <f>(VLOOKUP('Титульный лист'!$I$13,К!$A$17:$Y$28,24,FALSE))*К!X30*'Титульный лист'!$I$14</f>
        <v>1650.0000000000002</v>
      </c>
      <c r="Z4" s="30">
        <f>(VLOOKUP('Титульный лист'!$I$13,К!$A$17:$Y$28,25,FALSE))*К!Y30*'Титульный лист'!$I$14</f>
        <v>1500</v>
      </c>
    </row>
    <row r="5" spans="1:26" x14ac:dyDescent="0.3">
      <c r="A5" s="99"/>
      <c r="B5" s="29" t="s">
        <v>132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>
        <v>2000</v>
      </c>
      <c r="K5" s="30">
        <v>2000</v>
      </c>
      <c r="L5" s="30">
        <v>2000</v>
      </c>
      <c r="M5" s="30">
        <v>2000</v>
      </c>
      <c r="N5" s="30">
        <v>2000</v>
      </c>
      <c r="O5" s="30">
        <v>2000</v>
      </c>
      <c r="P5" s="30">
        <v>2000</v>
      </c>
      <c r="Q5" s="30">
        <v>2000</v>
      </c>
      <c r="R5" s="30">
        <v>2000</v>
      </c>
      <c r="S5" s="30">
        <v>2000</v>
      </c>
      <c r="T5" s="30">
        <v>2000</v>
      </c>
      <c r="U5" s="30">
        <v>2000</v>
      </c>
      <c r="V5" s="30">
        <v>2000</v>
      </c>
      <c r="W5" s="30">
        <v>2000</v>
      </c>
      <c r="X5" s="30">
        <v>2000</v>
      </c>
      <c r="Y5" s="30">
        <v>2000</v>
      </c>
      <c r="Z5" s="30">
        <v>2000</v>
      </c>
    </row>
    <row r="6" spans="1:26" x14ac:dyDescent="0.3">
      <c r="A6" s="99"/>
      <c r="B6" s="29" t="s">
        <v>133</v>
      </c>
      <c r="C6" s="30">
        <f>(VLOOKUP('Титульный лист'!$I$13,К!$A$17:$Y$28,2,FALSE))*'Титульный лист'!$I$20*К!B30</f>
        <v>0.4</v>
      </c>
      <c r="D6" s="30">
        <f>(VLOOKUP('Титульный лист'!$I$13,К!$A$17:$Y$28,3,FALSE))*К!C30*'Титульный лист'!$I$20</f>
        <v>0.54</v>
      </c>
      <c r="E6" s="30">
        <f>(VLOOKUP('Титульный лист'!$I$13,К!$A$17:$Y$28,4,FALSE))*К!D30*'Титульный лист'!$I$20</f>
        <v>0.72000000000000008</v>
      </c>
      <c r="F6" s="30">
        <f>(VLOOKUP('Титульный лист'!$I$13,К!$A$17:$Y$28,5,FALSE))*К!E30*'Титульный лист'!$I$20</f>
        <v>0.81</v>
      </c>
      <c r="G6" s="30">
        <f>(VLOOKUP('Титульный лист'!$I$13,К!$A$17:$Y$28,6,FALSE))*К!F30*'Титульный лист'!$I$20</f>
        <v>1</v>
      </c>
      <c r="H6" s="30">
        <f>(VLOOKUP('Титульный лист'!$I$13,К!$A$17:$Y$28,7,FALSE))*К!G30*'Титульный лист'!$I$20</f>
        <v>1</v>
      </c>
      <c r="I6" s="30">
        <f>(VLOOKUP('Титульный лист'!$I$13,К!$A$17:$Y$28,8,FALSE))*К!H30*'Титульный лист'!$I$20</f>
        <v>1.1000000000000001</v>
      </c>
      <c r="J6" s="30">
        <f>(VLOOKUP('Титульный лист'!$I$13,К!$A$17:$Y$28,9,FALSE))*К!I30*'Титульный лист'!$I$20</f>
        <v>1.1000000000000001</v>
      </c>
      <c r="K6" s="30">
        <f>(VLOOKUP('Титульный лист'!$I$13,К!$A$17:$Y$28,10,FALSE))*К!J30*'Титульный лист'!$I$20</f>
        <v>0.9</v>
      </c>
      <c r="L6" s="30">
        <f>(VLOOKUP('Титульный лист'!$I$13,К!$A$17:$Y$28,11,FALSE))*К!K30*'Титульный лист'!$I$20</f>
        <v>1.1000000000000001</v>
      </c>
      <c r="M6" s="30">
        <f>(VLOOKUP('Титульный лист'!$I$13,К!$A$17:$Y$28,12,FALSE))*К!L30*'Титульный лист'!$I$20</f>
        <v>1.1000000000000001</v>
      </c>
      <c r="N6" s="30">
        <f>(VLOOKUP('Титульный лист'!$I$13,К!$A$17:$Y$28,13,FALSE))*К!M30*'Титульный лист'!$I$20</f>
        <v>1</v>
      </c>
      <c r="O6" s="30">
        <f>(VLOOKUP('Титульный лист'!$I$13,К!$A$17:$Y$28,14,FALSE))*К!N30*'Титульный лист'!$I$20</f>
        <v>1</v>
      </c>
      <c r="P6" s="30">
        <f>(VLOOKUP('Титульный лист'!$I$13,К!$A$17:$Y$28,15,FALSE))*К!O30*'Титульный лист'!$I$20</f>
        <v>0.9</v>
      </c>
      <c r="Q6" s="30">
        <f>(VLOOKUP('Титульный лист'!$I$13,К!$A$17:$Y$28,16,FALSE))*К!P30*'Титульный лист'!$I$20</f>
        <v>0.9</v>
      </c>
      <c r="R6" s="30">
        <f>(VLOOKUP('Титульный лист'!$I$13,К!$A$17:$Y$28,17,FALSE))*К!Q30*'Титульный лист'!$I$20</f>
        <v>0.9</v>
      </c>
      <c r="S6" s="30">
        <f>(VLOOKUP('Титульный лист'!$I$13,К!$A$17:$Y$28,18,FALSE))*К!R30*'Титульный лист'!$I$20</f>
        <v>1</v>
      </c>
      <c r="T6" s="30">
        <f>(VLOOKUP('Титульный лист'!$I$13,К!$A$17:$Y$28,19,FALSE))*К!S30*'Титульный лист'!$I$20</f>
        <v>1</v>
      </c>
      <c r="U6" s="30">
        <f>(VLOOKUP('Титульный лист'!$I$13,К!$A$17:$Y$28,20,FALSE))*К!T30*'Титульный лист'!$I$20</f>
        <v>1.1000000000000001</v>
      </c>
      <c r="V6" s="30">
        <f>(VLOOKUP('Титульный лист'!$I$13,К!$A$17:$Y$28,21,FALSE))*К!U30*'Титульный лист'!$I$20</f>
        <v>1.1000000000000001</v>
      </c>
      <c r="W6" s="30">
        <f>(VLOOKUP('Титульный лист'!$I$13,К!$A$17:$Y$28,22,FALSE))*К!V30*'Титульный лист'!$I$20</f>
        <v>0.9</v>
      </c>
      <c r="X6" s="30">
        <f>(VLOOKUP('Титульный лист'!$I$13,К!$A$17:$Y$28,23,FALSE))*К!W30*'Титульный лист'!$I$20</f>
        <v>1.1000000000000001</v>
      </c>
      <c r="Y6" s="30">
        <f>(VLOOKUP('Титульный лист'!$I$13,К!$A$17:$Y$28,24,FALSE))*К!X30*'Титульный лист'!$I$20</f>
        <v>1.1000000000000001</v>
      </c>
      <c r="Z6" s="30">
        <f>(VLOOKUP('Титульный лист'!$I$13,К!$A$17:$Y$28,25,FALSE))*К!Y30*'Титульный лист'!$I$20</f>
        <v>1</v>
      </c>
    </row>
    <row r="7" spans="1:26" x14ac:dyDescent="0.3">
      <c r="A7" s="100"/>
      <c r="B7" s="29" t="s">
        <v>134</v>
      </c>
      <c r="C7" s="30">
        <f>'Титульный лист'!$I$21*(1+'Титульный лист'!$I$22/100)</f>
        <v>40000</v>
      </c>
      <c r="D7" s="30">
        <f>'Титульный лист'!$I$21*(1+'Титульный лист'!$I$22/100)</f>
        <v>40000</v>
      </c>
      <c r="E7" s="30">
        <f>'Титульный лист'!$I$21*(1+'Титульный лист'!$I$22/100)</f>
        <v>40000</v>
      </c>
      <c r="F7" s="30">
        <f>'Титульный лист'!$I$21*(1+'Титульный лист'!$I$22/100)</f>
        <v>40000</v>
      </c>
      <c r="G7" s="30">
        <f>'Титульный лист'!$I$21*(1+'Титульный лист'!$I$22/100)</f>
        <v>40000</v>
      </c>
      <c r="H7" s="30">
        <f>'Титульный лист'!$I$21*(1+'Титульный лист'!$I$22/100)</f>
        <v>40000</v>
      </c>
      <c r="I7" s="30">
        <f>'Титульный лист'!$I$21*(1+'Титульный лист'!$I$22/100)</f>
        <v>40000</v>
      </c>
      <c r="J7" s="30">
        <f>'Титульный лист'!$I$21*(1+'Титульный лист'!$I$22/100)</f>
        <v>40000</v>
      </c>
      <c r="K7" s="30">
        <f>'Титульный лист'!$I$21*(1+'Титульный лист'!$I$22/100)</f>
        <v>40000</v>
      </c>
      <c r="L7" s="30">
        <f>'Титульный лист'!$I$21*(1+'Титульный лист'!$I$22/100)</f>
        <v>40000</v>
      </c>
      <c r="M7" s="30">
        <f>'Титульный лист'!$I$21*(1+'Титульный лист'!$I$22/100)</f>
        <v>40000</v>
      </c>
      <c r="N7" s="30">
        <f>'Титульный лист'!$I$21*(1+'Титульный лист'!$I$22/100)</f>
        <v>40000</v>
      </c>
      <c r="O7" s="30">
        <f>'Титульный лист'!$I$21*(1+'Титульный лист'!$I$22/100)</f>
        <v>40000</v>
      </c>
      <c r="P7" s="30">
        <f>'Титульный лист'!$I$21*(1+'Титульный лист'!$I$22/100)</f>
        <v>40000</v>
      </c>
      <c r="Q7" s="30">
        <f>'Титульный лист'!$I$21*(1+'Титульный лист'!$I$22/100)</f>
        <v>40000</v>
      </c>
      <c r="R7" s="30">
        <f>'Титульный лист'!$I$21*(1+'Титульный лист'!$I$22/100)</f>
        <v>40000</v>
      </c>
      <c r="S7" s="30">
        <f>'Титульный лист'!$I$21*(1+'Титульный лист'!$I$22/100)</f>
        <v>40000</v>
      </c>
      <c r="T7" s="30">
        <f>'Титульный лист'!$I$21*(1+'Титульный лист'!$I$22/100)</f>
        <v>40000</v>
      </c>
      <c r="U7" s="30">
        <f>'Титульный лист'!$I$21*(1+'Титульный лист'!$I$22/100)</f>
        <v>40000</v>
      </c>
      <c r="V7" s="30">
        <f>'Титульный лист'!$I$21*(1+'Титульный лист'!$I$22/100)</f>
        <v>40000</v>
      </c>
      <c r="W7" s="30">
        <f>'Титульный лист'!$I$21*(1+'Титульный лист'!$I$22/100)</f>
        <v>40000</v>
      </c>
      <c r="X7" s="30">
        <f>'Титульный лист'!$I$21*(1+'Титульный лист'!$I$22/100)</f>
        <v>40000</v>
      </c>
      <c r="Y7" s="30">
        <f>'Титульный лист'!$I$21*(1+'Титульный лист'!$I$22/100)</f>
        <v>40000</v>
      </c>
      <c r="Z7" s="30">
        <f>'Титульный лист'!$I$21*(1+'Титульный лист'!$I$22/100)</f>
        <v>40000</v>
      </c>
    </row>
    <row r="8" spans="1:26" x14ac:dyDescent="0.3">
      <c r="A8" s="31"/>
      <c r="B8" s="32" t="s">
        <v>45</v>
      </c>
      <c r="C8" s="30">
        <f t="shared" ref="C8:Z8" si="0">C4*C5+C6*C7</f>
        <v>1216000</v>
      </c>
      <c r="D8" s="30">
        <f t="shared" si="0"/>
        <v>1641600</v>
      </c>
      <c r="E8" s="30">
        <f t="shared" si="0"/>
        <v>2188800.0000000005</v>
      </c>
      <c r="F8" s="30">
        <f t="shared" si="0"/>
        <v>2462400</v>
      </c>
      <c r="G8" s="30">
        <f t="shared" si="0"/>
        <v>3040000</v>
      </c>
      <c r="H8" s="30">
        <f t="shared" si="0"/>
        <v>3040000</v>
      </c>
      <c r="I8" s="30">
        <f t="shared" si="0"/>
        <v>3344000.0000000005</v>
      </c>
      <c r="J8" s="30">
        <f t="shared" si="0"/>
        <v>3344000.0000000005</v>
      </c>
      <c r="K8" s="30">
        <f t="shared" si="0"/>
        <v>2736000</v>
      </c>
      <c r="L8" s="30">
        <f t="shared" si="0"/>
        <v>3344000.0000000005</v>
      </c>
      <c r="M8" s="30">
        <f t="shared" si="0"/>
        <v>3344000.0000000005</v>
      </c>
      <c r="N8" s="30">
        <f t="shared" si="0"/>
        <v>3040000</v>
      </c>
      <c r="O8" s="30">
        <f t="shared" si="0"/>
        <v>3040000</v>
      </c>
      <c r="P8" s="30">
        <f t="shared" si="0"/>
        <v>2736000</v>
      </c>
      <c r="Q8" s="30">
        <f t="shared" si="0"/>
        <v>2736000</v>
      </c>
      <c r="R8" s="30">
        <f t="shared" si="0"/>
        <v>2736000</v>
      </c>
      <c r="S8" s="30">
        <f t="shared" si="0"/>
        <v>3040000</v>
      </c>
      <c r="T8" s="30">
        <f t="shared" si="0"/>
        <v>3040000</v>
      </c>
      <c r="U8" s="30">
        <f t="shared" si="0"/>
        <v>3344000.0000000005</v>
      </c>
      <c r="V8" s="30">
        <f t="shared" si="0"/>
        <v>3344000.0000000005</v>
      </c>
      <c r="W8" s="30">
        <f t="shared" si="0"/>
        <v>2736000</v>
      </c>
      <c r="X8" s="30">
        <f t="shared" si="0"/>
        <v>3344000.0000000005</v>
      </c>
      <c r="Y8" s="30">
        <f t="shared" si="0"/>
        <v>3344000.0000000005</v>
      </c>
      <c r="Z8" s="30">
        <f t="shared" si="0"/>
        <v>3040000</v>
      </c>
    </row>
    <row r="12" spans="1:26" x14ac:dyDescent="0.3">
      <c r="B12" s="47"/>
      <c r="C12" s="47"/>
      <c r="D12" s="47"/>
      <c r="E12" s="47"/>
    </row>
    <row r="13" spans="1:26" x14ac:dyDescent="0.3">
      <c r="B13" s="47"/>
      <c r="C13" s="47"/>
      <c r="D13" s="47"/>
      <c r="E13" s="47"/>
    </row>
    <row r="14" spans="1:26" x14ac:dyDescent="0.3">
      <c r="B14" s="47"/>
      <c r="C14" s="47"/>
      <c r="D14" s="47"/>
      <c r="E14" s="47"/>
    </row>
    <row r="15" spans="1:26" x14ac:dyDescent="0.3">
      <c r="B15" s="47"/>
      <c r="C15" s="47"/>
      <c r="D15" s="47"/>
      <c r="E15" s="47"/>
    </row>
    <row r="16" spans="1:26" x14ac:dyDescent="0.3">
      <c r="B16" s="47"/>
      <c r="C16" s="47"/>
      <c r="D16" s="47"/>
      <c r="E16" s="47"/>
    </row>
    <row r="17" spans="2:5" x14ac:dyDescent="0.3">
      <c r="B17" s="47"/>
      <c r="C17" s="47"/>
      <c r="D17" s="47"/>
      <c r="E17" s="47"/>
    </row>
    <row r="18" spans="2:5" x14ac:dyDescent="0.3">
      <c r="B18" s="47"/>
      <c r="C18" s="47"/>
      <c r="D18" s="47"/>
      <c r="E18" s="47"/>
    </row>
    <row r="19" spans="2:5" x14ac:dyDescent="0.3">
      <c r="B19" s="47"/>
      <c r="C19" s="47"/>
      <c r="D19" s="47"/>
      <c r="E19" s="47"/>
    </row>
    <row r="20" spans="2:5" x14ac:dyDescent="0.3">
      <c r="B20" s="47"/>
      <c r="C20" s="47"/>
      <c r="D20" s="47"/>
      <c r="E20" s="47"/>
    </row>
    <row r="21" spans="2:5" x14ac:dyDescent="0.3">
      <c r="B21" s="47"/>
      <c r="C21" s="47"/>
      <c r="D21" s="47"/>
      <c r="E21" s="47"/>
    </row>
    <row r="22" spans="2:5" x14ac:dyDescent="0.3">
      <c r="B22" s="47"/>
      <c r="C22" s="47"/>
      <c r="D22" s="47"/>
      <c r="E22" s="47"/>
    </row>
    <row r="23" spans="2:5" x14ac:dyDescent="0.3">
      <c r="B23" s="47"/>
      <c r="C23" s="47"/>
      <c r="D23" s="47"/>
      <c r="E23" s="47"/>
    </row>
    <row r="24" spans="2:5" x14ac:dyDescent="0.3">
      <c r="B24" s="47"/>
      <c r="C24" s="47"/>
      <c r="D24" s="47"/>
      <c r="E24" s="47"/>
    </row>
    <row r="25" spans="2:5" x14ac:dyDescent="0.3">
      <c r="B25" s="47"/>
      <c r="C25" s="47"/>
      <c r="D25" s="47"/>
      <c r="E25" s="47"/>
    </row>
    <row r="26" spans="2:5" x14ac:dyDescent="0.3">
      <c r="B26" s="47"/>
      <c r="C26" s="47"/>
      <c r="D26" s="47"/>
      <c r="E26" s="47"/>
    </row>
    <row r="27" spans="2:5" x14ac:dyDescent="0.3">
      <c r="B27" s="47"/>
      <c r="C27" s="47"/>
      <c r="D27" s="47"/>
      <c r="E27" s="47"/>
    </row>
    <row r="28" spans="2:5" x14ac:dyDescent="0.3">
      <c r="B28" s="47"/>
      <c r="C28" s="47"/>
      <c r="D28" s="47"/>
      <c r="E28" s="47"/>
    </row>
    <row r="29" spans="2:5" x14ac:dyDescent="0.3">
      <c r="B29" s="47"/>
      <c r="C29" s="47"/>
      <c r="D29" s="47"/>
      <c r="E29" s="47"/>
    </row>
    <row r="30" spans="2:5" x14ac:dyDescent="0.3">
      <c r="B30" s="47"/>
      <c r="C30" s="47"/>
      <c r="D30" s="47"/>
      <c r="E30" s="47"/>
    </row>
  </sheetData>
  <mergeCells count="4">
    <mergeCell ref="C1:Z1"/>
    <mergeCell ref="B1:B3"/>
    <mergeCell ref="A1:A3"/>
    <mergeCell ref="A4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"/>
  <sheetViews>
    <sheetView showGridLines="0" workbookViewId="0">
      <selection activeCell="D6" sqref="D6"/>
    </sheetView>
  </sheetViews>
  <sheetFormatPr defaultRowHeight="18.75" x14ac:dyDescent="0.3"/>
  <cols>
    <col min="1" max="1" width="40.85546875" style="61" bestFit="1" customWidth="1"/>
    <col min="2" max="2" width="13.7109375" style="47" customWidth="1"/>
    <col min="3" max="3" width="16.140625" style="47" customWidth="1"/>
    <col min="4" max="25" width="13.7109375" style="61" customWidth="1"/>
    <col min="26" max="16384" width="9.140625" style="61"/>
  </cols>
  <sheetData>
    <row r="1" spans="1:5" s="73" customFormat="1" ht="37.5" customHeight="1" x14ac:dyDescent="0.3">
      <c r="A1" s="71" t="s">
        <v>110</v>
      </c>
      <c r="B1" s="72" t="s">
        <v>102</v>
      </c>
      <c r="C1" s="72" t="s">
        <v>99</v>
      </c>
      <c r="D1" s="72" t="s">
        <v>103</v>
      </c>
      <c r="E1" s="76" t="s">
        <v>112</v>
      </c>
    </row>
    <row r="2" spans="1:5" x14ac:dyDescent="0.3">
      <c r="A2" s="74" t="s">
        <v>150</v>
      </c>
      <c r="B2" s="30">
        <f>'Титульный лист'!$I$25</f>
        <v>90000</v>
      </c>
      <c r="C2" s="30">
        <v>1</v>
      </c>
      <c r="D2" s="30">
        <f>B2*C2</f>
        <v>90000</v>
      </c>
      <c r="E2" s="30">
        <v>90000</v>
      </c>
    </row>
    <row r="3" spans="1:5" x14ac:dyDescent="0.3">
      <c r="A3" s="74" t="s">
        <v>151</v>
      </c>
      <c r="B3" s="30">
        <f>'Титульный лист'!$I$26</f>
        <v>130000</v>
      </c>
      <c r="C3" s="30">
        <v>1</v>
      </c>
      <c r="D3" s="30">
        <f>B3*C3</f>
        <v>130000</v>
      </c>
      <c r="E3" s="30">
        <v>130000</v>
      </c>
    </row>
    <row r="4" spans="1:5" x14ac:dyDescent="0.3">
      <c r="A4" s="74" t="s">
        <v>152</v>
      </c>
      <c r="B4" s="30">
        <f>'Титульный лист'!I27</f>
        <v>50000</v>
      </c>
      <c r="C4" s="30">
        <v>1</v>
      </c>
      <c r="D4" s="30">
        <f>B4*C4</f>
        <v>50000</v>
      </c>
      <c r="E4" s="30">
        <f>B4</f>
        <v>50000</v>
      </c>
    </row>
    <row r="5" spans="1:5" x14ac:dyDescent="0.3">
      <c r="A5" s="74" t="s">
        <v>153</v>
      </c>
      <c r="B5" s="30">
        <f>'Титульный лист'!I28</f>
        <v>50000</v>
      </c>
      <c r="C5" s="30">
        <v>1</v>
      </c>
      <c r="D5" s="30">
        <f t="shared" ref="D5" si="0">B5*C5</f>
        <v>50000</v>
      </c>
      <c r="E5" s="30">
        <f t="shared" ref="E5" si="1">B5</f>
        <v>50000</v>
      </c>
    </row>
    <row r="6" spans="1:5" x14ac:dyDescent="0.3">
      <c r="A6" s="74" t="s">
        <v>100</v>
      </c>
      <c r="B6" s="30"/>
      <c r="C6" s="30"/>
      <c r="D6" s="30">
        <f>SUM(D2:D4)*0.3</f>
        <v>81000</v>
      </c>
      <c r="E6" s="30"/>
    </row>
    <row r="7" spans="1:5" x14ac:dyDescent="0.3">
      <c r="A7" s="75" t="s">
        <v>101</v>
      </c>
      <c r="B7" s="30"/>
      <c r="C7" s="30"/>
      <c r="D7" s="30">
        <f>SUM(D2:D5)</f>
        <v>320000</v>
      </c>
      <c r="E7" s="30"/>
    </row>
    <row r="8" spans="1:5" x14ac:dyDescent="0.3">
      <c r="A8" s="47"/>
      <c r="B8" s="62"/>
      <c r="C8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AC49"/>
  <sheetViews>
    <sheetView showGridLines="0" workbookViewId="0">
      <selection sqref="A1:XFD1048576"/>
    </sheetView>
  </sheetViews>
  <sheetFormatPr defaultRowHeight="15" x14ac:dyDescent="0.25"/>
  <cols>
    <col min="1" max="12" width="9.140625" style="66"/>
    <col min="13" max="27" width="9.140625" style="66" customWidth="1"/>
    <col min="28" max="28" width="16.85546875" style="66" customWidth="1"/>
    <col min="29" max="29" width="17.140625" style="66" customWidth="1"/>
    <col min="30" max="30" width="9.140625" style="66" customWidth="1"/>
    <col min="31" max="16384" width="9.140625" style="66"/>
  </cols>
  <sheetData>
    <row r="1" spans="1:29" ht="20.25" customHeight="1" x14ac:dyDescent="0.3">
      <c r="A1" s="102" t="s">
        <v>72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64"/>
      <c r="T1" s="64"/>
      <c r="U1" s="64"/>
      <c r="V1" s="64"/>
      <c r="W1" s="64"/>
      <c r="X1" s="64"/>
      <c r="Y1" s="64"/>
      <c r="Z1" s="64"/>
      <c r="AA1" s="65"/>
      <c r="AB1" s="101" t="s">
        <v>85</v>
      </c>
      <c r="AC1" s="101"/>
    </row>
    <row r="2" spans="1:29" ht="18.75" customHeight="1" x14ac:dyDescent="0.3">
      <c r="A2" s="64"/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4">
        <v>13</v>
      </c>
      <c r="O2" s="64">
        <v>14</v>
      </c>
      <c r="P2" s="64">
        <v>15</v>
      </c>
      <c r="Q2" s="64">
        <v>16</v>
      </c>
      <c r="R2" s="64">
        <v>17</v>
      </c>
      <c r="S2" s="64">
        <v>18</v>
      </c>
      <c r="T2" s="64">
        <v>19</v>
      </c>
      <c r="U2" s="64">
        <v>20</v>
      </c>
      <c r="V2" s="64">
        <v>21</v>
      </c>
      <c r="W2" s="64">
        <v>22</v>
      </c>
      <c r="X2" s="64">
        <v>23</v>
      </c>
      <c r="Y2" s="64">
        <v>24</v>
      </c>
      <c r="Z2" s="64">
        <v>25</v>
      </c>
      <c r="AA2" s="65"/>
      <c r="AB2" s="101"/>
      <c r="AC2" s="101"/>
    </row>
    <row r="3" spans="1:29" x14ac:dyDescent="0.25">
      <c r="A3" s="67">
        <v>1</v>
      </c>
      <c r="B3" s="68" t="s">
        <v>73</v>
      </c>
      <c r="C3" s="68" t="s">
        <v>74</v>
      </c>
      <c r="D3" s="68" t="s">
        <v>75</v>
      </c>
      <c r="E3" s="68" t="s">
        <v>76</v>
      </c>
      <c r="F3" s="68" t="s">
        <v>77</v>
      </c>
      <c r="G3" s="68" t="s">
        <v>78</v>
      </c>
      <c r="H3" s="68" t="s">
        <v>79</v>
      </c>
      <c r="I3" s="68" t="s">
        <v>80</v>
      </c>
      <c r="J3" s="68" t="s">
        <v>81</v>
      </c>
      <c r="K3" s="68" t="s">
        <v>82</v>
      </c>
      <c r="L3" s="68" t="s">
        <v>83</v>
      </c>
      <c r="M3" s="68" t="s">
        <v>84</v>
      </c>
      <c r="N3" s="68" t="s">
        <v>86</v>
      </c>
      <c r="O3" s="68" t="s">
        <v>74</v>
      </c>
      <c r="P3" s="68" t="s">
        <v>75</v>
      </c>
      <c r="Q3" s="68" t="s">
        <v>76</v>
      </c>
      <c r="R3" s="68" t="s">
        <v>77</v>
      </c>
      <c r="S3" s="68" t="s">
        <v>78</v>
      </c>
      <c r="T3" s="68" t="s">
        <v>79</v>
      </c>
      <c r="U3" s="68" t="s">
        <v>80</v>
      </c>
      <c r="V3" s="68" t="s">
        <v>81</v>
      </c>
      <c r="W3" s="68" t="s">
        <v>82</v>
      </c>
      <c r="X3" s="68" t="s">
        <v>83</v>
      </c>
      <c r="Y3" s="68" t="s">
        <v>84</v>
      </c>
      <c r="Z3" s="68">
        <v>0.9</v>
      </c>
      <c r="AA3" s="65"/>
      <c r="AB3" s="67">
        <v>1</v>
      </c>
      <c r="AC3" s="68">
        <v>0.4</v>
      </c>
    </row>
    <row r="4" spans="1:29" x14ac:dyDescent="0.25">
      <c r="A4" s="67">
        <v>2</v>
      </c>
      <c r="B4" s="68" t="s">
        <v>74</v>
      </c>
      <c r="C4" s="68" t="s">
        <v>75</v>
      </c>
      <c r="D4" s="68" t="s">
        <v>76</v>
      </c>
      <c r="E4" s="68" t="s">
        <v>77</v>
      </c>
      <c r="F4" s="68" t="s">
        <v>78</v>
      </c>
      <c r="G4" s="68" t="s">
        <v>79</v>
      </c>
      <c r="H4" s="68" t="s">
        <v>80</v>
      </c>
      <c r="I4" s="68" t="s">
        <v>81</v>
      </c>
      <c r="J4" s="68" t="s">
        <v>82</v>
      </c>
      <c r="K4" s="68" t="s">
        <v>83</v>
      </c>
      <c r="L4" s="68" t="s">
        <v>84</v>
      </c>
      <c r="M4" s="68" t="s">
        <v>86</v>
      </c>
      <c r="N4" s="68" t="s">
        <v>74</v>
      </c>
      <c r="O4" s="68" t="s">
        <v>75</v>
      </c>
      <c r="P4" s="68" t="s">
        <v>76</v>
      </c>
      <c r="Q4" s="68" t="s">
        <v>77</v>
      </c>
      <c r="R4" s="68" t="s">
        <v>78</v>
      </c>
      <c r="S4" s="68" t="s">
        <v>79</v>
      </c>
      <c r="T4" s="68" t="s">
        <v>80</v>
      </c>
      <c r="U4" s="68" t="s">
        <v>81</v>
      </c>
      <c r="V4" s="68" t="s">
        <v>82</v>
      </c>
      <c r="W4" s="68" t="s">
        <v>83</v>
      </c>
      <c r="X4" s="68" t="s">
        <v>84</v>
      </c>
      <c r="Y4" s="68" t="s">
        <v>86</v>
      </c>
      <c r="Z4" s="68">
        <v>1.1000000000000001</v>
      </c>
      <c r="AA4" s="65"/>
      <c r="AB4" s="67">
        <v>2</v>
      </c>
      <c r="AC4" s="68">
        <v>0.5</v>
      </c>
    </row>
    <row r="5" spans="1:29" x14ac:dyDescent="0.25">
      <c r="A5" s="67">
        <v>3</v>
      </c>
      <c r="B5" s="68" t="s">
        <v>75</v>
      </c>
      <c r="C5" s="68" t="s">
        <v>76</v>
      </c>
      <c r="D5" s="68" t="s">
        <v>77</v>
      </c>
      <c r="E5" s="68" t="s">
        <v>78</v>
      </c>
      <c r="F5" s="68" t="s">
        <v>79</v>
      </c>
      <c r="G5" s="68" t="s">
        <v>80</v>
      </c>
      <c r="H5" s="68" t="s">
        <v>81</v>
      </c>
      <c r="I5" s="68" t="s">
        <v>82</v>
      </c>
      <c r="J5" s="68" t="s">
        <v>83</v>
      </c>
      <c r="K5" s="68" t="s">
        <v>84</v>
      </c>
      <c r="L5" s="68" t="s">
        <v>86</v>
      </c>
      <c r="M5" s="68" t="s">
        <v>74</v>
      </c>
      <c r="N5" s="68" t="s">
        <v>75</v>
      </c>
      <c r="O5" s="68" t="s">
        <v>76</v>
      </c>
      <c r="P5" s="68" t="s">
        <v>77</v>
      </c>
      <c r="Q5" s="68" t="s">
        <v>78</v>
      </c>
      <c r="R5" s="68" t="s">
        <v>79</v>
      </c>
      <c r="S5" s="68" t="s">
        <v>80</v>
      </c>
      <c r="T5" s="68" t="s">
        <v>81</v>
      </c>
      <c r="U5" s="68" t="s">
        <v>82</v>
      </c>
      <c r="V5" s="68" t="s">
        <v>83</v>
      </c>
      <c r="W5" s="68" t="s">
        <v>84</v>
      </c>
      <c r="X5" s="68" t="s">
        <v>86</v>
      </c>
      <c r="Y5" s="68" t="s">
        <v>74</v>
      </c>
      <c r="Z5" s="68">
        <v>1.1000000000000001</v>
      </c>
      <c r="AA5" s="65"/>
      <c r="AB5" s="67">
        <v>3</v>
      </c>
      <c r="AC5" s="68">
        <v>0.6</v>
      </c>
    </row>
    <row r="6" spans="1:29" x14ac:dyDescent="0.25">
      <c r="A6" s="67">
        <v>4</v>
      </c>
      <c r="B6" s="68" t="s">
        <v>76</v>
      </c>
      <c r="C6" s="68" t="s">
        <v>77</v>
      </c>
      <c r="D6" s="68" t="s">
        <v>78</v>
      </c>
      <c r="E6" s="68" t="s">
        <v>79</v>
      </c>
      <c r="F6" s="68" t="s">
        <v>80</v>
      </c>
      <c r="G6" s="68" t="s">
        <v>81</v>
      </c>
      <c r="H6" s="68" t="s">
        <v>82</v>
      </c>
      <c r="I6" s="68" t="s">
        <v>83</v>
      </c>
      <c r="J6" s="68" t="s">
        <v>84</v>
      </c>
      <c r="K6" s="68" t="s">
        <v>86</v>
      </c>
      <c r="L6" s="68" t="s">
        <v>74</v>
      </c>
      <c r="M6" s="68" t="s">
        <v>75</v>
      </c>
      <c r="N6" s="68" t="s">
        <v>76</v>
      </c>
      <c r="O6" s="68" t="s">
        <v>77</v>
      </c>
      <c r="P6" s="68" t="s">
        <v>78</v>
      </c>
      <c r="Q6" s="68" t="s">
        <v>79</v>
      </c>
      <c r="R6" s="68" t="s">
        <v>80</v>
      </c>
      <c r="S6" s="68" t="s">
        <v>81</v>
      </c>
      <c r="T6" s="68" t="s">
        <v>82</v>
      </c>
      <c r="U6" s="68" t="s">
        <v>83</v>
      </c>
      <c r="V6" s="68" t="s">
        <v>84</v>
      </c>
      <c r="W6" s="68" t="s">
        <v>86</v>
      </c>
      <c r="X6" s="68" t="s">
        <v>74</v>
      </c>
      <c r="Y6" s="68" t="s">
        <v>75</v>
      </c>
      <c r="Z6" s="68">
        <v>1</v>
      </c>
      <c r="AA6" s="65"/>
      <c r="AB6" s="67">
        <v>4</v>
      </c>
      <c r="AC6" s="68">
        <v>0.7</v>
      </c>
    </row>
    <row r="7" spans="1:29" x14ac:dyDescent="0.25">
      <c r="A7" s="67">
        <v>5</v>
      </c>
      <c r="B7" s="68" t="s">
        <v>77</v>
      </c>
      <c r="C7" s="68" t="s">
        <v>78</v>
      </c>
      <c r="D7" s="68" t="s">
        <v>79</v>
      </c>
      <c r="E7" s="68" t="s">
        <v>80</v>
      </c>
      <c r="F7" s="68" t="s">
        <v>81</v>
      </c>
      <c r="G7" s="68" t="s">
        <v>82</v>
      </c>
      <c r="H7" s="68" t="s">
        <v>83</v>
      </c>
      <c r="I7" s="68" t="s">
        <v>84</v>
      </c>
      <c r="J7" s="68" t="s">
        <v>86</v>
      </c>
      <c r="K7" s="68" t="s">
        <v>74</v>
      </c>
      <c r="L7" s="68" t="s">
        <v>75</v>
      </c>
      <c r="M7" s="68" t="s">
        <v>76</v>
      </c>
      <c r="N7" s="68" t="s">
        <v>77</v>
      </c>
      <c r="O7" s="68" t="s">
        <v>78</v>
      </c>
      <c r="P7" s="68" t="s">
        <v>79</v>
      </c>
      <c r="Q7" s="68" t="s">
        <v>80</v>
      </c>
      <c r="R7" s="68" t="s">
        <v>81</v>
      </c>
      <c r="S7" s="68" t="s">
        <v>82</v>
      </c>
      <c r="T7" s="68" t="s">
        <v>83</v>
      </c>
      <c r="U7" s="68" t="s">
        <v>84</v>
      </c>
      <c r="V7" s="68" t="s">
        <v>86</v>
      </c>
      <c r="W7" s="68" t="s">
        <v>74</v>
      </c>
      <c r="X7" s="68" t="s">
        <v>75</v>
      </c>
      <c r="Y7" s="68" t="s">
        <v>76</v>
      </c>
      <c r="Z7" s="68">
        <v>1</v>
      </c>
      <c r="AA7" s="65"/>
      <c r="AB7" s="67">
        <v>5</v>
      </c>
      <c r="AC7" s="68">
        <v>0.8</v>
      </c>
    </row>
    <row r="8" spans="1:29" x14ac:dyDescent="0.25">
      <c r="A8" s="67">
        <v>6</v>
      </c>
      <c r="B8" s="68" t="s">
        <v>78</v>
      </c>
      <c r="C8" s="68" t="s">
        <v>79</v>
      </c>
      <c r="D8" s="68" t="s">
        <v>80</v>
      </c>
      <c r="E8" s="68" t="s">
        <v>81</v>
      </c>
      <c r="F8" s="68" t="s">
        <v>82</v>
      </c>
      <c r="G8" s="68" t="s">
        <v>83</v>
      </c>
      <c r="H8" s="68" t="s">
        <v>84</v>
      </c>
      <c r="I8" s="68" t="s">
        <v>86</v>
      </c>
      <c r="J8" s="68" t="s">
        <v>74</v>
      </c>
      <c r="K8" s="68" t="s">
        <v>75</v>
      </c>
      <c r="L8" s="68" t="s">
        <v>76</v>
      </c>
      <c r="M8" s="68" t="s">
        <v>77</v>
      </c>
      <c r="N8" s="68" t="s">
        <v>78</v>
      </c>
      <c r="O8" s="68" t="s">
        <v>79</v>
      </c>
      <c r="P8" s="68" t="s">
        <v>80</v>
      </c>
      <c r="Q8" s="68" t="s">
        <v>81</v>
      </c>
      <c r="R8" s="68" t="s">
        <v>82</v>
      </c>
      <c r="S8" s="68" t="s">
        <v>83</v>
      </c>
      <c r="T8" s="68" t="s">
        <v>84</v>
      </c>
      <c r="U8" s="68" t="s">
        <v>86</v>
      </c>
      <c r="V8" s="68" t="s">
        <v>74</v>
      </c>
      <c r="W8" s="68" t="s">
        <v>75</v>
      </c>
      <c r="X8" s="68" t="s">
        <v>76</v>
      </c>
      <c r="Y8" s="68" t="s">
        <v>77</v>
      </c>
      <c r="Z8" s="68">
        <v>0.9</v>
      </c>
      <c r="AA8" s="65"/>
      <c r="AB8" s="67">
        <v>6</v>
      </c>
      <c r="AC8" s="68">
        <v>0.9</v>
      </c>
    </row>
    <row r="9" spans="1:29" x14ac:dyDescent="0.25">
      <c r="A9" s="67">
        <v>7</v>
      </c>
      <c r="B9" s="68" t="s">
        <v>79</v>
      </c>
      <c r="C9" s="68" t="s">
        <v>80</v>
      </c>
      <c r="D9" s="68" t="s">
        <v>81</v>
      </c>
      <c r="E9" s="68" t="s">
        <v>82</v>
      </c>
      <c r="F9" s="68" t="s">
        <v>83</v>
      </c>
      <c r="G9" s="68" t="s">
        <v>84</v>
      </c>
      <c r="H9" s="68" t="s">
        <v>86</v>
      </c>
      <c r="I9" s="68" t="s">
        <v>74</v>
      </c>
      <c r="J9" s="68" t="s">
        <v>75</v>
      </c>
      <c r="K9" s="68" t="s">
        <v>76</v>
      </c>
      <c r="L9" s="68" t="s">
        <v>77</v>
      </c>
      <c r="M9" s="68" t="s">
        <v>78</v>
      </c>
      <c r="N9" s="68" t="s">
        <v>79</v>
      </c>
      <c r="O9" s="68" t="s">
        <v>80</v>
      </c>
      <c r="P9" s="68" t="s">
        <v>81</v>
      </c>
      <c r="Q9" s="68" t="s">
        <v>82</v>
      </c>
      <c r="R9" s="68" t="s">
        <v>83</v>
      </c>
      <c r="S9" s="68" t="s">
        <v>84</v>
      </c>
      <c r="T9" s="68" t="s">
        <v>86</v>
      </c>
      <c r="U9" s="68" t="s">
        <v>74</v>
      </c>
      <c r="V9" s="68" t="s">
        <v>75</v>
      </c>
      <c r="W9" s="68" t="s">
        <v>76</v>
      </c>
      <c r="X9" s="68" t="s">
        <v>77</v>
      </c>
      <c r="Y9" s="68" t="s">
        <v>78</v>
      </c>
      <c r="Z9" s="68">
        <v>0.9</v>
      </c>
      <c r="AA9" s="65"/>
      <c r="AB9" s="67">
        <v>7</v>
      </c>
      <c r="AC9" s="68">
        <v>1</v>
      </c>
    </row>
    <row r="10" spans="1:29" x14ac:dyDescent="0.25">
      <c r="A10" s="67">
        <v>8</v>
      </c>
      <c r="B10" s="68" t="s">
        <v>80</v>
      </c>
      <c r="C10" s="68" t="s">
        <v>81</v>
      </c>
      <c r="D10" s="68" t="s">
        <v>82</v>
      </c>
      <c r="E10" s="68" t="s">
        <v>83</v>
      </c>
      <c r="F10" s="68" t="s">
        <v>84</v>
      </c>
      <c r="G10" s="68" t="s">
        <v>86</v>
      </c>
      <c r="H10" s="68" t="s">
        <v>74</v>
      </c>
      <c r="I10" s="68" t="s">
        <v>75</v>
      </c>
      <c r="J10" s="68" t="s">
        <v>76</v>
      </c>
      <c r="K10" s="68" t="s">
        <v>77</v>
      </c>
      <c r="L10" s="68" t="s">
        <v>78</v>
      </c>
      <c r="M10" s="68" t="s">
        <v>79</v>
      </c>
      <c r="N10" s="68" t="s">
        <v>80</v>
      </c>
      <c r="O10" s="68" t="s">
        <v>81</v>
      </c>
      <c r="P10" s="68" t="s">
        <v>82</v>
      </c>
      <c r="Q10" s="68" t="s">
        <v>83</v>
      </c>
      <c r="R10" s="68" t="s">
        <v>84</v>
      </c>
      <c r="S10" s="68" t="s">
        <v>86</v>
      </c>
      <c r="T10" s="68" t="s">
        <v>74</v>
      </c>
      <c r="U10" s="68" t="s">
        <v>75</v>
      </c>
      <c r="V10" s="68" t="s">
        <v>76</v>
      </c>
      <c r="W10" s="68" t="s">
        <v>77</v>
      </c>
      <c r="X10" s="68" t="s">
        <v>78</v>
      </c>
      <c r="Y10" s="68" t="s">
        <v>79</v>
      </c>
      <c r="Z10" s="68">
        <v>0.9</v>
      </c>
      <c r="AA10" s="65"/>
      <c r="AB10" s="67">
        <v>8</v>
      </c>
      <c r="AC10" s="68">
        <v>1</v>
      </c>
    </row>
    <row r="11" spans="1:29" x14ac:dyDescent="0.25">
      <c r="A11" s="67">
        <v>9</v>
      </c>
      <c r="B11" s="68" t="s">
        <v>81</v>
      </c>
      <c r="C11" s="68" t="s">
        <v>82</v>
      </c>
      <c r="D11" s="68" t="s">
        <v>83</v>
      </c>
      <c r="E11" s="68" t="s">
        <v>84</v>
      </c>
      <c r="F11" s="68" t="s">
        <v>86</v>
      </c>
      <c r="G11" s="68" t="s">
        <v>74</v>
      </c>
      <c r="H11" s="68" t="s">
        <v>75</v>
      </c>
      <c r="I11" s="68" t="s">
        <v>76</v>
      </c>
      <c r="J11" s="68" t="s">
        <v>77</v>
      </c>
      <c r="K11" s="68" t="s">
        <v>78</v>
      </c>
      <c r="L11" s="68" t="s">
        <v>79</v>
      </c>
      <c r="M11" s="68" t="s">
        <v>80</v>
      </c>
      <c r="N11" s="68" t="s">
        <v>81</v>
      </c>
      <c r="O11" s="68" t="s">
        <v>82</v>
      </c>
      <c r="P11" s="68" t="s">
        <v>83</v>
      </c>
      <c r="Q11" s="68" t="s">
        <v>84</v>
      </c>
      <c r="R11" s="68" t="s">
        <v>86</v>
      </c>
      <c r="S11" s="68" t="s">
        <v>74</v>
      </c>
      <c r="T11" s="68" t="s">
        <v>75</v>
      </c>
      <c r="U11" s="68" t="s">
        <v>76</v>
      </c>
      <c r="V11" s="68" t="s">
        <v>77</v>
      </c>
      <c r="W11" s="68" t="s">
        <v>78</v>
      </c>
      <c r="X11" s="68" t="s">
        <v>79</v>
      </c>
      <c r="Y11" s="68" t="s">
        <v>80</v>
      </c>
      <c r="Z11" s="68">
        <v>1</v>
      </c>
      <c r="AA11" s="65"/>
      <c r="AB11" s="67">
        <v>9</v>
      </c>
      <c r="AC11" s="68">
        <v>1</v>
      </c>
    </row>
    <row r="12" spans="1:29" x14ac:dyDescent="0.25">
      <c r="A12" s="67">
        <v>10</v>
      </c>
      <c r="B12" s="68" t="s">
        <v>82</v>
      </c>
      <c r="C12" s="68" t="s">
        <v>83</v>
      </c>
      <c r="D12" s="68" t="s">
        <v>84</v>
      </c>
      <c r="E12" s="68" t="s">
        <v>86</v>
      </c>
      <c r="F12" s="68" t="s">
        <v>74</v>
      </c>
      <c r="G12" s="68" t="s">
        <v>75</v>
      </c>
      <c r="H12" s="68" t="s">
        <v>76</v>
      </c>
      <c r="I12" s="68" t="s">
        <v>77</v>
      </c>
      <c r="J12" s="68" t="s">
        <v>78</v>
      </c>
      <c r="K12" s="68" t="s">
        <v>79</v>
      </c>
      <c r="L12" s="68" t="s">
        <v>80</v>
      </c>
      <c r="M12" s="68" t="s">
        <v>81</v>
      </c>
      <c r="N12" s="68" t="s">
        <v>82</v>
      </c>
      <c r="O12" s="68" t="s">
        <v>83</v>
      </c>
      <c r="P12" s="68" t="s">
        <v>84</v>
      </c>
      <c r="Q12" s="68" t="s">
        <v>86</v>
      </c>
      <c r="R12" s="68" t="s">
        <v>74</v>
      </c>
      <c r="S12" s="68" t="s">
        <v>75</v>
      </c>
      <c r="T12" s="68" t="s">
        <v>76</v>
      </c>
      <c r="U12" s="68" t="s">
        <v>77</v>
      </c>
      <c r="V12" s="68" t="s">
        <v>78</v>
      </c>
      <c r="W12" s="68" t="s">
        <v>79</v>
      </c>
      <c r="X12" s="68" t="s">
        <v>80</v>
      </c>
      <c r="Y12" s="68" t="s">
        <v>81</v>
      </c>
      <c r="Z12" s="68">
        <v>1</v>
      </c>
      <c r="AA12" s="65"/>
      <c r="AB12" s="67">
        <v>10</v>
      </c>
      <c r="AC12" s="68">
        <v>1</v>
      </c>
    </row>
    <row r="13" spans="1:29" x14ac:dyDescent="0.25">
      <c r="A13" s="67">
        <v>11</v>
      </c>
      <c r="B13" s="68" t="s">
        <v>83</v>
      </c>
      <c r="C13" s="68" t="s">
        <v>84</v>
      </c>
      <c r="D13" s="68" t="s">
        <v>86</v>
      </c>
      <c r="E13" s="68" t="s">
        <v>74</v>
      </c>
      <c r="F13" s="68" t="s">
        <v>75</v>
      </c>
      <c r="G13" s="68" t="s">
        <v>76</v>
      </c>
      <c r="H13" s="68" t="s">
        <v>77</v>
      </c>
      <c r="I13" s="68" t="s">
        <v>78</v>
      </c>
      <c r="J13" s="68" t="s">
        <v>79</v>
      </c>
      <c r="K13" s="68" t="s">
        <v>80</v>
      </c>
      <c r="L13" s="68" t="s">
        <v>81</v>
      </c>
      <c r="M13" s="68" t="s">
        <v>82</v>
      </c>
      <c r="N13" s="68" t="s">
        <v>83</v>
      </c>
      <c r="O13" s="68" t="s">
        <v>84</v>
      </c>
      <c r="P13" s="68" t="s">
        <v>86</v>
      </c>
      <c r="Q13" s="68" t="s">
        <v>74</v>
      </c>
      <c r="R13" s="68" t="s">
        <v>75</v>
      </c>
      <c r="S13" s="68" t="s">
        <v>76</v>
      </c>
      <c r="T13" s="68" t="s">
        <v>77</v>
      </c>
      <c r="U13" s="68" t="s">
        <v>78</v>
      </c>
      <c r="V13" s="68" t="s">
        <v>79</v>
      </c>
      <c r="W13" s="68" t="s">
        <v>80</v>
      </c>
      <c r="X13" s="68" t="s">
        <v>81</v>
      </c>
      <c r="Y13" s="68" t="s">
        <v>82</v>
      </c>
      <c r="Z13" s="68">
        <v>1.1000000000000001</v>
      </c>
      <c r="AA13" s="65"/>
      <c r="AB13" s="67">
        <v>11</v>
      </c>
      <c r="AC13" s="68">
        <v>1</v>
      </c>
    </row>
    <row r="14" spans="1:29" x14ac:dyDescent="0.25">
      <c r="A14" s="67">
        <v>12</v>
      </c>
      <c r="B14" s="68" t="s">
        <v>84</v>
      </c>
      <c r="C14" s="68" t="s">
        <v>86</v>
      </c>
      <c r="D14" s="68" t="s">
        <v>74</v>
      </c>
      <c r="E14" s="68" t="s">
        <v>75</v>
      </c>
      <c r="F14" s="68" t="s">
        <v>76</v>
      </c>
      <c r="G14" s="68" t="s">
        <v>77</v>
      </c>
      <c r="H14" s="68" t="s">
        <v>78</v>
      </c>
      <c r="I14" s="68" t="s">
        <v>79</v>
      </c>
      <c r="J14" s="68" t="s">
        <v>80</v>
      </c>
      <c r="K14" s="68" t="s">
        <v>81</v>
      </c>
      <c r="L14" s="68" t="s">
        <v>82</v>
      </c>
      <c r="M14" s="68" t="s">
        <v>83</v>
      </c>
      <c r="N14" s="68" t="s">
        <v>84</v>
      </c>
      <c r="O14" s="68" t="s">
        <v>86</v>
      </c>
      <c r="P14" s="68" t="s">
        <v>74</v>
      </c>
      <c r="Q14" s="68" t="s">
        <v>75</v>
      </c>
      <c r="R14" s="68" t="s">
        <v>76</v>
      </c>
      <c r="S14" s="68" t="s">
        <v>77</v>
      </c>
      <c r="T14" s="68" t="s">
        <v>78</v>
      </c>
      <c r="U14" s="68" t="s">
        <v>79</v>
      </c>
      <c r="V14" s="68" t="s">
        <v>80</v>
      </c>
      <c r="W14" s="68" t="s">
        <v>81</v>
      </c>
      <c r="X14" s="68" t="s">
        <v>82</v>
      </c>
      <c r="Y14" s="68" t="s">
        <v>83</v>
      </c>
      <c r="Z14" s="68">
        <v>1.1000000000000001</v>
      </c>
      <c r="AA14" s="65"/>
      <c r="AB14" s="67">
        <v>12</v>
      </c>
      <c r="AC14" s="68">
        <v>1</v>
      </c>
    </row>
    <row r="15" spans="1:29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</row>
    <row r="16" spans="1:29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x14ac:dyDescent="0.25">
      <c r="A17" s="67">
        <v>1</v>
      </c>
      <c r="B17" s="68">
        <v>0.9</v>
      </c>
      <c r="C17" s="68">
        <v>1.1000000000000001</v>
      </c>
      <c r="D17" s="68">
        <v>1.1000000000000001</v>
      </c>
      <c r="E17" s="68">
        <v>1</v>
      </c>
      <c r="F17" s="68">
        <v>1</v>
      </c>
      <c r="G17" s="68">
        <v>0.9</v>
      </c>
      <c r="H17" s="68">
        <v>0.9</v>
      </c>
      <c r="I17" s="68">
        <v>0.9</v>
      </c>
      <c r="J17" s="68">
        <v>1</v>
      </c>
      <c r="K17" s="68">
        <v>1</v>
      </c>
      <c r="L17" s="68">
        <v>1.1000000000000001</v>
      </c>
      <c r="M17" s="68">
        <v>1.1000000000000001</v>
      </c>
      <c r="N17" s="68">
        <v>0.9</v>
      </c>
      <c r="O17" s="68">
        <v>1.1000000000000001</v>
      </c>
      <c r="P17" s="68">
        <v>1.1000000000000001</v>
      </c>
      <c r="Q17" s="68">
        <v>1</v>
      </c>
      <c r="R17" s="68">
        <v>1</v>
      </c>
      <c r="S17" s="68">
        <v>0.9</v>
      </c>
      <c r="T17" s="68">
        <v>0.9</v>
      </c>
      <c r="U17" s="68">
        <v>0.9</v>
      </c>
      <c r="V17" s="68">
        <v>1</v>
      </c>
      <c r="W17" s="68">
        <v>1</v>
      </c>
      <c r="X17" s="68">
        <v>1.1000000000000001</v>
      </c>
      <c r="Y17" s="68">
        <v>1.1000000000000001</v>
      </c>
      <c r="Z17" s="65"/>
      <c r="AA17" s="65"/>
      <c r="AB17" s="65"/>
      <c r="AC17" s="65"/>
    </row>
    <row r="18" spans="1:29" x14ac:dyDescent="0.25">
      <c r="A18" s="67">
        <v>2</v>
      </c>
      <c r="B18" s="68">
        <f>C17</f>
        <v>1.1000000000000001</v>
      </c>
      <c r="C18" s="68">
        <f t="shared" ref="C18:X18" si="0">D17</f>
        <v>1.1000000000000001</v>
      </c>
      <c r="D18" s="68">
        <f t="shared" si="0"/>
        <v>1</v>
      </c>
      <c r="E18" s="68">
        <f t="shared" si="0"/>
        <v>1</v>
      </c>
      <c r="F18" s="68">
        <f t="shared" si="0"/>
        <v>0.9</v>
      </c>
      <c r="G18" s="68">
        <f t="shared" si="0"/>
        <v>0.9</v>
      </c>
      <c r="H18" s="68">
        <f t="shared" si="0"/>
        <v>0.9</v>
      </c>
      <c r="I18" s="68">
        <f t="shared" si="0"/>
        <v>1</v>
      </c>
      <c r="J18" s="68">
        <f t="shared" si="0"/>
        <v>1</v>
      </c>
      <c r="K18" s="68">
        <f t="shared" si="0"/>
        <v>1.1000000000000001</v>
      </c>
      <c r="L18" s="68">
        <f t="shared" si="0"/>
        <v>1.1000000000000001</v>
      </c>
      <c r="M18" s="68">
        <f t="shared" si="0"/>
        <v>0.9</v>
      </c>
      <c r="N18" s="68">
        <f t="shared" si="0"/>
        <v>1.1000000000000001</v>
      </c>
      <c r="O18" s="68">
        <f t="shared" si="0"/>
        <v>1.1000000000000001</v>
      </c>
      <c r="P18" s="68">
        <f t="shared" si="0"/>
        <v>1</v>
      </c>
      <c r="Q18" s="68">
        <f t="shared" si="0"/>
        <v>1</v>
      </c>
      <c r="R18" s="68">
        <f t="shared" si="0"/>
        <v>0.9</v>
      </c>
      <c r="S18" s="68">
        <f t="shared" si="0"/>
        <v>0.9</v>
      </c>
      <c r="T18" s="68">
        <f t="shared" si="0"/>
        <v>0.9</v>
      </c>
      <c r="U18" s="68">
        <f t="shared" si="0"/>
        <v>1</v>
      </c>
      <c r="V18" s="68">
        <f t="shared" si="0"/>
        <v>1</v>
      </c>
      <c r="W18" s="68">
        <f t="shared" si="0"/>
        <v>1.1000000000000001</v>
      </c>
      <c r="X18" s="68">
        <f t="shared" si="0"/>
        <v>1.1000000000000001</v>
      </c>
      <c r="Y18" s="68">
        <v>0.9</v>
      </c>
      <c r="Z18" s="65"/>
      <c r="AA18" s="65"/>
      <c r="AB18" s="65"/>
      <c r="AC18" s="65"/>
    </row>
    <row r="19" spans="1:29" x14ac:dyDescent="0.25">
      <c r="A19" s="67">
        <v>3</v>
      </c>
      <c r="B19" s="68">
        <f>D17</f>
        <v>1.1000000000000001</v>
      </c>
      <c r="C19" s="68">
        <f t="shared" ref="C19:W19" si="1">E17</f>
        <v>1</v>
      </c>
      <c r="D19" s="68">
        <f t="shared" si="1"/>
        <v>1</v>
      </c>
      <c r="E19" s="68">
        <f t="shared" si="1"/>
        <v>0.9</v>
      </c>
      <c r="F19" s="68">
        <f t="shared" si="1"/>
        <v>0.9</v>
      </c>
      <c r="G19" s="68">
        <f t="shared" si="1"/>
        <v>0.9</v>
      </c>
      <c r="H19" s="68">
        <f t="shared" si="1"/>
        <v>1</v>
      </c>
      <c r="I19" s="68">
        <f t="shared" si="1"/>
        <v>1</v>
      </c>
      <c r="J19" s="68">
        <f t="shared" si="1"/>
        <v>1.1000000000000001</v>
      </c>
      <c r="K19" s="68">
        <f t="shared" si="1"/>
        <v>1.1000000000000001</v>
      </c>
      <c r="L19" s="68">
        <f t="shared" si="1"/>
        <v>0.9</v>
      </c>
      <c r="M19" s="68">
        <f t="shared" si="1"/>
        <v>1.1000000000000001</v>
      </c>
      <c r="N19" s="68">
        <f t="shared" si="1"/>
        <v>1.1000000000000001</v>
      </c>
      <c r="O19" s="68">
        <f t="shared" si="1"/>
        <v>1</v>
      </c>
      <c r="P19" s="68">
        <f t="shared" si="1"/>
        <v>1</v>
      </c>
      <c r="Q19" s="68">
        <f t="shared" si="1"/>
        <v>0.9</v>
      </c>
      <c r="R19" s="68">
        <f t="shared" si="1"/>
        <v>0.9</v>
      </c>
      <c r="S19" s="68">
        <f t="shared" si="1"/>
        <v>0.9</v>
      </c>
      <c r="T19" s="68">
        <f t="shared" si="1"/>
        <v>1</v>
      </c>
      <c r="U19" s="68">
        <f t="shared" si="1"/>
        <v>1</v>
      </c>
      <c r="V19" s="68">
        <f t="shared" si="1"/>
        <v>1.1000000000000001</v>
      </c>
      <c r="W19" s="68">
        <f t="shared" si="1"/>
        <v>1.1000000000000001</v>
      </c>
      <c r="X19" s="68">
        <f>B17</f>
        <v>0.9</v>
      </c>
      <c r="Y19" s="68">
        <f>C17</f>
        <v>1.1000000000000001</v>
      </c>
      <c r="Z19" s="65"/>
      <c r="AA19" s="65"/>
      <c r="AB19" s="65"/>
      <c r="AC19" s="65"/>
    </row>
    <row r="20" spans="1:29" x14ac:dyDescent="0.25">
      <c r="A20" s="67">
        <v>4</v>
      </c>
      <c r="B20" s="68">
        <f>E17</f>
        <v>1</v>
      </c>
      <c r="C20" s="68">
        <f t="shared" ref="C20:V20" si="2">F17</f>
        <v>1</v>
      </c>
      <c r="D20" s="68">
        <f t="shared" si="2"/>
        <v>0.9</v>
      </c>
      <c r="E20" s="68">
        <f t="shared" si="2"/>
        <v>0.9</v>
      </c>
      <c r="F20" s="68">
        <f t="shared" si="2"/>
        <v>0.9</v>
      </c>
      <c r="G20" s="68">
        <f t="shared" si="2"/>
        <v>1</v>
      </c>
      <c r="H20" s="68">
        <f t="shared" si="2"/>
        <v>1</v>
      </c>
      <c r="I20" s="68">
        <f t="shared" si="2"/>
        <v>1.1000000000000001</v>
      </c>
      <c r="J20" s="68">
        <f t="shared" si="2"/>
        <v>1.1000000000000001</v>
      </c>
      <c r="K20" s="68">
        <f t="shared" si="2"/>
        <v>0.9</v>
      </c>
      <c r="L20" s="68">
        <f t="shared" si="2"/>
        <v>1.1000000000000001</v>
      </c>
      <c r="M20" s="68">
        <f t="shared" si="2"/>
        <v>1.1000000000000001</v>
      </c>
      <c r="N20" s="68">
        <f t="shared" si="2"/>
        <v>1</v>
      </c>
      <c r="O20" s="68">
        <f t="shared" si="2"/>
        <v>1</v>
      </c>
      <c r="P20" s="68">
        <f t="shared" si="2"/>
        <v>0.9</v>
      </c>
      <c r="Q20" s="68">
        <f t="shared" si="2"/>
        <v>0.9</v>
      </c>
      <c r="R20" s="68">
        <f t="shared" si="2"/>
        <v>0.9</v>
      </c>
      <c r="S20" s="68">
        <f t="shared" si="2"/>
        <v>1</v>
      </c>
      <c r="T20" s="68">
        <f t="shared" si="2"/>
        <v>1</v>
      </c>
      <c r="U20" s="68">
        <f t="shared" si="2"/>
        <v>1.1000000000000001</v>
      </c>
      <c r="V20" s="68">
        <f t="shared" si="2"/>
        <v>1.1000000000000001</v>
      </c>
      <c r="W20" s="68">
        <f>B17</f>
        <v>0.9</v>
      </c>
      <c r="X20" s="68">
        <f>C17</f>
        <v>1.1000000000000001</v>
      </c>
      <c r="Y20" s="68">
        <f>D17</f>
        <v>1.1000000000000001</v>
      </c>
      <c r="Z20" s="65"/>
      <c r="AA20" s="65"/>
      <c r="AB20" s="65"/>
      <c r="AC20" s="65"/>
    </row>
    <row r="21" spans="1:29" x14ac:dyDescent="0.25">
      <c r="A21" s="67">
        <v>5</v>
      </c>
      <c r="B21" s="68">
        <f>F17</f>
        <v>1</v>
      </c>
      <c r="C21" s="68">
        <f t="shared" ref="C21:U21" si="3">G17</f>
        <v>0.9</v>
      </c>
      <c r="D21" s="68">
        <f t="shared" si="3"/>
        <v>0.9</v>
      </c>
      <c r="E21" s="68">
        <f t="shared" si="3"/>
        <v>0.9</v>
      </c>
      <c r="F21" s="68">
        <f t="shared" si="3"/>
        <v>1</v>
      </c>
      <c r="G21" s="68">
        <f t="shared" si="3"/>
        <v>1</v>
      </c>
      <c r="H21" s="68">
        <f t="shared" si="3"/>
        <v>1.1000000000000001</v>
      </c>
      <c r="I21" s="68">
        <f t="shared" si="3"/>
        <v>1.1000000000000001</v>
      </c>
      <c r="J21" s="68">
        <f t="shared" si="3"/>
        <v>0.9</v>
      </c>
      <c r="K21" s="68">
        <f t="shared" si="3"/>
        <v>1.1000000000000001</v>
      </c>
      <c r="L21" s="68">
        <f t="shared" si="3"/>
        <v>1.1000000000000001</v>
      </c>
      <c r="M21" s="68">
        <f t="shared" si="3"/>
        <v>1</v>
      </c>
      <c r="N21" s="68">
        <f t="shared" si="3"/>
        <v>1</v>
      </c>
      <c r="O21" s="68">
        <f t="shared" si="3"/>
        <v>0.9</v>
      </c>
      <c r="P21" s="68">
        <f t="shared" si="3"/>
        <v>0.9</v>
      </c>
      <c r="Q21" s="68">
        <f t="shared" si="3"/>
        <v>0.9</v>
      </c>
      <c r="R21" s="68">
        <f t="shared" si="3"/>
        <v>1</v>
      </c>
      <c r="S21" s="68">
        <f t="shared" si="3"/>
        <v>1</v>
      </c>
      <c r="T21" s="68">
        <f t="shared" si="3"/>
        <v>1.1000000000000001</v>
      </c>
      <c r="U21" s="68">
        <f t="shared" si="3"/>
        <v>1.1000000000000001</v>
      </c>
      <c r="V21" s="68">
        <f>B17</f>
        <v>0.9</v>
      </c>
      <c r="W21" s="68">
        <f>C17</f>
        <v>1.1000000000000001</v>
      </c>
      <c r="X21" s="68">
        <f>D17</f>
        <v>1.1000000000000001</v>
      </c>
      <c r="Y21" s="68">
        <f>E17</f>
        <v>1</v>
      </c>
      <c r="Z21" s="65"/>
      <c r="AA21" s="65"/>
      <c r="AB21" s="65"/>
      <c r="AC21" s="65"/>
    </row>
    <row r="22" spans="1:29" x14ac:dyDescent="0.25">
      <c r="A22" s="67">
        <v>6</v>
      </c>
      <c r="B22" s="68">
        <f>G17</f>
        <v>0.9</v>
      </c>
      <c r="C22" s="68">
        <f t="shared" ref="C22:T22" si="4">H17</f>
        <v>0.9</v>
      </c>
      <c r="D22" s="68">
        <f t="shared" si="4"/>
        <v>0.9</v>
      </c>
      <c r="E22" s="68">
        <f t="shared" si="4"/>
        <v>1</v>
      </c>
      <c r="F22" s="68">
        <f t="shared" si="4"/>
        <v>1</v>
      </c>
      <c r="G22" s="68">
        <f t="shared" si="4"/>
        <v>1.1000000000000001</v>
      </c>
      <c r="H22" s="68">
        <f t="shared" si="4"/>
        <v>1.1000000000000001</v>
      </c>
      <c r="I22" s="68">
        <f t="shared" si="4"/>
        <v>0.9</v>
      </c>
      <c r="J22" s="68">
        <f t="shared" si="4"/>
        <v>1.1000000000000001</v>
      </c>
      <c r="K22" s="68">
        <f t="shared" si="4"/>
        <v>1.1000000000000001</v>
      </c>
      <c r="L22" s="68">
        <f t="shared" si="4"/>
        <v>1</v>
      </c>
      <c r="M22" s="68">
        <f t="shared" si="4"/>
        <v>1</v>
      </c>
      <c r="N22" s="68">
        <f t="shared" si="4"/>
        <v>0.9</v>
      </c>
      <c r="O22" s="68">
        <f t="shared" si="4"/>
        <v>0.9</v>
      </c>
      <c r="P22" s="68">
        <f t="shared" si="4"/>
        <v>0.9</v>
      </c>
      <c r="Q22" s="68">
        <f t="shared" si="4"/>
        <v>1</v>
      </c>
      <c r="R22" s="68">
        <f t="shared" si="4"/>
        <v>1</v>
      </c>
      <c r="S22" s="68">
        <f t="shared" si="4"/>
        <v>1.1000000000000001</v>
      </c>
      <c r="T22" s="68">
        <f t="shared" si="4"/>
        <v>1.1000000000000001</v>
      </c>
      <c r="U22" s="68">
        <f>B17</f>
        <v>0.9</v>
      </c>
      <c r="V22" s="68">
        <f>C17</f>
        <v>1.1000000000000001</v>
      </c>
      <c r="W22" s="68">
        <f>D17</f>
        <v>1.1000000000000001</v>
      </c>
      <c r="X22" s="68">
        <f>E17</f>
        <v>1</v>
      </c>
      <c r="Y22" s="68">
        <f>F17</f>
        <v>1</v>
      </c>
      <c r="Z22" s="65"/>
      <c r="AA22" s="65"/>
      <c r="AB22" s="65"/>
      <c r="AC22" s="65"/>
    </row>
    <row r="23" spans="1:29" x14ac:dyDescent="0.25">
      <c r="A23" s="67">
        <v>7</v>
      </c>
      <c r="B23" s="68">
        <f>H17</f>
        <v>0.9</v>
      </c>
      <c r="C23" s="68">
        <f t="shared" ref="C23:S23" si="5">I17</f>
        <v>0.9</v>
      </c>
      <c r="D23" s="68">
        <f t="shared" si="5"/>
        <v>1</v>
      </c>
      <c r="E23" s="68">
        <f t="shared" si="5"/>
        <v>1</v>
      </c>
      <c r="F23" s="68">
        <f t="shared" si="5"/>
        <v>1.1000000000000001</v>
      </c>
      <c r="G23" s="68">
        <f t="shared" si="5"/>
        <v>1.1000000000000001</v>
      </c>
      <c r="H23" s="68">
        <f t="shared" si="5"/>
        <v>0.9</v>
      </c>
      <c r="I23" s="68">
        <f t="shared" si="5"/>
        <v>1.1000000000000001</v>
      </c>
      <c r="J23" s="68">
        <f t="shared" si="5"/>
        <v>1.1000000000000001</v>
      </c>
      <c r="K23" s="68">
        <f t="shared" si="5"/>
        <v>1</v>
      </c>
      <c r="L23" s="68">
        <f t="shared" si="5"/>
        <v>1</v>
      </c>
      <c r="M23" s="68">
        <f t="shared" si="5"/>
        <v>0.9</v>
      </c>
      <c r="N23" s="68">
        <f t="shared" si="5"/>
        <v>0.9</v>
      </c>
      <c r="O23" s="68">
        <f t="shared" si="5"/>
        <v>0.9</v>
      </c>
      <c r="P23" s="68">
        <f t="shared" si="5"/>
        <v>1</v>
      </c>
      <c r="Q23" s="68">
        <f t="shared" si="5"/>
        <v>1</v>
      </c>
      <c r="R23" s="68">
        <f t="shared" si="5"/>
        <v>1.1000000000000001</v>
      </c>
      <c r="S23" s="68">
        <f t="shared" si="5"/>
        <v>1.1000000000000001</v>
      </c>
      <c r="T23" s="68">
        <f t="shared" ref="T23:Y23" si="6">B17</f>
        <v>0.9</v>
      </c>
      <c r="U23" s="68">
        <f t="shared" si="6"/>
        <v>1.1000000000000001</v>
      </c>
      <c r="V23" s="68">
        <f t="shared" si="6"/>
        <v>1.1000000000000001</v>
      </c>
      <c r="W23" s="68">
        <f t="shared" si="6"/>
        <v>1</v>
      </c>
      <c r="X23" s="68">
        <f t="shared" si="6"/>
        <v>1</v>
      </c>
      <c r="Y23" s="68">
        <f t="shared" si="6"/>
        <v>0.9</v>
      </c>
      <c r="Z23" s="65"/>
      <c r="AA23" s="65"/>
      <c r="AB23" s="65"/>
      <c r="AC23" s="65"/>
    </row>
    <row r="24" spans="1:29" x14ac:dyDescent="0.25">
      <c r="A24" s="67">
        <v>8</v>
      </c>
      <c r="B24" s="68">
        <f>I17</f>
        <v>0.9</v>
      </c>
      <c r="C24" s="68">
        <f t="shared" ref="C24:R24" si="7">J17</f>
        <v>1</v>
      </c>
      <c r="D24" s="68">
        <f t="shared" si="7"/>
        <v>1</v>
      </c>
      <c r="E24" s="68">
        <f t="shared" si="7"/>
        <v>1.1000000000000001</v>
      </c>
      <c r="F24" s="68">
        <f t="shared" si="7"/>
        <v>1.1000000000000001</v>
      </c>
      <c r="G24" s="68">
        <f t="shared" si="7"/>
        <v>0.9</v>
      </c>
      <c r="H24" s="68">
        <f t="shared" si="7"/>
        <v>1.1000000000000001</v>
      </c>
      <c r="I24" s="68">
        <f t="shared" si="7"/>
        <v>1.1000000000000001</v>
      </c>
      <c r="J24" s="68">
        <f t="shared" si="7"/>
        <v>1</v>
      </c>
      <c r="K24" s="68">
        <f t="shared" si="7"/>
        <v>1</v>
      </c>
      <c r="L24" s="68">
        <f t="shared" si="7"/>
        <v>0.9</v>
      </c>
      <c r="M24" s="68">
        <f t="shared" si="7"/>
        <v>0.9</v>
      </c>
      <c r="N24" s="68">
        <f t="shared" si="7"/>
        <v>0.9</v>
      </c>
      <c r="O24" s="68">
        <f t="shared" si="7"/>
        <v>1</v>
      </c>
      <c r="P24" s="68">
        <f t="shared" si="7"/>
        <v>1</v>
      </c>
      <c r="Q24" s="68">
        <f t="shared" si="7"/>
        <v>1.1000000000000001</v>
      </c>
      <c r="R24" s="68">
        <f t="shared" si="7"/>
        <v>1.1000000000000001</v>
      </c>
      <c r="S24" s="68">
        <f>B17</f>
        <v>0.9</v>
      </c>
      <c r="T24" s="68">
        <f t="shared" ref="T24:Y24" si="8">C17</f>
        <v>1.1000000000000001</v>
      </c>
      <c r="U24" s="68">
        <f t="shared" si="8"/>
        <v>1.1000000000000001</v>
      </c>
      <c r="V24" s="68">
        <f t="shared" si="8"/>
        <v>1</v>
      </c>
      <c r="W24" s="68">
        <f t="shared" si="8"/>
        <v>1</v>
      </c>
      <c r="X24" s="68">
        <f t="shared" si="8"/>
        <v>0.9</v>
      </c>
      <c r="Y24" s="68">
        <f t="shared" si="8"/>
        <v>0.9</v>
      </c>
      <c r="Z24" s="65"/>
      <c r="AA24" s="65"/>
      <c r="AB24" s="65"/>
      <c r="AC24" s="65"/>
    </row>
    <row r="25" spans="1:29" x14ac:dyDescent="0.25">
      <c r="A25" s="67">
        <v>9</v>
      </c>
      <c r="B25" s="68">
        <f>J17</f>
        <v>1</v>
      </c>
      <c r="C25" s="68">
        <f t="shared" ref="C25:Q25" si="9">K17</f>
        <v>1</v>
      </c>
      <c r="D25" s="68">
        <f t="shared" si="9"/>
        <v>1.1000000000000001</v>
      </c>
      <c r="E25" s="68">
        <f t="shared" si="9"/>
        <v>1.1000000000000001</v>
      </c>
      <c r="F25" s="68">
        <f t="shared" si="9"/>
        <v>0.9</v>
      </c>
      <c r="G25" s="68">
        <f t="shared" si="9"/>
        <v>1.1000000000000001</v>
      </c>
      <c r="H25" s="68">
        <f t="shared" si="9"/>
        <v>1.1000000000000001</v>
      </c>
      <c r="I25" s="68">
        <f t="shared" si="9"/>
        <v>1</v>
      </c>
      <c r="J25" s="68">
        <f t="shared" si="9"/>
        <v>1</v>
      </c>
      <c r="K25" s="68">
        <f t="shared" si="9"/>
        <v>0.9</v>
      </c>
      <c r="L25" s="68">
        <f t="shared" si="9"/>
        <v>0.9</v>
      </c>
      <c r="M25" s="68">
        <f t="shared" si="9"/>
        <v>0.9</v>
      </c>
      <c r="N25" s="68">
        <f t="shared" si="9"/>
        <v>1</v>
      </c>
      <c r="O25" s="68">
        <f t="shared" si="9"/>
        <v>1</v>
      </c>
      <c r="P25" s="68">
        <f t="shared" si="9"/>
        <v>1.1000000000000001</v>
      </c>
      <c r="Q25" s="68">
        <f t="shared" si="9"/>
        <v>1.1000000000000001</v>
      </c>
      <c r="R25" s="68">
        <f>B17</f>
        <v>0.9</v>
      </c>
      <c r="S25" s="68">
        <f t="shared" ref="S25:Y25" si="10">C17</f>
        <v>1.1000000000000001</v>
      </c>
      <c r="T25" s="68">
        <f t="shared" si="10"/>
        <v>1.1000000000000001</v>
      </c>
      <c r="U25" s="68">
        <f t="shared" si="10"/>
        <v>1</v>
      </c>
      <c r="V25" s="68">
        <f t="shared" si="10"/>
        <v>1</v>
      </c>
      <c r="W25" s="68">
        <f t="shared" si="10"/>
        <v>0.9</v>
      </c>
      <c r="X25" s="68">
        <f t="shared" si="10"/>
        <v>0.9</v>
      </c>
      <c r="Y25" s="68">
        <f t="shared" si="10"/>
        <v>0.9</v>
      </c>
      <c r="Z25" s="65"/>
      <c r="AA25" s="65"/>
      <c r="AB25" s="65"/>
      <c r="AC25" s="65"/>
    </row>
    <row r="26" spans="1:29" x14ac:dyDescent="0.25">
      <c r="A26" s="67">
        <v>10</v>
      </c>
      <c r="B26" s="68">
        <f>K17</f>
        <v>1</v>
      </c>
      <c r="C26" s="68">
        <f t="shared" ref="C26:P26" si="11">L17</f>
        <v>1.1000000000000001</v>
      </c>
      <c r="D26" s="68">
        <f t="shared" si="11"/>
        <v>1.1000000000000001</v>
      </c>
      <c r="E26" s="68">
        <f t="shared" si="11"/>
        <v>0.9</v>
      </c>
      <c r="F26" s="68">
        <f t="shared" si="11"/>
        <v>1.1000000000000001</v>
      </c>
      <c r="G26" s="68">
        <f t="shared" si="11"/>
        <v>1.1000000000000001</v>
      </c>
      <c r="H26" s="68">
        <f t="shared" si="11"/>
        <v>1</v>
      </c>
      <c r="I26" s="68">
        <f t="shared" si="11"/>
        <v>1</v>
      </c>
      <c r="J26" s="68">
        <f t="shared" si="11"/>
        <v>0.9</v>
      </c>
      <c r="K26" s="68">
        <f t="shared" si="11"/>
        <v>0.9</v>
      </c>
      <c r="L26" s="68">
        <f t="shared" si="11"/>
        <v>0.9</v>
      </c>
      <c r="M26" s="68">
        <f t="shared" si="11"/>
        <v>1</v>
      </c>
      <c r="N26" s="68">
        <f t="shared" si="11"/>
        <v>1</v>
      </c>
      <c r="O26" s="68">
        <f t="shared" si="11"/>
        <v>1.1000000000000001</v>
      </c>
      <c r="P26" s="68">
        <f t="shared" si="11"/>
        <v>1.1000000000000001</v>
      </c>
      <c r="Q26" s="68">
        <f>B17</f>
        <v>0.9</v>
      </c>
      <c r="R26" s="68">
        <f t="shared" ref="R26:Y26" si="12">C17</f>
        <v>1.1000000000000001</v>
      </c>
      <c r="S26" s="68">
        <f t="shared" si="12"/>
        <v>1.1000000000000001</v>
      </c>
      <c r="T26" s="68">
        <f t="shared" si="12"/>
        <v>1</v>
      </c>
      <c r="U26" s="68">
        <f t="shared" si="12"/>
        <v>1</v>
      </c>
      <c r="V26" s="68">
        <f t="shared" si="12"/>
        <v>0.9</v>
      </c>
      <c r="W26" s="68">
        <f t="shared" si="12"/>
        <v>0.9</v>
      </c>
      <c r="X26" s="68">
        <f t="shared" si="12"/>
        <v>0.9</v>
      </c>
      <c r="Y26" s="68">
        <f t="shared" si="12"/>
        <v>1</v>
      </c>
      <c r="Z26" s="65"/>
      <c r="AA26" s="65"/>
      <c r="AB26" s="65"/>
      <c r="AC26" s="65"/>
    </row>
    <row r="27" spans="1:29" x14ac:dyDescent="0.25">
      <c r="A27" s="67">
        <v>11</v>
      </c>
      <c r="B27" s="68">
        <f>L17</f>
        <v>1.1000000000000001</v>
      </c>
      <c r="C27" s="68">
        <f t="shared" ref="C27:O27" si="13">M17</f>
        <v>1.1000000000000001</v>
      </c>
      <c r="D27" s="68">
        <f t="shared" si="13"/>
        <v>0.9</v>
      </c>
      <c r="E27" s="68">
        <f t="shared" si="13"/>
        <v>1.1000000000000001</v>
      </c>
      <c r="F27" s="68">
        <f t="shared" si="13"/>
        <v>1.1000000000000001</v>
      </c>
      <c r="G27" s="68">
        <f t="shared" si="13"/>
        <v>1</v>
      </c>
      <c r="H27" s="68">
        <f t="shared" si="13"/>
        <v>1</v>
      </c>
      <c r="I27" s="68">
        <f t="shared" si="13"/>
        <v>0.9</v>
      </c>
      <c r="J27" s="68">
        <f t="shared" si="13"/>
        <v>0.9</v>
      </c>
      <c r="K27" s="68">
        <f t="shared" si="13"/>
        <v>0.9</v>
      </c>
      <c r="L27" s="68">
        <f t="shared" si="13"/>
        <v>1</v>
      </c>
      <c r="M27" s="68">
        <f t="shared" si="13"/>
        <v>1</v>
      </c>
      <c r="N27" s="68">
        <f t="shared" si="13"/>
        <v>1.1000000000000001</v>
      </c>
      <c r="O27" s="68">
        <f t="shared" si="13"/>
        <v>1.1000000000000001</v>
      </c>
      <c r="P27" s="68">
        <f>B17</f>
        <v>0.9</v>
      </c>
      <c r="Q27" s="68">
        <f t="shared" ref="Q27:Y27" si="14">C17</f>
        <v>1.1000000000000001</v>
      </c>
      <c r="R27" s="68">
        <f t="shared" si="14"/>
        <v>1.1000000000000001</v>
      </c>
      <c r="S27" s="68">
        <f t="shared" si="14"/>
        <v>1</v>
      </c>
      <c r="T27" s="68">
        <f t="shared" si="14"/>
        <v>1</v>
      </c>
      <c r="U27" s="68">
        <f t="shared" si="14"/>
        <v>0.9</v>
      </c>
      <c r="V27" s="68">
        <f t="shared" si="14"/>
        <v>0.9</v>
      </c>
      <c r="W27" s="68">
        <f t="shared" si="14"/>
        <v>0.9</v>
      </c>
      <c r="X27" s="68">
        <f t="shared" si="14"/>
        <v>1</v>
      </c>
      <c r="Y27" s="68">
        <f t="shared" si="14"/>
        <v>1</v>
      </c>
      <c r="Z27" s="65"/>
      <c r="AA27" s="65"/>
      <c r="AB27" s="65"/>
      <c r="AC27" s="65"/>
    </row>
    <row r="28" spans="1:29" x14ac:dyDescent="0.25">
      <c r="A28" s="67">
        <v>12</v>
      </c>
      <c r="B28" s="68">
        <f>M17</f>
        <v>1.1000000000000001</v>
      </c>
      <c r="C28" s="68">
        <f t="shared" ref="C28:N28" si="15">N17</f>
        <v>0.9</v>
      </c>
      <c r="D28" s="68">
        <f t="shared" si="15"/>
        <v>1.1000000000000001</v>
      </c>
      <c r="E28" s="68">
        <f t="shared" si="15"/>
        <v>1.1000000000000001</v>
      </c>
      <c r="F28" s="68">
        <f t="shared" si="15"/>
        <v>1</v>
      </c>
      <c r="G28" s="68">
        <f t="shared" si="15"/>
        <v>1</v>
      </c>
      <c r="H28" s="68">
        <f t="shared" si="15"/>
        <v>0.9</v>
      </c>
      <c r="I28" s="68">
        <f t="shared" si="15"/>
        <v>0.9</v>
      </c>
      <c r="J28" s="68">
        <f t="shared" si="15"/>
        <v>0.9</v>
      </c>
      <c r="K28" s="68">
        <f t="shared" si="15"/>
        <v>1</v>
      </c>
      <c r="L28" s="68">
        <f t="shared" si="15"/>
        <v>1</v>
      </c>
      <c r="M28" s="68">
        <f t="shared" si="15"/>
        <v>1.1000000000000001</v>
      </c>
      <c r="N28" s="68">
        <f t="shared" si="15"/>
        <v>1.1000000000000001</v>
      </c>
      <c r="O28" s="68">
        <f>B17</f>
        <v>0.9</v>
      </c>
      <c r="P28" s="68">
        <f t="shared" ref="P28:Y28" si="16">C17</f>
        <v>1.1000000000000001</v>
      </c>
      <c r="Q28" s="68">
        <f t="shared" si="16"/>
        <v>1.1000000000000001</v>
      </c>
      <c r="R28" s="68">
        <f t="shared" si="16"/>
        <v>1</v>
      </c>
      <c r="S28" s="68">
        <f t="shared" si="16"/>
        <v>1</v>
      </c>
      <c r="T28" s="68">
        <f t="shared" si="16"/>
        <v>0.9</v>
      </c>
      <c r="U28" s="68">
        <f t="shared" si="16"/>
        <v>0.9</v>
      </c>
      <c r="V28" s="68">
        <f t="shared" si="16"/>
        <v>0.9</v>
      </c>
      <c r="W28" s="68">
        <f t="shared" si="16"/>
        <v>1</v>
      </c>
      <c r="X28" s="68">
        <f t="shared" si="16"/>
        <v>1</v>
      </c>
      <c r="Y28" s="68">
        <f t="shared" si="16"/>
        <v>1.1000000000000001</v>
      </c>
      <c r="Z28" s="65"/>
      <c r="AA28" s="65"/>
      <c r="AB28" s="65"/>
      <c r="AC28" s="65"/>
    </row>
    <row r="29" spans="1:29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x14ac:dyDescent="0.25">
      <c r="A30" s="65"/>
      <c r="B30" s="68">
        <v>0.4</v>
      </c>
      <c r="C30" s="68">
        <v>0.6</v>
      </c>
      <c r="D30" s="68">
        <v>0.8</v>
      </c>
      <c r="E30" s="68">
        <v>0.9</v>
      </c>
      <c r="F30" s="68">
        <v>1</v>
      </c>
      <c r="G30" s="68">
        <v>1</v>
      </c>
      <c r="H30" s="68">
        <v>1</v>
      </c>
      <c r="I30" s="68">
        <v>1</v>
      </c>
      <c r="J30" s="68">
        <v>1</v>
      </c>
      <c r="K30" s="68">
        <v>1</v>
      </c>
      <c r="L30" s="68">
        <v>1</v>
      </c>
      <c r="M30" s="68">
        <v>1</v>
      </c>
      <c r="N30" s="68">
        <v>1</v>
      </c>
      <c r="O30" s="68">
        <v>1</v>
      </c>
      <c r="P30" s="68">
        <v>1</v>
      </c>
      <c r="Q30" s="68">
        <v>1</v>
      </c>
      <c r="R30" s="68">
        <v>1</v>
      </c>
      <c r="S30" s="68">
        <v>1</v>
      </c>
      <c r="T30" s="68">
        <v>1</v>
      </c>
      <c r="U30" s="68">
        <v>1</v>
      </c>
      <c r="V30" s="68">
        <v>1</v>
      </c>
      <c r="W30" s="68">
        <v>1</v>
      </c>
      <c r="X30" s="68">
        <v>1</v>
      </c>
      <c r="Y30" s="68">
        <v>1</v>
      </c>
      <c r="Z30" s="65"/>
      <c r="AA30" s="65"/>
      <c r="AB30" s="65"/>
      <c r="AC30" s="65"/>
    </row>
    <row r="31" spans="1:29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ht="18.75" x14ac:dyDescent="0.3">
      <c r="A34" s="69" t="s">
        <v>87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x14ac:dyDescent="0.25">
      <c r="A35" s="65" t="s">
        <v>88</v>
      </c>
      <c r="B35" s="65"/>
      <c r="C35" s="65"/>
      <c r="D35" s="65">
        <v>3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1:29" x14ac:dyDescent="0.25">
      <c r="A36" s="65" t="s">
        <v>89</v>
      </c>
      <c r="B36" s="65"/>
      <c r="C36" s="65"/>
      <c r="D36" s="70">
        <f>100%/D35</f>
        <v>0.33333333333333331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spans="1:29" x14ac:dyDescent="0.25">
      <c r="A37" s="65" t="s">
        <v>90</v>
      </c>
      <c r="B37" s="65"/>
      <c r="C37" s="65"/>
      <c r="D37" s="65">
        <f>SUMIF(Оборудование!D3:D13,"&gt;40000",Оборудование!E3:E13)*К!D36/100%</f>
        <v>326666.66666666663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</row>
    <row r="38" spans="1:29" x14ac:dyDescent="0.25">
      <c r="A38" s="65" t="s">
        <v>91</v>
      </c>
      <c r="B38" s="65"/>
      <c r="C38" s="65"/>
      <c r="D38" s="65"/>
      <c r="E38" s="65"/>
      <c r="F38" s="65">
        <f>D37/12</f>
        <v>27222.222222222219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spans="1:29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1:29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spans="1:29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spans="1:29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spans="1:29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spans="1:29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spans="1:29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spans="1:29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1:29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</row>
    <row r="48" spans="1:29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</row>
    <row r="49" spans="1:29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</row>
  </sheetData>
  <mergeCells count="2">
    <mergeCell ref="AB1:AC2"/>
    <mergeCell ref="A1:R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Y11"/>
  <sheetViews>
    <sheetView showGridLines="0" workbookViewId="0">
      <selection activeCell="B7" sqref="B7"/>
    </sheetView>
  </sheetViews>
  <sheetFormatPr defaultRowHeight="18.75" x14ac:dyDescent="0.3"/>
  <cols>
    <col min="1" max="1" width="71.7109375" style="47" customWidth="1"/>
    <col min="2" max="2" width="15.42578125" style="62" bestFit="1" customWidth="1"/>
    <col min="3" max="25" width="13.5703125" style="62" bestFit="1" customWidth="1"/>
    <col min="26" max="16384" width="9.140625" style="61"/>
  </cols>
  <sheetData>
    <row r="1" spans="1:25" x14ac:dyDescent="0.25">
      <c r="A1" s="103" t="s">
        <v>97</v>
      </c>
      <c r="B1" s="103" t="s">
        <v>65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x14ac:dyDescent="0.3">
      <c r="A2" s="103"/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33</v>
      </c>
      <c r="O2" s="33" t="s">
        <v>34</v>
      </c>
      <c r="P2" s="33" t="s">
        <v>35</v>
      </c>
      <c r="Q2" s="33" t="s">
        <v>36</v>
      </c>
      <c r="R2" s="33" t="s">
        <v>37</v>
      </c>
      <c r="S2" s="33" t="s">
        <v>38</v>
      </c>
      <c r="T2" s="33" t="s">
        <v>39</v>
      </c>
      <c r="U2" s="33" t="s">
        <v>40</v>
      </c>
      <c r="V2" s="33" t="s">
        <v>41</v>
      </c>
      <c r="W2" s="33" t="s">
        <v>42</v>
      </c>
      <c r="X2" s="33" t="s">
        <v>43</v>
      </c>
      <c r="Y2" s="33" t="s">
        <v>44</v>
      </c>
    </row>
    <row r="3" spans="1:25" x14ac:dyDescent="0.25">
      <c r="A3" s="34" t="s">
        <v>154</v>
      </c>
      <c r="B3" s="35">
        <f>Инвестиции!$C$13</f>
        <v>40040</v>
      </c>
      <c r="C3" s="35">
        <f>Инвестиции!$C$13</f>
        <v>40040</v>
      </c>
      <c r="D3" s="35">
        <f>Инвестиции!$C$13</f>
        <v>40040</v>
      </c>
      <c r="E3" s="35">
        <f>Инвестиции!$C$13</f>
        <v>40040</v>
      </c>
      <c r="F3" s="35">
        <f>Инвестиции!$C$13</f>
        <v>40040</v>
      </c>
      <c r="G3" s="35">
        <f>Инвестиции!$C$13</f>
        <v>40040</v>
      </c>
      <c r="H3" s="35">
        <f>Инвестиции!$C$13</f>
        <v>40040</v>
      </c>
      <c r="I3" s="35">
        <f>Инвестиции!$C$13</f>
        <v>40040</v>
      </c>
      <c r="J3" s="35">
        <f>Инвестиции!$C$13</f>
        <v>40040</v>
      </c>
      <c r="K3" s="35">
        <f>Инвестиции!$C$13</f>
        <v>40040</v>
      </c>
      <c r="L3" s="35">
        <f>Инвестиции!$C$13</f>
        <v>40040</v>
      </c>
      <c r="M3" s="35">
        <f>Инвестиции!$C$13</f>
        <v>40040</v>
      </c>
      <c r="N3" s="35">
        <f>Инвестиции!$C$13</f>
        <v>40040</v>
      </c>
      <c r="O3" s="35">
        <f>Инвестиции!$C$13</f>
        <v>40040</v>
      </c>
      <c r="P3" s="35">
        <f>Инвестиции!$C$13</f>
        <v>40040</v>
      </c>
      <c r="Q3" s="35">
        <f>Инвестиции!$C$13</f>
        <v>40040</v>
      </c>
      <c r="R3" s="35">
        <f>Инвестиции!$C$13</f>
        <v>40040</v>
      </c>
      <c r="S3" s="35">
        <f>Инвестиции!$C$13</f>
        <v>40040</v>
      </c>
      <c r="T3" s="35">
        <f>Инвестиции!$C$13</f>
        <v>40040</v>
      </c>
      <c r="U3" s="35">
        <f>Инвестиции!$C$13</f>
        <v>40040</v>
      </c>
      <c r="V3" s="35">
        <f>Инвестиции!$C$13</f>
        <v>40040</v>
      </c>
      <c r="W3" s="35">
        <f>Инвестиции!$C$13</f>
        <v>40040</v>
      </c>
      <c r="X3" s="35">
        <f>Инвестиции!$C$13</f>
        <v>40040</v>
      </c>
      <c r="Y3" s="35">
        <f>Инвестиции!$C$13</f>
        <v>40040</v>
      </c>
    </row>
    <row r="4" spans="1:25" x14ac:dyDescent="0.25">
      <c r="A4" s="34" t="s">
        <v>107</v>
      </c>
      <c r="B4" s="35">
        <f>'Титульный лист'!$I$30</f>
        <v>10000</v>
      </c>
      <c r="C4" s="35">
        <f>'Титульный лист'!$I$30</f>
        <v>10000</v>
      </c>
      <c r="D4" s="35">
        <f>'Титульный лист'!$I$30</f>
        <v>10000</v>
      </c>
      <c r="E4" s="35">
        <f>'Титульный лист'!$I$30</f>
        <v>10000</v>
      </c>
      <c r="F4" s="35">
        <f>'Титульный лист'!$I$30</f>
        <v>10000</v>
      </c>
      <c r="G4" s="35">
        <f>'Титульный лист'!$I$30</f>
        <v>10000</v>
      </c>
      <c r="H4" s="35">
        <f>'Титульный лист'!$I$30</f>
        <v>10000</v>
      </c>
      <c r="I4" s="35">
        <f>'Титульный лист'!$I$30</f>
        <v>10000</v>
      </c>
      <c r="J4" s="35">
        <f>'Титульный лист'!$I$30</f>
        <v>10000</v>
      </c>
      <c r="K4" s="35">
        <f>'Титульный лист'!$I$30</f>
        <v>10000</v>
      </c>
      <c r="L4" s="35">
        <f>'Титульный лист'!$I$30</f>
        <v>10000</v>
      </c>
      <c r="M4" s="35">
        <f>'Титульный лист'!$I$30</f>
        <v>10000</v>
      </c>
      <c r="N4" s="35">
        <f>'Титульный лист'!$I$30</f>
        <v>10000</v>
      </c>
      <c r="O4" s="35">
        <f>'Титульный лист'!$I$30</f>
        <v>10000</v>
      </c>
      <c r="P4" s="35">
        <f>'Титульный лист'!$I$30</f>
        <v>10000</v>
      </c>
      <c r="Q4" s="35">
        <f>'Титульный лист'!$I$30</f>
        <v>10000</v>
      </c>
      <c r="R4" s="35">
        <f>'Титульный лист'!$I$30</f>
        <v>10000</v>
      </c>
      <c r="S4" s="35">
        <f>'Титульный лист'!$I$30</f>
        <v>10000</v>
      </c>
      <c r="T4" s="35">
        <f>'Титульный лист'!$I$30</f>
        <v>10000</v>
      </c>
      <c r="U4" s="35">
        <f>'Титульный лист'!$I$30</f>
        <v>10000</v>
      </c>
      <c r="V4" s="35">
        <f>'Титульный лист'!$I$30</f>
        <v>10000</v>
      </c>
      <c r="W4" s="35">
        <f>'Титульный лист'!$I$30</f>
        <v>10000</v>
      </c>
      <c r="X4" s="35">
        <f>'Титульный лист'!$I$30</f>
        <v>10000</v>
      </c>
      <c r="Y4" s="35">
        <f>'Титульный лист'!$I$30</f>
        <v>10000</v>
      </c>
    </row>
    <row r="5" spans="1:25" x14ac:dyDescent="0.25">
      <c r="A5" s="34" t="s">
        <v>106</v>
      </c>
      <c r="B5" s="35">
        <f>К!$F$38</f>
        <v>27222.222222222219</v>
      </c>
      <c r="C5" s="35">
        <f>К!$F$38</f>
        <v>27222.222222222219</v>
      </c>
      <c r="D5" s="35">
        <f>К!$F$38</f>
        <v>27222.222222222219</v>
      </c>
      <c r="E5" s="35">
        <f>К!$F$38</f>
        <v>27222.222222222219</v>
      </c>
      <c r="F5" s="35">
        <f>К!$F$38</f>
        <v>27222.222222222219</v>
      </c>
      <c r="G5" s="35">
        <f>К!$F$38</f>
        <v>27222.222222222219</v>
      </c>
      <c r="H5" s="35">
        <f>К!$F$38</f>
        <v>27222.222222222219</v>
      </c>
      <c r="I5" s="35">
        <f>К!$F$38</f>
        <v>27222.222222222219</v>
      </c>
      <c r="J5" s="35">
        <f>К!$F$38</f>
        <v>27222.222222222219</v>
      </c>
      <c r="K5" s="35">
        <f>К!$F$38</f>
        <v>27222.222222222219</v>
      </c>
      <c r="L5" s="35">
        <f>К!$F$38</f>
        <v>27222.222222222219</v>
      </c>
      <c r="M5" s="35">
        <f>К!$F$38</f>
        <v>27222.222222222219</v>
      </c>
      <c r="N5" s="35">
        <f>К!$F$38</f>
        <v>27222.222222222219</v>
      </c>
      <c r="O5" s="35">
        <f>К!$F$38</f>
        <v>27222.222222222219</v>
      </c>
      <c r="P5" s="35">
        <f>К!$F$38</f>
        <v>27222.222222222219</v>
      </c>
      <c r="Q5" s="35">
        <f>К!$F$38</f>
        <v>27222.222222222219</v>
      </c>
      <c r="R5" s="35">
        <f>К!$F$38</f>
        <v>27222.222222222219</v>
      </c>
      <c r="S5" s="35">
        <f>К!$F$38</f>
        <v>27222.222222222219</v>
      </c>
      <c r="T5" s="35">
        <f>К!$F$38</f>
        <v>27222.222222222219</v>
      </c>
      <c r="U5" s="35">
        <f>К!$F$38</f>
        <v>27222.222222222219</v>
      </c>
      <c r="V5" s="35">
        <f>К!$F$38</f>
        <v>27222.222222222219</v>
      </c>
      <c r="W5" s="35">
        <f>К!$F$38</f>
        <v>27222.222222222219</v>
      </c>
      <c r="X5" s="35">
        <f>К!$F$38</f>
        <v>27222.222222222219</v>
      </c>
      <c r="Y5" s="35">
        <f>К!$F$38</f>
        <v>27222.222222222219</v>
      </c>
    </row>
    <row r="6" spans="1:25" x14ac:dyDescent="0.25">
      <c r="A6" s="34" t="s">
        <v>117</v>
      </c>
      <c r="B6" s="35">
        <f>Продажи!C4*'Титульный лист'!$I$15+'Титульный лист'!$I$19*Продажи!C6</f>
        <v>484000</v>
      </c>
      <c r="C6" s="35">
        <f>Продажи!D4*'Титульный лист'!$I$15+'Титульный лист'!$I$19*Продажи!D6</f>
        <v>653400</v>
      </c>
      <c r="D6" s="35">
        <f>Продажи!E4*'Титульный лист'!$I$15+'Титульный лист'!$I$19*Продажи!E6</f>
        <v>871200.00000000023</v>
      </c>
      <c r="E6" s="35">
        <f>Продажи!F4*'Титульный лист'!$I$15+'Титульный лист'!$I$19*Продажи!F6</f>
        <v>980100</v>
      </c>
      <c r="F6" s="35">
        <f>Продажи!G4*'Титульный лист'!$I$15+'Титульный лист'!$I$19*Продажи!G6</f>
        <v>1210000</v>
      </c>
      <c r="G6" s="35">
        <f>Продажи!H4*'Титульный лист'!$I$15+'Титульный лист'!$I$19*Продажи!H6</f>
        <v>1210000</v>
      </c>
      <c r="H6" s="35">
        <f>Продажи!I4*'Титульный лист'!$I$15+'Титульный лист'!$I$19*Продажи!I6</f>
        <v>1331000.0000000002</v>
      </c>
      <c r="I6" s="35">
        <f>Продажи!J4*'Титульный лист'!$I$15+'Титульный лист'!$I$19*Продажи!J6</f>
        <v>1331000.0000000002</v>
      </c>
      <c r="J6" s="35">
        <f>Продажи!K4*'Титульный лист'!$I$15+'Титульный лист'!$I$19*Продажи!K6</f>
        <v>1089000</v>
      </c>
      <c r="K6" s="35">
        <f>Продажи!L4*'Титульный лист'!$I$15+'Титульный лист'!$I$19*Продажи!L6</f>
        <v>1331000.0000000002</v>
      </c>
      <c r="L6" s="35">
        <f>Продажи!M4*'Титульный лист'!$I$15+'Титульный лист'!$I$19*Продажи!M6</f>
        <v>1331000.0000000002</v>
      </c>
      <c r="M6" s="35">
        <f>Продажи!N4*'Титульный лист'!$I$15+'Титульный лист'!$I$19*Продажи!N6</f>
        <v>1210000</v>
      </c>
      <c r="N6" s="35">
        <f>Продажи!O4*'Титульный лист'!$I$15+'Титульный лист'!$I$19*Продажи!O6</f>
        <v>1210000</v>
      </c>
      <c r="O6" s="35">
        <f>Продажи!P4*'Титульный лист'!$I$15+'Титульный лист'!$I$19*Продажи!P6</f>
        <v>1089000</v>
      </c>
      <c r="P6" s="35">
        <f>Продажи!Q4*'Титульный лист'!$I$15+'Титульный лист'!$I$19*Продажи!Q6</f>
        <v>1089000</v>
      </c>
      <c r="Q6" s="35">
        <f>Продажи!R4*'Титульный лист'!$I$15+'Титульный лист'!$I$19*Продажи!R6</f>
        <v>1089000</v>
      </c>
      <c r="R6" s="35">
        <f>Продажи!S4*'Титульный лист'!$I$15+'Титульный лист'!$I$19*Продажи!S6</f>
        <v>1210000</v>
      </c>
      <c r="S6" s="35">
        <f>Продажи!T4*'Титульный лист'!$I$15+'Титульный лист'!$I$19*Продажи!T6</f>
        <v>1210000</v>
      </c>
      <c r="T6" s="35">
        <f>Продажи!U4*'Титульный лист'!$I$15+'Титульный лист'!$I$19*Продажи!U6</f>
        <v>1331000.0000000002</v>
      </c>
      <c r="U6" s="35">
        <f>Продажи!V4*'Титульный лист'!$I$15+'Титульный лист'!$I$19*Продажи!V6</f>
        <v>1331000.0000000002</v>
      </c>
      <c r="V6" s="35">
        <f>Продажи!W4*'Титульный лист'!$I$15+'Титульный лист'!$I$19*Продажи!W6</f>
        <v>1089000</v>
      </c>
      <c r="W6" s="35">
        <f>Продажи!X4*'Титульный лист'!$I$15+'Титульный лист'!$I$19*Продажи!X6</f>
        <v>1331000.0000000002</v>
      </c>
      <c r="X6" s="35">
        <f>Продажи!Y4*'Титульный лист'!$I$15+'Титульный лист'!$I$19*Продажи!Y6</f>
        <v>1331000.0000000002</v>
      </c>
      <c r="Y6" s="35">
        <f>Продажи!Z4*'Титульный лист'!$I$15+'Титульный лист'!$I$19*Продажи!Z6</f>
        <v>1210000</v>
      </c>
    </row>
    <row r="7" spans="1:25" x14ac:dyDescent="0.25">
      <c r="A7" s="34" t="s">
        <v>96</v>
      </c>
      <c r="B7" s="35">
        <f>'Титульный лист'!$I$29</f>
        <v>100000</v>
      </c>
      <c r="C7" s="35">
        <f>'Титульный лист'!$I$29</f>
        <v>100000</v>
      </c>
      <c r="D7" s="35">
        <f>'Титульный лист'!$I$29</f>
        <v>100000</v>
      </c>
      <c r="E7" s="35">
        <f>'Титульный лист'!$I$29</f>
        <v>100000</v>
      </c>
      <c r="F7" s="35">
        <f>'Титульный лист'!$I$29</f>
        <v>100000</v>
      </c>
      <c r="G7" s="35">
        <f>'Титульный лист'!$I$29</f>
        <v>100000</v>
      </c>
      <c r="H7" s="35">
        <f>'Титульный лист'!$I$29</f>
        <v>100000</v>
      </c>
      <c r="I7" s="35">
        <f>'Титульный лист'!$I$29</f>
        <v>100000</v>
      </c>
      <c r="J7" s="35">
        <f>'Титульный лист'!$I$29</f>
        <v>100000</v>
      </c>
      <c r="K7" s="35">
        <f>'Титульный лист'!$I$29</f>
        <v>100000</v>
      </c>
      <c r="L7" s="35">
        <f>'Титульный лист'!$I$29</f>
        <v>100000</v>
      </c>
      <c r="M7" s="35">
        <f>'Титульный лист'!$I$29</f>
        <v>100000</v>
      </c>
      <c r="N7" s="35">
        <f>'Титульный лист'!$I$29</f>
        <v>100000</v>
      </c>
      <c r="O7" s="35">
        <f>'Титульный лист'!$I$29</f>
        <v>100000</v>
      </c>
      <c r="P7" s="35">
        <f>'Титульный лист'!$I$29</f>
        <v>100000</v>
      </c>
      <c r="Q7" s="35">
        <f>'Титульный лист'!$I$29</f>
        <v>100000</v>
      </c>
      <c r="R7" s="35">
        <f>'Титульный лист'!$I$29</f>
        <v>100000</v>
      </c>
      <c r="S7" s="35">
        <f>'Титульный лист'!$I$29</f>
        <v>100000</v>
      </c>
      <c r="T7" s="35">
        <f>'Титульный лист'!$I$29</f>
        <v>100000</v>
      </c>
      <c r="U7" s="35">
        <f>'Титульный лист'!$I$29</f>
        <v>100000</v>
      </c>
      <c r="V7" s="35">
        <f>'Титульный лист'!$I$29</f>
        <v>100000</v>
      </c>
      <c r="W7" s="35">
        <f>'Титульный лист'!$I$29</f>
        <v>100000</v>
      </c>
      <c r="X7" s="35">
        <f>'Титульный лист'!$I$29</f>
        <v>100000</v>
      </c>
      <c r="Y7" s="35">
        <f>'Титульный лист'!$I$29</f>
        <v>100000</v>
      </c>
    </row>
    <row r="8" spans="1:25" ht="21.75" customHeight="1" x14ac:dyDescent="0.25">
      <c r="A8" s="34" t="s">
        <v>113</v>
      </c>
      <c r="B8" s="35">
        <f>'Титульный лист'!$I$32</f>
        <v>300000</v>
      </c>
      <c r="C8" s="35">
        <f>'Титульный лист'!$I$32</f>
        <v>300000</v>
      </c>
      <c r="D8" s="35">
        <f>'Титульный лист'!$I$32</f>
        <v>300000</v>
      </c>
      <c r="E8" s="35">
        <f>'Титульный лист'!$I$32</f>
        <v>300000</v>
      </c>
      <c r="F8" s="35">
        <f>'Титульный лист'!$I$32</f>
        <v>300000</v>
      </c>
      <c r="G8" s="35">
        <f>'Титульный лист'!$I$32</f>
        <v>300000</v>
      </c>
      <c r="H8" s="35">
        <f>'Титульный лист'!$I$32</f>
        <v>300000</v>
      </c>
      <c r="I8" s="35">
        <f>'Титульный лист'!$I$32</f>
        <v>300000</v>
      </c>
      <c r="J8" s="35">
        <f>'Титульный лист'!$I$32</f>
        <v>300000</v>
      </c>
      <c r="K8" s="35">
        <f>'Титульный лист'!$I$32</f>
        <v>300000</v>
      </c>
      <c r="L8" s="35">
        <f>'Титульный лист'!$I$32</f>
        <v>300000</v>
      </c>
      <c r="M8" s="35">
        <f>'Титульный лист'!$I$32</f>
        <v>300000</v>
      </c>
      <c r="N8" s="35">
        <f>'Титульный лист'!$I$32</f>
        <v>300000</v>
      </c>
      <c r="O8" s="35">
        <f>'Титульный лист'!$I$32</f>
        <v>300000</v>
      </c>
      <c r="P8" s="35">
        <f>'Титульный лист'!$I$32</f>
        <v>300000</v>
      </c>
      <c r="Q8" s="35">
        <f>'Титульный лист'!$I$32</f>
        <v>300000</v>
      </c>
      <c r="R8" s="35">
        <f>'Титульный лист'!$I$32</f>
        <v>300000</v>
      </c>
      <c r="S8" s="35">
        <f>'Титульный лист'!$I$32</f>
        <v>300000</v>
      </c>
      <c r="T8" s="35">
        <f>'Титульный лист'!$I$32</f>
        <v>300000</v>
      </c>
      <c r="U8" s="35">
        <f>'Титульный лист'!$I$32</f>
        <v>300000</v>
      </c>
      <c r="V8" s="35">
        <f>'Титульный лист'!$I$32</f>
        <v>300000</v>
      </c>
      <c r="W8" s="35">
        <f>'Титульный лист'!$I$32</f>
        <v>300000</v>
      </c>
      <c r="X8" s="35">
        <f>'Титульный лист'!$I$32</f>
        <v>300000</v>
      </c>
      <c r="Y8" s="35">
        <f>'Титульный лист'!$I$32</f>
        <v>300000</v>
      </c>
    </row>
    <row r="9" spans="1:25" x14ac:dyDescent="0.25">
      <c r="A9" s="34" t="s">
        <v>116</v>
      </c>
      <c r="B9" s="35">
        <f>'Титульный лист'!$I$31</f>
        <v>10000</v>
      </c>
      <c r="C9" s="35">
        <f>'Титульный лист'!$I$31</f>
        <v>10000</v>
      </c>
      <c r="D9" s="35">
        <f>'Титульный лист'!$I$31</f>
        <v>10000</v>
      </c>
      <c r="E9" s="35">
        <f>'Титульный лист'!$I$31</f>
        <v>10000</v>
      </c>
      <c r="F9" s="35">
        <f>'Титульный лист'!$I$31</f>
        <v>10000</v>
      </c>
      <c r="G9" s="35">
        <f>'Титульный лист'!$I$31</f>
        <v>10000</v>
      </c>
      <c r="H9" s="35">
        <f>'Титульный лист'!$I$31</f>
        <v>10000</v>
      </c>
      <c r="I9" s="35">
        <f>'Титульный лист'!$I$31</f>
        <v>10000</v>
      </c>
      <c r="J9" s="35">
        <f>'Титульный лист'!$I$31</f>
        <v>10000</v>
      </c>
      <c r="K9" s="35">
        <f>'Титульный лист'!$I$31</f>
        <v>10000</v>
      </c>
      <c r="L9" s="35">
        <f>'Титульный лист'!$I$31</f>
        <v>10000</v>
      </c>
      <c r="M9" s="35">
        <f>'Титульный лист'!$I$31</f>
        <v>10000</v>
      </c>
      <c r="N9" s="35">
        <f>'Титульный лист'!$I$31</f>
        <v>10000</v>
      </c>
      <c r="O9" s="35">
        <f>'Титульный лист'!$I$31</f>
        <v>10000</v>
      </c>
      <c r="P9" s="35">
        <f>'Титульный лист'!$I$31</f>
        <v>10000</v>
      </c>
      <c r="Q9" s="35">
        <f>'Титульный лист'!$I$31</f>
        <v>10000</v>
      </c>
      <c r="R9" s="35">
        <f>'Титульный лист'!$I$31</f>
        <v>10000</v>
      </c>
      <c r="S9" s="35">
        <f>'Титульный лист'!$I$31</f>
        <v>10000</v>
      </c>
      <c r="T9" s="35">
        <f>'Титульный лист'!$I$31</f>
        <v>10000</v>
      </c>
      <c r="U9" s="35">
        <f>'Титульный лист'!$I$31</f>
        <v>10000</v>
      </c>
      <c r="V9" s="35">
        <f>'Титульный лист'!$I$31</f>
        <v>10000</v>
      </c>
      <c r="W9" s="35">
        <f>'Титульный лист'!$I$31</f>
        <v>10000</v>
      </c>
      <c r="X9" s="35">
        <f>'Титульный лист'!$I$31</f>
        <v>10000</v>
      </c>
      <c r="Y9" s="35">
        <f>'Титульный лист'!$I$31</f>
        <v>10000</v>
      </c>
    </row>
    <row r="10" spans="1:25" x14ac:dyDescent="0.25">
      <c r="A10" s="36" t="s">
        <v>155</v>
      </c>
      <c r="B10" s="35">
        <f>ФОТ!$D$7</f>
        <v>320000</v>
      </c>
      <c r="C10" s="35">
        <f>ФОТ!$D$7</f>
        <v>320000</v>
      </c>
      <c r="D10" s="35">
        <f>ФОТ!$D$7</f>
        <v>320000</v>
      </c>
      <c r="E10" s="35">
        <f>ФОТ!$D$7</f>
        <v>320000</v>
      </c>
      <c r="F10" s="35">
        <f>ФОТ!$D$7</f>
        <v>320000</v>
      </c>
      <c r="G10" s="35">
        <f>ФОТ!$D$7</f>
        <v>320000</v>
      </c>
      <c r="H10" s="35">
        <f>ФОТ!$D$7</f>
        <v>320000</v>
      </c>
      <c r="I10" s="35">
        <f>ФОТ!$D$7</f>
        <v>320000</v>
      </c>
      <c r="J10" s="35">
        <f>ФОТ!$D$7</f>
        <v>320000</v>
      </c>
      <c r="K10" s="35">
        <f>ФОТ!$D$7</f>
        <v>320000</v>
      </c>
      <c r="L10" s="35">
        <f>ФОТ!$D$7</f>
        <v>320000</v>
      </c>
      <c r="M10" s="35">
        <f>ФОТ!$D$7</f>
        <v>320000</v>
      </c>
      <c r="N10" s="35">
        <f>ФОТ!$D$7</f>
        <v>320000</v>
      </c>
      <c r="O10" s="35">
        <f>ФОТ!$D$7</f>
        <v>320000</v>
      </c>
      <c r="P10" s="35">
        <f>ФОТ!$D$7</f>
        <v>320000</v>
      </c>
      <c r="Q10" s="35">
        <f>ФОТ!$D$7</f>
        <v>320000</v>
      </c>
      <c r="R10" s="35">
        <f>ФОТ!$D$7</f>
        <v>320000</v>
      </c>
      <c r="S10" s="35">
        <f>ФОТ!$D$7</f>
        <v>320000</v>
      </c>
      <c r="T10" s="35">
        <f>ФОТ!$D$7</f>
        <v>320000</v>
      </c>
      <c r="U10" s="35">
        <f>ФОТ!$D$7</f>
        <v>320000</v>
      </c>
      <c r="V10" s="35">
        <f>ФОТ!$D$7</f>
        <v>320000</v>
      </c>
      <c r="W10" s="35">
        <f>ФОТ!$D$7</f>
        <v>320000</v>
      </c>
      <c r="X10" s="35">
        <f>ФОТ!$D$7</f>
        <v>320000</v>
      </c>
      <c r="Y10" s="35">
        <f>ФОТ!$D$7</f>
        <v>320000</v>
      </c>
    </row>
    <row r="11" spans="1:25" s="63" customFormat="1" x14ac:dyDescent="0.3">
      <c r="A11" s="37" t="s">
        <v>14</v>
      </c>
      <c r="B11" s="60">
        <f>SUM(B3:B10)</f>
        <v>1291262.2222222222</v>
      </c>
      <c r="C11" s="60">
        <f t="shared" ref="C11:Y11" si="0">SUM(C3:C10)</f>
        <v>1460662.2222222222</v>
      </c>
      <c r="D11" s="60">
        <f t="shared" si="0"/>
        <v>1678462.2222222225</v>
      </c>
      <c r="E11" s="60">
        <f t="shared" si="0"/>
        <v>1787362.2222222222</v>
      </c>
      <c r="F11" s="60">
        <f t="shared" si="0"/>
        <v>2017262.2222222222</v>
      </c>
      <c r="G11" s="60">
        <f t="shared" si="0"/>
        <v>2017262.2222222222</v>
      </c>
      <c r="H11" s="60">
        <f t="shared" si="0"/>
        <v>2138262.2222222225</v>
      </c>
      <c r="I11" s="60">
        <f t="shared" si="0"/>
        <v>2138262.2222222225</v>
      </c>
      <c r="J11" s="60">
        <f t="shared" si="0"/>
        <v>1896262.2222222222</v>
      </c>
      <c r="K11" s="60">
        <f t="shared" si="0"/>
        <v>2138262.2222222225</v>
      </c>
      <c r="L11" s="60">
        <f t="shared" si="0"/>
        <v>2138262.2222222225</v>
      </c>
      <c r="M11" s="60">
        <f t="shared" si="0"/>
        <v>2017262.2222222222</v>
      </c>
      <c r="N11" s="60">
        <f t="shared" si="0"/>
        <v>2017262.2222222222</v>
      </c>
      <c r="O11" s="60">
        <f t="shared" si="0"/>
        <v>1896262.2222222222</v>
      </c>
      <c r="P11" s="60">
        <f t="shared" si="0"/>
        <v>1896262.2222222222</v>
      </c>
      <c r="Q11" s="60">
        <f t="shared" si="0"/>
        <v>1896262.2222222222</v>
      </c>
      <c r="R11" s="60">
        <f t="shared" si="0"/>
        <v>2017262.2222222222</v>
      </c>
      <c r="S11" s="60">
        <f t="shared" si="0"/>
        <v>2017262.2222222222</v>
      </c>
      <c r="T11" s="60">
        <f t="shared" si="0"/>
        <v>2138262.2222222225</v>
      </c>
      <c r="U11" s="60">
        <f t="shared" si="0"/>
        <v>2138262.2222222225</v>
      </c>
      <c r="V11" s="60">
        <f t="shared" si="0"/>
        <v>1896262.2222222222</v>
      </c>
      <c r="W11" s="60">
        <f t="shared" si="0"/>
        <v>2138262.2222222225</v>
      </c>
      <c r="X11" s="60">
        <f t="shared" si="0"/>
        <v>2138262.2222222225</v>
      </c>
      <c r="Y11" s="60">
        <f t="shared" si="0"/>
        <v>2017262.2222222222</v>
      </c>
    </row>
  </sheetData>
  <mergeCells count="2">
    <mergeCell ref="B1:Y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Z34"/>
  <sheetViews>
    <sheetView showGridLines="0" showZeros="0" topLeftCell="O2" zoomScaleNormal="100" workbookViewId="0">
      <selection activeCell="V10" sqref="V10"/>
    </sheetView>
  </sheetViews>
  <sheetFormatPr defaultRowHeight="18.75" x14ac:dyDescent="0.3"/>
  <cols>
    <col min="1" max="1" width="48.7109375" style="22" customWidth="1"/>
    <col min="2" max="2" width="15.5703125" style="7" customWidth="1"/>
    <col min="3" max="3" width="16" style="7" customWidth="1"/>
    <col min="4" max="4" width="16.140625" style="7" customWidth="1"/>
    <col min="5" max="5" width="15.85546875" style="7" customWidth="1"/>
    <col min="6" max="6" width="15.7109375" style="7" customWidth="1"/>
    <col min="7" max="7" width="16.28515625" style="7" customWidth="1"/>
    <col min="8" max="8" width="16.7109375" style="7" customWidth="1"/>
    <col min="9" max="9" width="18.140625" style="7" customWidth="1"/>
    <col min="10" max="10" width="17.140625" style="7" customWidth="1"/>
    <col min="11" max="11" width="15.85546875" style="7" customWidth="1"/>
    <col min="12" max="12" width="17.140625" style="7" bestFit="1" customWidth="1"/>
    <col min="13" max="13" width="15.5703125" style="7" customWidth="1"/>
    <col min="14" max="14" width="16.28515625" style="7" customWidth="1"/>
    <col min="15" max="15" width="15.7109375" style="7" customWidth="1"/>
    <col min="16" max="16" width="15.140625" style="7" customWidth="1"/>
    <col min="17" max="17" width="14.42578125" style="7" customWidth="1"/>
    <col min="18" max="18" width="16.5703125" style="7" customWidth="1"/>
    <col min="19" max="19" width="15.28515625" style="7" customWidth="1"/>
    <col min="20" max="20" width="17.140625" style="7" customWidth="1"/>
    <col min="21" max="25" width="14.42578125" style="7" customWidth="1"/>
  </cols>
  <sheetData>
    <row r="1" spans="1:26" x14ac:dyDescent="0.3">
      <c r="A1" s="104" t="s">
        <v>32</v>
      </c>
      <c r="B1" s="105" t="s">
        <v>46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6" x14ac:dyDescent="0.3">
      <c r="A2" s="104"/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33</v>
      </c>
      <c r="O2" s="38" t="s">
        <v>34</v>
      </c>
      <c r="P2" s="38" t="s">
        <v>35</v>
      </c>
      <c r="Q2" s="38" t="s">
        <v>36</v>
      </c>
      <c r="R2" s="38" t="s">
        <v>37</v>
      </c>
      <c r="S2" s="38" t="s">
        <v>38</v>
      </c>
      <c r="T2" s="38" t="s">
        <v>39</v>
      </c>
      <c r="U2" s="38" t="s">
        <v>40</v>
      </c>
      <c r="V2" s="38" t="s">
        <v>41</v>
      </c>
      <c r="W2" s="38" t="s">
        <v>42</v>
      </c>
      <c r="X2" s="38" t="s">
        <v>43</v>
      </c>
      <c r="Y2" s="38" t="s">
        <v>44</v>
      </c>
    </row>
    <row r="3" spans="1:26" x14ac:dyDescent="0.3">
      <c r="A3" s="39" t="s">
        <v>16</v>
      </c>
      <c r="B3" s="30">
        <f>Продажи!C8</f>
        <v>1216000</v>
      </c>
      <c r="C3" s="30">
        <f>Продажи!D8</f>
        <v>1641600</v>
      </c>
      <c r="D3" s="30">
        <f>Продажи!E8</f>
        <v>2188800.0000000005</v>
      </c>
      <c r="E3" s="30">
        <f>Продажи!F8</f>
        <v>2462400</v>
      </c>
      <c r="F3" s="30">
        <f>Продажи!G8</f>
        <v>3040000</v>
      </c>
      <c r="G3" s="30">
        <f>Продажи!H8</f>
        <v>3040000</v>
      </c>
      <c r="H3" s="30">
        <f>Продажи!I8</f>
        <v>3344000.0000000005</v>
      </c>
      <c r="I3" s="30">
        <f>Продажи!J8</f>
        <v>3344000.0000000005</v>
      </c>
      <c r="J3" s="30">
        <f>Продажи!K8</f>
        <v>2736000</v>
      </c>
      <c r="K3" s="30">
        <f>Продажи!L8</f>
        <v>3344000.0000000005</v>
      </c>
      <c r="L3" s="30">
        <f>Продажи!M8</f>
        <v>3344000.0000000005</v>
      </c>
      <c r="M3" s="30">
        <f>Продажи!N8</f>
        <v>3040000</v>
      </c>
      <c r="N3" s="30">
        <f>Продажи!O8</f>
        <v>3040000</v>
      </c>
      <c r="O3" s="30">
        <f>Продажи!P8</f>
        <v>2736000</v>
      </c>
      <c r="P3" s="30">
        <f>Продажи!Q8</f>
        <v>2736000</v>
      </c>
      <c r="Q3" s="30">
        <f>Продажи!R8</f>
        <v>2736000</v>
      </c>
      <c r="R3" s="30">
        <f>Продажи!S8</f>
        <v>3040000</v>
      </c>
      <c r="S3" s="30">
        <f>Продажи!T8</f>
        <v>3040000</v>
      </c>
      <c r="T3" s="30">
        <f>Продажи!U8</f>
        <v>3344000.0000000005</v>
      </c>
      <c r="U3" s="30">
        <f>Продажи!V8</f>
        <v>3344000.0000000005</v>
      </c>
      <c r="V3" s="30">
        <f>Продажи!W8</f>
        <v>2736000</v>
      </c>
      <c r="W3" s="30">
        <f>Продажи!X8</f>
        <v>3344000.0000000005</v>
      </c>
      <c r="X3" s="30">
        <f>Продажи!Y8</f>
        <v>3344000.0000000005</v>
      </c>
      <c r="Y3" s="30">
        <f>Продажи!Z8</f>
        <v>3040000</v>
      </c>
    </row>
    <row r="4" spans="1:26" x14ac:dyDescent="0.3">
      <c r="A4" s="39" t="s">
        <v>1</v>
      </c>
      <c r="B4" s="30">
        <f>Затраты!B11</f>
        <v>1291262.2222222222</v>
      </c>
      <c r="C4" s="30">
        <f>Затраты!C11</f>
        <v>1460662.2222222222</v>
      </c>
      <c r="D4" s="30">
        <f>Затраты!D11</f>
        <v>1678462.2222222225</v>
      </c>
      <c r="E4" s="30">
        <f>Затраты!E11</f>
        <v>1787362.2222222222</v>
      </c>
      <c r="F4" s="30">
        <f>Затраты!F11</f>
        <v>2017262.2222222222</v>
      </c>
      <c r="G4" s="30">
        <f>Затраты!G11</f>
        <v>2017262.2222222222</v>
      </c>
      <c r="H4" s="30">
        <f>Затраты!H11</f>
        <v>2138262.2222222225</v>
      </c>
      <c r="I4" s="30">
        <f>Затраты!I11</f>
        <v>2138262.2222222225</v>
      </c>
      <c r="J4" s="30">
        <f>Затраты!J11</f>
        <v>1896262.2222222222</v>
      </c>
      <c r="K4" s="30">
        <f>Затраты!K11</f>
        <v>2138262.2222222225</v>
      </c>
      <c r="L4" s="30">
        <f>Затраты!L11</f>
        <v>2138262.2222222225</v>
      </c>
      <c r="M4" s="30">
        <f>Затраты!M11</f>
        <v>2017262.2222222222</v>
      </c>
      <c r="N4" s="30">
        <f>Затраты!N11</f>
        <v>2017262.2222222222</v>
      </c>
      <c r="O4" s="30">
        <f>Затраты!O11</f>
        <v>1896262.2222222222</v>
      </c>
      <c r="P4" s="30">
        <f>Затраты!P11</f>
        <v>1896262.2222222222</v>
      </c>
      <c r="Q4" s="30">
        <f>Затраты!Q11</f>
        <v>1896262.2222222222</v>
      </c>
      <c r="R4" s="30">
        <f>Затраты!R11</f>
        <v>2017262.2222222222</v>
      </c>
      <c r="S4" s="30">
        <f>Затраты!S11</f>
        <v>2017262.2222222222</v>
      </c>
      <c r="T4" s="30">
        <f>Затраты!T11</f>
        <v>2138262.2222222225</v>
      </c>
      <c r="U4" s="30">
        <f>Затраты!U11</f>
        <v>2138262.2222222225</v>
      </c>
      <c r="V4" s="30">
        <f>Затраты!V11</f>
        <v>1896262.2222222222</v>
      </c>
      <c r="W4" s="30">
        <f>Затраты!W11</f>
        <v>2138262.2222222225</v>
      </c>
      <c r="X4" s="30">
        <f>Затраты!X11</f>
        <v>2138262.2222222225</v>
      </c>
      <c r="Y4" s="30">
        <f>Затраты!Y11</f>
        <v>2017262.2222222222</v>
      </c>
    </row>
    <row r="5" spans="1:26" x14ac:dyDescent="0.3">
      <c r="A5" s="39" t="s">
        <v>20</v>
      </c>
      <c r="B5" s="30">
        <f>B3-B4</f>
        <v>-75262.222222222248</v>
      </c>
      <c r="C5" s="30">
        <f t="shared" ref="C5:Y5" si="0">C3-C4</f>
        <v>180937.77777777775</v>
      </c>
      <c r="D5" s="30">
        <f t="shared" si="0"/>
        <v>510337.77777777798</v>
      </c>
      <c r="E5" s="30">
        <f t="shared" si="0"/>
        <v>675037.77777777775</v>
      </c>
      <c r="F5" s="30">
        <f t="shared" si="0"/>
        <v>1022737.7777777778</v>
      </c>
      <c r="G5" s="30">
        <f t="shared" si="0"/>
        <v>1022737.7777777778</v>
      </c>
      <c r="H5" s="30">
        <f t="shared" si="0"/>
        <v>1205737.777777778</v>
      </c>
      <c r="I5" s="30">
        <f t="shared" si="0"/>
        <v>1205737.777777778</v>
      </c>
      <c r="J5" s="30">
        <f t="shared" si="0"/>
        <v>839737.77777777775</v>
      </c>
      <c r="K5" s="30">
        <f t="shared" si="0"/>
        <v>1205737.777777778</v>
      </c>
      <c r="L5" s="30">
        <f t="shared" si="0"/>
        <v>1205737.777777778</v>
      </c>
      <c r="M5" s="30">
        <f t="shared" si="0"/>
        <v>1022737.7777777778</v>
      </c>
      <c r="N5" s="30">
        <f t="shared" si="0"/>
        <v>1022737.7777777778</v>
      </c>
      <c r="O5" s="30">
        <f t="shared" si="0"/>
        <v>839737.77777777775</v>
      </c>
      <c r="P5" s="30">
        <f t="shared" si="0"/>
        <v>839737.77777777775</v>
      </c>
      <c r="Q5" s="30">
        <f t="shared" si="0"/>
        <v>839737.77777777775</v>
      </c>
      <c r="R5" s="30">
        <f t="shared" si="0"/>
        <v>1022737.7777777778</v>
      </c>
      <c r="S5" s="30">
        <f t="shared" si="0"/>
        <v>1022737.7777777778</v>
      </c>
      <c r="T5" s="30">
        <f t="shared" si="0"/>
        <v>1205737.777777778</v>
      </c>
      <c r="U5" s="30">
        <f t="shared" si="0"/>
        <v>1205737.777777778</v>
      </c>
      <c r="V5" s="30">
        <f t="shared" si="0"/>
        <v>839737.77777777775</v>
      </c>
      <c r="W5" s="30">
        <f t="shared" si="0"/>
        <v>1205737.777777778</v>
      </c>
      <c r="X5" s="30">
        <f t="shared" si="0"/>
        <v>1205737.777777778</v>
      </c>
      <c r="Y5" s="30">
        <f t="shared" si="0"/>
        <v>1022737.7777777778</v>
      </c>
    </row>
    <row r="6" spans="1:26" x14ac:dyDescent="0.3">
      <c r="A6" s="39" t="s">
        <v>105</v>
      </c>
      <c r="B6" s="30">
        <f>B3*0.06</f>
        <v>72960</v>
      </c>
      <c r="C6" s="30">
        <f t="shared" ref="C6:Y6" si="1">C3*0.06</f>
        <v>98496</v>
      </c>
      <c r="D6" s="30">
        <f t="shared" si="1"/>
        <v>131328.00000000003</v>
      </c>
      <c r="E6" s="30">
        <f t="shared" si="1"/>
        <v>147744</v>
      </c>
      <c r="F6" s="30">
        <f t="shared" si="1"/>
        <v>182400</v>
      </c>
      <c r="G6" s="30">
        <f t="shared" si="1"/>
        <v>182400</v>
      </c>
      <c r="H6" s="30">
        <f t="shared" si="1"/>
        <v>200640.00000000003</v>
      </c>
      <c r="I6" s="30">
        <f t="shared" si="1"/>
        <v>200640.00000000003</v>
      </c>
      <c r="J6" s="30">
        <f t="shared" si="1"/>
        <v>164160</v>
      </c>
      <c r="K6" s="30">
        <f t="shared" si="1"/>
        <v>200640.00000000003</v>
      </c>
      <c r="L6" s="30">
        <f t="shared" si="1"/>
        <v>200640.00000000003</v>
      </c>
      <c r="M6" s="30">
        <f t="shared" si="1"/>
        <v>182400</v>
      </c>
      <c r="N6" s="30">
        <f t="shared" si="1"/>
        <v>182400</v>
      </c>
      <c r="O6" s="30">
        <f t="shared" si="1"/>
        <v>164160</v>
      </c>
      <c r="P6" s="30">
        <f t="shared" si="1"/>
        <v>164160</v>
      </c>
      <c r="Q6" s="30">
        <f t="shared" si="1"/>
        <v>164160</v>
      </c>
      <c r="R6" s="30">
        <f t="shared" si="1"/>
        <v>182400</v>
      </c>
      <c r="S6" s="30">
        <f t="shared" si="1"/>
        <v>182400</v>
      </c>
      <c r="T6" s="30">
        <f t="shared" si="1"/>
        <v>200640.00000000003</v>
      </c>
      <c r="U6" s="30">
        <f t="shared" si="1"/>
        <v>200640.00000000003</v>
      </c>
      <c r="V6" s="30">
        <f t="shared" si="1"/>
        <v>164160</v>
      </c>
      <c r="W6" s="30">
        <f t="shared" si="1"/>
        <v>200640.00000000003</v>
      </c>
      <c r="X6" s="30">
        <f t="shared" si="1"/>
        <v>200640.00000000003</v>
      </c>
      <c r="Y6" s="30">
        <f t="shared" si="1"/>
        <v>182400</v>
      </c>
    </row>
    <row r="7" spans="1:26" x14ac:dyDescent="0.3">
      <c r="A7" s="39" t="s">
        <v>19</v>
      </c>
      <c r="B7" s="30">
        <f>B5-B6</f>
        <v>-148222.22222222225</v>
      </c>
      <c r="C7" s="30">
        <f t="shared" ref="C7:Y7" si="2">C5-C6</f>
        <v>82441.777777777752</v>
      </c>
      <c r="D7" s="30">
        <f t="shared" si="2"/>
        <v>379009.77777777798</v>
      </c>
      <c r="E7" s="30">
        <f t="shared" si="2"/>
        <v>527293.77777777775</v>
      </c>
      <c r="F7" s="30">
        <f t="shared" si="2"/>
        <v>840337.77777777775</v>
      </c>
      <c r="G7" s="30">
        <f t="shared" si="2"/>
        <v>840337.77777777775</v>
      </c>
      <c r="H7" s="30">
        <f t="shared" si="2"/>
        <v>1005097.777777778</v>
      </c>
      <c r="I7" s="30">
        <f t="shared" si="2"/>
        <v>1005097.777777778</v>
      </c>
      <c r="J7" s="30">
        <f t="shared" si="2"/>
        <v>675577.77777777775</v>
      </c>
      <c r="K7" s="30">
        <f t="shared" si="2"/>
        <v>1005097.777777778</v>
      </c>
      <c r="L7" s="30">
        <f t="shared" si="2"/>
        <v>1005097.777777778</v>
      </c>
      <c r="M7" s="30">
        <f t="shared" si="2"/>
        <v>840337.77777777775</v>
      </c>
      <c r="N7" s="30">
        <f t="shared" si="2"/>
        <v>840337.77777777775</v>
      </c>
      <c r="O7" s="30">
        <f t="shared" si="2"/>
        <v>675577.77777777775</v>
      </c>
      <c r="P7" s="30">
        <f t="shared" si="2"/>
        <v>675577.77777777775</v>
      </c>
      <c r="Q7" s="30">
        <f t="shared" si="2"/>
        <v>675577.77777777775</v>
      </c>
      <c r="R7" s="30">
        <f t="shared" si="2"/>
        <v>840337.77777777775</v>
      </c>
      <c r="S7" s="30">
        <f t="shared" si="2"/>
        <v>840337.77777777775</v>
      </c>
      <c r="T7" s="30">
        <f t="shared" si="2"/>
        <v>1005097.777777778</v>
      </c>
      <c r="U7" s="30">
        <f t="shared" si="2"/>
        <v>1005097.777777778</v>
      </c>
      <c r="V7" s="30">
        <f t="shared" si="2"/>
        <v>675577.77777777775</v>
      </c>
      <c r="W7" s="30">
        <f t="shared" si="2"/>
        <v>1005097.777777778</v>
      </c>
      <c r="X7" s="30">
        <f t="shared" si="2"/>
        <v>1005097.777777778</v>
      </c>
      <c r="Y7" s="30">
        <f t="shared" si="2"/>
        <v>840337.77777777775</v>
      </c>
    </row>
    <row r="8" spans="1:26" x14ac:dyDescent="0.3">
      <c r="A8" s="40" t="s">
        <v>18</v>
      </c>
      <c r="B8" s="41">
        <f>B7</f>
        <v>-148222.22222222225</v>
      </c>
      <c r="C8" s="41">
        <f>B8+C7</f>
        <v>-65780.444444444496</v>
      </c>
      <c r="D8" s="41">
        <f>C8+D7</f>
        <v>313229.33333333349</v>
      </c>
      <c r="E8" s="41">
        <f t="shared" ref="E8:Y8" si="3">D8+E7</f>
        <v>840523.11111111124</v>
      </c>
      <c r="F8" s="41">
        <f>E8+F7</f>
        <v>1680860.888888889</v>
      </c>
      <c r="G8" s="41">
        <f t="shared" si="3"/>
        <v>2521198.666666667</v>
      </c>
      <c r="H8" s="41">
        <f t="shared" si="3"/>
        <v>3526296.444444445</v>
      </c>
      <c r="I8" s="41">
        <f t="shared" si="3"/>
        <v>4531394.2222222229</v>
      </c>
      <c r="J8" s="41">
        <f t="shared" si="3"/>
        <v>5206972.0000000009</v>
      </c>
      <c r="K8" s="41">
        <f t="shared" si="3"/>
        <v>6212069.7777777789</v>
      </c>
      <c r="L8" s="41">
        <f t="shared" si="3"/>
        <v>7217167.5555555569</v>
      </c>
      <c r="M8" s="41">
        <f t="shared" si="3"/>
        <v>8057505.3333333349</v>
      </c>
      <c r="N8" s="41">
        <f t="shared" si="3"/>
        <v>8897843.1111111119</v>
      </c>
      <c r="O8" s="41">
        <f t="shared" si="3"/>
        <v>9573420.8888888899</v>
      </c>
      <c r="P8" s="41">
        <f t="shared" si="3"/>
        <v>10248998.666666668</v>
      </c>
      <c r="Q8" s="41">
        <f t="shared" si="3"/>
        <v>10924576.444444446</v>
      </c>
      <c r="R8" s="41">
        <f t="shared" si="3"/>
        <v>11764914.222222224</v>
      </c>
      <c r="S8" s="41">
        <f t="shared" si="3"/>
        <v>12605252.000000002</v>
      </c>
      <c r="T8" s="41">
        <f t="shared" si="3"/>
        <v>13610349.77777778</v>
      </c>
      <c r="U8" s="41">
        <f t="shared" si="3"/>
        <v>14615447.555555558</v>
      </c>
      <c r="V8" s="41">
        <f t="shared" si="3"/>
        <v>15291025.333333336</v>
      </c>
      <c r="W8" s="41">
        <f t="shared" si="3"/>
        <v>16296123.111111114</v>
      </c>
      <c r="X8" s="41">
        <f t="shared" si="3"/>
        <v>17301220.888888892</v>
      </c>
      <c r="Y8" s="41">
        <f t="shared" si="3"/>
        <v>18141558.666666668</v>
      </c>
    </row>
    <row r="9" spans="1:26" x14ac:dyDescent="0.3">
      <c r="A9" s="39" t="s">
        <v>17</v>
      </c>
      <c r="B9" s="30">
        <f>-Инвестиции!C9+B7</f>
        <v>-15280222.222222222</v>
      </c>
      <c r="C9" s="30">
        <f t="shared" ref="C9:I9" si="4">B9+C7</f>
        <v>-15197780.444444444</v>
      </c>
      <c r="D9" s="30">
        <f t="shared" si="4"/>
        <v>-14818770.666666666</v>
      </c>
      <c r="E9" s="30">
        <f t="shared" si="4"/>
        <v>-14291476.888888888</v>
      </c>
      <c r="F9" s="30">
        <f t="shared" si="4"/>
        <v>-13451139.11111111</v>
      </c>
      <c r="G9" s="30">
        <f t="shared" si="4"/>
        <v>-12610801.333333332</v>
      </c>
      <c r="H9" s="30">
        <f t="shared" si="4"/>
        <v>-11605703.555555554</v>
      </c>
      <c r="I9" s="30">
        <f t="shared" si="4"/>
        <v>-10600605.777777776</v>
      </c>
      <c r="J9" s="30">
        <f t="shared" ref="J9:Y9" si="5">I9+J7</f>
        <v>-9925027.9999999981</v>
      </c>
      <c r="K9" s="30">
        <f>J9+K7</f>
        <v>-8919930.2222222202</v>
      </c>
      <c r="L9" s="30">
        <f t="shared" si="5"/>
        <v>-7914832.4444444422</v>
      </c>
      <c r="M9" s="30">
        <f t="shared" si="5"/>
        <v>-7074494.6666666642</v>
      </c>
      <c r="N9" s="30">
        <f>M9+N7</f>
        <v>-6234156.8888888862</v>
      </c>
      <c r="O9" s="30">
        <f t="shared" si="5"/>
        <v>-5558579.1111111082</v>
      </c>
      <c r="P9" s="30">
        <f t="shared" si="5"/>
        <v>-4883001.3333333302</v>
      </c>
      <c r="Q9" s="30">
        <f t="shared" si="5"/>
        <v>-4207423.5555555522</v>
      </c>
      <c r="R9" s="30">
        <f t="shared" si="5"/>
        <v>-3367085.7777777743</v>
      </c>
      <c r="S9" s="30">
        <f t="shared" si="5"/>
        <v>-2526747.9999999963</v>
      </c>
      <c r="T9" s="30">
        <f t="shared" si="5"/>
        <v>-1521650.2222222183</v>
      </c>
      <c r="U9" s="30">
        <f t="shared" si="5"/>
        <v>-516552.44444444031</v>
      </c>
      <c r="V9" s="30">
        <f t="shared" si="5"/>
        <v>159025.33333333745</v>
      </c>
      <c r="W9" s="30">
        <f t="shared" si="5"/>
        <v>1164123.1111111154</v>
      </c>
      <c r="X9" s="30">
        <f t="shared" si="5"/>
        <v>2169220.8888888936</v>
      </c>
      <c r="Y9" s="30">
        <f t="shared" si="5"/>
        <v>3009558.6666666716</v>
      </c>
    </row>
    <row r="10" spans="1:26" x14ac:dyDescent="0.3">
      <c r="A10" s="39" t="s">
        <v>47</v>
      </c>
      <c r="B10" s="30">
        <f t="shared" ref="B10:Y10" si="6">IF(B9&gt;0,IF(A9&lt;0,B2,),)</f>
        <v>0</v>
      </c>
      <c r="C10" s="30">
        <f t="shared" si="6"/>
        <v>0</v>
      </c>
      <c r="D10" s="30">
        <f t="shared" si="6"/>
        <v>0</v>
      </c>
      <c r="E10" s="30">
        <f t="shared" si="6"/>
        <v>0</v>
      </c>
      <c r="F10" s="30">
        <f t="shared" si="6"/>
        <v>0</v>
      </c>
      <c r="G10" s="30">
        <f t="shared" si="6"/>
        <v>0</v>
      </c>
      <c r="H10" s="30">
        <f t="shared" si="6"/>
        <v>0</v>
      </c>
      <c r="I10" s="30">
        <f t="shared" si="6"/>
        <v>0</v>
      </c>
      <c r="J10" s="30">
        <f t="shared" si="6"/>
        <v>0</v>
      </c>
      <c r="K10" s="30">
        <f t="shared" si="6"/>
        <v>0</v>
      </c>
      <c r="L10" s="30">
        <f t="shared" si="6"/>
        <v>0</v>
      </c>
      <c r="M10" s="30">
        <f t="shared" si="6"/>
        <v>0</v>
      </c>
      <c r="N10" s="30">
        <f t="shared" si="6"/>
        <v>0</v>
      </c>
      <c r="O10" s="30">
        <f t="shared" si="6"/>
        <v>0</v>
      </c>
      <c r="P10" s="30">
        <f t="shared" si="6"/>
        <v>0</v>
      </c>
      <c r="Q10" s="30">
        <f t="shared" si="6"/>
        <v>0</v>
      </c>
      <c r="R10" s="30">
        <f t="shared" si="6"/>
        <v>0</v>
      </c>
      <c r="S10" s="30">
        <f t="shared" si="6"/>
        <v>0</v>
      </c>
      <c r="T10" s="30">
        <f t="shared" si="6"/>
        <v>0</v>
      </c>
      <c r="U10" s="30">
        <f t="shared" si="6"/>
        <v>0</v>
      </c>
      <c r="V10" s="30" t="str">
        <f t="shared" si="6"/>
        <v>21 месяц</v>
      </c>
      <c r="W10" s="30">
        <f t="shared" si="6"/>
        <v>0</v>
      </c>
      <c r="X10" s="30">
        <f t="shared" si="6"/>
        <v>0</v>
      </c>
      <c r="Y10" s="30">
        <f t="shared" si="6"/>
        <v>0</v>
      </c>
    </row>
    <row r="11" spans="1:26" hidden="1" x14ac:dyDescent="0.3">
      <c r="B11" s="30">
        <f>IF(B12&gt;Инвестиции!$C$9,IF(A12&lt;Инвестиции!$C$9,B2,),)</f>
        <v>0</v>
      </c>
      <c r="C11" s="30">
        <f>IF(C12&gt;Инвестиции!$C$9,IF(B12&lt;Инвестиции!$C$9,C2,),)</f>
        <v>0</v>
      </c>
      <c r="D11" s="30">
        <f>IF(D12&gt;Инвестиции!$C$9,IF(C12&lt;Инвестиции!$C$9,D2,),)</f>
        <v>0</v>
      </c>
      <c r="E11" s="30">
        <f>IF(E12&gt;Инвестиции!$C$9,IF(D12&lt;Инвестиции!$C$9,E2,),)</f>
        <v>0</v>
      </c>
      <c r="F11" s="30">
        <f>IF(F12&gt;Инвестиции!$C$9,IF(E12&lt;Инвестиции!$C$9,F2,),)</f>
        <v>0</v>
      </c>
      <c r="G11" s="30">
        <f>IF(G12&gt;Инвестиции!$C$9,IF(F12&lt;Инвестиции!$C$9,G2,),)</f>
        <v>0</v>
      </c>
      <c r="H11" s="30">
        <f>IF(H12&gt;Инвестиции!$C$9,IF(G12&lt;Инвестиции!$C$9,H2,),)</f>
        <v>0</v>
      </c>
      <c r="I11" s="30">
        <f>IF(I12&gt;Инвестиции!$C$9,IF(H12&lt;Инвестиции!$C$9,I2,),)</f>
        <v>0</v>
      </c>
      <c r="J11" s="30">
        <f>IF(J12&gt;Инвестиции!$C$9,IF(I12&lt;Инвестиции!$C$9,J2,),)</f>
        <v>0</v>
      </c>
      <c r="K11" s="30">
        <f>IF(K12&gt;Инвестиции!$C$9,IF(J12&lt;Инвестиции!$C$9,K2,),)</f>
        <v>0</v>
      </c>
      <c r="L11" s="30">
        <f>IF(L12&gt;Инвестиции!$C$9,IF(K12&lt;Инвестиции!$C$9,L2,),)</f>
        <v>0</v>
      </c>
      <c r="M11" s="30">
        <f>IF(M12&gt;Инвестиции!$C$9,IF(L12&lt;Инвестиции!$C$9,M2,),)</f>
        <v>0</v>
      </c>
      <c r="N11" s="30">
        <f>IF(N12&gt;Инвестиции!$C$9,IF(M12&lt;Инвестиции!$C$9,N2,),)</f>
        <v>0</v>
      </c>
      <c r="O11" s="30">
        <f>IF(O12&gt;Инвестиции!$C$9,IF(N12&lt;Инвестиции!$C$9,O2,),)</f>
        <v>0</v>
      </c>
      <c r="P11" s="30">
        <f>IF(P12&gt;Инвестиции!$C$9,IF(O12&lt;Инвестиции!$C$9,P2,),)</f>
        <v>0</v>
      </c>
      <c r="Q11" s="30">
        <f>IF(Q12&gt;Инвестиции!$C$9,IF(P12&lt;Инвестиции!$C$9,Q2,),)</f>
        <v>0</v>
      </c>
      <c r="R11" s="30">
        <f>IF(R12&gt;Инвестиции!$C$9,IF(Q12&lt;Инвестиции!$C$9,R2,),)</f>
        <v>0</v>
      </c>
      <c r="S11" s="30">
        <f>IF(S12&gt;Инвестиции!$C$9,IF(R12&lt;Инвестиции!$C$9,S2,),)</f>
        <v>0</v>
      </c>
      <c r="T11" s="30">
        <f>IF(T12&gt;Инвестиции!$C$9,IF(S12&lt;Инвестиции!$C$9,T2,),)</f>
        <v>0</v>
      </c>
      <c r="U11" s="30">
        <f>IF(U12&gt;Инвестиции!$C$9,IF(T12&lt;Инвестиции!$C$9,U2,),)</f>
        <v>0</v>
      </c>
      <c r="V11" s="30">
        <f>IF(V12&gt;Инвестиции!$C$9,IF(U12&lt;Инвестиции!$C$9,V2,),)</f>
        <v>0</v>
      </c>
      <c r="W11" s="30">
        <f>IF(W12&gt;Инвестиции!$C$9,IF(V12&lt;Инвестиции!$C$9,W2,),)</f>
        <v>0</v>
      </c>
      <c r="X11" s="30">
        <f>IF(X12&gt;Инвестиции!$C$9,IF(W12&lt;Инвестиции!$C$9,X2,),)</f>
        <v>0</v>
      </c>
      <c r="Y11" s="30">
        <f>IF(Y12&gt;Инвестиции!$C$9,IF(X12&lt;Инвестиции!$C$9,Y2,),)</f>
        <v>0</v>
      </c>
    </row>
    <row r="12" spans="1:26" hidden="1" x14ac:dyDescent="0.3">
      <c r="B12" s="7">
        <f>B7/(1+0.01*'Экономические показатели'!$C$3)</f>
        <v>-126685.66001899338</v>
      </c>
      <c r="C12" s="7">
        <f>C7/(1+0.01*'Экономические показатели'!$C$3/12)^MATCH(C2,$B$2:$Y$2,0)+B12</f>
        <v>-46531.0170502049</v>
      </c>
      <c r="D12" s="7">
        <f>D7/(1+0.01*'Экономические показатели'!$C$3/12)^MATCH(D2,$B$2:$Y$2,0)+C12</f>
        <v>316816.68474602071</v>
      </c>
      <c r="E12" s="7">
        <f>E7/(1+0.01*'Экономические показатели'!$C$3/12)^MATCH(E2,$B$2:$Y$2,0)+D12</f>
        <v>815259.47421868832</v>
      </c>
      <c r="F12" s="7">
        <f>F7/(1+0.01*'Экономические показатели'!$C$3/12)^MATCH(F2,$B$2:$Y$2,0)+E12</f>
        <v>1598521.7803656454</v>
      </c>
      <c r="G12" s="7">
        <f>G7/(1+0.01*'Экономические показатели'!$C$3/12)^MATCH(G2,$B$2:$Y$2,0)+F12</f>
        <v>2370842.8710610839</v>
      </c>
      <c r="H12" s="7">
        <f>H7/(1+0.01*'Экономические показатели'!$C$3/12)^MATCH(H2,$B$2:$Y$2,0)+G12</f>
        <v>3281684.7436966212</v>
      </c>
      <c r="I12" s="7">
        <f>I7/(1+0.01*'Экономические показатели'!$C$3/12)^MATCH(I2,$B$2:$Y$2,0)+H12</f>
        <v>4179803.2705352777</v>
      </c>
      <c r="J12" s="7">
        <f>J7/(1+0.01*'Экономические показатели'!$C$3/12)^MATCH(J2,$B$2:$Y$2,0)+I12</f>
        <v>4775042.253482325</v>
      </c>
      <c r="K12" s="7">
        <f>K7/(1+0.01*'Экономические показатели'!$C$3/12)^MATCH(K2,$B$2:$Y$2,0)+J12</f>
        <v>5648244.794752745</v>
      </c>
      <c r="L12" s="7">
        <f>L7/(1+0.01*'Экономические показатели'!$C$3/12)^MATCH(L2,$B$2:$Y$2,0)+K12</f>
        <v>6509249.7656027898</v>
      </c>
      <c r="M12" s="7">
        <f>M7/(1+0.01*'Экономические показатели'!$C$3/12)^MATCH(M2,$B$2:$Y$2,0)+L12</f>
        <v>7219059.4194188379</v>
      </c>
      <c r="N12" s="7">
        <f>N7/(1+0.01*'Экономические показатели'!$C$3/12)^MATCH(N2,$B$2:$Y$2,0)+M12</f>
        <v>7918953.9014067249</v>
      </c>
      <c r="O12" s="7">
        <f>O7/(1+0.01*'Экономические показатели'!$C$3/12)^MATCH(O2,$B$2:$Y$2,0)+N12</f>
        <v>8473764.4440489765</v>
      </c>
      <c r="P12" s="7">
        <f>P7/(1+0.01*'Экономические показатели'!$C$3/12)^MATCH(P2,$B$2:$Y$2,0)+O12</f>
        <v>9020824.9626773279</v>
      </c>
      <c r="Q12" s="7">
        <f>Q7/(1+0.01*'Экономические показатели'!$C$3/12)^MATCH(Q2,$B$2:$Y$2,0)+P12</f>
        <v>9560243.7156387251</v>
      </c>
      <c r="R12" s="7">
        <f>R7/(1+0.01*'Экономические показатели'!$C$3/12)^MATCH(R2,$B$2:$Y$2,0)+Q12</f>
        <v>10221843.326028196</v>
      </c>
      <c r="S12" s="7">
        <f>S7/(1+0.01*'Экономические показатели'!$C$3/12)^MATCH(S2,$B$2:$Y$2,0)+R12</f>
        <v>10874201.199871553</v>
      </c>
      <c r="T12" s="7">
        <f>T7/(1+0.01*'Экономические показатели'!$C$3/12)^MATCH(T2,$B$2:$Y$2,0)+S12</f>
        <v>11643563.676953431</v>
      </c>
      <c r="U12" s="7">
        <f>U7/(1+0.01*'Экономические показатели'!$C$3/12)^MATCH(U2,$B$2:$Y$2,0)+T12</f>
        <v>12402179.102177963</v>
      </c>
      <c r="V12" s="7">
        <f>V7/(1+0.01*'Экономические показатели'!$C$3/12)^MATCH(V2,$B$2:$Y$2,0)+U12</f>
        <v>12904960.706904519</v>
      </c>
      <c r="W12" s="7">
        <f>W7/(1+0.01*'Экономические показатели'!$C$3/12)^MATCH(W2,$B$2:$Y$2,0)+V12</f>
        <v>13642530.300847439</v>
      </c>
      <c r="X12" s="7">
        <f>X7/(1+0.01*'Экономические показатели'!$C$3/12)^MATCH(X2,$B$2:$Y$2,0)+W12</f>
        <v>14369796.950585732</v>
      </c>
      <c r="Y12" s="7">
        <f>Y7/(1+0.01*'Экономические показатели'!$C$3/12)^MATCH(Y2,$B$2:$Y$2,0)+X12</f>
        <v>14969353.174254274</v>
      </c>
    </row>
    <row r="13" spans="1:26" hidden="1" x14ac:dyDescent="0.3">
      <c r="B13" s="7">
        <f>(B3-B4)/B4</f>
        <v>-5.8285777224008226E-2</v>
      </c>
      <c r="C13" s="7">
        <f t="shared" ref="C13:Y13" si="7">(C3-C4)/C4</f>
        <v>0.12387379849018251</v>
      </c>
      <c r="D13" s="7">
        <f t="shared" si="7"/>
        <v>0.30405079782022704</v>
      </c>
      <c r="E13" s="7">
        <f t="shared" si="7"/>
        <v>0.37767262247408656</v>
      </c>
      <c r="F13" s="7">
        <f t="shared" si="7"/>
        <v>0.50699297617893557</v>
      </c>
      <c r="G13" s="7">
        <f t="shared" si="7"/>
        <v>0.50699297617893557</v>
      </c>
      <c r="H13" s="7">
        <f t="shared" si="7"/>
        <v>0.56388676994194664</v>
      </c>
      <c r="I13" s="7">
        <f t="shared" si="7"/>
        <v>0.56388676994194664</v>
      </c>
      <c r="J13" s="7">
        <f t="shared" si="7"/>
        <v>0.44283842600296724</v>
      </c>
      <c r="K13" s="7">
        <f t="shared" si="7"/>
        <v>0.56388676994194664</v>
      </c>
      <c r="L13" s="7">
        <f t="shared" si="7"/>
        <v>0.56388676994194664</v>
      </c>
      <c r="M13" s="7">
        <f t="shared" si="7"/>
        <v>0.50699297617893557</v>
      </c>
      <c r="N13" s="7">
        <f t="shared" si="7"/>
        <v>0.50699297617893557</v>
      </c>
      <c r="O13" s="7">
        <f t="shared" si="7"/>
        <v>0.44283842600296724</v>
      </c>
      <c r="P13" s="7">
        <f t="shared" si="7"/>
        <v>0.44283842600296724</v>
      </c>
      <c r="Q13" s="7">
        <f t="shared" si="7"/>
        <v>0.44283842600296724</v>
      </c>
      <c r="R13" s="7">
        <f t="shared" si="7"/>
        <v>0.50699297617893557</v>
      </c>
      <c r="S13" s="7">
        <f t="shared" si="7"/>
        <v>0.50699297617893557</v>
      </c>
      <c r="T13" s="7">
        <f t="shared" si="7"/>
        <v>0.56388676994194664</v>
      </c>
      <c r="U13" s="7">
        <f t="shared" si="7"/>
        <v>0.56388676994194664</v>
      </c>
      <c r="V13" s="7">
        <f t="shared" si="7"/>
        <v>0.44283842600296724</v>
      </c>
      <c r="W13" s="7">
        <f t="shared" si="7"/>
        <v>0.56388676994194664</v>
      </c>
      <c r="X13" s="7">
        <f t="shared" si="7"/>
        <v>0.56388676994194664</v>
      </c>
      <c r="Y13" s="7">
        <f t="shared" si="7"/>
        <v>0.50699297617893557</v>
      </c>
      <c r="Z13" s="52">
        <f>AVERAGE(B13:Y13)</f>
        <v>0.45923119018181024</v>
      </c>
    </row>
    <row r="34" spans="2:25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</sheetData>
  <mergeCells count="2">
    <mergeCell ref="A1:A2"/>
    <mergeCell ref="B1:Y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B2:G23"/>
  <sheetViews>
    <sheetView showGridLines="0" zoomScaleNormal="100" workbookViewId="0">
      <selection activeCell="B2" sqref="B2"/>
    </sheetView>
  </sheetViews>
  <sheetFormatPr defaultRowHeight="18.75" x14ac:dyDescent="0.3"/>
  <cols>
    <col min="2" max="2" width="60" style="7" bestFit="1" customWidth="1"/>
    <col min="3" max="3" width="19.28515625" style="7" customWidth="1"/>
    <col min="4" max="4" width="23" customWidth="1"/>
    <col min="6" max="6" width="0" hidden="1" customWidth="1"/>
  </cols>
  <sheetData>
    <row r="2" spans="2:7" x14ac:dyDescent="0.25">
      <c r="B2" s="42" t="s">
        <v>24</v>
      </c>
      <c r="C2" s="43" t="s">
        <v>30</v>
      </c>
      <c r="F2" s="2"/>
    </row>
    <row r="3" spans="2:7" x14ac:dyDescent="0.25">
      <c r="B3" s="44" t="s">
        <v>25</v>
      </c>
      <c r="C3" s="51">
        <v>17</v>
      </c>
      <c r="F3" s="3"/>
    </row>
    <row r="4" spans="2:7" x14ac:dyDescent="0.25">
      <c r="B4" s="44" t="s">
        <v>26</v>
      </c>
      <c r="C4" s="45" t="e">
        <f>MATCH("месяц",'Расчет окупаемости'!B11:Y11,1)</f>
        <v>#N/A</v>
      </c>
      <c r="F4" s="4"/>
    </row>
    <row r="5" spans="2:7" x14ac:dyDescent="0.25">
      <c r="B5" s="44" t="s">
        <v>27</v>
      </c>
      <c r="C5" s="35">
        <f>C11+C20-Инвестиции!C9</f>
        <v>-878705.69557064958</v>
      </c>
      <c r="F5" s="5">
        <f>(SUM('Расчет окупаемости'!B7:M7)/1.1709)+(SUM('Расчет окупаемости'!N7:Y7)/(1.1709)^2)</f>
        <v>14236680.799662355</v>
      </c>
    </row>
    <row r="6" spans="2:7" x14ac:dyDescent="0.25">
      <c r="B6" s="44" t="s">
        <v>28</v>
      </c>
      <c r="C6" s="46">
        <f>C5/Инвестиции!C9+1</f>
        <v>0.94193063074473637</v>
      </c>
    </row>
    <row r="7" spans="2:7" x14ac:dyDescent="0.25">
      <c r="B7" s="44" t="s">
        <v>29</v>
      </c>
      <c r="C7" s="46">
        <f>IRR('Расчет окупаемости'!B7:Y7)*100</f>
        <v>160.09425189888216</v>
      </c>
    </row>
    <row r="8" spans="2:7" x14ac:dyDescent="0.25">
      <c r="B8" s="44" t="s">
        <v>108</v>
      </c>
      <c r="C8" s="53">
        <f>'Расчет окупаемости'!Z13</f>
        <v>0.45923119018181024</v>
      </c>
    </row>
    <row r="9" spans="2:7" x14ac:dyDescent="0.3">
      <c r="B9" s="47"/>
      <c r="C9" s="48"/>
    </row>
    <row r="10" spans="2:7" x14ac:dyDescent="0.3">
      <c r="B10" s="47"/>
      <c r="C10" s="48"/>
    </row>
    <row r="11" spans="2:7" x14ac:dyDescent="0.25">
      <c r="B11" s="49" t="s">
        <v>48</v>
      </c>
      <c r="C11" s="41">
        <f>(SUM('Расчет окупаемости'!B7:M7))/(1+C3*0.01)</f>
        <v>6886756.6951566972</v>
      </c>
      <c r="D11" s="1"/>
      <c r="G11" s="6"/>
    </row>
    <row r="12" spans="2:7" hidden="1" x14ac:dyDescent="0.25">
      <c r="B12" s="49" t="s">
        <v>49</v>
      </c>
      <c r="C12" s="41">
        <f>('Расчет окупаемости'!N7/(1+0.1709)^2)</f>
        <v>612934.79481533554</v>
      </c>
      <c r="E12">
        <v>1170566.1184863115</v>
      </c>
    </row>
    <row r="13" spans="2:7" hidden="1" x14ac:dyDescent="0.25">
      <c r="B13" s="49" t="s">
        <v>50</v>
      </c>
      <c r="C13" s="41">
        <f>('Расчет окупаемости'!O7/(1+0.1709)^2)</f>
        <v>492760.33703857218</v>
      </c>
    </row>
    <row r="14" spans="2:7" hidden="1" x14ac:dyDescent="0.25">
      <c r="B14" s="49" t="s">
        <v>51</v>
      </c>
      <c r="C14" s="41">
        <f>('Расчет окупаемости'!P7/(1+0.1709)^2)</f>
        <v>492760.33703857218</v>
      </c>
    </row>
    <row r="15" spans="2:7" hidden="1" x14ac:dyDescent="0.25">
      <c r="B15" s="49" t="s">
        <v>52</v>
      </c>
      <c r="C15" s="41">
        <f>('Расчет окупаемости'!Q7/(1+0.1709)^2)</f>
        <v>492760.33703857218</v>
      </c>
    </row>
    <row r="16" spans="2:7" hidden="1" x14ac:dyDescent="0.25">
      <c r="B16" s="49" t="s">
        <v>53</v>
      </c>
      <c r="C16" s="41">
        <f>('Расчет окупаемости'!R7/(1+0.1709)^2)</f>
        <v>612934.79481533554</v>
      </c>
    </row>
    <row r="17" spans="2:4" hidden="1" x14ac:dyDescent="0.25">
      <c r="B17" s="49" t="s">
        <v>54</v>
      </c>
      <c r="C17" s="41">
        <f>('Расчет окупаемости'!S7/(1+0.1709)^2)</f>
        <v>612934.79481533554</v>
      </c>
    </row>
    <row r="18" spans="2:4" hidden="1" x14ac:dyDescent="0.25">
      <c r="B18" s="49" t="s">
        <v>55</v>
      </c>
      <c r="C18" s="41">
        <f>('Расчет окупаемости'!T7/(1+0.1709)^2)</f>
        <v>733109.25259209902</v>
      </c>
    </row>
    <row r="19" spans="2:4" hidden="1" x14ac:dyDescent="0.25">
      <c r="B19" s="49" t="s">
        <v>56</v>
      </c>
      <c r="C19" s="41">
        <f>('Расчет окупаемости'!U7/(1+0.1709)^2)</f>
        <v>733109.25259209902</v>
      </c>
      <c r="D19" t="s">
        <v>57</v>
      </c>
    </row>
    <row r="20" spans="2:4" x14ac:dyDescent="0.25">
      <c r="B20" s="49" t="s">
        <v>58</v>
      </c>
      <c r="C20" s="41">
        <f>(SUM('Расчет окупаемости'!N7:Y7)/((1+0.01*C3)*(1+0.01*C3)))</f>
        <v>7366537.6092726532</v>
      </c>
    </row>
    <row r="21" spans="2:4" x14ac:dyDescent="0.3">
      <c r="B21" s="47"/>
      <c r="C21" s="50"/>
    </row>
    <row r="22" spans="2:4" x14ac:dyDescent="0.3">
      <c r="B22" s="49" t="s">
        <v>59</v>
      </c>
      <c r="C22" s="30">
        <f>SUM('Расчет окупаемости'!B7:M7)</f>
        <v>8057505.3333333349</v>
      </c>
    </row>
    <row r="23" spans="2:4" x14ac:dyDescent="0.3">
      <c r="B23" s="49" t="s">
        <v>60</v>
      </c>
      <c r="C23" s="30">
        <f>SUM('Расчет окупаемости'!N7:Y7)</f>
        <v>10084053.333333334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Титульный лист</vt:lpstr>
      <vt:lpstr>Оборудование</vt:lpstr>
      <vt:lpstr>Инвестиции</vt:lpstr>
      <vt:lpstr>Продажи</vt:lpstr>
      <vt:lpstr>ФОТ</vt:lpstr>
      <vt:lpstr>К</vt:lpstr>
      <vt:lpstr>Затраты</vt:lpstr>
      <vt:lpstr>Расчет окупаемости</vt:lpstr>
      <vt:lpstr>Экономические показатели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BeBoss</dc:creator>
  <cp:lastModifiedBy>Пользователь</cp:lastModifiedBy>
  <dcterms:created xsi:type="dcterms:W3CDTF">2018-05-28T14:28:27Z</dcterms:created>
  <dcterms:modified xsi:type="dcterms:W3CDTF">2025-05-30T09:15:44Z</dcterms:modified>
</cp:coreProperties>
</file>