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/Users/vryabov/Desktop/Домодедово финал /Итог/"/>
    </mc:Choice>
  </mc:AlternateContent>
  <xr:revisionPtr revIDLastSave="0" documentId="13_ncr:1_{C420ED10-D8C0-F643-9E08-8F1EED98D0D1}" xr6:coauthVersionLast="47" xr6:coauthVersionMax="47" xr10:uidLastSave="{00000000-0000-0000-0000-000000000000}"/>
  <bookViews>
    <workbookView xWindow="0" yWindow="780" windowWidth="34200" windowHeight="19820" xr2:uid="{00000000-000D-0000-FFFF-FFFF00000000}"/>
  </bookViews>
  <sheets>
    <sheet name="Калькулятор инвестора" sheetId="5" r:id="rId1"/>
    <sheet name="Домодедово Парк" sheetId="2" r:id="rId2"/>
    <sheet name="Sheet2" sheetId="4" state="hidden" r:id="rId3"/>
    <sheet name="Sheet1" sheetId="3" state="hidden" r:id="rId4"/>
  </sheets>
  <externalReferences>
    <externalReference r:id="rId5"/>
  </externalReferences>
  <definedNames>
    <definedName name="___________AD900001">#REF!</definedName>
    <definedName name="___________AD90001">#REF!</definedName>
    <definedName name="___________B900001">#REF!</definedName>
    <definedName name="___________B90001">#REF!</definedName>
    <definedName name="__________AD900001">#REF!</definedName>
    <definedName name="__________AD90001">#REF!</definedName>
    <definedName name="__________B900001">#REF!</definedName>
    <definedName name="__________B90001">#REF!</definedName>
    <definedName name="_________AD900001">#REF!</definedName>
    <definedName name="_________AD90001">#REF!</definedName>
    <definedName name="_________B900001">#REF!</definedName>
    <definedName name="_________B90001">#REF!</definedName>
    <definedName name="________AD900001">#REF!</definedName>
    <definedName name="________AD90001">#REF!</definedName>
    <definedName name="________B900001">#REF!</definedName>
    <definedName name="________B90001">#REF!</definedName>
    <definedName name="_______AD900001">#REF!</definedName>
    <definedName name="_______AD90001">#REF!</definedName>
    <definedName name="_______B900001">#REF!</definedName>
    <definedName name="_______B90001">#REF!</definedName>
    <definedName name="______AD900001">#REF!</definedName>
    <definedName name="______AD90001">#REF!</definedName>
    <definedName name="______B900001">#REF!</definedName>
    <definedName name="______B90001">#REF!</definedName>
    <definedName name="_____AD900001">#REF!</definedName>
    <definedName name="_____AD90001">#REF!</definedName>
    <definedName name="_____B900001">#REF!</definedName>
    <definedName name="_____B90001">#REF!</definedName>
    <definedName name="____AD900001">#REF!</definedName>
    <definedName name="____AD90001">#REF!</definedName>
    <definedName name="____B900001">#REF!</definedName>
    <definedName name="____B90001">#REF!</definedName>
    <definedName name="___AD900001">#REF!</definedName>
    <definedName name="___AD90001">#REF!</definedName>
    <definedName name="___B900001">#REF!</definedName>
    <definedName name="___B90001">#REF!</definedName>
    <definedName name="__AD900001">#REF!</definedName>
    <definedName name="__AD90001">#REF!</definedName>
    <definedName name="__B900001">#REF!</definedName>
    <definedName name="__B90001">#REF!</definedName>
    <definedName name="__DSCR">#REF!</definedName>
    <definedName name="__ESTATE">#REF!</definedName>
    <definedName name="_налог_на_имущество">#REF!</definedName>
    <definedName name="_налог_на_прибыль">#REF!</definedName>
    <definedName name="_ставка_аренды_">#REF!</definedName>
    <definedName name="_AD900001">#REF!</definedName>
    <definedName name="_AD90001">#REF!</definedName>
    <definedName name="_B900001">#REF!</definedName>
    <definedName name="_B90001">#REF!</definedName>
    <definedName name="_di2">#REF!</definedName>
    <definedName name="_j1">#REF!</definedName>
    <definedName name="_Order1" hidden="1">0</definedName>
    <definedName name="_RG1">#REF!</definedName>
    <definedName name="_RG2">#REF!</definedName>
    <definedName name="_RG3">#REF!</definedName>
    <definedName name="_RG4">#REF!</definedName>
    <definedName name="_RG5">#REF!</definedName>
    <definedName name="_RG6">#REF!</definedName>
    <definedName name="авы">#REF!</definedName>
    <definedName name="актуальность_БТИ">#REF!</definedName>
    <definedName name="актуальность_ЕГРП">#REF!</definedName>
    <definedName name="аморт.">#REF!</definedName>
    <definedName name="апартаменты">#REF!</definedName>
    <definedName name="апп">#REF!</definedName>
    <definedName name="ар">#REF!</definedName>
    <definedName name="ар_08">#REF!</definedName>
    <definedName name="ар_09">#REF!</definedName>
    <definedName name="ар_10">#REF!</definedName>
    <definedName name="ар_11">#REF!</definedName>
    <definedName name="ар_12">#REF!</definedName>
    <definedName name="ар_13">#REF!</definedName>
    <definedName name="ар_14">#REF!</definedName>
    <definedName name="ар_15">#REF!</definedName>
    <definedName name="ар_2008">#REF!</definedName>
    <definedName name="ар_2009">#REF!</definedName>
    <definedName name="ар_2010">#REF!</definedName>
    <definedName name="ар_2011">#REF!</definedName>
    <definedName name="ар_2012">#REF!</definedName>
    <definedName name="ар_2013">#REF!</definedName>
    <definedName name="ар_2014">#REF!</definedName>
    <definedName name="ар_2015">#REF!</definedName>
    <definedName name="ар_прощадь">#REF!</definedName>
    <definedName name="ар_ст">#REF!</definedName>
    <definedName name="ар_ставка_офис" hidden="1">{"Inflation-BaseYear",#N/A,FALSE,"Inputs"}</definedName>
    <definedName name="аренда">#REF!</definedName>
    <definedName name="аренда2">#REF!</definedName>
    <definedName name="Арендопригодная_площадь__кв.м.">#REF!</definedName>
    <definedName name="АрПлата">#REF!</definedName>
    <definedName name="арт">#REF!</definedName>
    <definedName name="ашан">#REF!</definedName>
    <definedName name="ашан2">#REF!</definedName>
    <definedName name="Бал">#REF!</definedName>
    <definedName name="бал_ст">#REF!</definedName>
    <definedName name="баланс_ст">#REF!</definedName>
    <definedName name="баланс_стоим_покупка">#REF!</definedName>
    <definedName name="БалКК">#REF!</definedName>
    <definedName name="Бренд_С">#REF!</definedName>
    <definedName name="Бытовые_помещения_Гипермаркета">#REF!</definedName>
    <definedName name="валют_изм">#REF!</definedName>
    <definedName name="Вид_залога_2">#REF!</definedName>
    <definedName name="вид_обеспечения">#REF!</definedName>
    <definedName name="возм_ндс">#REF!</definedName>
    <definedName name="вп">#REF!</definedName>
    <definedName name="впо">#REF!</definedName>
    <definedName name="время">#REF!</definedName>
    <definedName name="гал_эк">#REF!</definedName>
    <definedName name="гипермаркет">#REF!</definedName>
    <definedName name="год">#REF!</definedName>
    <definedName name="группа">#REF!</definedName>
    <definedName name="группа2">#REF!</definedName>
    <definedName name="д">#REF!</definedName>
    <definedName name="дис">#REF!</definedName>
    <definedName name="дис1">#REF!</definedName>
    <definedName name="дисконт">#REF!</definedName>
    <definedName name="дол">#REF!</definedName>
    <definedName name="дол1">#REF!</definedName>
    <definedName name="долл">#REF!</definedName>
    <definedName name="долл1">#REF!</definedName>
    <definedName name="Доллар">#REF!</definedName>
    <definedName name="дор">#REF!</definedName>
    <definedName name="дос">#REF!</definedName>
    <definedName name="дох">#REF!</definedName>
    <definedName name="е">#REF!</definedName>
    <definedName name="е1">#REF!</definedName>
    <definedName name="Е41">#REF!</definedName>
    <definedName name="евр">#REF!</definedName>
    <definedName name="евро">#REF!</definedName>
    <definedName name="ЕГИ">#REF!</definedName>
    <definedName name="еще">#REF!</definedName>
    <definedName name="Заемные_средсва">#REF!</definedName>
    <definedName name="затраты">#REF!</definedName>
    <definedName name="затраты_на_квадрат">#REF!</definedName>
    <definedName name="Затрнов">#REF!</definedName>
    <definedName name="значимость">#REF!</definedName>
    <definedName name="значимость2">#REF!</definedName>
    <definedName name="Зона_посадочных_мест_кафе">#REF!</definedName>
    <definedName name="измен_валют">#REF!</definedName>
    <definedName name="имущ">#REF!</definedName>
    <definedName name="Имя_Проекта">#REF!</definedName>
    <definedName name="Инвестиции">#REF!</definedName>
    <definedName name="Инвестиции_без_учета_продаж__в_т_.ч.">#REF!</definedName>
    <definedName name="Индекс_стоимости">#REF!</definedName>
    <definedName name="ИНН_З">#REF!</definedName>
    <definedName name="источник_стоимости">#REF!</definedName>
    <definedName name="источник_стоимости2">#REF!</definedName>
    <definedName name="к">#REF!</definedName>
    <definedName name="Категории">#REF!</definedName>
    <definedName name="категория_земель">#REF!</definedName>
    <definedName name="категория_земель2">#REF!</definedName>
    <definedName name="категория_обеспечения2">#REF!</definedName>
    <definedName name="квартиры_бизнес">#REF!</definedName>
    <definedName name="квартиры_премиум">#REF!</definedName>
    <definedName name="квартиы_бизнес">#REF!</definedName>
    <definedName name="ккк">#REF!</definedName>
    <definedName name="ком.рас">#REF!</definedName>
    <definedName name="ком.расх">#REF!</definedName>
    <definedName name="Контрагент">#REF!</definedName>
    <definedName name="Конференц_центр">#REF!</definedName>
    <definedName name="кор">#REF!</definedName>
    <definedName name="Коттеджи">#REF!</definedName>
    <definedName name="Кредит_инв">#REF!</definedName>
    <definedName name="Кредит_реф">#REF!</definedName>
    <definedName name="Кредит_Сбербанка">#REF!</definedName>
    <definedName name="кс80м">#REF!</definedName>
    <definedName name="КТП">#REF!</definedName>
    <definedName name="Курс">#REF!</definedName>
    <definedName name="Кухня_кафе">#REF!</definedName>
    <definedName name="лд">#REF!</definedName>
    <definedName name="Лечебный_центр">#REF!</definedName>
    <definedName name="ликвидность">#REF!</definedName>
    <definedName name="ликвидность2">#REF!</definedName>
    <definedName name="ллл">#REF!</definedName>
    <definedName name="лоир">#REF!</definedName>
    <definedName name="Мульт1">#REF!</definedName>
    <definedName name="Мульт2">#REF!</definedName>
    <definedName name="Н">#REF!</definedName>
    <definedName name="назначение_строний">#REF!</definedName>
    <definedName name="Наим_З">#REF!</definedName>
    <definedName name="нам">#REF!</definedName>
    <definedName name="ндс">#REF!</definedName>
    <definedName name="ндс_возмещ">#REF!</definedName>
    <definedName name="ни">#REF!</definedName>
    <definedName name="ниц">#REF!</definedName>
    <definedName name="нни">#REF!</definedName>
    <definedName name="ннти">#REF!</definedName>
    <definedName name="Норма_амортизации">#REF!</definedName>
    <definedName name="нп">#REF!</definedName>
    <definedName name="обременения">#REF!</definedName>
    <definedName name="Объекты">#REF!</definedName>
    <definedName name="осмотр">#REF!</definedName>
    <definedName name="Ост_стоимость">#REF!</definedName>
    <definedName name="ост.стоимость">#REF!</definedName>
    <definedName name="офисы_встр">#REF!</definedName>
    <definedName name="Очередь">#REF!</definedName>
    <definedName name="очередь1">#REF!</definedName>
    <definedName name="очередь2">#REF!</definedName>
    <definedName name="очередь3">#REF!</definedName>
    <definedName name="паркинг_жилой">#REF!</definedName>
    <definedName name="пентх_пл">#REF!</definedName>
    <definedName name="пентх_прод">#REF!</definedName>
    <definedName name="пентх_проц">#REF!</definedName>
    <definedName name="пентх_цена">#REF!</definedName>
    <definedName name="первыйпл">#REF!</definedName>
    <definedName name="Площадь">#REF!</definedName>
    <definedName name="площадь_Бриз">#REF!</definedName>
    <definedName name="Площадь_гипермаркета__кв.м.">#REF!</definedName>
    <definedName name="площадь_земли">#REF!</definedName>
    <definedName name="Площадь_продаваемой_якорю_выставки__кв.м.">#REF!</definedName>
    <definedName name="Площадь_С">#REF!</definedName>
    <definedName name="площадькв">#REF!</definedName>
    <definedName name="Подсобное_помещение">#REF!</definedName>
    <definedName name="Подсобное_помещение_20">#REF!</definedName>
    <definedName name="Подсобное_помещение_гипермаркета">#REF!</definedName>
    <definedName name="Подсобное_помещение20">#REF!</definedName>
    <definedName name="пол">#REF!</definedName>
    <definedName name="права_на_зу">#REF!</definedName>
    <definedName name="приб">#REF!</definedName>
    <definedName name="продажа">#REF!</definedName>
    <definedName name="продукт">#REF!</definedName>
    <definedName name="процент">#REF!</definedName>
    <definedName name="Процент_себестомость">#REF!</definedName>
    <definedName name="процент1">#REF!</definedName>
    <definedName name="процент2">#REF!</definedName>
    <definedName name="процент2006">#REF!</definedName>
    <definedName name="процент3">#REF!</definedName>
    <definedName name="процент4">#REF!</definedName>
    <definedName name="Процентная_ставка_">#REF!</definedName>
    <definedName name="Процентная_ставка_2">#REF!</definedName>
    <definedName name="Процентная_ставка_3">#REF!</definedName>
    <definedName name="проценты">#REF!</definedName>
    <definedName name="пя">#REF!</definedName>
    <definedName name="р">#REF!</definedName>
    <definedName name="р1">#REF!</definedName>
    <definedName name="р2">#REF!</definedName>
    <definedName name="р3">#REF!</definedName>
    <definedName name="Разгрузочная">#REF!</definedName>
    <definedName name="Расход1">#REF!</definedName>
    <definedName name="рез">#REF!</definedName>
    <definedName name="рок">#REF!</definedName>
    <definedName name="рост_паден">#REF!</definedName>
    <definedName name="Рыночный">#REF!</definedName>
    <definedName name="с">#REF!</definedName>
    <definedName name="с17">#REF!</definedName>
    <definedName name="Сбербанк">#REF!</definedName>
    <definedName name="св">#REF!</definedName>
    <definedName name="Сдаваемая_площадь">#REF!</definedName>
    <definedName name="ск4">#REF!</definedName>
    <definedName name="ск62">#REF!</definedName>
    <definedName name="ск79">#REF!</definedName>
    <definedName name="ск80б">#REF!</definedName>
    <definedName name="ск80к">#REF!</definedName>
    <definedName name="скид">#REF!</definedName>
    <definedName name="скпл">#REF!</definedName>
    <definedName name="смр">#REF!</definedName>
    <definedName name="сор">#REF!</definedName>
    <definedName name="ср1">#REF!</definedName>
    <definedName name="ср2">#REF!</definedName>
    <definedName name="ср3">#REF!</definedName>
    <definedName name="Средняя_ставка_аренды_за_1_кв.м__арендопригодной_площади____год_с_учетом_НДС_и_эксплуатационных_расходов">#REF!</definedName>
    <definedName name="срок">#REF!</definedName>
    <definedName name="ст1">#REF!</definedName>
    <definedName name="ст2">#REF!</definedName>
    <definedName name="ст3">#REF!</definedName>
    <definedName name="став_капитал">#REF!</definedName>
    <definedName name="став_кр">#REF!</definedName>
    <definedName name="став_реф">#REF!</definedName>
    <definedName name="став_рефен">#REF!</definedName>
    <definedName name="став_рефенанс">#REF!</definedName>
    <definedName name="ставка">#REF!</definedName>
    <definedName name="Ставка_1">#REF!</definedName>
    <definedName name="Ставка_2">#REF!</definedName>
    <definedName name="Ставка_3">#REF!</definedName>
    <definedName name="ставка_аренды">#REF!</definedName>
    <definedName name="Ставка_кредита">#REF!</definedName>
    <definedName name="Ставка_налога_на_имущество">#REF!</definedName>
    <definedName name="Ставка_налога_на_прибыль">#REF!</definedName>
    <definedName name="Ставка_НДС">#REF!</definedName>
    <definedName name="Ставка_по_кредиту">#REF!</definedName>
    <definedName name="Ставка_С">#REF!</definedName>
    <definedName name="Столовая_Гипермаркета">#REF!</definedName>
    <definedName name="страхование_наличие">#REF!</definedName>
    <definedName name="страхование_необходимость">#REF!</definedName>
    <definedName name="строительство">#REF!</definedName>
    <definedName name="сумма_аренды">#REF!</definedName>
    <definedName name="СуммаЗайма">#REF!</definedName>
    <definedName name="СуммаКредита">#REF!</definedName>
    <definedName name="сф3">#REF!</definedName>
    <definedName name="ся1">#REF!</definedName>
    <definedName name="ся2">#REF!</definedName>
    <definedName name="ся3">#REF!</definedName>
    <definedName name="т1">#REF!</definedName>
    <definedName name="т2">#REF!</definedName>
    <definedName name="т3">#REF!</definedName>
    <definedName name="ТГ">#REF!</definedName>
    <definedName name="тип_залога">#REF!+#REF!</definedName>
    <definedName name="тип_залога_Итог">#REF!</definedName>
    <definedName name="Тип_С">#REF!</definedName>
    <definedName name="торговля_встр">#REF!</definedName>
    <definedName name="торговля_встр_аренда">#REF!</definedName>
    <definedName name="ТЭН">#REF!</definedName>
    <definedName name="удор">#REF!</definedName>
    <definedName name="УearOpen">#REF!</definedName>
    <definedName name="ф3">#REF!</definedName>
    <definedName name="фаза">#REF!</definedName>
    <definedName name="х">#REF!</definedName>
    <definedName name="цель_рассмотрения">#REF!</definedName>
    <definedName name="Шаг">#REF!</definedName>
    <definedName name="щз">#REF!</definedName>
    <definedName name="ы">#REF!</definedName>
    <definedName name="экс_гип">#REF!</definedName>
    <definedName name="Экспл_якоря____кв.м._год">#REF!</definedName>
    <definedName name="экспл.расх">#REF!</definedName>
    <definedName name="Этаж_С">#REF!</definedName>
    <definedName name="эя">#REF!</definedName>
    <definedName name="я1">#REF!</definedName>
    <definedName name="я2">#REF!</definedName>
    <definedName name="я3">#REF!</definedName>
    <definedName name="як_эк">#REF!</definedName>
    <definedName name="як_эк2">#REF!</definedName>
    <definedName name="A_44">#REF!</definedName>
    <definedName name="a\\">100</definedName>
    <definedName name="About_AI">#REF!</definedName>
    <definedName name="About_AI_Summ">#REF!</definedName>
    <definedName name="adg">#REF!</definedName>
    <definedName name="adm_end_1">#REF!</definedName>
    <definedName name="adm_end_10">#REF!</definedName>
    <definedName name="adm_end_11">#REF!</definedName>
    <definedName name="adm_end_12">#REF!</definedName>
    <definedName name="adm_end_13">#REF!</definedName>
    <definedName name="adm_end_16">#REF!</definedName>
    <definedName name="adm_end_17">#REF!</definedName>
    <definedName name="adm_end_18">#REF!</definedName>
    <definedName name="adm_end_19">#REF!</definedName>
    <definedName name="adm_end_2">#REF!</definedName>
    <definedName name="adm_end_20">#REF!</definedName>
    <definedName name="adm_end_21">#REF!</definedName>
    <definedName name="adm_end_3">#REF!</definedName>
    <definedName name="adm_end_4">#REF!</definedName>
    <definedName name="adm_end_5">#REF!</definedName>
    <definedName name="adm_end_6">#REF!</definedName>
    <definedName name="adm_end_7">#REF!</definedName>
    <definedName name="adm_end_8">#REF!</definedName>
    <definedName name="adm_start_1">#REF!</definedName>
    <definedName name="adm_start_10">#REF!</definedName>
    <definedName name="adm_start_11">#REF!</definedName>
    <definedName name="adm_start_12">#REF!</definedName>
    <definedName name="adm_start_13">#REF!</definedName>
    <definedName name="adm_start_16">#REF!</definedName>
    <definedName name="adm_start_17">#REF!</definedName>
    <definedName name="adm_start_18">#REF!</definedName>
    <definedName name="adm_start_19">#REF!</definedName>
    <definedName name="adm_start_2">#REF!</definedName>
    <definedName name="adm_start_20">#REF!</definedName>
    <definedName name="adm_start_21">#REF!</definedName>
    <definedName name="adm_start_3">#REF!</definedName>
    <definedName name="adm_start_4">#REF!</definedName>
    <definedName name="adm_start_5">#REF!</definedName>
    <definedName name="adm_start_6">#REF!</definedName>
    <definedName name="adm_start_7">#REF!</definedName>
    <definedName name="adm_start_8">#REF!</definedName>
    <definedName name="AI_Version">#REF!</definedName>
    <definedName name="ann_rent">#REF!</definedName>
    <definedName name="Annual_interest_rate">#REF!</definedName>
    <definedName name="aq">#REF!</definedName>
    <definedName name="ARE">#REF!</definedName>
    <definedName name="area">#REF!</definedName>
    <definedName name="area_s">#REF!</definedName>
    <definedName name="aruanne">#REF!</definedName>
    <definedName name="asset_count_1">#REF!</definedName>
    <definedName name="asset_count_2">#REF!</definedName>
    <definedName name="asset_count_3">#REF!</definedName>
    <definedName name="assetvalue">#REF!</definedName>
    <definedName name="aver_rate_end">#REF!</definedName>
    <definedName name="aver_rate_start">#REF!</definedName>
    <definedName name="aver_ratej_end">#REF!</definedName>
    <definedName name="aver_ratej_start">#REF!</definedName>
    <definedName name="aver_ratemj_end">#REF!</definedName>
    <definedName name="aver_ratemj_start">#REF!</definedName>
    <definedName name="average_ticket" localSheetId="0">#REF!</definedName>
    <definedName name="average_ticket">#REF!</definedName>
    <definedName name="b10p1">#REF!</definedName>
    <definedName name="b10p2">#REF!</definedName>
    <definedName name="b4p1">#REF!</definedName>
    <definedName name="B4p2">#REF!</definedName>
    <definedName name="b5p1">#REF!</definedName>
    <definedName name="b5p2">#REF!</definedName>
    <definedName name="b6p1">#REF!</definedName>
    <definedName name="b6p2">#REF!</definedName>
    <definedName name="b7p1">#REF!</definedName>
    <definedName name="b7p2">#REF!</definedName>
    <definedName name="b8p1">#REF!</definedName>
    <definedName name="b8p2">#REF!</definedName>
    <definedName name="b9p1">#REF!</definedName>
    <definedName name="b9p2">#REF!</definedName>
    <definedName name="baj">#REF!</definedName>
    <definedName name="bal_first">#REF!</definedName>
    <definedName name="balance_type">1</definedName>
    <definedName name="BankPart">#REF!</definedName>
    <definedName name="BasePriceFall">#REF!</definedName>
    <definedName name="Beach_Income">#REF!</definedName>
    <definedName name="Beg.Bal">IF(#REF!&lt;&gt;"",#REF!,"")</definedName>
    <definedName name="BI">#REF!</definedName>
    <definedName name="bk_commercial">#REF!</definedName>
    <definedName name="bk_commercial_discounts">#REF!</definedName>
    <definedName name="bk_commercial_flats">#REF!</definedName>
    <definedName name="bk_commercial_invdeals">#REF!</definedName>
    <definedName name="bk_supply">#REF!</definedName>
    <definedName name="bk_supply_future">#REF!</definedName>
    <definedName name="bk_supply_pipeline">#REF!</definedName>
    <definedName name="bk_supply_progress">#REF!</definedName>
    <definedName name="bk_supply_start">#REF!</definedName>
    <definedName name="block1">#REF!</definedName>
    <definedName name="block10">#REF!</definedName>
    <definedName name="block11">#REF!</definedName>
    <definedName name="block12">#REF!</definedName>
    <definedName name="block13">#REF!</definedName>
    <definedName name="block14">#REF!</definedName>
    <definedName name="block15">#REF!</definedName>
    <definedName name="block16">#REF!</definedName>
    <definedName name="block17">#REF!</definedName>
    <definedName name="block18">#REF!</definedName>
    <definedName name="block19">#REF!</definedName>
    <definedName name="block2">#REF!</definedName>
    <definedName name="block20">#REF!</definedName>
    <definedName name="block21">#REF!</definedName>
    <definedName name="block22">#REF!</definedName>
    <definedName name="block23">#REF!</definedName>
    <definedName name="block24">#REF!</definedName>
    <definedName name="block25">#REF!</definedName>
    <definedName name="block26">#REF!</definedName>
    <definedName name="block27">#REF!</definedName>
    <definedName name="block28">#REF!</definedName>
    <definedName name="block29">#REF!</definedName>
    <definedName name="block3">#REF!</definedName>
    <definedName name="block30">#REF!</definedName>
    <definedName name="block31">#REF!</definedName>
    <definedName name="block32">#REF!</definedName>
    <definedName name="block33">#REF!</definedName>
    <definedName name="block34">#REF!</definedName>
    <definedName name="block35">#REF!</definedName>
    <definedName name="block36">#REF!</definedName>
    <definedName name="block37">#REF!</definedName>
    <definedName name="block38">#REF!</definedName>
    <definedName name="block39">#REF!</definedName>
    <definedName name="block4">#REF!</definedName>
    <definedName name="block40">#REF!</definedName>
    <definedName name="block41">#REF!</definedName>
    <definedName name="block42">#REF!</definedName>
    <definedName name="block43">#REF!</definedName>
    <definedName name="block44">#REF!</definedName>
    <definedName name="block45">#REF!</definedName>
    <definedName name="block46">#REF!</definedName>
    <definedName name="block47">#REF!</definedName>
    <definedName name="block48">#REF!</definedName>
    <definedName name="block49">#REF!</definedName>
    <definedName name="block5">#REF!</definedName>
    <definedName name="block50">#REF!</definedName>
    <definedName name="block51">#REF!</definedName>
    <definedName name="block52">#REF!</definedName>
    <definedName name="block53">#REF!</definedName>
    <definedName name="block54">#REF!</definedName>
    <definedName name="block55">#REF!</definedName>
    <definedName name="block56">#REF!</definedName>
    <definedName name="block57">#REF!</definedName>
    <definedName name="block58">#REF!</definedName>
    <definedName name="block59">#REF!</definedName>
    <definedName name="block6">#REF!</definedName>
    <definedName name="block60">#REF!</definedName>
    <definedName name="block61">#REF!</definedName>
    <definedName name="block62">#REF!</definedName>
    <definedName name="block63">#REF!</definedName>
    <definedName name="block64">#REF!</definedName>
    <definedName name="block65">#REF!</definedName>
    <definedName name="block66">#REF!</definedName>
    <definedName name="block67">#REF!</definedName>
    <definedName name="block68">#REF!</definedName>
    <definedName name="block69">#REF!</definedName>
    <definedName name="block7">#REF!</definedName>
    <definedName name="block70">#REF!</definedName>
    <definedName name="block8">#REF!</definedName>
    <definedName name="block9">#REF!</definedName>
    <definedName name="book_value">#REF!</definedName>
    <definedName name="bookmark1">#REF!</definedName>
    <definedName name="bookmark10">#REF!</definedName>
    <definedName name="bookmark11">#REF!</definedName>
    <definedName name="bookmark12">#REF!</definedName>
    <definedName name="bookmark13">#REF!</definedName>
    <definedName name="bookmark14">#REF!</definedName>
    <definedName name="bookmark15">#REF!</definedName>
    <definedName name="bookmark16">#REF!</definedName>
    <definedName name="bookmark17">#REF!</definedName>
    <definedName name="bookmark18">#REF!</definedName>
    <definedName name="bookmark19">#REF!</definedName>
    <definedName name="bookmark2">#REF!</definedName>
    <definedName name="bookmark20">#REF!</definedName>
    <definedName name="bookmark21">#REF!</definedName>
    <definedName name="bookmark3">#REF!</definedName>
    <definedName name="bookmark4">#REF!</definedName>
    <definedName name="bookmark5">#REF!</definedName>
    <definedName name="bookmark6">#REF!</definedName>
    <definedName name="bookmark7">#REF!</definedName>
    <definedName name="bookmark8">#REF!</definedName>
    <definedName name="bookmark9">#REF!</definedName>
    <definedName name="BR">#REF!</definedName>
    <definedName name="BUILDLING_R">#REF!</definedName>
    <definedName name="BUR">#REF!</definedName>
    <definedName name="BV">#REF!</definedName>
    <definedName name="CA">#REF!</definedName>
    <definedName name="calc">1</definedName>
    <definedName name="CalcMethod">#REF!</definedName>
    <definedName name="cap_rate" localSheetId="0">#REF!</definedName>
    <definedName name="cap_rate">#REF!</definedName>
    <definedName name="CASH">#REF!</definedName>
    <definedName name="Cash_At_End">#REF!</definedName>
    <definedName name="Cash_Flow">#REF!</definedName>
    <definedName name="CD">#REF!</definedName>
    <definedName name="CGS">#REF!</definedName>
    <definedName name="CHEC_end_1">#REF!</definedName>
    <definedName name="chec_end_2">#REF!</definedName>
    <definedName name="chec_end_3">#REF!</definedName>
    <definedName name="chec_end_4">#REF!</definedName>
    <definedName name="chek_end_1">#REF!</definedName>
    <definedName name="chek_end_10">#REF!</definedName>
    <definedName name="chek_end_11">#REF!</definedName>
    <definedName name="chek_end_13">#REF!</definedName>
    <definedName name="chek_end_14">#REF!</definedName>
    <definedName name="chek_end_2">#REF!</definedName>
    <definedName name="chek_end_20">#REF!</definedName>
    <definedName name="chek_end_3">#REF!</definedName>
    <definedName name="chek_end_5">#REF!</definedName>
    <definedName name="chek_end_7">#REF!</definedName>
    <definedName name="chek_end_8">#REF!</definedName>
    <definedName name="chek_end_9">#REF!</definedName>
    <definedName name="CHUK">#REF!</definedName>
    <definedName name="CIQWBGuid" hidden="1">"cbbf1435-9015-44fa-aa4b-7b5b54af4858"</definedName>
    <definedName name="circ">#REF!</definedName>
    <definedName name="Circular_switch">#REF!</definedName>
    <definedName name="city_n">#REF!</definedName>
    <definedName name="class_end_1">#REF!</definedName>
    <definedName name="class_end_10">#REF!</definedName>
    <definedName name="class_end_11">#REF!</definedName>
    <definedName name="class_end_12">#REF!</definedName>
    <definedName name="class_end_13">#REF!</definedName>
    <definedName name="class_end_14">#REF!</definedName>
    <definedName name="class_end_2">#REF!</definedName>
    <definedName name="class_end_3">#REF!</definedName>
    <definedName name="class_end_4">#REF!</definedName>
    <definedName name="class_end_5">#REF!</definedName>
    <definedName name="class_end_6">#REF!</definedName>
    <definedName name="class_end_7">#REF!</definedName>
    <definedName name="class_end_9">#REF!</definedName>
    <definedName name="class_start_1">#REF!</definedName>
    <definedName name="class_start_10">#REF!</definedName>
    <definedName name="class_start_11">#REF!</definedName>
    <definedName name="class_start_12">#REF!</definedName>
    <definedName name="class_start_13">#REF!</definedName>
    <definedName name="class_start_14">#REF!</definedName>
    <definedName name="class_start_2">#REF!</definedName>
    <definedName name="class_start_3">#REF!</definedName>
    <definedName name="class_start_4">#REF!</definedName>
    <definedName name="class_start_5">#REF!</definedName>
    <definedName name="class_start_6">#REF!</definedName>
    <definedName name="class_start_7">#REF!</definedName>
    <definedName name="class_start_9">#REF!</definedName>
    <definedName name="co">1</definedName>
    <definedName name="COMP_LAST_COLUMN">#REF!</definedName>
    <definedName name="constr">#REF!</definedName>
    <definedName name="constr_cost">#REF!</definedName>
    <definedName name="constr_materials_end">#REF!</definedName>
    <definedName name="constr_materials_start">#REF!</definedName>
    <definedName name="constr_psm">#REF!</definedName>
    <definedName name="CS">#REF!</definedName>
    <definedName name="CSV">#REF!</definedName>
    <definedName name="Cum.Interest">IF(#REF!&lt;&gt;"",#REF!+#REF!,"")</definedName>
    <definedName name="cur">#REF!</definedName>
    <definedName name="CUR_Foreign">#REF!</definedName>
    <definedName name="CUR_I_Foreign">#REF!</definedName>
    <definedName name="CUR_I_Main">#REF!</definedName>
    <definedName name="CUR_I_Report">#REF!</definedName>
    <definedName name="CUR_Main">#REF!</definedName>
    <definedName name="CUR_Report">#REF!</definedName>
    <definedName name="CURR_PROJECT">#REF!</definedName>
    <definedName name="CURR_REPORTING">#REF!</definedName>
    <definedName name="CURRENCY_R">#REF!</definedName>
    <definedName name="CURRENCY2">#REF!</definedName>
    <definedName name="CurrencyRate">#REF!</definedName>
    <definedName name="current_end">#REF!</definedName>
    <definedName name="current_g_end">#REF!</definedName>
    <definedName name="current_g_start">#REF!</definedName>
    <definedName name="current_start">#REF!</definedName>
    <definedName name="CurrRate">#REF!</definedName>
    <definedName name="D">#REF!</definedName>
    <definedName name="DATA_03" hidden="1">#REF!</definedName>
    <definedName name="DATA_05" hidden="1">#REF!</definedName>
    <definedName name="DATA_08" hidden="1">#REF!</definedName>
    <definedName name="DATE">#REF!</definedName>
    <definedName name="DATE_EXPIRE_R">#REF!</definedName>
    <definedName name="DATE_SIGN_R">#REF!</definedName>
    <definedName name="DATE_START_R">#REF!</definedName>
    <definedName name="dates" localSheetId="0">#REF!</definedName>
    <definedName name="dates">#REF!</definedName>
    <definedName name="daycount_val">#REF!</definedName>
    <definedName name="daycounts">#REF!</definedName>
    <definedName name="Days1styr">#REF!</definedName>
    <definedName name="DaysFirstYr">#REF!</definedName>
    <definedName name="Dayssubyears">#REF!</definedName>
    <definedName name="DaysSubYrs">#REF!</definedName>
    <definedName name="DaySubyRS">#REF!</definedName>
    <definedName name="DCS">#REF!</definedName>
    <definedName name="ddd">#REF!</definedName>
    <definedName name="deals_end">#REF!</definedName>
    <definedName name="deals_prev_end">#REF!</definedName>
    <definedName name="deals_prev_start">#REF!</definedName>
    <definedName name="deals_sale_end">#REF!</definedName>
    <definedName name="deals_sale_prev_end">#REF!</definedName>
    <definedName name="deals_sale_prev_start">#REF!</definedName>
    <definedName name="deals_sale_start">#REF!</definedName>
    <definedName name="deals_start">#REF!</definedName>
    <definedName name="definition">#REF!</definedName>
    <definedName name="DEPOSITS_R">#REF!</definedName>
    <definedName name="dev_end">#REF!</definedName>
    <definedName name="dev_start">#REF!</definedName>
    <definedName name="develop_ins_1_end">#REF!</definedName>
    <definedName name="develop_ins_1_start">#REF!</definedName>
    <definedName name="develop_ins_2_start">#REF!</definedName>
    <definedName name="develop_ins_end_1">#REF!</definedName>
    <definedName name="develop_ins_start_1">#REF!</definedName>
    <definedName name="di">#REF!</definedName>
    <definedName name="disc1">#REF!</definedName>
    <definedName name="disc2">#REF!</definedName>
    <definedName name="disc3">#REF!</definedName>
    <definedName name="discounts_end">#REF!</definedName>
    <definedName name="discounts_end2">#REF!</definedName>
    <definedName name="discounts_start">#REF!</definedName>
    <definedName name="dsask">#REF!</definedName>
    <definedName name="DV">#REF!</definedName>
    <definedName name="DySuYr">#REF!</definedName>
    <definedName name="ee">#REF!</definedName>
    <definedName name="eeee">#REF!</definedName>
    <definedName name="end">#REF!</definedName>
    <definedName name="end_adm">#REF!</definedName>
    <definedName name="end_metro">#REF!</definedName>
    <definedName name="end_obl">#REF!</definedName>
    <definedName name="end_trassa">#REF!</definedName>
    <definedName name="end_ulica">#REF!</definedName>
    <definedName name="end_zona">#REF!</definedName>
    <definedName name="Ending.Balance">IF(#REF!&lt;&gt;"",#REF!-#REF!,"")</definedName>
    <definedName name="EOQRates">#REF!</definedName>
    <definedName name="EPCS">#REF!</definedName>
    <definedName name="erof">100</definedName>
    <definedName name="EST_BALANCE">#REF!</definedName>
    <definedName name="EST_DATA">#REF!</definedName>
    <definedName name="EST_FROM">#REF!</definedName>
    <definedName name="EST_NumStages">#REF!</definedName>
    <definedName name="EST_Obj_1">#REF!</definedName>
    <definedName name="EST_Obj_10">#REF!</definedName>
    <definedName name="EST_Obj_2">#REF!</definedName>
    <definedName name="EST_Obj_3">#REF!</definedName>
    <definedName name="EST_Obj_4">#REF!</definedName>
    <definedName name="EST_Obj_5">#REF!</definedName>
    <definedName name="EST_Obj_6">#REF!</definedName>
    <definedName name="EST_Obj_7">#REF!</definedName>
    <definedName name="EST_Obj_8">#REF!</definedName>
    <definedName name="EST_Obj_9">#REF!</definedName>
    <definedName name="EST_ProdNum">#REF!</definedName>
    <definedName name="EST_SQUARE">#REF!</definedName>
    <definedName name="EUR">#REF!</definedName>
    <definedName name="Euribor">#REF!</definedName>
    <definedName name="Excel_BuiltIn_Print_Area_1">#REF!</definedName>
    <definedName name="Existing">#REF!</definedName>
    <definedName name="exit" localSheetId="1">'Домодедово Парк'!$A$1</definedName>
    <definedName name="exit" localSheetId="0">#REF!</definedName>
    <definedName name="exit">#REF!</definedName>
    <definedName name="Fair_Share">#REF!</definedName>
    <definedName name="Fall">#REF!</definedName>
    <definedName name="Fall1">#REF!</definedName>
    <definedName name="Fall2">#REF!</definedName>
    <definedName name="fdsfshsj">#REF!</definedName>
    <definedName name="February2003">#REF!</definedName>
    <definedName name="First_payment_due">#REF!</definedName>
    <definedName name="fixed_liq">#REF!</definedName>
    <definedName name="FLOORS_R">#REF!</definedName>
    <definedName name="forc_class_end_1">#REF!</definedName>
    <definedName name="forc_class_end_2">#REF!</definedName>
    <definedName name="forc_class_start_1">#REF!</definedName>
    <definedName name="forc_class_start_2">#REF!</definedName>
    <definedName name="FREQUENCY_R">#REF!</definedName>
    <definedName name="FrShr">#REF!</definedName>
    <definedName name="FY">1999</definedName>
    <definedName name="gexp_count_1">#REF!</definedName>
    <definedName name="gexp_count_2">#REF!</definedName>
    <definedName name="gexp_count_3">#REF!</definedName>
    <definedName name="gexp_count_4">#REF!</definedName>
    <definedName name="GHJIH">#REF!</definedName>
    <definedName name="h">#REF!</definedName>
    <definedName name="I">#REF!</definedName>
    <definedName name="Inflaton_rate">#REF!</definedName>
    <definedName name="Insurance_cost">#REF!</definedName>
    <definedName name="Insurance_rate">#REF!</definedName>
    <definedName name="INT">#REF!</definedName>
    <definedName name="int_first">#REF!</definedName>
    <definedName name="int_per_val">#REF!</definedName>
    <definedName name="Interest">#N/A</definedName>
    <definedName name="IntroPrintArea" hidden="1">#REF!</definedName>
    <definedName name="invest_deal_end">#REF!</definedName>
    <definedName name="invest_deal_prev_end">#REF!</definedName>
    <definedName name="invest_deal_prev_start">#REF!</definedName>
    <definedName name="invest_deal_star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43472.5939351852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_DEMO">#REF!</definedName>
    <definedName name="IS_ESTATE">#REF!</definedName>
    <definedName name="IS_NULL">#REF!</definedName>
    <definedName name="IS_PRIM">#REF!</definedName>
    <definedName name="IS_SUMM">#REF!</definedName>
    <definedName name="K">#REF!</definedName>
    <definedName name="L">#REF!</definedName>
    <definedName name="LANG">#REF!</definedName>
    <definedName name="LANGUAGE">#REF!</definedName>
    <definedName name="LAST_COLUMN">#REF!</definedName>
    <definedName name="LD">#REF!</definedName>
    <definedName name="lease_count">#REF!</definedName>
    <definedName name="LEASE_TERM_R">#REF!</definedName>
    <definedName name="Leasure">#REF!</definedName>
    <definedName name="letfees">#REF!</definedName>
    <definedName name="libor">#REF!</definedName>
    <definedName name="Lista">#REF!</definedName>
    <definedName name="ListForSensAnal">#REF!</definedName>
    <definedName name="loan_count">#REF!</definedName>
    <definedName name="loan_type_val">#REF!</definedName>
    <definedName name="loan_types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TCH">#REF!</definedName>
    <definedName name="LTG">#REF!</definedName>
    <definedName name="M">#REF!</definedName>
    <definedName name="marker">#REF!</definedName>
    <definedName name="marker_s">#REF!</definedName>
    <definedName name="Middle">#REF!</definedName>
    <definedName name="minimum">0.85</definedName>
    <definedName name="MktSctr1">#REF!,#REF!,#REF!,#REF!,#REF!</definedName>
    <definedName name="MktSctr10">#REF!,#REF!,#REF!,#REF!,#REF!</definedName>
    <definedName name="MktSctr11">#REF!,#REF!,#REF!,#REF!,#REF!</definedName>
    <definedName name="MktSctr2">#REF!,#REF!,#REF!,#REF!,#REF!</definedName>
    <definedName name="MktSctr3">#REF!,#REF!,#REF!,#REF!,#REF!</definedName>
    <definedName name="MktSctr4">#REF!,#REF!,#REF!,#REF!,#REF!</definedName>
    <definedName name="MktSctr5">#REF!,#REF!,#REF!,#REF!,#REF!</definedName>
    <definedName name="MktSctr6">#REF!,#REF!,#REF!,#REF!,#REF!</definedName>
    <definedName name="MktSctr7">#REF!,#REF!,#REF!,#REF!,#REF!</definedName>
    <definedName name="MktSctr8">#REF!,#REF!,#REF!,#REF!,#REF!</definedName>
    <definedName name="MktSctr9">#REF!,#REF!,#REF!,#REF!,#REF!</definedName>
    <definedName name="MM">#REF!</definedName>
    <definedName name="MPCS">#REF!</definedName>
    <definedName name="MS">#REF!</definedName>
    <definedName name="MthsFirstYr">#REF!</definedName>
    <definedName name="MthsSubYrs">#REF!</definedName>
    <definedName name="name">#REF!</definedName>
    <definedName name="NB">#REF!</definedName>
    <definedName name="NCS">#REF!</definedName>
    <definedName name="newopen_end">#REF!</definedName>
    <definedName name="newopen_start">#REF!</definedName>
    <definedName name="NOI_q2_2008">#REF!</definedName>
    <definedName name="NOI_q3_2008">#REF!</definedName>
    <definedName name="NoRooms">#REF!</definedName>
    <definedName name="NPS">#REF!</definedName>
    <definedName name="NPT">#REF!</definedName>
    <definedName name="NRA">#REF!</definedName>
    <definedName name="NRA_BOMA_R">#REF!</definedName>
    <definedName name="NS">#REF!</definedName>
    <definedName name="NWC_T_Cr_AdvK">#REF!</definedName>
    <definedName name="NWC_T_Cr_AdvT">#REF!</definedName>
    <definedName name="NWC_T_Cr_CrdK">#REF!</definedName>
    <definedName name="NWC_T_Cr_CrdT">#REF!</definedName>
    <definedName name="NWC_T_Cycle">#REF!</definedName>
    <definedName name="NWC_T_Db_AdvK">#REF!</definedName>
    <definedName name="NWC_T_Db_AdvT">#REF!</definedName>
    <definedName name="NWC_T_Db_CrdK">#REF!</definedName>
    <definedName name="NWC_T_Db_CrdT">#REF!</definedName>
    <definedName name="NWC_T_Goods">#REF!</definedName>
    <definedName name="NWC_T_Mat">#REF!</definedName>
    <definedName name="offer">1.15</definedName>
    <definedName name="OP">#REF!</definedName>
    <definedName name="Open_Year">#REF!</definedName>
    <definedName name="OthSctr1">#REF!</definedName>
    <definedName name="OthSctr2">#REF!</definedName>
    <definedName name="OthSctr3">#REF!</definedName>
    <definedName name="papuga">#REF!</definedName>
    <definedName name="payment.Num">#N/A</definedName>
    <definedName name="Payments_per_year">#REF!</definedName>
    <definedName name="per_in">CONCATENATE(IF(#REF!=2,"во ","в "),#REF!," кв. ",#REF!," г.")</definedName>
    <definedName name="period">12</definedName>
    <definedName name="Periodic_rate">Annual_interest_rate/Payments_per_year</definedName>
    <definedName name="periodicities">#REF!</definedName>
    <definedName name="PeriodLong">#REF!</definedName>
    <definedName name="PeriodTitle">#REF!</definedName>
    <definedName name="pers_count_1">#REF!</definedName>
    <definedName name="pers_count_2">#REF!</definedName>
    <definedName name="pers_count_3">#REF!</definedName>
    <definedName name="pers_count_4">#REF!</definedName>
    <definedName name="Phased">#REF!</definedName>
    <definedName name="PHOTOS_1">#N/A</definedName>
    <definedName name="PHOTOS_3">#N/A</definedName>
    <definedName name="pipeline_end">#REF!</definedName>
    <definedName name="pipeline_start">#REF!</definedName>
    <definedName name="Pmt_to_use">#REF!</definedName>
    <definedName name="PnLCurr">#REF!</definedName>
    <definedName name="PR">#REF!</definedName>
    <definedName name="pr_z1">#REF!</definedName>
    <definedName name="pr_z2">#REF!</definedName>
    <definedName name="pr_z3">#REF!</definedName>
    <definedName name="pr_z4">#REF!</definedName>
    <definedName name="prin_per_val">#REF!</definedName>
    <definedName name="Principal">IF(#REF!&lt;&gt;"",MIN(#REF!,Pmt_to_use-#REF!),"")</definedName>
    <definedName name="PRINT">#REF!</definedName>
    <definedName name="Print_Area_MI">#REF!</definedName>
    <definedName name="Print_Area_MI2">#REF!</definedName>
    <definedName name="Print_Titles_MI">#REF!</definedName>
    <definedName name="Print_Titles_MI2">#REF!</definedName>
    <definedName name="PRINTA">#REF!</definedName>
    <definedName name="printer">#REF!</definedName>
    <definedName name="PRJ_COUNT">#REF!</definedName>
    <definedName name="PRJ_Len">#REF!</definedName>
    <definedName name="PRJ_Protected">#REF!</definedName>
    <definedName name="PRJ_StartDate">#REF!</definedName>
    <definedName name="PRJ_StartMon">#REF!</definedName>
    <definedName name="PRJ_StartYear">#REF!</definedName>
    <definedName name="PRJ_Step">#REF!</definedName>
    <definedName name="PRJ_Step_SName">#REF!</definedName>
    <definedName name="PRJ_StepType">#REF!</definedName>
    <definedName name="prod_tbl_1">#REF!</definedName>
    <definedName name="prod_tbl_2">#REF!</definedName>
    <definedName name="prod_tbl_3">#REF!</definedName>
    <definedName name="prod_tbl_4">#REF!</definedName>
    <definedName name="prod_types">#REF!</definedName>
    <definedName name="ProdNum">#REF!</definedName>
    <definedName name="profile">#REF!</definedName>
    <definedName name="ProfitTax">#REF!</definedName>
    <definedName name="ProfitTax_Period">#REF!</definedName>
    <definedName name="Project">#REF!</definedName>
    <definedName name="PROJECTS">#REF!</definedName>
    <definedName name="PSBV">#REF!</definedName>
    <definedName name="PSI">#REF!</definedName>
    <definedName name="PSR">#REF!</definedName>
    <definedName name="PSV">#REF!</definedName>
    <definedName name="q" hidden="1">{"Inflation-BaseYear",#N/A,FALSE,"Inputs"}</definedName>
    <definedName name="q_begintext">#N/A</definedName>
    <definedName name="q_endtext">#N/A</definedName>
    <definedName name="q_nach">#N/A</definedName>
    <definedName name="q_text">#N/A</definedName>
    <definedName name="qe">#REF!</definedName>
    <definedName name="qqq" hidden="1">{"Output-3Column",#N/A,FALSE,"Output"}</definedName>
    <definedName name="qqqqqq" hidden="1">{"Output-BaseYear",#N/A,FALSE,"Output"}</definedName>
    <definedName name="qqqqqqq">#REF!</definedName>
    <definedName name="qwqwqwq">#REF!</definedName>
    <definedName name="raf">#REF!</definedName>
    <definedName name="rasr">#REF!</definedName>
    <definedName name="Rate">#REF!</definedName>
    <definedName name="RAUDJDACN">#REF!</definedName>
    <definedName name="re_value" localSheetId="0">#REF!</definedName>
    <definedName name="re_value">#REF!</definedName>
    <definedName name="RegNum">#REF!</definedName>
    <definedName name="RENT">#REF!</definedName>
    <definedName name="RENT_INDEXATION_R">#REF!</definedName>
    <definedName name="rent_prop_end">#REF!</definedName>
    <definedName name="rent_prop_start">#REF!</definedName>
    <definedName name="RENT_Y1_R">#REF!</definedName>
    <definedName name="RENTROLL">#REF!</definedName>
    <definedName name="RENTROLL2">#REF!</definedName>
    <definedName name="rep_type_val">#REF!</definedName>
    <definedName name="rep_types">#REF!</definedName>
    <definedName name="req_type">#REF!</definedName>
    <definedName name="Rest">#REF!</definedName>
    <definedName name="RNtWkDyUsed">#REF!</definedName>
    <definedName name="ro_date">#REF!</definedName>
    <definedName name="ro_prin">#REF!</definedName>
    <definedName name="round">1</definedName>
    <definedName name="S_CHARGE_R">#REF!</definedName>
    <definedName name="SAE">#REF!</definedName>
    <definedName name="sale_prop_end">#REF!</definedName>
    <definedName name="sale_prop_start">#REF!</definedName>
    <definedName name="sales" localSheetId="0">#REF!</definedName>
    <definedName name="sales">#REF!</definedName>
    <definedName name="sales_2" localSheetId="0">#REF!</definedName>
    <definedName name="sales_2">#REF!</definedName>
    <definedName name="SalesVelocity">#REF!</definedName>
    <definedName name="SameSSens">#REF!</definedName>
    <definedName name="SameSSn">#REF!</definedName>
    <definedName name="Samessns">#REF!</definedName>
    <definedName name="sc">#REF!</definedName>
    <definedName name="Scenarios">#REF!</definedName>
    <definedName name="SellShift">#REF!</definedName>
    <definedName name="sens" localSheetId="1">'Домодедово Парк'!#REF!</definedName>
    <definedName name="sens" localSheetId="0">#REF!</definedName>
    <definedName name="sens">#REF!</definedName>
    <definedName name="sens_factor" localSheetId="0">#REF!</definedName>
    <definedName name="sens_factor">'Домодедово Парк'!#REF!</definedName>
    <definedName name="SENS_Parameter">#REF!</definedName>
    <definedName name="SENS_Project">#REF!</definedName>
    <definedName name="SENS_Res1">#REF!</definedName>
    <definedName name="SENS_Res2">#REF!</definedName>
    <definedName name="SensForSumm">#REF!</definedName>
    <definedName name="Sep_00">#REF!</definedName>
    <definedName name="services" localSheetId="0">#REF!</definedName>
    <definedName name="services">#REF!</definedName>
    <definedName name="share_of_district" localSheetId="0">#REF!</definedName>
    <definedName name="share_of_district">#REF!</definedName>
    <definedName name="Shops">#REF!</definedName>
    <definedName name="Show.Date">IF(#REF!&lt;&gt;"",DATE(YEAR(First_payment_due),MONTH(First_payment_due)+(#REF!-1)*12/Payments_per_year,DAY(First_payment_due)),"")</definedName>
    <definedName name="ShowAbout">#REF!</definedName>
    <definedName name="ShowRealDates">#REF!</definedName>
    <definedName name="smooth_ro_val">#REF!</definedName>
    <definedName name="spec_fin">#REF!</definedName>
    <definedName name="spros_1_end">#REF!</definedName>
    <definedName name="spros_1_start">#REF!</definedName>
    <definedName name="spros_2_end">#REF!</definedName>
    <definedName name="spros_2_start">#REF!</definedName>
    <definedName name="SSS">#REF!</definedName>
    <definedName name="StabУr">#REF!</definedName>
    <definedName name="sTABYEAR">#REF!</definedName>
    <definedName name="StabYr">#REF!</definedName>
    <definedName name="start">#REF!</definedName>
    <definedName name="start_adm">#REF!</definedName>
    <definedName name="start_metro">#REF!</definedName>
    <definedName name="start_obl">#REF!</definedName>
    <definedName name="start_trassa">#REF!</definedName>
    <definedName name="start_ulica">#REF!</definedName>
    <definedName name="start_zona">#REF!</definedName>
    <definedName name="stoim_gar">#REF!</definedName>
    <definedName name="stoim_gar1">#REF!</definedName>
    <definedName name="str_end_1">#REF!</definedName>
    <definedName name="str_end_11">#REF!</definedName>
    <definedName name="str_end_12">#REF!</definedName>
    <definedName name="str_end_13">#REF!</definedName>
    <definedName name="str_end_14">#REF!</definedName>
    <definedName name="str_end_16">#REF!</definedName>
    <definedName name="str_end_17">#REF!</definedName>
    <definedName name="str_end_18">#REF!</definedName>
    <definedName name="str_end_19">#REF!</definedName>
    <definedName name="str_end_2">#REF!</definedName>
    <definedName name="str_end_20">#REF!</definedName>
    <definedName name="str_end_21">#REF!</definedName>
    <definedName name="str_end_3">#REF!</definedName>
    <definedName name="str_end_4">#REF!</definedName>
    <definedName name="str_end_5">#REF!</definedName>
    <definedName name="str_end_6">#REF!</definedName>
    <definedName name="str_end_7">#REF!</definedName>
    <definedName name="str_end_8">#REF!</definedName>
    <definedName name="str_end_9">#REF!</definedName>
    <definedName name="str_start_1">#REF!</definedName>
    <definedName name="str_start_11">#REF!</definedName>
    <definedName name="str_start_12">#REF!</definedName>
    <definedName name="str_start_13">#REF!</definedName>
    <definedName name="str_start_14">#REF!</definedName>
    <definedName name="str_start_16">#REF!</definedName>
    <definedName name="str_start_17">#REF!</definedName>
    <definedName name="str_start_18">#REF!</definedName>
    <definedName name="str_start_19">#REF!</definedName>
    <definedName name="str_start_2">#REF!</definedName>
    <definedName name="str_start_20">#REF!</definedName>
    <definedName name="str_start_21">#REF!</definedName>
    <definedName name="str_start_3">#REF!</definedName>
    <definedName name="str_start_4">#REF!</definedName>
    <definedName name="str_start_5">#REF!</definedName>
    <definedName name="str_start_6">#REF!</definedName>
    <definedName name="str_start_7">#REF!</definedName>
    <definedName name="str_start_8">#REF!</definedName>
    <definedName name="str_start_9">#REF!</definedName>
    <definedName name="SUMM_LAST_COLUMN">#REF!</definedName>
    <definedName name="SUMM_PrjList">#REF!</definedName>
    <definedName name="support">#REF!</definedName>
    <definedName name="TA">#REF!</definedName>
    <definedName name="TAX_VAT">#REF!</definedName>
    <definedName name="TD">#REF!</definedName>
    <definedName name="tech">#REF!</definedName>
    <definedName name="TENANT_NAME_R">#REF!</definedName>
    <definedName name="Term_in_years">#REF!</definedName>
    <definedName name="Terrace">#REF!</definedName>
    <definedName name="th">#REF!</definedName>
    <definedName name="TOPBORD">#REF!</definedName>
    <definedName name="TOPBORD2">#REF!</definedName>
    <definedName name="Tot">#REF!</definedName>
    <definedName name="total">#REF!</definedName>
    <definedName name="Total_payments">Payments_per_year*Term_in_years</definedName>
    <definedName name="TotCunstr">#REF!</definedName>
    <definedName name="toy">1995</definedName>
    <definedName name="TransRates">#REF!</definedName>
    <definedName name="typ_discount_end">#REF!</definedName>
    <definedName name="typ_discount_start">#REF!</definedName>
    <definedName name="ulica_end_1">#REF!</definedName>
    <definedName name="ulica_end_2">#REF!</definedName>
    <definedName name="ulica_end_3">#REF!</definedName>
    <definedName name="ulica_end_4">#REF!</definedName>
    <definedName name="ulica_start_1">#REF!</definedName>
    <definedName name="ulica_start_2">#REF!</definedName>
    <definedName name="ulica_start_3">#REF!</definedName>
    <definedName name="ulica_start_4">#REF!</definedName>
    <definedName name="unit">#REF!</definedName>
    <definedName name="unit_s">#REF!</definedName>
    <definedName name="usd">#REF!</definedName>
    <definedName name="UserName">#REF!</definedName>
    <definedName name="vacancyst">#REF!</definedName>
    <definedName name="value">3</definedName>
    <definedName name="vat">#REF!</definedName>
    <definedName name="VAT_OnAssets">#REF!</definedName>
    <definedName name="VAT_Period">#REF!</definedName>
    <definedName name="VAT_Repay">#REF!</definedName>
    <definedName name="VATABLE_R">#REF!</definedName>
    <definedName name="Ver_BuildDate">#REF!</definedName>
    <definedName name="Ver_ChangeDate">#REF!</definedName>
    <definedName name="versionno">1</definedName>
    <definedName name="VIP_охрана">#REF!</definedName>
    <definedName name="vybor">#REF!</definedName>
    <definedName name="Weeks1styr">#REF!</definedName>
    <definedName name="Weekssubyr">#REF!</definedName>
    <definedName name="WeeksSubYrs">#REF!</definedName>
    <definedName name="WksFirstYr">#REF!</definedName>
    <definedName name="WksSubYrs">#REF!</definedName>
    <definedName name="wqqwqqwq">#REF!</definedName>
    <definedName name="wrn.Inputs." hidden="1">{"Inflation-BaseYear",#N/A,FALSE,"Inputs"}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xx" hidden="1">{"Output-Min",#N/A,FALSE,"Output"}</definedName>
    <definedName name="xxxaa" hidden="1">{"Inflation-BaseYear",#N/A,FALSE,"Inputs"}</definedName>
    <definedName name="xxxxx" hidden="1">{"Output%",#N/A,FALSE,"Output"}</definedName>
    <definedName name="y">#REF!</definedName>
    <definedName name="YearOpen">#REF!</definedName>
    <definedName name="YerOpen">#REF!</definedName>
    <definedName name="YrDataInput">#REF!</definedName>
    <definedName name="YY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F35" i="5" s="1"/>
  <c r="G35" i="5" s="1"/>
  <c r="H35" i="5" s="1"/>
  <c r="I35" i="5" s="1"/>
  <c r="J35" i="5" s="1"/>
  <c r="K35" i="5" s="1"/>
  <c r="L35" i="5" s="1"/>
  <c r="D37" i="5"/>
  <c r="E37" i="5" s="1"/>
  <c r="F37" i="5" s="1"/>
  <c r="G37" i="5" s="1"/>
  <c r="H37" i="5" s="1"/>
  <c r="F122" i="2"/>
  <c r="F123" i="2"/>
  <c r="F121" i="2"/>
  <c r="H146" i="2"/>
  <c r="H145" i="2"/>
  <c r="E145" i="2" s="1"/>
  <c r="G148" i="2"/>
  <c r="G146" i="2"/>
  <c r="G145" i="2"/>
  <c r="E136" i="2"/>
  <c r="F148" i="2"/>
  <c r="E148" i="2" s="1"/>
  <c r="F147" i="2"/>
  <c r="F145" i="2"/>
  <c r="H148" i="2"/>
  <c r="G136" i="2"/>
  <c r="F136" i="2"/>
  <c r="F138" i="2"/>
  <c r="K128" i="2"/>
  <c r="B31" i="5"/>
  <c r="B33" i="5" s="1"/>
  <c r="C29" i="5"/>
  <c r="O28" i="5"/>
  <c r="AA28" i="5" s="1"/>
  <c r="AM28" i="5" s="1"/>
  <c r="AY28" i="5" s="1"/>
  <c r="BK28" i="5" s="1"/>
  <c r="BW28" i="5" s="1"/>
  <c r="CI28" i="5" s="1"/>
  <c r="CU28" i="5" s="1"/>
  <c r="DG28" i="5" s="1"/>
  <c r="P28" i="5"/>
  <c r="AB28" i="5" s="1"/>
  <c r="AN28" i="5" s="1"/>
  <c r="AZ28" i="5" s="1"/>
  <c r="BL28" i="5" s="1"/>
  <c r="BX28" i="5" s="1"/>
  <c r="CJ28" i="5" s="1"/>
  <c r="CV28" i="5" s="1"/>
  <c r="DH28" i="5" s="1"/>
  <c r="Q28" i="5"/>
  <c r="AC28" i="5" s="1"/>
  <c r="AO28" i="5" s="1"/>
  <c r="BA28" i="5" s="1"/>
  <c r="BM28" i="5" s="1"/>
  <c r="BY28" i="5" s="1"/>
  <c r="CK28" i="5" s="1"/>
  <c r="CW28" i="5" s="1"/>
  <c r="DI28" i="5" s="1"/>
  <c r="R28" i="5"/>
  <c r="AD28" i="5" s="1"/>
  <c r="AP28" i="5" s="1"/>
  <c r="BB28" i="5" s="1"/>
  <c r="BN28" i="5" s="1"/>
  <c r="BZ28" i="5" s="1"/>
  <c r="CL28" i="5" s="1"/>
  <c r="CX28" i="5" s="1"/>
  <c r="DJ28" i="5" s="1"/>
  <c r="S28" i="5"/>
  <c r="AE28" i="5" s="1"/>
  <c r="AQ28" i="5" s="1"/>
  <c r="BC28" i="5" s="1"/>
  <c r="BO28" i="5" s="1"/>
  <c r="CA28" i="5" s="1"/>
  <c r="CM28" i="5" s="1"/>
  <c r="CY28" i="5" s="1"/>
  <c r="DK28" i="5" s="1"/>
  <c r="T28" i="5"/>
  <c r="AF28" i="5" s="1"/>
  <c r="AR28" i="5" s="1"/>
  <c r="BD28" i="5" s="1"/>
  <c r="BP28" i="5" s="1"/>
  <c r="CB28" i="5" s="1"/>
  <c r="CN28" i="5" s="1"/>
  <c r="CZ28" i="5" s="1"/>
  <c r="DL28" i="5" s="1"/>
  <c r="U28" i="5"/>
  <c r="AG28" i="5" s="1"/>
  <c r="AS28" i="5" s="1"/>
  <c r="BE28" i="5" s="1"/>
  <c r="BQ28" i="5" s="1"/>
  <c r="CC28" i="5" s="1"/>
  <c r="CO28" i="5" s="1"/>
  <c r="DA28" i="5" s="1"/>
  <c r="DM28" i="5" s="1"/>
  <c r="V28" i="5"/>
  <c r="AH28" i="5" s="1"/>
  <c r="AT28" i="5" s="1"/>
  <c r="BF28" i="5" s="1"/>
  <c r="BR28" i="5" s="1"/>
  <c r="CD28" i="5" s="1"/>
  <c r="CP28" i="5" s="1"/>
  <c r="DB28" i="5" s="1"/>
  <c r="DN28" i="5" s="1"/>
  <c r="W28" i="5"/>
  <c r="AI28" i="5" s="1"/>
  <c r="AU28" i="5" s="1"/>
  <c r="BG28" i="5" s="1"/>
  <c r="BS28" i="5" s="1"/>
  <c r="CE28" i="5" s="1"/>
  <c r="CQ28" i="5" s="1"/>
  <c r="DC28" i="5" s="1"/>
  <c r="DO28" i="5" s="1"/>
  <c r="X28" i="5"/>
  <c r="AJ28" i="5" s="1"/>
  <c r="AV28" i="5" s="1"/>
  <c r="BH28" i="5" s="1"/>
  <c r="BT28" i="5" s="1"/>
  <c r="CF28" i="5" s="1"/>
  <c r="CR28" i="5" s="1"/>
  <c r="DD28" i="5" s="1"/>
  <c r="DP28" i="5" s="1"/>
  <c r="Y28" i="5"/>
  <c r="AK28" i="5" s="1"/>
  <c r="AW28" i="5" s="1"/>
  <c r="BI28" i="5" s="1"/>
  <c r="BU28" i="5" s="1"/>
  <c r="CG28" i="5" s="1"/>
  <c r="CS28" i="5" s="1"/>
  <c r="DE28" i="5" s="1"/>
  <c r="DQ28" i="5" s="1"/>
  <c r="N28" i="5"/>
  <c r="Z28" i="5" s="1"/>
  <c r="AL28" i="5" s="1"/>
  <c r="AX28" i="5" s="1"/>
  <c r="BJ28" i="5" s="1"/>
  <c r="BV28" i="5" s="1"/>
  <c r="CH28" i="5" s="1"/>
  <c r="CT28" i="5" s="1"/>
  <c r="DF28" i="5" s="1"/>
  <c r="DR28" i="5" s="1"/>
  <c r="F175" i="2"/>
  <c r="D15" i="5"/>
  <c r="B30" i="5" s="1"/>
  <c r="C30" i="5" s="1"/>
  <c r="J29" i="2"/>
  <c r="J31" i="2" s="1"/>
  <c r="J26" i="2"/>
  <c r="C1" i="2"/>
  <c r="N159" i="2" s="1"/>
  <c r="M18" i="5"/>
  <c r="M17" i="5"/>
  <c r="M16" i="5"/>
  <c r="M97" i="5"/>
  <c r="L97" i="5"/>
  <c r="K97" i="5"/>
  <c r="J97" i="5"/>
  <c r="I97" i="5"/>
  <c r="H97" i="5"/>
  <c r="G97" i="5"/>
  <c r="F97" i="5"/>
  <c r="E97" i="5"/>
  <c r="D97" i="5"/>
  <c r="C97" i="5"/>
  <c r="M96" i="5"/>
  <c r="L96" i="5"/>
  <c r="K96" i="5"/>
  <c r="J96" i="5"/>
  <c r="I96" i="5"/>
  <c r="H96" i="5"/>
  <c r="G96" i="5"/>
  <c r="F96" i="5"/>
  <c r="E96" i="5"/>
  <c r="D96" i="5"/>
  <c r="B40" i="5"/>
  <c r="A39" i="5"/>
  <c r="N18" i="5"/>
  <c r="N17" i="5"/>
  <c r="N16" i="5"/>
  <c r="D21" i="5" s="1"/>
  <c r="D22" i="5" s="1"/>
  <c r="D23" i="5" s="1"/>
  <c r="B39" i="5" l="1"/>
  <c r="C36" i="5"/>
  <c r="D36" i="5" s="1"/>
  <c r="F146" i="2"/>
  <c r="E146" i="2" s="1"/>
  <c r="I37" i="5"/>
  <c r="J37" i="5" s="1"/>
  <c r="K37" i="5" s="1"/>
  <c r="L37" i="5" s="1"/>
  <c r="G159" i="2"/>
  <c r="G177" i="2" s="1"/>
  <c r="J159" i="2"/>
  <c r="J177" i="2" s="1"/>
  <c r="M159" i="2"/>
  <c r="N162" i="2" s="1"/>
  <c r="L159" i="2"/>
  <c r="K159" i="2"/>
  <c r="F159" i="2"/>
  <c r="P159" i="2"/>
  <c r="O159" i="2"/>
  <c r="K164" i="2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AH29" i="5" s="1"/>
  <c r="AI29" i="5" s="1"/>
  <c r="AJ29" i="5" s="1"/>
  <c r="AK29" i="5" s="1"/>
  <c r="AL29" i="5" s="1"/>
  <c r="AM29" i="5" s="1"/>
  <c r="AN29" i="5" s="1"/>
  <c r="AO29" i="5" s="1"/>
  <c r="AP29" i="5" s="1"/>
  <c r="AQ29" i="5" s="1"/>
  <c r="AR29" i="5" s="1"/>
  <c r="AS29" i="5" s="1"/>
  <c r="AT29" i="5" s="1"/>
  <c r="AU29" i="5" s="1"/>
  <c r="AV29" i="5" s="1"/>
  <c r="AW29" i="5" s="1"/>
  <c r="AX29" i="5" s="1"/>
  <c r="AY29" i="5" s="1"/>
  <c r="AZ29" i="5" s="1"/>
  <c r="BA29" i="5" s="1"/>
  <c r="BB29" i="5" s="1"/>
  <c r="BC29" i="5" s="1"/>
  <c r="BD29" i="5" s="1"/>
  <c r="BE29" i="5" s="1"/>
  <c r="BF29" i="5" s="1"/>
  <c r="BG29" i="5" s="1"/>
  <c r="BH29" i="5" s="1"/>
  <c r="BI29" i="5" s="1"/>
  <c r="BJ29" i="5" s="1"/>
  <c r="BK29" i="5" s="1"/>
  <c r="BL29" i="5" s="1"/>
  <c r="BM29" i="5" s="1"/>
  <c r="BN29" i="5" s="1"/>
  <c r="BO29" i="5" s="1"/>
  <c r="BP29" i="5" s="1"/>
  <c r="BQ29" i="5" s="1"/>
  <c r="BR29" i="5" s="1"/>
  <c r="BS29" i="5" s="1"/>
  <c r="BT29" i="5" s="1"/>
  <c r="BU29" i="5" s="1"/>
  <c r="BV29" i="5" s="1"/>
  <c r="BW29" i="5" s="1"/>
  <c r="BX29" i="5" s="1"/>
  <c r="BY29" i="5" s="1"/>
  <c r="BZ29" i="5" s="1"/>
  <c r="CA29" i="5" s="1"/>
  <c r="CB29" i="5" s="1"/>
  <c r="CC29" i="5" s="1"/>
  <c r="CD29" i="5" s="1"/>
  <c r="CE29" i="5" s="1"/>
  <c r="CF29" i="5" s="1"/>
  <c r="CG29" i="5" s="1"/>
  <c r="CH29" i="5" s="1"/>
  <c r="CI29" i="5" s="1"/>
  <c r="CJ29" i="5" s="1"/>
  <c r="CK29" i="5" s="1"/>
  <c r="CL29" i="5" s="1"/>
  <c r="CM29" i="5" s="1"/>
  <c r="CN29" i="5" s="1"/>
  <c r="CO29" i="5" s="1"/>
  <c r="CP29" i="5" s="1"/>
  <c r="CQ29" i="5" s="1"/>
  <c r="CR29" i="5" s="1"/>
  <c r="CS29" i="5" s="1"/>
  <c r="CT29" i="5" s="1"/>
  <c r="CU29" i="5" s="1"/>
  <c r="CV29" i="5" s="1"/>
  <c r="CW29" i="5" s="1"/>
  <c r="CX29" i="5" s="1"/>
  <c r="CY29" i="5" s="1"/>
  <c r="CZ29" i="5" s="1"/>
  <c r="DA29" i="5" s="1"/>
  <c r="DB29" i="5" s="1"/>
  <c r="DC29" i="5" s="1"/>
  <c r="DD29" i="5" s="1"/>
  <c r="DE29" i="5" s="1"/>
  <c r="DF29" i="5" s="1"/>
  <c r="DG29" i="5" s="1"/>
  <c r="DH29" i="5" s="1"/>
  <c r="DI29" i="5" s="1"/>
  <c r="DJ29" i="5" s="1"/>
  <c r="DK29" i="5" s="1"/>
  <c r="DL29" i="5" s="1"/>
  <c r="DM29" i="5" s="1"/>
  <c r="DN29" i="5" s="1"/>
  <c r="DO29" i="5" s="1"/>
  <c r="DP29" i="5" s="1"/>
  <c r="DQ29" i="5" s="1"/>
  <c r="DR29" i="5" s="1"/>
  <c r="E36" i="5"/>
  <c r="F36" i="5" s="1"/>
  <c r="G36" i="5" s="1"/>
  <c r="H36" i="5" s="1"/>
  <c r="I36" i="5" s="1"/>
  <c r="J36" i="5" s="1"/>
  <c r="K36" i="5" s="1"/>
  <c r="L36" i="5" s="1"/>
  <c r="D30" i="5"/>
  <c r="L162" i="2" l="1"/>
  <c r="K162" i="2"/>
  <c r="K165" i="2"/>
  <c r="G162" i="2"/>
  <c r="E30" i="5" l="1"/>
  <c r="F30" i="5" l="1"/>
  <c r="G30" i="5" l="1"/>
  <c r="H30" i="5" l="1"/>
  <c r="I30" i="5" l="1"/>
  <c r="J30" i="5" l="1"/>
  <c r="K30" i="5" l="1"/>
  <c r="L30" i="5" l="1"/>
  <c r="M30" i="5" l="1"/>
  <c r="N30" i="5" l="1"/>
  <c r="O30" i="5" l="1"/>
  <c r="P30" i="5" l="1"/>
  <c r="Q30" i="5" l="1"/>
  <c r="R30" i="5" l="1"/>
  <c r="S30" i="5" l="1"/>
  <c r="T30" i="5" l="1"/>
  <c r="U30" i="5" l="1"/>
  <c r="V30" i="5" l="1"/>
  <c r="W30" i="5" l="1"/>
  <c r="X30" i="5" l="1"/>
  <c r="Y30" i="5" l="1"/>
  <c r="Z30" i="5" l="1"/>
  <c r="AA30" i="5" l="1"/>
  <c r="AB30" i="5" l="1"/>
  <c r="AC30" i="5" l="1"/>
  <c r="AD30" i="5" l="1"/>
  <c r="AE30" i="5" l="1"/>
  <c r="AF30" i="5" l="1"/>
  <c r="AG30" i="5" l="1"/>
  <c r="AH30" i="5" l="1"/>
  <c r="AI30" i="5" l="1"/>
  <c r="AJ30" i="5" l="1"/>
  <c r="AK30" i="5" l="1"/>
  <c r="AL30" i="5" l="1"/>
  <c r="AM30" i="5" l="1"/>
  <c r="AN30" i="5" l="1"/>
  <c r="AO30" i="5" l="1"/>
  <c r="AP30" i="5" l="1"/>
  <c r="AQ30" i="5" l="1"/>
  <c r="AR30" i="5" l="1"/>
  <c r="AS30" i="5" l="1"/>
  <c r="AT30" i="5" l="1"/>
  <c r="AU30" i="5" l="1"/>
  <c r="AV30" i="5" l="1"/>
  <c r="AW30" i="5" l="1"/>
  <c r="AX30" i="5" l="1"/>
  <c r="AY30" i="5" l="1"/>
  <c r="AZ30" i="5" l="1"/>
  <c r="BA30" i="5" l="1"/>
  <c r="BB30" i="5" l="1"/>
  <c r="BC30" i="5" l="1"/>
  <c r="BD30" i="5" l="1"/>
  <c r="BE30" i="5" l="1"/>
  <c r="BF30" i="5" l="1"/>
  <c r="BG30" i="5" l="1"/>
  <c r="BH30" i="5" l="1"/>
  <c r="BI30" i="5" l="1"/>
  <c r="BJ30" i="5" l="1"/>
  <c r="BK30" i="5" l="1"/>
  <c r="BL30" i="5" l="1"/>
  <c r="BM30" i="5" l="1"/>
  <c r="BN30" i="5" l="1"/>
  <c r="BO30" i="5" l="1"/>
  <c r="BP30" i="5" l="1"/>
  <c r="BQ30" i="5" l="1"/>
  <c r="BR30" i="5" l="1"/>
  <c r="BS30" i="5" l="1"/>
  <c r="BT30" i="5" l="1"/>
  <c r="BU30" i="5" l="1"/>
  <c r="BV30" i="5" l="1"/>
  <c r="BW30" i="5" l="1"/>
  <c r="BX30" i="5" l="1"/>
  <c r="BY30" i="5" l="1"/>
  <c r="BZ30" i="5" l="1"/>
  <c r="CA30" i="5" l="1"/>
  <c r="CB30" i="5" l="1"/>
  <c r="CC30" i="5" l="1"/>
  <c r="CD30" i="5" l="1"/>
  <c r="CE30" i="5" l="1"/>
  <c r="CF30" i="5" l="1"/>
  <c r="CG30" i="5" l="1"/>
  <c r="CH30" i="5" l="1"/>
  <c r="CI30" i="5" l="1"/>
  <c r="CJ30" i="5" l="1"/>
  <c r="CK30" i="5" l="1"/>
  <c r="CL30" i="5" l="1"/>
  <c r="CM30" i="5" l="1"/>
  <c r="CN30" i="5" l="1"/>
  <c r="CO30" i="5" l="1"/>
  <c r="CP30" i="5" l="1"/>
  <c r="CQ30" i="5" l="1"/>
  <c r="CR30" i="5" l="1"/>
  <c r="CS30" i="5" l="1"/>
  <c r="CT30" i="5" l="1"/>
  <c r="CU30" i="5" l="1"/>
  <c r="CV30" i="5" l="1"/>
  <c r="CW30" i="5" l="1"/>
  <c r="CX30" i="5" l="1"/>
  <c r="CY30" i="5" l="1"/>
  <c r="CZ30" i="5" l="1"/>
  <c r="DA30" i="5" l="1"/>
  <c r="DB30" i="5" l="1"/>
  <c r="DC30" i="5" l="1"/>
  <c r="DD30" i="5" l="1"/>
  <c r="DE30" i="5" l="1"/>
  <c r="DF30" i="5" l="1"/>
  <c r="DG30" i="5" l="1"/>
  <c r="DH30" i="5" l="1"/>
  <c r="DI30" i="5" l="1"/>
  <c r="DJ30" i="5" l="1"/>
  <c r="DK30" i="5" l="1"/>
  <c r="DL30" i="5" l="1"/>
  <c r="DM30" i="5" l="1"/>
  <c r="DN30" i="5" l="1"/>
  <c r="DO30" i="5" l="1"/>
  <c r="DP30" i="5" l="1"/>
  <c r="DQ30" i="5" l="1"/>
  <c r="DR30" i="5" s="1"/>
  <c r="L164" i="2" l="1"/>
  <c r="F156" i="2"/>
  <c r="P24" i="2"/>
  <c r="P22" i="2"/>
  <c r="M164" i="2" l="1"/>
  <c r="N164" i="2"/>
  <c r="M165" i="2"/>
  <c r="P177" i="2"/>
  <c r="O177" i="2"/>
  <c r="BB177" i="2"/>
  <c r="AZ207" i="2"/>
  <c r="AZ206" i="2"/>
  <c r="AZ208" i="2" s="1"/>
  <c r="AZ201" i="2"/>
  <c r="AZ200" i="2"/>
  <c r="AZ199" i="2"/>
  <c r="AZ213" i="2"/>
  <c r="N6" i="2"/>
  <c r="R151" i="2"/>
  <c r="I159" i="2"/>
  <c r="I177" i="2" s="1"/>
  <c r="M177" i="2"/>
  <c r="L177" i="2"/>
  <c r="K177" i="2"/>
  <c r="H159" i="2"/>
  <c r="H177" i="2" s="1"/>
  <c r="F64" i="2"/>
  <c r="P29" i="2"/>
  <c r="I162" i="2" l="1"/>
  <c r="J162" i="2"/>
  <c r="H162" i="2"/>
  <c r="N165" i="2"/>
  <c r="N168" i="2"/>
  <c r="N177" i="2"/>
  <c r="L165" i="2"/>
  <c r="N13" i="2"/>
  <c r="P162" i="2"/>
  <c r="O162" i="2"/>
  <c r="BB137" i="2"/>
  <c r="C10" i="2"/>
  <c r="C8" i="2"/>
  <c r="I155" i="2"/>
  <c r="J40" i="2"/>
  <c r="G111" i="2"/>
  <c r="G109" i="2"/>
  <c r="H109" i="2" s="1"/>
  <c r="C64" i="2"/>
  <c r="F170" i="2"/>
  <c r="C61" i="2"/>
  <c r="N14" i="2" l="1"/>
  <c r="F135" i="2"/>
  <c r="F139" i="2" s="1"/>
  <c r="F149" i="2" s="1"/>
  <c r="F108" i="2"/>
  <c r="G108" i="2" s="1"/>
  <c r="H108" i="2" s="1"/>
  <c r="J41" i="2"/>
  <c r="F158" i="2" s="1"/>
  <c r="F157" i="2" s="1"/>
  <c r="M162" i="2"/>
  <c r="N98" i="2"/>
  <c r="R98" i="2" s="1"/>
  <c r="M98" i="2"/>
  <c r="Q98" i="2" s="1"/>
  <c r="L98" i="2"/>
  <c r="P98" i="2" s="1"/>
  <c r="K98" i="2"/>
  <c r="K28" i="2"/>
  <c r="W20" i="2"/>
  <c r="W19" i="2"/>
  <c r="V20" i="2"/>
  <c r="U20" i="2"/>
  <c r="K20" i="2"/>
  <c r="E152" i="2"/>
  <c r="O98" i="2" l="1"/>
  <c r="S98" i="2" s="1"/>
  <c r="K31" i="2"/>
  <c r="K34" i="2"/>
  <c r="M92" i="2"/>
  <c r="L92" i="2"/>
  <c r="K92" i="2"/>
  <c r="J19" i="2"/>
  <c r="J20" i="2"/>
  <c r="G93" i="2"/>
  <c r="G175" i="2" s="1"/>
  <c r="I108" i="2"/>
  <c r="J108" i="2" s="1"/>
  <c r="V19" i="2" l="1"/>
  <c r="K33" i="2"/>
  <c r="T98" i="2" l="1"/>
  <c r="C42" i="2"/>
  <c r="E129" i="2" s="1"/>
  <c r="C41" i="2"/>
  <c r="BD115" i="2"/>
  <c r="BE115" i="2"/>
  <c r="BB170" i="2"/>
  <c r="H93" i="2"/>
  <c r="H136" i="2" s="1"/>
  <c r="G94" i="2"/>
  <c r="BE175" i="2"/>
  <c r="BC175" i="2"/>
  <c r="BD175" i="2"/>
  <c r="BF175" i="2"/>
  <c r="BG175" i="2"/>
  <c r="BH175" i="2"/>
  <c r="BI175" i="2"/>
  <c r="BJ175" i="2"/>
  <c r="BK175" i="2"/>
  <c r="BL175" i="2"/>
  <c r="J155" i="2"/>
  <c r="K155" i="2" s="1"/>
  <c r="L155" i="2" s="1"/>
  <c r="BB164" i="2"/>
  <c r="BB163" i="2"/>
  <c r="BB159" i="2"/>
  <c r="BB157" i="2"/>
  <c r="BB152" i="2"/>
  <c r="BB151" i="2"/>
  <c r="BB149" i="2"/>
  <c r="BB148" i="2"/>
  <c r="BB147" i="2"/>
  <c r="BB146" i="2"/>
  <c r="BB145" i="2"/>
  <c r="BB144" i="2"/>
  <c r="BB139" i="2"/>
  <c r="BB138" i="2"/>
  <c r="BB136" i="2"/>
  <c r="BB135" i="2"/>
  <c r="BB134" i="2"/>
  <c r="BC132" i="2"/>
  <c r="BB132" i="2"/>
  <c r="BB131" i="2"/>
  <c r="BB128" i="2"/>
  <c r="BB129" i="2"/>
  <c r="BB130" i="2"/>
  <c r="BB127" i="2"/>
  <c r="BB119" i="2"/>
  <c r="BB118" i="2"/>
  <c r="BB123" i="2"/>
  <c r="BB122" i="2"/>
  <c r="BB121" i="2"/>
  <c r="C74" i="2"/>
  <c r="BF115" i="2" l="1"/>
  <c r="W98" i="2"/>
  <c r="AA98" i="2" s="1"/>
  <c r="AE98" i="2" s="1"/>
  <c r="AI98" i="2" s="1"/>
  <c r="AM98" i="2" s="1"/>
  <c r="AQ98" i="2" s="1"/>
  <c r="AU98" i="2" s="1"/>
  <c r="AY98" i="2" s="1"/>
  <c r="K40" i="2"/>
  <c r="L40" i="2"/>
  <c r="L41" i="2" s="1"/>
  <c r="X98" i="2"/>
  <c r="AB98" i="2" s="1"/>
  <c r="AF98" i="2" s="1"/>
  <c r="AJ98" i="2" s="1"/>
  <c r="AN98" i="2" s="1"/>
  <c r="AR98" i="2" s="1"/>
  <c r="AV98" i="2" s="1"/>
  <c r="AZ98" i="2" s="1"/>
  <c r="H94" i="2"/>
  <c r="V98" i="2"/>
  <c r="Z98" i="2" s="1"/>
  <c r="AD98" i="2" s="1"/>
  <c r="AH98" i="2" s="1"/>
  <c r="AL98" i="2" s="1"/>
  <c r="AP98" i="2" s="1"/>
  <c r="AT98" i="2" s="1"/>
  <c r="AX98" i="2" s="1"/>
  <c r="C24" i="2"/>
  <c r="C23" i="2"/>
  <c r="F141" i="2"/>
  <c r="BG115" i="2" l="1"/>
  <c r="K41" i="2"/>
  <c r="U98" i="2"/>
  <c r="M155" i="2"/>
  <c r="N155" i="2" s="1"/>
  <c r="F155" i="2"/>
  <c r="M40" i="2"/>
  <c r="M41" i="2" s="1"/>
  <c r="O40" i="2"/>
  <c r="O41" i="2" s="1"/>
  <c r="N40" i="2"/>
  <c r="BH115" i="2" l="1"/>
  <c r="O155" i="2"/>
  <c r="P155" i="2" s="1"/>
  <c r="Q155" i="2" s="1"/>
  <c r="R155" i="2" s="1"/>
  <c r="S155" i="2" s="1"/>
  <c r="T155" i="2" s="1"/>
  <c r="U155" i="2" s="1"/>
  <c r="V155" i="2" s="1"/>
  <c r="W155" i="2" s="1"/>
  <c r="X155" i="2" s="1"/>
  <c r="Y155" i="2" s="1"/>
  <c r="Z155" i="2" s="1"/>
  <c r="AA155" i="2" s="1"/>
  <c r="AB155" i="2" s="1"/>
  <c r="AC155" i="2" s="1"/>
  <c r="AD155" i="2" s="1"/>
  <c r="AE155" i="2" s="1"/>
  <c r="AF155" i="2" s="1"/>
  <c r="AG155" i="2" s="1"/>
  <c r="AH155" i="2" s="1"/>
  <c r="AI155" i="2" s="1"/>
  <c r="AJ155" i="2" s="1"/>
  <c r="AK155" i="2" s="1"/>
  <c r="AL155" i="2" s="1"/>
  <c r="AM155" i="2" s="1"/>
  <c r="AN155" i="2" s="1"/>
  <c r="AO155" i="2" s="1"/>
  <c r="AP155" i="2" s="1"/>
  <c r="AQ155" i="2" s="1"/>
  <c r="AR155" i="2" s="1"/>
  <c r="AS155" i="2" s="1"/>
  <c r="AT155" i="2" s="1"/>
  <c r="AU155" i="2" s="1"/>
  <c r="AV155" i="2" s="1"/>
  <c r="AW155" i="2" s="1"/>
  <c r="AX155" i="2" s="1"/>
  <c r="AY155" i="2" s="1"/>
  <c r="AZ155" i="2" s="1"/>
  <c r="L28" i="2"/>
  <c r="L34" i="2" s="1"/>
  <c r="N41" i="2"/>
  <c r="P41" i="2" s="1"/>
  <c r="K108" i="2"/>
  <c r="L108" i="2" s="1"/>
  <c r="M108" i="2" s="1"/>
  <c r="N108" i="2" s="1"/>
  <c r="O108" i="2" s="1"/>
  <c r="P108" i="2" s="1"/>
  <c r="Q108" i="2" s="1"/>
  <c r="R108" i="2" s="1"/>
  <c r="S108" i="2" s="1"/>
  <c r="G113" i="2"/>
  <c r="C78" i="2"/>
  <c r="C84" i="2" s="1"/>
  <c r="Y98" i="2"/>
  <c r="F127" i="2"/>
  <c r="H128" i="2"/>
  <c r="F132" i="2"/>
  <c r="F129" i="2"/>
  <c r="I109" i="2"/>
  <c r="J109" i="2" s="1"/>
  <c r="E125" i="2"/>
  <c r="F125" i="2" s="1"/>
  <c r="G125" i="2" s="1"/>
  <c r="H125" i="2" s="1"/>
  <c r="C28" i="2"/>
  <c r="F94" i="2"/>
  <c r="G158" i="2" l="1"/>
  <c r="G157" i="2" s="1"/>
  <c r="C80" i="2"/>
  <c r="L30" i="2"/>
  <c r="G147" i="2" s="1"/>
  <c r="BI115" i="2"/>
  <c r="F177" i="2"/>
  <c r="F180" i="2" s="1"/>
  <c r="I128" i="2"/>
  <c r="J128" i="2" s="1"/>
  <c r="AC98" i="2"/>
  <c r="L20" i="2"/>
  <c r="M20" i="2" s="1"/>
  <c r="T108" i="2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G108" i="2" s="1"/>
  <c r="AH108" i="2" s="1"/>
  <c r="AI108" i="2" s="1"/>
  <c r="AJ108" i="2" s="1"/>
  <c r="AK108" i="2" s="1"/>
  <c r="AL108" i="2" s="1"/>
  <c r="AM108" i="2" s="1"/>
  <c r="AN108" i="2" s="1"/>
  <c r="AO108" i="2" s="1"/>
  <c r="AP108" i="2" s="1"/>
  <c r="AQ108" i="2" s="1"/>
  <c r="AR108" i="2" s="1"/>
  <c r="AS108" i="2" s="1"/>
  <c r="AT108" i="2" s="1"/>
  <c r="AU108" i="2" s="1"/>
  <c r="AV108" i="2" s="1"/>
  <c r="AW108" i="2" s="1"/>
  <c r="AX108" i="2" s="1"/>
  <c r="AY108" i="2" s="1"/>
  <c r="AZ108" i="2" s="1"/>
  <c r="C39" i="2"/>
  <c r="C45" i="2" s="1"/>
  <c r="L50" i="2" s="1"/>
  <c r="F91" i="2"/>
  <c r="F116" i="2" s="1"/>
  <c r="C14" i="2"/>
  <c r="F95" i="2" s="1"/>
  <c r="L31" i="2" l="1"/>
  <c r="N50" i="2"/>
  <c r="J50" i="2" s="1"/>
  <c r="K50" i="2" s="1"/>
  <c r="M50" i="2"/>
  <c r="BJ115" i="2"/>
  <c r="L48" i="2"/>
  <c r="L49" i="2"/>
  <c r="K109" i="2"/>
  <c r="L109" i="2" s="1"/>
  <c r="M109" i="2" s="1"/>
  <c r="C56" i="2"/>
  <c r="AG98" i="2"/>
  <c r="L128" i="2"/>
  <c r="M128" i="2" s="1"/>
  <c r="N128" i="2" s="1"/>
  <c r="O128" i="2" s="1"/>
  <c r="C79" i="2"/>
  <c r="N20" i="2"/>
  <c r="O20" i="2" s="1"/>
  <c r="C19" i="2"/>
  <c r="G96" i="2" s="1"/>
  <c r="G114" i="2" s="1"/>
  <c r="G95" i="2"/>
  <c r="M49" i="2" l="1"/>
  <c r="N49" i="2"/>
  <c r="J49" i="2" s="1"/>
  <c r="K49" i="2" s="1"/>
  <c r="N48" i="2"/>
  <c r="J48" i="2" s="1"/>
  <c r="K48" i="2" s="1"/>
  <c r="M48" i="2"/>
  <c r="BK115" i="2"/>
  <c r="G129" i="2"/>
  <c r="G130" i="2" s="1"/>
  <c r="G134" i="2"/>
  <c r="P128" i="2"/>
  <c r="Q128" i="2" s="1"/>
  <c r="R128" i="2" s="1"/>
  <c r="S128" i="2" s="1"/>
  <c r="AK98" i="2"/>
  <c r="C85" i="2"/>
  <c r="G127" i="2"/>
  <c r="N109" i="2"/>
  <c r="G101" i="2"/>
  <c r="F96" i="2"/>
  <c r="F101" i="2" s="1"/>
  <c r="F103" i="2" s="1"/>
  <c r="B31" i="2"/>
  <c r="C25" i="2"/>
  <c r="G97" i="2" s="1"/>
  <c r="G102" i="2" s="1"/>
  <c r="BL115" i="2" l="1"/>
  <c r="AO98" i="2"/>
  <c r="T128" i="2"/>
  <c r="U128" i="2" s="1"/>
  <c r="V128" i="2" s="1"/>
  <c r="W128" i="2" s="1"/>
  <c r="O109" i="2"/>
  <c r="G103" i="2"/>
  <c r="G119" i="2" s="1"/>
  <c r="B32" i="2"/>
  <c r="B33" i="2" s="1"/>
  <c r="F97" i="2"/>
  <c r="X128" i="2" l="1"/>
  <c r="Y128" i="2" s="1"/>
  <c r="Z128" i="2" s="1"/>
  <c r="AA128" i="2" s="1"/>
  <c r="AS98" i="2"/>
  <c r="P109" i="2"/>
  <c r="B34" i="2"/>
  <c r="G104" i="2" l="1"/>
  <c r="G105" i="2" s="1"/>
  <c r="G118" i="2" s="1"/>
  <c r="G123" i="2" s="1"/>
  <c r="BL138" i="2"/>
  <c r="AW98" i="2"/>
  <c r="BH148" i="2"/>
  <c r="BE147" i="2"/>
  <c r="AB128" i="2"/>
  <c r="AC128" i="2" s="1"/>
  <c r="AD128" i="2" s="1"/>
  <c r="AE128" i="2" s="1"/>
  <c r="BG145" i="2"/>
  <c r="BJ147" i="2"/>
  <c r="Q109" i="2"/>
  <c r="F104" i="2"/>
  <c r="F105" i="2" s="1"/>
  <c r="BJ138" i="2" l="1"/>
  <c r="BC159" i="2"/>
  <c r="BC176" i="2" s="1"/>
  <c r="BD159" i="2"/>
  <c r="BC146" i="2"/>
  <c r="G121" i="2"/>
  <c r="BH138" i="2"/>
  <c r="BL148" i="2"/>
  <c r="BK138" i="2"/>
  <c r="BF148" i="2"/>
  <c r="BJ137" i="2"/>
  <c r="BI137" i="2"/>
  <c r="BI146" i="2"/>
  <c r="BG137" i="2"/>
  <c r="BL145" i="2"/>
  <c r="BL147" i="2"/>
  <c r="BL146" i="2"/>
  <c r="BF128" i="2"/>
  <c r="BH137" i="2"/>
  <c r="BL137" i="2"/>
  <c r="BE146" i="2"/>
  <c r="BF137" i="2"/>
  <c r="BF138" i="2"/>
  <c r="BC137" i="2"/>
  <c r="BG138" i="2"/>
  <c r="BE137" i="2"/>
  <c r="BI138" i="2"/>
  <c r="BD138" i="2"/>
  <c r="BE138" i="2"/>
  <c r="BH145" i="2"/>
  <c r="BK137" i="2"/>
  <c r="BH128" i="2"/>
  <c r="BD146" i="2"/>
  <c r="BD147" i="2"/>
  <c r="BD145" i="2"/>
  <c r="AF128" i="2"/>
  <c r="AG128" i="2" s="1"/>
  <c r="AH128" i="2" s="1"/>
  <c r="AI128" i="2" s="1"/>
  <c r="BI128" i="2"/>
  <c r="BD148" i="2"/>
  <c r="BE148" i="2"/>
  <c r="BF145" i="2"/>
  <c r="BK148" i="2"/>
  <c r="BG148" i="2"/>
  <c r="BJ148" i="2"/>
  <c r="BI147" i="2"/>
  <c r="BJ146" i="2"/>
  <c r="BE128" i="2"/>
  <c r="BG128" i="2"/>
  <c r="BF147" i="2"/>
  <c r="BC128" i="2"/>
  <c r="BK145" i="2"/>
  <c r="BF146" i="2"/>
  <c r="BI145" i="2"/>
  <c r="BK146" i="2"/>
  <c r="BH147" i="2"/>
  <c r="BJ145" i="2"/>
  <c r="BG147" i="2"/>
  <c r="BG146" i="2"/>
  <c r="BK147" i="2"/>
  <c r="BI148" i="2"/>
  <c r="BD128" i="2"/>
  <c r="BH146" i="2"/>
  <c r="BE145" i="2"/>
  <c r="R109" i="2"/>
  <c r="G91" i="2"/>
  <c r="G116" i="2" s="1"/>
  <c r="G131" i="2" l="1"/>
  <c r="G132" i="2" s="1"/>
  <c r="G122" i="2"/>
  <c r="AJ128" i="2"/>
  <c r="AK128" i="2" s="1"/>
  <c r="AL128" i="2" s="1"/>
  <c r="AM128" i="2" s="1"/>
  <c r="BJ128" i="2"/>
  <c r="S109" i="2"/>
  <c r="E11" i="4"/>
  <c r="E9" i="4"/>
  <c r="E10" i="4"/>
  <c r="D10" i="4"/>
  <c r="AN128" i="2" l="1"/>
  <c r="AO128" i="2" s="1"/>
  <c r="AP128" i="2" s="1"/>
  <c r="AQ128" i="2" s="1"/>
  <c r="BK128" i="2"/>
  <c r="T109" i="2"/>
  <c r="L4" i="3"/>
  <c r="M5" i="3"/>
  <c r="AR128" i="2" l="1"/>
  <c r="AS128" i="2" s="1"/>
  <c r="AT128" i="2" s="1"/>
  <c r="AU128" i="2" s="1"/>
  <c r="AV128" i="2" s="1"/>
  <c r="AW128" i="2" s="1"/>
  <c r="AX128" i="2" s="1"/>
  <c r="AY128" i="2" s="1"/>
  <c r="AZ128" i="2" s="1"/>
  <c r="BL128" i="2"/>
  <c r="U109" i="2"/>
  <c r="L10" i="3"/>
  <c r="V109" i="2" l="1"/>
  <c r="D2" i="4"/>
  <c r="F4" i="4" s="1"/>
  <c r="G4" i="4" s="1"/>
  <c r="W109" i="2" l="1"/>
  <c r="H4" i="4"/>
  <c r="F142" i="2" l="1"/>
  <c r="X109" i="2"/>
  <c r="I4" i="4"/>
  <c r="G141" i="2" l="1"/>
  <c r="Y109" i="2"/>
  <c r="J4" i="4"/>
  <c r="K35" i="2" l="1"/>
  <c r="F173" i="2"/>
  <c r="F152" i="2" s="1"/>
  <c r="F143" i="2"/>
  <c r="Z109" i="2"/>
  <c r="K4" i="4"/>
  <c r="G171" i="2" l="1"/>
  <c r="K36" i="2"/>
  <c r="L33" i="2" s="1"/>
  <c r="AA109" i="2"/>
  <c r="L4" i="4"/>
  <c r="P92" i="2"/>
  <c r="O92" i="2"/>
  <c r="N92" i="2"/>
  <c r="Q92" i="2"/>
  <c r="L35" i="2" l="1"/>
  <c r="AB109" i="2"/>
  <c r="M4" i="4"/>
  <c r="T92" i="2"/>
  <c r="S92" i="2"/>
  <c r="U92" i="2"/>
  <c r="R92" i="2"/>
  <c r="L36" i="2" l="1"/>
  <c r="H175" i="2"/>
  <c r="M28" i="2"/>
  <c r="M30" i="2" s="1"/>
  <c r="AC109" i="2"/>
  <c r="H96" i="2"/>
  <c r="H97" i="2"/>
  <c r="H102" i="2" s="1"/>
  <c r="H95" i="2"/>
  <c r="H91" i="2"/>
  <c r="H116" i="2" s="1"/>
  <c r="N4" i="4"/>
  <c r="I93" i="2"/>
  <c r="V92" i="2"/>
  <c r="X92" i="2"/>
  <c r="Y92" i="2"/>
  <c r="W92" i="2"/>
  <c r="I94" i="2" l="1"/>
  <c r="I136" i="2"/>
  <c r="H110" i="2"/>
  <c r="H111" i="2" s="1"/>
  <c r="H134" i="2"/>
  <c r="J93" i="2"/>
  <c r="I125" i="2"/>
  <c r="H101" i="2"/>
  <c r="H104" i="2"/>
  <c r="H105" i="2" s="1"/>
  <c r="I97" i="2"/>
  <c r="I102" i="2" s="1"/>
  <c r="I96" i="2"/>
  <c r="I101" i="2" s="1"/>
  <c r="I95" i="2"/>
  <c r="I175" i="2"/>
  <c r="M33" i="2"/>
  <c r="M34" i="2"/>
  <c r="M31" i="2"/>
  <c r="H127" i="2"/>
  <c r="H129" i="2"/>
  <c r="AD109" i="2"/>
  <c r="I91" i="2"/>
  <c r="I116" i="2" s="1"/>
  <c r="O4" i="4"/>
  <c r="Z92" i="2"/>
  <c r="AA92" i="2"/>
  <c r="AE92" i="2" s="1"/>
  <c r="AC92" i="2"/>
  <c r="AB92" i="2"/>
  <c r="J95" i="2" l="1"/>
  <c r="J136" i="2"/>
  <c r="H103" i="2"/>
  <c r="H119" i="2" s="1"/>
  <c r="I110" i="2"/>
  <c r="I111" i="2" s="1"/>
  <c r="I134" i="2"/>
  <c r="K136" i="2"/>
  <c r="H113" i="2"/>
  <c r="H114" i="2" s="1"/>
  <c r="H118" i="2" s="1"/>
  <c r="J175" i="2"/>
  <c r="I127" i="2"/>
  <c r="M35" i="2"/>
  <c r="N28" i="2"/>
  <c r="N34" i="2" s="1"/>
  <c r="H130" i="2"/>
  <c r="I129" i="2"/>
  <c r="AE109" i="2"/>
  <c r="J97" i="2"/>
  <c r="J96" i="2"/>
  <c r="J101" i="2" s="1"/>
  <c r="I104" i="2"/>
  <c r="I105" i="2" s="1"/>
  <c r="I103" i="2"/>
  <c r="I119" i="2" s="1"/>
  <c r="J94" i="2"/>
  <c r="AI92" i="2"/>
  <c r="AF92" i="2"/>
  <c r="AG92" i="2"/>
  <c r="J91" i="2"/>
  <c r="J116" i="2" s="1"/>
  <c r="K93" i="2"/>
  <c r="AD92" i="2"/>
  <c r="K137" i="2" l="1"/>
  <c r="BD137" i="2" s="1"/>
  <c r="K96" i="2"/>
  <c r="K104" i="2" s="1"/>
  <c r="K105" i="2" s="1"/>
  <c r="J110" i="2"/>
  <c r="J111" i="2" s="1"/>
  <c r="J113" i="2" s="1"/>
  <c r="J114" i="2" s="1"/>
  <c r="I113" i="2"/>
  <c r="I114" i="2" s="1"/>
  <c r="I118" i="2" s="1"/>
  <c r="I121" i="2" s="1"/>
  <c r="I122" i="2" s="1"/>
  <c r="K95" i="2"/>
  <c r="K134" i="2" s="1"/>
  <c r="K97" i="2"/>
  <c r="N30" i="2"/>
  <c r="K175" i="2"/>
  <c r="M36" i="2"/>
  <c r="N33" i="2" s="1"/>
  <c r="J102" i="2"/>
  <c r="J103" i="2" s="1"/>
  <c r="H123" i="2"/>
  <c r="H121" i="2"/>
  <c r="H122" i="2" s="1"/>
  <c r="J125" i="2"/>
  <c r="J127" i="2" s="1"/>
  <c r="J129" i="2"/>
  <c r="J130" i="2" s="1"/>
  <c r="I130" i="2"/>
  <c r="AF109" i="2"/>
  <c r="J104" i="2"/>
  <c r="J105" i="2" s="1"/>
  <c r="K94" i="2"/>
  <c r="AJ92" i="2"/>
  <c r="AH92" i="2"/>
  <c r="AK92" i="2"/>
  <c r="AM92" i="2"/>
  <c r="K91" i="2"/>
  <c r="K116" i="2" s="1"/>
  <c r="L93" i="2"/>
  <c r="J118" i="2" l="1"/>
  <c r="J119" i="2"/>
  <c r="BC119" i="2" s="1"/>
  <c r="K110" i="2"/>
  <c r="L136" i="2"/>
  <c r="N31" i="2"/>
  <c r="N35" i="2" s="1"/>
  <c r="G138" i="2" s="1"/>
  <c r="K129" i="2"/>
  <c r="K130" i="2" s="1"/>
  <c r="BC130" i="2"/>
  <c r="K125" i="2"/>
  <c r="K127" i="2" s="1"/>
  <c r="K102" i="2"/>
  <c r="L97" i="2"/>
  <c r="L175" i="2"/>
  <c r="H131" i="2"/>
  <c r="K111" i="2"/>
  <c r="I123" i="2"/>
  <c r="AG109" i="2"/>
  <c r="K101" i="2"/>
  <c r="L96" i="2"/>
  <c r="L101" i="2" s="1"/>
  <c r="L95" i="2"/>
  <c r="L94" i="2"/>
  <c r="L91" i="2"/>
  <c r="AL92" i="2"/>
  <c r="AN92" i="2"/>
  <c r="AO92" i="2"/>
  <c r="AQ92" i="2"/>
  <c r="AU92" i="2" s="1"/>
  <c r="AY92" i="2" s="1"/>
  <c r="M93" i="2"/>
  <c r="L104" i="2" l="1"/>
  <c r="L105" i="2" s="1"/>
  <c r="M136" i="2"/>
  <c r="O28" i="2"/>
  <c r="O30" i="2" s="1"/>
  <c r="H147" i="2" s="1"/>
  <c r="E147" i="2" s="1"/>
  <c r="BC138" i="2"/>
  <c r="L110" i="2"/>
  <c r="L134" i="2"/>
  <c r="J121" i="2"/>
  <c r="J131" i="2" s="1"/>
  <c r="BC118" i="2"/>
  <c r="BC121" i="2" s="1"/>
  <c r="N36" i="2"/>
  <c r="O33" i="2" s="1"/>
  <c r="K103" i="2"/>
  <c r="K119" i="2" s="1"/>
  <c r="L102" i="2"/>
  <c r="L103" i="2" s="1"/>
  <c r="L119" i="2" s="1"/>
  <c r="L125" i="2"/>
  <c r="L127" i="2" s="1"/>
  <c r="M175" i="2"/>
  <c r="H132" i="2"/>
  <c r="K113" i="2"/>
  <c r="K114" i="2" s="1"/>
  <c r="K118" i="2" s="1"/>
  <c r="I131" i="2"/>
  <c r="L129" i="2"/>
  <c r="L130" i="2" s="1"/>
  <c r="J123" i="2"/>
  <c r="AH109" i="2"/>
  <c r="M97" i="2"/>
  <c r="M96" i="2"/>
  <c r="M104" i="2" s="1"/>
  <c r="M105" i="2" s="1"/>
  <c r="M94" i="2"/>
  <c r="M95" i="2"/>
  <c r="M134" i="2" s="1"/>
  <c r="AS92" i="2"/>
  <c r="AW92" i="2" s="1"/>
  <c r="AR92" i="2"/>
  <c r="AV92" i="2" s="1"/>
  <c r="AZ92" i="2" s="1"/>
  <c r="AP92" i="2"/>
  <c r="M91" i="2"/>
  <c r="L116" i="2"/>
  <c r="N93" i="2"/>
  <c r="K123" i="2" l="1"/>
  <c r="K121" i="2"/>
  <c r="P30" i="2"/>
  <c r="O34" i="2"/>
  <c r="O31" i="2"/>
  <c r="M110" i="2"/>
  <c r="L111" i="2"/>
  <c r="N175" i="2"/>
  <c r="N136" i="2"/>
  <c r="J122" i="2"/>
  <c r="J132" i="2"/>
  <c r="M125" i="2"/>
  <c r="M127" i="2" s="1"/>
  <c r="M102" i="2"/>
  <c r="I132" i="2"/>
  <c r="M129" i="2"/>
  <c r="M130" i="2" s="1"/>
  <c r="AI109" i="2"/>
  <c r="M111" i="2"/>
  <c r="M113" i="2" s="1"/>
  <c r="M101" i="2"/>
  <c r="N96" i="2"/>
  <c r="N101" i="2" s="1"/>
  <c r="N97" i="2"/>
  <c r="N94" i="2"/>
  <c r="N95" i="2"/>
  <c r="AT92" i="2"/>
  <c r="AX92" i="2" s="1"/>
  <c r="M116" i="2"/>
  <c r="N91" i="2"/>
  <c r="O93" i="2"/>
  <c r="K122" i="2" l="1"/>
  <c r="K131" i="2"/>
  <c r="K132" i="2" s="1"/>
  <c r="N104" i="2"/>
  <c r="N105" i="2" s="1"/>
  <c r="O35" i="2"/>
  <c r="L113" i="2"/>
  <c r="O136" i="2"/>
  <c r="N110" i="2"/>
  <c r="M114" i="2"/>
  <c r="N125" i="2"/>
  <c r="N127" i="2" s="1"/>
  <c r="BD127" i="2" s="1"/>
  <c r="N102" i="2"/>
  <c r="N103" i="2" s="1"/>
  <c r="N119" i="2" s="1"/>
  <c r="M103" i="2"/>
  <c r="M119" i="2" s="1"/>
  <c r="O175" i="2"/>
  <c r="N129" i="2"/>
  <c r="N130" i="2" s="1"/>
  <c r="AJ109" i="2"/>
  <c r="O96" i="2"/>
  <c r="O101" i="2" s="1"/>
  <c r="O97" i="2"/>
  <c r="O94" i="2"/>
  <c r="O95" i="2"/>
  <c r="O134" i="2" s="1"/>
  <c r="O91" i="2"/>
  <c r="N116" i="2"/>
  <c r="P93" i="2"/>
  <c r="M118" i="2" l="1"/>
  <c r="M123" i="2" s="1"/>
  <c r="O104" i="2"/>
  <c r="O36" i="2"/>
  <c r="P35" i="2"/>
  <c r="L114" i="2"/>
  <c r="O125" i="2"/>
  <c r="O127" i="2" s="1"/>
  <c r="O110" i="2"/>
  <c r="O111" i="2" s="1"/>
  <c r="N111" i="2"/>
  <c r="BD119" i="2"/>
  <c r="P136" i="2"/>
  <c r="P97" i="2"/>
  <c r="BD129" i="2"/>
  <c r="BD130" i="2"/>
  <c r="M121" i="2"/>
  <c r="O102" i="2"/>
  <c r="O103" i="2" s="1"/>
  <c r="O119" i="2" s="1"/>
  <c r="P175" i="2"/>
  <c r="O105" i="2"/>
  <c r="O129" i="2"/>
  <c r="AK109" i="2"/>
  <c r="P96" i="2"/>
  <c r="P104" i="2" s="1"/>
  <c r="P105" i="2" s="1"/>
  <c r="P95" i="2"/>
  <c r="P134" i="2" s="1"/>
  <c r="P94" i="2"/>
  <c r="O116" i="2"/>
  <c r="Q93" i="2"/>
  <c r="P91" i="2"/>
  <c r="L118" i="2" l="1"/>
  <c r="L123" i="2" s="1"/>
  <c r="P125" i="2"/>
  <c r="P127" i="2" s="1"/>
  <c r="L121" i="2"/>
  <c r="L122" i="2" s="1"/>
  <c r="N113" i="2"/>
  <c r="N114" i="2" s="1"/>
  <c r="N118" i="2" s="1"/>
  <c r="O113" i="2"/>
  <c r="O114" i="2" s="1"/>
  <c r="O118" i="2" s="1"/>
  <c r="P110" i="2"/>
  <c r="P111" i="2" s="1"/>
  <c r="P113" i="2" s="1"/>
  <c r="P114" i="2" s="1"/>
  <c r="P118" i="2" s="1"/>
  <c r="M122" i="2"/>
  <c r="M131" i="2"/>
  <c r="M132" i="2" s="1"/>
  <c r="P102" i="2"/>
  <c r="Q136" i="2"/>
  <c r="Q175" i="2"/>
  <c r="P101" i="2"/>
  <c r="P129" i="2"/>
  <c r="P130" i="2" s="1"/>
  <c r="O130" i="2"/>
  <c r="AL109" i="2"/>
  <c r="Q96" i="2"/>
  <c r="Q101" i="2" s="1"/>
  <c r="Q97" i="2"/>
  <c r="Q95" i="2"/>
  <c r="Q134" i="2" s="1"/>
  <c r="Q94" i="2"/>
  <c r="Q125" i="2" s="1"/>
  <c r="Q91" i="2"/>
  <c r="R93" i="2"/>
  <c r="P116" i="2"/>
  <c r="L131" i="2" l="1"/>
  <c r="L132" i="2" s="1"/>
  <c r="N123" i="2"/>
  <c r="BD118" i="2"/>
  <c r="BD121" i="2" s="1"/>
  <c r="BD131" i="2" s="1"/>
  <c r="N121" i="2"/>
  <c r="N122" i="2" s="1"/>
  <c r="Q104" i="2"/>
  <c r="Q105" i="2" s="1"/>
  <c r="Q110" i="2"/>
  <c r="Q111" i="2" s="1"/>
  <c r="O121" i="2"/>
  <c r="O122" i="2" s="1"/>
  <c r="P103" i="2"/>
  <c r="P119" i="2" s="1"/>
  <c r="Q102" i="2"/>
  <c r="Q103" i="2" s="1"/>
  <c r="R136" i="2"/>
  <c r="R175" i="2"/>
  <c r="Q129" i="2"/>
  <c r="Q130" i="2" s="1"/>
  <c r="Q127" i="2"/>
  <c r="P123" i="2"/>
  <c r="O123" i="2"/>
  <c r="AM109" i="2"/>
  <c r="R96" i="2"/>
  <c r="R101" i="2" s="1"/>
  <c r="R97" i="2"/>
  <c r="R95" i="2"/>
  <c r="R94" i="2"/>
  <c r="R125" i="2" s="1"/>
  <c r="S93" i="2"/>
  <c r="S97" i="2" s="1"/>
  <c r="Q116" i="2"/>
  <c r="R91" i="2"/>
  <c r="BD132" i="2" l="1"/>
  <c r="N131" i="2"/>
  <c r="N132" i="2" s="1"/>
  <c r="Q119" i="2"/>
  <c r="R110" i="2"/>
  <c r="P121" i="2"/>
  <c r="P122" i="2" s="1"/>
  <c r="R102" i="2"/>
  <c r="R103" i="2" s="1"/>
  <c r="R119" i="2" s="1"/>
  <c r="S136" i="2"/>
  <c r="S175" i="2"/>
  <c r="R127" i="2"/>
  <c r="O131" i="2"/>
  <c r="Q113" i="2"/>
  <c r="Q114" i="2" s="1"/>
  <c r="R129" i="2"/>
  <c r="BE129" i="2" s="1"/>
  <c r="AN109" i="2"/>
  <c r="R111" i="2"/>
  <c r="R113" i="2" s="1"/>
  <c r="R114" i="2" s="1"/>
  <c r="R104" i="2"/>
  <c r="R105" i="2" s="1"/>
  <c r="S96" i="2"/>
  <c r="S104" i="2" s="1"/>
  <c r="S105" i="2" s="1"/>
  <c r="S102" i="2"/>
  <c r="S94" i="2"/>
  <c r="S125" i="2" s="1"/>
  <c r="S95" i="2"/>
  <c r="S134" i="2" s="1"/>
  <c r="T93" i="2"/>
  <c r="S91" i="2"/>
  <c r="R116" i="2"/>
  <c r="BE119" i="2" l="1"/>
  <c r="S110" i="2"/>
  <c r="P131" i="2"/>
  <c r="T136" i="2"/>
  <c r="T175" i="2"/>
  <c r="S127" i="2"/>
  <c r="O132" i="2"/>
  <c r="Q118" i="2"/>
  <c r="S101" i="2"/>
  <c r="S129" i="2"/>
  <c r="R130" i="2"/>
  <c r="R118" i="2"/>
  <c r="AO109" i="2"/>
  <c r="S111" i="2"/>
  <c r="S113" i="2" s="1"/>
  <c r="S114" i="2" s="1"/>
  <c r="S118" i="2" s="1"/>
  <c r="T96" i="2"/>
  <c r="T104" i="2" s="1"/>
  <c r="T105" i="2" s="1"/>
  <c r="T97" i="2"/>
  <c r="T102" i="2" s="1"/>
  <c r="T94" i="2"/>
  <c r="T125" i="2" s="1"/>
  <c r="T95" i="2"/>
  <c r="S116" i="2"/>
  <c r="T91" i="2"/>
  <c r="U93" i="2"/>
  <c r="T110" i="2" l="1"/>
  <c r="S103" i="2"/>
  <c r="S119" i="2" s="1"/>
  <c r="S121" i="2" s="1"/>
  <c r="S122" i="2" s="1"/>
  <c r="T134" i="2"/>
  <c r="P132" i="2"/>
  <c r="T127" i="2"/>
  <c r="S130" i="2"/>
  <c r="Q121" i="2"/>
  <c r="Q122" i="2" s="1"/>
  <c r="BE118" i="2"/>
  <c r="BE121" i="2" s="1"/>
  <c r="BE122" i="2" s="1"/>
  <c r="U136" i="2"/>
  <c r="U175" i="2"/>
  <c r="Q123" i="2"/>
  <c r="T129" i="2"/>
  <c r="T130" i="2" s="1"/>
  <c r="T101" i="2"/>
  <c r="T103" i="2" s="1"/>
  <c r="T119" i="2" s="1"/>
  <c r="S123" i="2"/>
  <c r="R121" i="2"/>
  <c r="R122" i="2" s="1"/>
  <c r="R123" i="2"/>
  <c r="AP109" i="2"/>
  <c r="T111" i="2"/>
  <c r="T113" i="2" s="1"/>
  <c r="T114" i="2" s="1"/>
  <c r="T118" i="2" s="1"/>
  <c r="U96" i="2"/>
  <c r="U101" i="2" s="1"/>
  <c r="U97" i="2"/>
  <c r="U102" i="2" s="1"/>
  <c r="U95" i="2"/>
  <c r="U110" i="2" s="1"/>
  <c r="U94" i="2"/>
  <c r="U125" i="2" s="1"/>
  <c r="U127" i="2" s="1"/>
  <c r="U91" i="2"/>
  <c r="T116" i="2"/>
  <c r="V93" i="2"/>
  <c r="U134" i="2" l="1"/>
  <c r="BE123" i="2"/>
  <c r="Q131" i="2"/>
  <c r="V136" i="2"/>
  <c r="V175" i="2"/>
  <c r="S131" i="2"/>
  <c r="R131" i="2"/>
  <c r="F151" i="2" s="1"/>
  <c r="U129" i="2"/>
  <c r="T121" i="2"/>
  <c r="T122" i="2" s="1"/>
  <c r="T123" i="2"/>
  <c r="AQ109" i="2"/>
  <c r="U111" i="2"/>
  <c r="U113" i="2" s="1"/>
  <c r="U114" i="2" s="1"/>
  <c r="U104" i="2"/>
  <c r="U105" i="2" s="1"/>
  <c r="U103" i="2"/>
  <c r="U119" i="2" s="1"/>
  <c r="V97" i="2"/>
  <c r="V102" i="2" s="1"/>
  <c r="V96" i="2"/>
  <c r="V101" i="2" s="1"/>
  <c r="V95" i="2"/>
  <c r="V110" i="2" s="1"/>
  <c r="V94" i="2"/>
  <c r="V125" i="2" s="1"/>
  <c r="W93" i="2"/>
  <c r="U116" i="2"/>
  <c r="V91" i="2"/>
  <c r="E151" i="2" l="1"/>
  <c r="Q132" i="2"/>
  <c r="V127" i="2"/>
  <c r="BF127" i="2" s="1"/>
  <c r="W136" i="2"/>
  <c r="W175" i="2"/>
  <c r="R132" i="2"/>
  <c r="S132" i="2"/>
  <c r="U118" i="2"/>
  <c r="U123" i="2" s="1"/>
  <c r="T131" i="2"/>
  <c r="V129" i="2"/>
  <c r="V130" i="2" s="1"/>
  <c r="U130" i="2"/>
  <c r="AR109" i="2"/>
  <c r="V111" i="2"/>
  <c r="V113" i="2" s="1"/>
  <c r="V114" i="2" s="1"/>
  <c r="V104" i="2"/>
  <c r="V105" i="2" s="1"/>
  <c r="V103" i="2"/>
  <c r="V119" i="2" s="1"/>
  <c r="W96" i="2"/>
  <c r="W101" i="2" s="1"/>
  <c r="W97" i="2"/>
  <c r="W102" i="2" s="1"/>
  <c r="W95" i="2"/>
  <c r="W110" i="2" s="1"/>
  <c r="W94" i="2"/>
  <c r="W125" i="2" s="1"/>
  <c r="W127" i="2" s="1"/>
  <c r="W91" i="2"/>
  <c r="V116" i="2"/>
  <c r="X93" i="2"/>
  <c r="BF130" i="2" l="1"/>
  <c r="W134" i="2"/>
  <c r="BF129" i="2"/>
  <c r="W129" i="2"/>
  <c r="U121" i="2"/>
  <c r="U122" i="2" s="1"/>
  <c r="X136" i="2"/>
  <c r="X175" i="2"/>
  <c r="T132" i="2"/>
  <c r="V118" i="2"/>
  <c r="AS109" i="2"/>
  <c r="W111" i="2"/>
  <c r="W113" i="2" s="1"/>
  <c r="W114" i="2" s="1"/>
  <c r="W104" i="2"/>
  <c r="W105" i="2" s="1"/>
  <c r="W103" i="2"/>
  <c r="W119" i="2" s="1"/>
  <c r="X97" i="2"/>
  <c r="X102" i="2" s="1"/>
  <c r="X96" i="2"/>
  <c r="X101" i="2" s="1"/>
  <c r="X95" i="2"/>
  <c r="X110" i="2" s="1"/>
  <c r="X94" i="2"/>
  <c r="X125" i="2" s="1"/>
  <c r="W116" i="2"/>
  <c r="Y93" i="2"/>
  <c r="X91" i="2"/>
  <c r="X134" i="2" l="1"/>
  <c r="W130" i="2"/>
  <c r="U131" i="2"/>
  <c r="Q152" i="2" s="1"/>
  <c r="Y136" i="2"/>
  <c r="Y175" i="2"/>
  <c r="W118" i="2"/>
  <c r="X127" i="2"/>
  <c r="X129" i="2"/>
  <c r="V121" i="2"/>
  <c r="V122" i="2" s="1"/>
  <c r="V123" i="2"/>
  <c r="AT109" i="2"/>
  <c r="X111" i="2"/>
  <c r="X113" i="2" s="1"/>
  <c r="X114" i="2" s="1"/>
  <c r="X104" i="2"/>
  <c r="X105" i="2" s="1"/>
  <c r="X103" i="2"/>
  <c r="X119" i="2" s="1"/>
  <c r="Y97" i="2"/>
  <c r="Y102" i="2" s="1"/>
  <c r="Y96" i="2"/>
  <c r="Y101" i="2" s="1"/>
  <c r="Y95" i="2"/>
  <c r="Y110" i="2" s="1"/>
  <c r="Y94" i="2"/>
  <c r="Y125" i="2" s="1"/>
  <c r="X116" i="2"/>
  <c r="Y91" i="2"/>
  <c r="Z93" i="2"/>
  <c r="U132" i="2" l="1"/>
  <c r="Y134" i="2"/>
  <c r="W121" i="2"/>
  <c r="Y127" i="2"/>
  <c r="W123" i="2"/>
  <c r="Z136" i="2"/>
  <c r="Z175" i="2"/>
  <c r="V131" i="2"/>
  <c r="Y129" i="2"/>
  <c r="Y130" i="2" s="1"/>
  <c r="X130" i="2"/>
  <c r="X118" i="2"/>
  <c r="AU109" i="2"/>
  <c r="Y111" i="2"/>
  <c r="Y113" i="2" s="1"/>
  <c r="Y114" i="2" s="1"/>
  <c r="Y104" i="2"/>
  <c r="Y105" i="2" s="1"/>
  <c r="Y103" i="2"/>
  <c r="Y119" i="2" s="1"/>
  <c r="Z97" i="2"/>
  <c r="Z102" i="2" s="1"/>
  <c r="Z96" i="2"/>
  <c r="Z101" i="2" s="1"/>
  <c r="Z95" i="2"/>
  <c r="Z110" i="2" s="1"/>
  <c r="Z94" i="2"/>
  <c r="Z125" i="2" s="1"/>
  <c r="Y116" i="2"/>
  <c r="AA93" i="2"/>
  <c r="Z91" i="2"/>
  <c r="W131" i="2" l="1"/>
  <c r="W122" i="2"/>
  <c r="Z127" i="2"/>
  <c r="AA136" i="2"/>
  <c r="AA175" i="2"/>
  <c r="W132" i="2"/>
  <c r="V132" i="2"/>
  <c r="Z129" i="2"/>
  <c r="Z130" i="2" s="1"/>
  <c r="BG130" i="2" s="1"/>
  <c r="Y118" i="2"/>
  <c r="X121" i="2"/>
  <c r="X122" i="2" s="1"/>
  <c r="X123" i="2"/>
  <c r="AV109" i="2"/>
  <c r="Z111" i="2"/>
  <c r="Z113" i="2" s="1"/>
  <c r="Z114" i="2" s="1"/>
  <c r="Z104" i="2"/>
  <c r="Z105" i="2" s="1"/>
  <c r="Z103" i="2"/>
  <c r="Z119" i="2" s="1"/>
  <c r="AA97" i="2"/>
  <c r="AA102" i="2" s="1"/>
  <c r="AA96" i="2"/>
  <c r="AA101" i="2" s="1"/>
  <c r="AA95" i="2"/>
  <c r="AA110" i="2" s="1"/>
  <c r="AA94" i="2"/>
  <c r="AA125" i="2" s="1"/>
  <c r="Z116" i="2"/>
  <c r="AA91" i="2"/>
  <c r="AB93" i="2"/>
  <c r="AA127" i="2" l="1"/>
  <c r="AA134" i="2"/>
  <c r="AB136" i="2"/>
  <c r="AB175" i="2"/>
  <c r="X131" i="2"/>
  <c r="AA129" i="2"/>
  <c r="Z118" i="2"/>
  <c r="Y121" i="2"/>
  <c r="Y122" i="2" s="1"/>
  <c r="Y123" i="2"/>
  <c r="AW109" i="2"/>
  <c r="AA111" i="2"/>
  <c r="AA113" i="2" s="1"/>
  <c r="AA114" i="2" s="1"/>
  <c r="AA104" i="2"/>
  <c r="AA105" i="2" s="1"/>
  <c r="AA103" i="2"/>
  <c r="AA119" i="2" s="1"/>
  <c r="AB97" i="2"/>
  <c r="AB102" i="2" s="1"/>
  <c r="AB96" i="2"/>
  <c r="AB104" i="2" s="1"/>
  <c r="AB105" i="2" s="1"/>
  <c r="AB95" i="2"/>
  <c r="AB110" i="2" s="1"/>
  <c r="AB94" i="2"/>
  <c r="AB125" i="2" s="1"/>
  <c r="AB127" i="2" s="1"/>
  <c r="AA116" i="2"/>
  <c r="AC93" i="2"/>
  <c r="AB91" i="2"/>
  <c r="AB134" i="2" l="1"/>
  <c r="AA130" i="2"/>
  <c r="AC136" i="2"/>
  <c r="AC175" i="2"/>
  <c r="X132" i="2"/>
  <c r="Y131" i="2"/>
  <c r="AB129" i="2"/>
  <c r="AB130" i="2" s="1"/>
  <c r="AA118" i="2"/>
  <c r="Z121" i="2"/>
  <c r="Z122" i="2" s="1"/>
  <c r="Z123" i="2"/>
  <c r="AX109" i="2"/>
  <c r="AB111" i="2"/>
  <c r="AB113" i="2" s="1"/>
  <c r="AB114" i="2" s="1"/>
  <c r="AB118" i="2" s="1"/>
  <c r="AB101" i="2"/>
  <c r="AB103" i="2" s="1"/>
  <c r="AB119" i="2" s="1"/>
  <c r="AC96" i="2"/>
  <c r="AC104" i="2" s="1"/>
  <c r="AC105" i="2" s="1"/>
  <c r="AC97" i="2"/>
  <c r="AC102" i="2" s="1"/>
  <c r="AC94" i="2"/>
  <c r="AC125" i="2" s="1"/>
  <c r="AC95" i="2"/>
  <c r="AC110" i="2" s="1"/>
  <c r="AD93" i="2"/>
  <c r="AC91" i="2"/>
  <c r="AB116" i="2"/>
  <c r="AC134" i="2" l="1"/>
  <c r="AC127" i="2"/>
  <c r="AD136" i="2"/>
  <c r="AD175" i="2"/>
  <c r="Y132" i="2"/>
  <c r="Z131" i="2"/>
  <c r="AC129" i="2"/>
  <c r="AC130" i="2" s="1"/>
  <c r="AC101" i="2"/>
  <c r="AC103" i="2" s="1"/>
  <c r="AC119" i="2" s="1"/>
  <c r="AB121" i="2"/>
  <c r="AB122" i="2" s="1"/>
  <c r="AB123" i="2"/>
  <c r="AA121" i="2"/>
  <c r="AA123" i="2"/>
  <c r="AY109" i="2"/>
  <c r="AC111" i="2"/>
  <c r="AC113" i="2" s="1"/>
  <c r="AC114" i="2" s="1"/>
  <c r="AC118" i="2" s="1"/>
  <c r="AD97" i="2"/>
  <c r="AD102" i="2" s="1"/>
  <c r="AD96" i="2"/>
  <c r="AD104" i="2" s="1"/>
  <c r="AD105" i="2" s="1"/>
  <c r="AD94" i="2"/>
  <c r="AD125" i="2" s="1"/>
  <c r="AD95" i="2"/>
  <c r="AD110" i="2" s="1"/>
  <c r="AE93" i="2"/>
  <c r="AD91" i="2"/>
  <c r="AC116" i="2"/>
  <c r="AE136" i="2" l="1"/>
  <c r="AE175" i="2"/>
  <c r="AD101" i="2"/>
  <c r="AD103" i="2" s="1"/>
  <c r="AD119" i="2" s="1"/>
  <c r="Z132" i="2"/>
  <c r="AD127" i="2"/>
  <c r="AA122" i="2"/>
  <c r="AA131" i="2"/>
  <c r="AB131" i="2"/>
  <c r="AD129" i="2"/>
  <c r="BH129" i="2" s="1"/>
  <c r="AC121" i="2"/>
  <c r="AC122" i="2" s="1"/>
  <c r="AC123" i="2"/>
  <c r="AZ109" i="2"/>
  <c r="AD111" i="2"/>
  <c r="AD113" i="2" s="1"/>
  <c r="AD114" i="2" s="1"/>
  <c r="AD118" i="2" s="1"/>
  <c r="BH118" i="2" s="1"/>
  <c r="AE97" i="2"/>
  <c r="AE102" i="2" s="1"/>
  <c r="AE96" i="2"/>
  <c r="AE101" i="2" s="1"/>
  <c r="AE94" i="2"/>
  <c r="AE125" i="2" s="1"/>
  <c r="AE95" i="2"/>
  <c r="AE110" i="2" s="1"/>
  <c r="AF93" i="2"/>
  <c r="AE91" i="2"/>
  <c r="AE116" i="2" s="1"/>
  <c r="AD116" i="2"/>
  <c r="AE134" i="2" l="1"/>
  <c r="AF136" i="2"/>
  <c r="AF175" i="2"/>
  <c r="AE127" i="2"/>
  <c r="AB132" i="2"/>
  <c r="AA132" i="2"/>
  <c r="AC131" i="2"/>
  <c r="AE129" i="2"/>
  <c r="AD130" i="2"/>
  <c r="AD121" i="2"/>
  <c r="AD122" i="2" s="1"/>
  <c r="AD123" i="2"/>
  <c r="AE111" i="2"/>
  <c r="AE113" i="2" s="1"/>
  <c r="AE114" i="2" s="1"/>
  <c r="AE104" i="2"/>
  <c r="AE105" i="2" s="1"/>
  <c r="AE103" i="2"/>
  <c r="AE119" i="2" s="1"/>
  <c r="AF96" i="2"/>
  <c r="AF101" i="2" s="1"/>
  <c r="AF97" i="2"/>
  <c r="AF102" i="2" s="1"/>
  <c r="AF95" i="2"/>
  <c r="AF110" i="2" s="1"/>
  <c r="AF94" i="2"/>
  <c r="AF125" i="2" s="1"/>
  <c r="AF127" i="2" s="1"/>
  <c r="AF91" i="2"/>
  <c r="AF116" i="2" s="1"/>
  <c r="AG93" i="2"/>
  <c r="AF134" i="2" l="1"/>
  <c r="AE130" i="2"/>
  <c r="AF129" i="2"/>
  <c r="AF130" i="2" s="1"/>
  <c r="AG136" i="2"/>
  <c r="AG175" i="2"/>
  <c r="AC132" i="2"/>
  <c r="AD131" i="2"/>
  <c r="AE118" i="2"/>
  <c r="AF111" i="2"/>
  <c r="AF113" i="2" s="1"/>
  <c r="AF114" i="2" s="1"/>
  <c r="AF104" i="2"/>
  <c r="AF105" i="2" s="1"/>
  <c r="AF103" i="2"/>
  <c r="AF119" i="2" s="1"/>
  <c r="AG96" i="2"/>
  <c r="AG101" i="2" s="1"/>
  <c r="AG97" i="2"/>
  <c r="AG102" i="2" s="1"/>
  <c r="AG94" i="2"/>
  <c r="AG125" i="2" s="1"/>
  <c r="AG95" i="2"/>
  <c r="AG110" i="2" s="1"/>
  <c r="AH93" i="2"/>
  <c r="AG91" i="2"/>
  <c r="AG116" i="2" s="1"/>
  <c r="AG134" i="2" l="1"/>
  <c r="AH136" i="2"/>
  <c r="AH175" i="2"/>
  <c r="AG127" i="2"/>
  <c r="AD132" i="2"/>
  <c r="AG129" i="2"/>
  <c r="AF118" i="2"/>
  <c r="AE121" i="2"/>
  <c r="AE123" i="2"/>
  <c r="AG111" i="2"/>
  <c r="AG113" i="2" s="1"/>
  <c r="AG114" i="2" s="1"/>
  <c r="AG104" i="2"/>
  <c r="AG105" i="2" s="1"/>
  <c r="AG103" i="2"/>
  <c r="AG119" i="2" s="1"/>
  <c r="AI93" i="2"/>
  <c r="AH96" i="2"/>
  <c r="AH101" i="2" s="1"/>
  <c r="AH97" i="2"/>
  <c r="AH102" i="2" s="1"/>
  <c r="AH91" i="2"/>
  <c r="AH116" i="2" s="1"/>
  <c r="AH94" i="2"/>
  <c r="AH125" i="2" s="1"/>
  <c r="AH95" i="2"/>
  <c r="AH110" i="2" s="1"/>
  <c r="AG130" i="2" l="1"/>
  <c r="AI91" i="2"/>
  <c r="AI116" i="2" s="1"/>
  <c r="AI175" i="2"/>
  <c r="AH127" i="2"/>
  <c r="AI136" i="2"/>
  <c r="AE122" i="2"/>
  <c r="AE131" i="2"/>
  <c r="AG118" i="2"/>
  <c r="AH129" i="2"/>
  <c r="BI129" i="2" s="1"/>
  <c r="AF121" i="2"/>
  <c r="AF123" i="2"/>
  <c r="AH111" i="2"/>
  <c r="AH113" i="2" s="1"/>
  <c r="AH114" i="2" s="1"/>
  <c r="AI94" i="2"/>
  <c r="AI125" i="2" s="1"/>
  <c r="AI95" i="2"/>
  <c r="AI110" i="2" s="1"/>
  <c r="AJ93" i="2"/>
  <c r="AH104" i="2"/>
  <c r="AH105" i="2" s="1"/>
  <c r="AH103" i="2"/>
  <c r="AH119" i="2" s="1"/>
  <c r="BI119" i="2" s="1"/>
  <c r="AI97" i="2"/>
  <c r="AI102" i="2" s="1"/>
  <c r="AI96" i="2"/>
  <c r="AI101" i="2" s="1"/>
  <c r="AI134" i="2" l="1"/>
  <c r="BC162" i="2"/>
  <c r="BB176" i="2" s="1"/>
  <c r="AG121" i="2"/>
  <c r="AG122" i="2" s="1"/>
  <c r="AG123" i="2"/>
  <c r="AK93" i="2"/>
  <c r="AJ175" i="2"/>
  <c r="AE132" i="2"/>
  <c r="AI127" i="2"/>
  <c r="AJ136" i="2"/>
  <c r="AF122" i="2"/>
  <c r="AF131" i="2"/>
  <c r="AI129" i="2"/>
  <c r="AH130" i="2"/>
  <c r="AH118" i="2"/>
  <c r="AH123" i="2" s="1"/>
  <c r="AJ96" i="2"/>
  <c r="AJ101" i="2" s="1"/>
  <c r="AJ97" i="2"/>
  <c r="AJ102" i="2" s="1"/>
  <c r="AI111" i="2"/>
  <c r="AI113" i="2" s="1"/>
  <c r="AI114" i="2" s="1"/>
  <c r="AJ91" i="2"/>
  <c r="AJ116" i="2" s="1"/>
  <c r="AJ95" i="2"/>
  <c r="AJ110" i="2" s="1"/>
  <c r="AI104" i="2"/>
  <c r="AI105" i="2" s="1"/>
  <c r="AJ94" i="2"/>
  <c r="AJ125" i="2" s="1"/>
  <c r="AI103" i="2"/>
  <c r="AI119" i="2" s="1"/>
  <c r="BC177" i="2" l="1"/>
  <c r="AL93" i="2"/>
  <c r="AL175" i="2" s="1"/>
  <c r="AJ134" i="2"/>
  <c r="AJ127" i="2"/>
  <c r="AI130" i="2"/>
  <c r="AG131" i="2"/>
  <c r="AG132" i="2" s="1"/>
  <c r="BI118" i="2"/>
  <c r="BI121" i="2" s="1"/>
  <c r="AK96" i="2"/>
  <c r="AK104" i="2" s="1"/>
  <c r="AK105" i="2" s="1"/>
  <c r="AK97" i="2"/>
  <c r="AK102" i="2" s="1"/>
  <c r="AK91" i="2"/>
  <c r="AK116" i="2" s="1"/>
  <c r="AK175" i="2"/>
  <c r="AK94" i="2"/>
  <c r="AK125" i="2" s="1"/>
  <c r="AK95" i="2"/>
  <c r="AK134" i="2" s="1"/>
  <c r="AK136" i="2"/>
  <c r="AF132" i="2"/>
  <c r="AJ103" i="2"/>
  <c r="AJ119" i="2" s="1"/>
  <c r="AJ129" i="2"/>
  <c r="AJ104" i="2"/>
  <c r="AJ105" i="2" s="1"/>
  <c r="AI118" i="2"/>
  <c r="AH121" i="2"/>
  <c r="AH122" i="2" s="1"/>
  <c r="AJ111" i="2"/>
  <c r="AJ113" i="2" s="1"/>
  <c r="AJ114" i="2" s="1"/>
  <c r="AL97" i="2"/>
  <c r="AL102" i="2" s="1"/>
  <c r="AL96" i="2"/>
  <c r="AL101" i="2" s="1"/>
  <c r="AL95" i="2"/>
  <c r="AL94" i="2"/>
  <c r="AL91" i="2"/>
  <c r="AL116" i="2" s="1"/>
  <c r="AM93" i="2"/>
  <c r="AK110" i="2" l="1"/>
  <c r="AK111" i="2" s="1"/>
  <c r="AK113" i="2" s="1"/>
  <c r="AK114" i="2" s="1"/>
  <c r="AK118" i="2" s="1"/>
  <c r="AK101" i="2"/>
  <c r="AK103" i="2" s="1"/>
  <c r="AK119" i="2" s="1"/>
  <c r="AK127" i="2"/>
  <c r="AM175" i="2"/>
  <c r="AL136" i="2"/>
  <c r="AM136" i="2" s="1"/>
  <c r="AJ118" i="2"/>
  <c r="AJ121" i="2" s="1"/>
  <c r="AJ122" i="2" s="1"/>
  <c r="AH131" i="2"/>
  <c r="AK129" i="2"/>
  <c r="AJ130" i="2"/>
  <c r="AL125" i="2"/>
  <c r="AL127" i="2" s="1"/>
  <c r="AI121" i="2"/>
  <c r="AI123" i="2"/>
  <c r="AL104" i="2"/>
  <c r="AL105" i="2" s="1"/>
  <c r="AL103" i="2"/>
  <c r="AL119" i="2" s="1"/>
  <c r="AM96" i="2"/>
  <c r="AM104" i="2" s="1"/>
  <c r="AM105" i="2" s="1"/>
  <c r="AM97" i="2"/>
  <c r="AM102" i="2" s="1"/>
  <c r="AM94" i="2"/>
  <c r="AM95" i="2"/>
  <c r="AM134" i="2" s="1"/>
  <c r="AM91" i="2"/>
  <c r="AM116" i="2" s="1"/>
  <c r="AN93" i="2"/>
  <c r="AL110" i="2" l="1"/>
  <c r="AL111" i="2" s="1"/>
  <c r="AL113" i="2" s="1"/>
  <c r="AL114" i="2" s="1"/>
  <c r="AL118" i="2" s="1"/>
  <c r="BJ118" i="2" s="1"/>
  <c r="BJ119" i="2"/>
  <c r="BJ127" i="2"/>
  <c r="AN175" i="2"/>
  <c r="AJ123" i="2"/>
  <c r="AH132" i="2"/>
  <c r="AN136" i="2"/>
  <c r="AI122" i="2"/>
  <c r="AI131" i="2"/>
  <c r="AJ131" i="2"/>
  <c r="AL129" i="2"/>
  <c r="AL130" i="2" s="1"/>
  <c r="AK130" i="2"/>
  <c r="AM125" i="2"/>
  <c r="AM127" i="2" s="1"/>
  <c r="AK121" i="2"/>
  <c r="AK122" i="2" s="1"/>
  <c r="AK123" i="2"/>
  <c r="AM101" i="2"/>
  <c r="AM103" i="2" s="1"/>
  <c r="AM119" i="2" s="1"/>
  <c r="AN96" i="2"/>
  <c r="AN104" i="2" s="1"/>
  <c r="AN105" i="2" s="1"/>
  <c r="AN97" i="2"/>
  <c r="AN102" i="2" s="1"/>
  <c r="AN94" i="2"/>
  <c r="AN95" i="2"/>
  <c r="AN134" i="2" s="1"/>
  <c r="AN91" i="2"/>
  <c r="AN116" i="2" s="1"/>
  <c r="AO93" i="2"/>
  <c r="AM110" i="2" l="1"/>
  <c r="AN110" i="2" s="1"/>
  <c r="BJ121" i="2"/>
  <c r="BJ122" i="2" s="1"/>
  <c r="BJ130" i="2"/>
  <c r="AO175" i="2"/>
  <c r="AI132" i="2"/>
  <c r="AJ132" i="2"/>
  <c r="AO136" i="2"/>
  <c r="AK131" i="2"/>
  <c r="AM129" i="2"/>
  <c r="AN101" i="2"/>
  <c r="AN103" i="2" s="1"/>
  <c r="AN119" i="2" s="1"/>
  <c r="AN125" i="2"/>
  <c r="AN127" i="2" s="1"/>
  <c r="AL121" i="2"/>
  <c r="AL122" i="2" s="1"/>
  <c r="AL123" i="2"/>
  <c r="AO97" i="2"/>
  <c r="AO102" i="2" s="1"/>
  <c r="AO96" i="2"/>
  <c r="AO101" i="2" s="1"/>
  <c r="AO95" i="2"/>
  <c r="AO134" i="2" s="1"/>
  <c r="AO94" i="2"/>
  <c r="AP93" i="2"/>
  <c r="AO91" i="2"/>
  <c r="AO116" i="2" s="1"/>
  <c r="F5" i="4"/>
  <c r="AM111" i="2" l="1"/>
  <c r="AM113" i="2" s="1"/>
  <c r="AM114" i="2" s="1"/>
  <c r="AM118" i="2" s="1"/>
  <c r="AM123" i="2" s="1"/>
  <c r="BJ131" i="2"/>
  <c r="BJ132" i="2" s="1"/>
  <c r="AM130" i="2"/>
  <c r="AP175" i="2"/>
  <c r="AK132" i="2"/>
  <c r="AP136" i="2"/>
  <c r="AL131" i="2"/>
  <c r="AN129" i="2"/>
  <c r="AN130" i="2" s="1"/>
  <c r="AO125" i="2"/>
  <c r="AO127" i="2" s="1"/>
  <c r="AO110" i="2"/>
  <c r="AN111" i="2"/>
  <c r="AN113" i="2" s="1"/>
  <c r="AN114" i="2" s="1"/>
  <c r="AN118" i="2" s="1"/>
  <c r="AO104" i="2"/>
  <c r="AO105" i="2" s="1"/>
  <c r="AO103" i="2"/>
  <c r="AO119" i="2" s="1"/>
  <c r="AP96" i="2"/>
  <c r="AP101" i="2" s="1"/>
  <c r="AP97" i="2"/>
  <c r="AP102" i="2" s="1"/>
  <c r="AP95" i="2"/>
  <c r="AP94" i="2"/>
  <c r="AP91" i="2"/>
  <c r="AP116" i="2" s="1"/>
  <c r="AQ93" i="2"/>
  <c r="F6" i="4"/>
  <c r="F11" i="4" s="1"/>
  <c r="AM121" i="2" l="1"/>
  <c r="AM122" i="2" s="1"/>
  <c r="AQ175" i="2"/>
  <c r="AL132" i="2"/>
  <c r="AQ136" i="2"/>
  <c r="AO129" i="2"/>
  <c r="AP125" i="2"/>
  <c r="AP127" i="2" s="1"/>
  <c r="AN121" i="2"/>
  <c r="AN122" i="2" s="1"/>
  <c r="AN123" i="2"/>
  <c r="AP110" i="2"/>
  <c r="AO111" i="2"/>
  <c r="AO113" i="2" s="1"/>
  <c r="AO114" i="2" s="1"/>
  <c r="AO118" i="2" s="1"/>
  <c r="AP104" i="2"/>
  <c r="AP105" i="2" s="1"/>
  <c r="AP103" i="2"/>
  <c r="AP119" i="2" s="1"/>
  <c r="AQ96" i="2"/>
  <c r="AQ101" i="2" s="1"/>
  <c r="AQ97" i="2"/>
  <c r="AQ102" i="2" s="1"/>
  <c r="AQ95" i="2"/>
  <c r="AQ134" i="2" s="1"/>
  <c r="AQ94" i="2"/>
  <c r="AQ91" i="2"/>
  <c r="AQ116" i="2" s="1"/>
  <c r="AR93" i="2"/>
  <c r="G5" i="4"/>
  <c r="AM131" i="2" l="1"/>
  <c r="AM132" i="2" s="1"/>
  <c r="AO130" i="2"/>
  <c r="AR175" i="2"/>
  <c r="AR136" i="2"/>
  <c r="AN131" i="2"/>
  <c r="AP129" i="2"/>
  <c r="AP130" i="2" s="1"/>
  <c r="AQ125" i="2"/>
  <c r="AQ127" i="2" s="1"/>
  <c r="AO121" i="2"/>
  <c r="AO122" i="2" s="1"/>
  <c r="AO123" i="2"/>
  <c r="AQ110" i="2"/>
  <c r="AP111" i="2"/>
  <c r="AP113" i="2" s="1"/>
  <c r="AP114" i="2" s="1"/>
  <c r="AP118" i="2" s="1"/>
  <c r="AQ104" i="2"/>
  <c r="AQ105" i="2" s="1"/>
  <c r="AQ103" i="2"/>
  <c r="AQ119" i="2" s="1"/>
  <c r="AR96" i="2"/>
  <c r="AR101" i="2" s="1"/>
  <c r="AR97" i="2"/>
  <c r="AR102" i="2" s="1"/>
  <c r="AR95" i="2"/>
  <c r="AR134" i="2" s="1"/>
  <c r="AR94" i="2"/>
  <c r="AS93" i="2"/>
  <c r="AR91" i="2"/>
  <c r="AR116" i="2" s="1"/>
  <c r="G6" i="4"/>
  <c r="G11" i="4" s="1"/>
  <c r="BK129" i="2" l="1"/>
  <c r="BK130" i="2"/>
  <c r="AS175" i="2"/>
  <c r="AN132" i="2"/>
  <c r="AS136" i="2"/>
  <c r="AO131" i="2"/>
  <c r="AQ129" i="2"/>
  <c r="AR125" i="2"/>
  <c r="AR127" i="2" s="1"/>
  <c r="AP121" i="2"/>
  <c r="AP122" i="2" s="1"/>
  <c r="AP123" i="2"/>
  <c r="AR110" i="2"/>
  <c r="AQ111" i="2"/>
  <c r="AQ113" i="2" s="1"/>
  <c r="AQ114" i="2" s="1"/>
  <c r="AQ118" i="2" s="1"/>
  <c r="AR104" i="2"/>
  <c r="AR105" i="2" s="1"/>
  <c r="AR103" i="2"/>
  <c r="AR119" i="2" s="1"/>
  <c r="AS97" i="2"/>
  <c r="AS102" i="2" s="1"/>
  <c r="AS96" i="2"/>
  <c r="AS101" i="2" s="1"/>
  <c r="AS95" i="2"/>
  <c r="AS134" i="2" s="1"/>
  <c r="AS94" i="2"/>
  <c r="AS91" i="2"/>
  <c r="AS116" i="2" s="1"/>
  <c r="AT93" i="2"/>
  <c r="AT175" i="2" s="1"/>
  <c r="H5" i="4"/>
  <c r="AQ130" i="2" l="1"/>
  <c r="AU93" i="2"/>
  <c r="AO132" i="2"/>
  <c r="AT136" i="2"/>
  <c r="AP131" i="2"/>
  <c r="AR129" i="2"/>
  <c r="AR130" i="2" s="1"/>
  <c r="AS125" i="2"/>
  <c r="AS127" i="2" s="1"/>
  <c r="AQ121" i="2"/>
  <c r="AQ122" i="2" s="1"/>
  <c r="AQ123" i="2"/>
  <c r="AS110" i="2"/>
  <c r="AR111" i="2"/>
  <c r="AR113" i="2" s="1"/>
  <c r="AR114" i="2" s="1"/>
  <c r="AR118" i="2" s="1"/>
  <c r="AS104" i="2"/>
  <c r="AS105" i="2" s="1"/>
  <c r="AS103" i="2"/>
  <c r="AS119" i="2" s="1"/>
  <c r="AT97" i="2"/>
  <c r="AT102" i="2" s="1"/>
  <c r="AT96" i="2"/>
  <c r="AT101" i="2" s="1"/>
  <c r="AT95" i="2"/>
  <c r="AT94" i="2"/>
  <c r="AT91" i="2"/>
  <c r="AT116" i="2" s="1"/>
  <c r="I5" i="4"/>
  <c r="AV93" i="2" l="1"/>
  <c r="AV94" i="2" s="1"/>
  <c r="AU175" i="2"/>
  <c r="AU94" i="2"/>
  <c r="AU95" i="2"/>
  <c r="AU134" i="2" s="1"/>
  <c r="AU96" i="2"/>
  <c r="AU104" i="2" s="1"/>
  <c r="AU105" i="2" s="1"/>
  <c r="AU91" i="2"/>
  <c r="AU116" i="2" s="1"/>
  <c r="AU97" i="2"/>
  <c r="AU102" i="2" s="1"/>
  <c r="AU136" i="2"/>
  <c r="AP132" i="2"/>
  <c r="AQ131" i="2"/>
  <c r="AS129" i="2"/>
  <c r="AT125" i="2"/>
  <c r="AT127" i="2" s="1"/>
  <c r="AR121" i="2"/>
  <c r="AR122" i="2" s="1"/>
  <c r="AR123" i="2"/>
  <c r="AT110" i="2"/>
  <c r="AS111" i="2"/>
  <c r="AS113" i="2" s="1"/>
  <c r="AS114" i="2" s="1"/>
  <c r="AS118" i="2" s="1"/>
  <c r="AT104" i="2"/>
  <c r="AT105" i="2" s="1"/>
  <c r="AT103" i="2"/>
  <c r="AT119" i="2" s="1"/>
  <c r="BL119" i="2" s="1"/>
  <c r="J5" i="4"/>
  <c r="AV91" i="2" l="1"/>
  <c r="AV116" i="2" s="1"/>
  <c r="AV175" i="2"/>
  <c r="AV96" i="2"/>
  <c r="AV101" i="2" s="1"/>
  <c r="AW93" i="2"/>
  <c r="AW175" i="2" s="1"/>
  <c r="AV95" i="2"/>
  <c r="AV134" i="2" s="1"/>
  <c r="AV97" i="2"/>
  <c r="AV102" i="2" s="1"/>
  <c r="AS130" i="2"/>
  <c r="AU101" i="2"/>
  <c r="AU103" i="2" s="1"/>
  <c r="AU119" i="2" s="1"/>
  <c r="AV136" i="2"/>
  <c r="AQ132" i="2"/>
  <c r="AR131" i="2"/>
  <c r="AT129" i="2"/>
  <c r="AT130" i="2" s="1"/>
  <c r="AU125" i="2"/>
  <c r="AU127" i="2" s="1"/>
  <c r="AS121" i="2"/>
  <c r="AS122" i="2" s="1"/>
  <c r="AS123" i="2"/>
  <c r="AU110" i="2"/>
  <c r="AT111" i="2"/>
  <c r="AT113" i="2" s="1"/>
  <c r="AT114" i="2" s="1"/>
  <c r="AT118" i="2" s="1"/>
  <c r="AX93" i="2"/>
  <c r="K5" i="4"/>
  <c r="AV103" i="2" l="1"/>
  <c r="AV119" i="2" s="1"/>
  <c r="AW94" i="2"/>
  <c r="AW95" i="2"/>
  <c r="AW134" i="2" s="1"/>
  <c r="AW96" i="2"/>
  <c r="AW101" i="2" s="1"/>
  <c r="AW97" i="2"/>
  <c r="AW102" i="2" s="1"/>
  <c r="AW91" i="2"/>
  <c r="AW116" i="2" s="1"/>
  <c r="AW136" i="2"/>
  <c r="AX136" i="2" s="1"/>
  <c r="AV104" i="2"/>
  <c r="AV105" i="2" s="1"/>
  <c r="BL129" i="2"/>
  <c r="BL130" i="2"/>
  <c r="AX175" i="2"/>
  <c r="AR132" i="2"/>
  <c r="AS131" i="2"/>
  <c r="AU129" i="2"/>
  <c r="AV125" i="2"/>
  <c r="AV127" i="2" s="1"/>
  <c r="AT121" i="2"/>
  <c r="AT122" i="2" s="1"/>
  <c r="AT123" i="2"/>
  <c r="BL123" i="2" s="1"/>
  <c r="AV110" i="2"/>
  <c r="AU111" i="2"/>
  <c r="AU113" i="2" s="1"/>
  <c r="AU114" i="2" s="1"/>
  <c r="AU118" i="2" s="1"/>
  <c r="AW104" i="2"/>
  <c r="AW105" i="2" s="1"/>
  <c r="AY93" i="2"/>
  <c r="AX91" i="2"/>
  <c r="AX116" i="2" s="1"/>
  <c r="AX96" i="2"/>
  <c r="AX104" i="2" s="1"/>
  <c r="AX105" i="2" s="1"/>
  <c r="AX94" i="2"/>
  <c r="AX97" i="2"/>
  <c r="AX102" i="2" s="1"/>
  <c r="AX95" i="2"/>
  <c r="L5" i="4"/>
  <c r="AW103" i="2" l="1"/>
  <c r="AW119" i="2" s="1"/>
  <c r="AY175" i="2"/>
  <c r="AS132" i="2"/>
  <c r="AY136" i="2"/>
  <c r="AT131" i="2"/>
  <c r="AU130" i="2"/>
  <c r="AV129" i="2"/>
  <c r="AW125" i="2"/>
  <c r="AW127" i="2" s="1"/>
  <c r="AU121" i="2"/>
  <c r="AU122" i="2" s="1"/>
  <c r="AU123" i="2"/>
  <c r="AW110" i="2"/>
  <c r="AV111" i="2"/>
  <c r="AV113" i="2" s="1"/>
  <c r="AV114" i="2" s="1"/>
  <c r="AV118" i="2" s="1"/>
  <c r="AX101" i="2"/>
  <c r="AX103" i="2" s="1"/>
  <c r="AX119" i="2" s="1"/>
  <c r="AY91" i="2"/>
  <c r="AY116" i="2" s="1"/>
  <c r="AZ93" i="2"/>
  <c r="AY94" i="2"/>
  <c r="AY95" i="2"/>
  <c r="AY134" i="2" s="1"/>
  <c r="AY97" i="2"/>
  <c r="AY102" i="2" s="1"/>
  <c r="AY96" i="2"/>
  <c r="AY101" i="2" s="1"/>
  <c r="M5" i="4"/>
  <c r="AZ175" i="2" l="1"/>
  <c r="AT132" i="2"/>
  <c r="AZ136" i="2"/>
  <c r="AU131" i="2"/>
  <c r="AV130" i="2"/>
  <c r="AW129" i="2"/>
  <c r="AX125" i="2"/>
  <c r="AX127" i="2" s="1"/>
  <c r="AV121" i="2"/>
  <c r="AV122" i="2" s="1"/>
  <c r="AV123" i="2"/>
  <c r="AX110" i="2"/>
  <c r="AW111" i="2"/>
  <c r="AW113" i="2" s="1"/>
  <c r="AW114" i="2" s="1"/>
  <c r="AW118" i="2" s="1"/>
  <c r="AY103" i="2"/>
  <c r="AY119" i="2" s="1"/>
  <c r="AY104" i="2"/>
  <c r="AY105" i="2" s="1"/>
  <c r="AZ91" i="2"/>
  <c r="AZ116" i="2" s="1"/>
  <c r="AZ94" i="2"/>
  <c r="AZ95" i="2"/>
  <c r="AZ134" i="2" s="1"/>
  <c r="AZ97" i="2"/>
  <c r="AZ102" i="2" s="1"/>
  <c r="AZ96" i="2"/>
  <c r="AZ101" i="2" s="1"/>
  <c r="M6" i="4"/>
  <c r="M11" i="4" s="1"/>
  <c r="BD136" i="2" l="1"/>
  <c r="BC136" i="2"/>
  <c r="BE136" i="2"/>
  <c r="BF136" i="2"/>
  <c r="BG136" i="2"/>
  <c r="BH136" i="2"/>
  <c r="BI136" i="2"/>
  <c r="BJ136" i="2"/>
  <c r="BK136" i="2"/>
  <c r="BL136" i="2"/>
  <c r="AU132" i="2"/>
  <c r="AV131" i="2"/>
  <c r="AW130" i="2"/>
  <c r="AX129" i="2"/>
  <c r="AY125" i="2"/>
  <c r="AY127" i="2" s="1"/>
  <c r="AW121" i="2"/>
  <c r="AW122" i="2" s="1"/>
  <c r="AW123" i="2"/>
  <c r="AY110" i="2"/>
  <c r="AX111" i="2"/>
  <c r="AX113" i="2" s="1"/>
  <c r="AX114" i="2" s="1"/>
  <c r="AX118" i="2" s="1"/>
  <c r="AZ103" i="2"/>
  <c r="AZ119" i="2" s="1"/>
  <c r="AZ104" i="2"/>
  <c r="AZ105" i="2" s="1"/>
  <c r="N5" i="4"/>
  <c r="BF119" i="2" l="1"/>
  <c r="BG119" i="2"/>
  <c r="BH119" i="2"/>
  <c r="BH121" i="2" s="1"/>
  <c r="BK119" i="2"/>
  <c r="AV132" i="2"/>
  <c r="AW131" i="2"/>
  <c r="AX130" i="2"/>
  <c r="AY129" i="2"/>
  <c r="AZ125" i="2"/>
  <c r="AZ127" i="2" s="1"/>
  <c r="AX121" i="2"/>
  <c r="AX123" i="2"/>
  <c r="AZ110" i="2"/>
  <c r="AZ111" i="2" s="1"/>
  <c r="AZ113" i="2" s="1"/>
  <c r="AZ114" i="2" s="1"/>
  <c r="AZ118" i="2" s="1"/>
  <c r="AY111" i="2"/>
  <c r="AY113" i="2" s="1"/>
  <c r="AY114" i="2" s="1"/>
  <c r="AY118" i="2" s="1"/>
  <c r="H6" i="4"/>
  <c r="I6" i="4"/>
  <c r="I11" i="4" s="1"/>
  <c r="J6" i="4"/>
  <c r="J11" i="4" s="1"/>
  <c r="K6" i="4"/>
  <c r="K11" i="4" s="1"/>
  <c r="L6" i="4"/>
  <c r="L11" i="4" s="1"/>
  <c r="N6" i="4"/>
  <c r="N11" i="4" s="1"/>
  <c r="BF118" i="2" l="1"/>
  <c r="BF121" i="2" s="1"/>
  <c r="BG118" i="2"/>
  <c r="BG121" i="2" s="1"/>
  <c r="BH122" i="2" s="1"/>
  <c r="BK118" i="2"/>
  <c r="BK121" i="2" s="1"/>
  <c r="BK122" i="2" s="1"/>
  <c r="BL118" i="2"/>
  <c r="BL121" i="2" s="1"/>
  <c r="BI122" i="2"/>
  <c r="BC127" i="2"/>
  <c r="BC131" i="2" s="1"/>
  <c r="BE127" i="2"/>
  <c r="BG127" i="2"/>
  <c r="BH127" i="2"/>
  <c r="BI127" i="2"/>
  <c r="BK127" i="2"/>
  <c r="BL127" i="2"/>
  <c r="AX122" i="2"/>
  <c r="AW132" i="2"/>
  <c r="AX131" i="2"/>
  <c r="AY130" i="2"/>
  <c r="AZ129" i="2"/>
  <c r="AY121" i="2"/>
  <c r="AY123" i="2"/>
  <c r="AZ121" i="2"/>
  <c r="AZ122" i="2" s="1"/>
  <c r="AZ123" i="2"/>
  <c r="BD123" i="2" s="1"/>
  <c r="H11" i="4"/>
  <c r="BG131" i="2" l="1"/>
  <c r="BK131" i="2"/>
  <c r="BL131" i="2"/>
  <c r="BL132" i="2" s="1"/>
  <c r="BL122" i="2"/>
  <c r="BG122" i="2"/>
  <c r="BF123" i="2"/>
  <c r="BG123" i="2"/>
  <c r="BH123" i="2"/>
  <c r="BI123" i="2"/>
  <c r="BJ123" i="2"/>
  <c r="BK123" i="2"/>
  <c r="AZ130" i="2"/>
  <c r="AZ131" i="2" s="1"/>
  <c r="BC129" i="2"/>
  <c r="BG129" i="2"/>
  <c r="BJ129" i="2"/>
  <c r="BF122" i="2"/>
  <c r="BF131" i="2"/>
  <c r="AY122" i="2"/>
  <c r="AX132" i="2"/>
  <c r="AY131" i="2"/>
  <c r="O6" i="4"/>
  <c r="O5" i="4"/>
  <c r="O10" i="4" s="1"/>
  <c r="P10" i="4" s="1"/>
  <c r="F10" i="4" s="1"/>
  <c r="G10" i="4" s="1"/>
  <c r="H10" i="4" s="1"/>
  <c r="I10" i="4" s="1"/>
  <c r="J10" i="4" s="1"/>
  <c r="K10" i="4" s="1"/>
  <c r="L10" i="4" s="1"/>
  <c r="M10" i="4" s="1"/>
  <c r="N10" i="4" s="1"/>
  <c r="BK132" i="2" l="1"/>
  <c r="BF132" i="2"/>
  <c r="BG132" i="2"/>
  <c r="BE130" i="2"/>
  <c r="BE131" i="2" s="1"/>
  <c r="BE132" i="2" s="1"/>
  <c r="BH130" i="2"/>
  <c r="BH131" i="2" s="1"/>
  <c r="BI130" i="2"/>
  <c r="BI131" i="2" s="1"/>
  <c r="AZ132" i="2"/>
  <c r="AY132" i="2"/>
  <c r="O11" i="4"/>
  <c r="Q13" i="4"/>
  <c r="Q11" i="4"/>
  <c r="R11" i="4"/>
  <c r="BI132" i="2" l="1"/>
  <c r="BH132" i="2"/>
  <c r="BD176" i="2" l="1"/>
  <c r="BD177" i="2" s="1"/>
  <c r="BD162" i="2" l="1"/>
  <c r="K178" i="2" l="1"/>
  <c r="P32" i="5" s="1"/>
  <c r="K180" i="2" l="1"/>
  <c r="L178" i="2"/>
  <c r="S32" i="5" s="1"/>
  <c r="L180" i="2" l="1"/>
  <c r="P34" i="5"/>
  <c r="M178" i="2"/>
  <c r="V32" i="5" s="1"/>
  <c r="M180" i="2" l="1"/>
  <c r="S34" i="5"/>
  <c r="N178" i="2"/>
  <c r="Y32" i="5" s="1"/>
  <c r="N180" i="2" l="1"/>
  <c r="V34" i="5"/>
  <c r="Y34" i="5" l="1"/>
  <c r="R134" i="2"/>
  <c r="R135" i="2"/>
  <c r="S151" i="2"/>
  <c r="R152" i="2"/>
  <c r="S135" i="2" l="1"/>
  <c r="R153" i="2"/>
  <c r="T151" i="2"/>
  <c r="S152" i="2"/>
  <c r="BE134" i="2"/>
  <c r="R139" i="2"/>
  <c r="T135" i="2" l="1"/>
  <c r="T139" i="2" s="1"/>
  <c r="S153" i="2"/>
  <c r="U151" i="2"/>
  <c r="T152" i="2"/>
  <c r="S139" i="2"/>
  <c r="U135" i="2" l="1"/>
  <c r="T153" i="2"/>
  <c r="V151" i="2"/>
  <c r="U152" i="2"/>
  <c r="V134" i="2" l="1"/>
  <c r="U153" i="2"/>
  <c r="V135" i="2"/>
  <c r="BF135" i="2" s="1"/>
  <c r="W151" i="2"/>
  <c r="V152" i="2"/>
  <c r="BF152" i="2" s="1"/>
  <c r="U139" i="2"/>
  <c r="W135" i="2" l="1"/>
  <c r="W139" i="2" s="1"/>
  <c r="V153" i="2"/>
  <c r="X151" i="2"/>
  <c r="W152" i="2"/>
  <c r="V139" i="2"/>
  <c r="BF134" i="2"/>
  <c r="BF139" i="2" s="1"/>
  <c r="X135" i="2" l="1"/>
  <c r="X139" i="2" s="1"/>
  <c r="W153" i="2"/>
  <c r="Y151" i="2"/>
  <c r="X152" i="2"/>
  <c r="Y135" i="2" l="1"/>
  <c r="Y139" i="2" s="1"/>
  <c r="X153" i="2"/>
  <c r="Z151" i="2"/>
  <c r="Y152" i="2"/>
  <c r="BG151" i="2"/>
  <c r="Z134" i="2" l="1"/>
  <c r="Z135" i="2"/>
  <c r="BG135" i="2" s="1"/>
  <c r="Y153" i="2"/>
  <c r="AA151" i="2"/>
  <c r="Z152" i="2"/>
  <c r="Z153" i="2" l="1"/>
  <c r="AA135" i="2"/>
  <c r="BG152" i="2"/>
  <c r="BG153" i="2" s="1"/>
  <c r="AB151" i="2"/>
  <c r="AA152" i="2"/>
  <c r="Z139" i="2"/>
  <c r="BG134" i="2"/>
  <c r="BG139" i="2" s="1"/>
  <c r="AC151" i="2" l="1"/>
  <c r="AB152" i="2"/>
  <c r="AB135" i="2"/>
  <c r="AB139" i="2" s="1"/>
  <c r="AA153" i="2"/>
  <c r="AA139" i="2"/>
  <c r="AC135" i="2" l="1"/>
  <c r="AB153" i="2"/>
  <c r="AD151" i="2"/>
  <c r="AC152" i="2"/>
  <c r="AD134" i="2" l="1"/>
  <c r="BH134" i="2" s="1"/>
  <c r="AD135" i="2"/>
  <c r="BH135" i="2" s="1"/>
  <c r="AC153" i="2"/>
  <c r="BH151" i="2"/>
  <c r="AE151" i="2"/>
  <c r="AD152" i="2"/>
  <c r="AC139" i="2"/>
  <c r="AD139" i="2" l="1"/>
  <c r="AD153" i="2"/>
  <c r="AE135" i="2"/>
  <c r="AE139" i="2" s="1"/>
  <c r="AF151" i="2"/>
  <c r="AE152" i="2"/>
  <c r="BH152" i="2"/>
  <c r="BH153" i="2" s="1"/>
  <c r="BH139" i="2"/>
  <c r="AF135" i="2" l="1"/>
  <c r="AF139" i="2" s="1"/>
  <c r="AE153" i="2"/>
  <c r="AG151" i="2"/>
  <c r="AF152" i="2"/>
  <c r="AG135" i="2" l="1"/>
  <c r="AG139" i="2" s="1"/>
  <c r="AF153" i="2"/>
  <c r="AH151" i="2"/>
  <c r="AG152" i="2"/>
  <c r="BI151" i="2"/>
  <c r="AH134" i="2" l="1"/>
  <c r="AG153" i="2"/>
  <c r="AH135" i="2"/>
  <c r="BI135" i="2" s="1"/>
  <c r="AI151" i="2"/>
  <c r="AH152" i="2"/>
  <c r="BI152" i="2" l="1"/>
  <c r="BI153" i="2" s="1"/>
  <c r="AI135" i="2"/>
  <c r="AI139" i="2" s="1"/>
  <c r="AH153" i="2"/>
  <c r="AJ151" i="2"/>
  <c r="AI152" i="2"/>
  <c r="AH139" i="2"/>
  <c r="BI134" i="2"/>
  <c r="BI139" i="2" s="1"/>
  <c r="AJ135" i="2" l="1"/>
  <c r="AJ139" i="2" s="1"/>
  <c r="AI153" i="2"/>
  <c r="AK151" i="2"/>
  <c r="AJ152" i="2"/>
  <c r="AJ153" i="2" l="1"/>
  <c r="AK135" i="2"/>
  <c r="AK139" i="2" s="1"/>
  <c r="AL151" i="2"/>
  <c r="AK152" i="2"/>
  <c r="BJ151" i="2" l="1"/>
  <c r="AM151" i="2"/>
  <c r="AL152" i="2"/>
  <c r="AL134" i="2"/>
  <c r="AL135" i="2"/>
  <c r="BJ135" i="2" s="1"/>
  <c r="AK153" i="2"/>
  <c r="AL139" i="2" l="1"/>
  <c r="BJ134" i="2"/>
  <c r="BJ139" i="2" s="1"/>
  <c r="BJ152" i="2"/>
  <c r="BJ153" i="2" s="1"/>
  <c r="AM135" i="2"/>
  <c r="AM139" i="2" s="1"/>
  <c r="AL153" i="2"/>
  <c r="AN151" i="2"/>
  <c r="AM152" i="2"/>
  <c r="AO151" i="2" l="1"/>
  <c r="AN152" i="2"/>
  <c r="AN135" i="2"/>
  <c r="AN139" i="2" s="1"/>
  <c r="AM153" i="2"/>
  <c r="AO135" i="2" l="1"/>
  <c r="AO139" i="2" s="1"/>
  <c r="AN153" i="2"/>
  <c r="AP151" i="2"/>
  <c r="AO152" i="2"/>
  <c r="BK151" i="2"/>
  <c r="AP134" i="2" l="1"/>
  <c r="AO153" i="2"/>
  <c r="AP135" i="2"/>
  <c r="BK135" i="2" s="1"/>
  <c r="AQ151" i="2"/>
  <c r="AP152" i="2"/>
  <c r="BK152" i="2" s="1"/>
  <c r="BK153" i="2" s="1"/>
  <c r="AR151" i="2" l="1"/>
  <c r="AQ152" i="2"/>
  <c r="AP153" i="2"/>
  <c r="AQ135" i="2"/>
  <c r="AQ139" i="2" s="1"/>
  <c r="BK134" i="2"/>
  <c r="BK139" i="2" s="1"/>
  <c r="AP139" i="2"/>
  <c r="AR135" i="2" l="1"/>
  <c r="AR139" i="2" s="1"/>
  <c r="AQ153" i="2"/>
  <c r="AS151" i="2"/>
  <c r="AR152" i="2"/>
  <c r="AS135" i="2" l="1"/>
  <c r="AS139" i="2" s="1"/>
  <c r="AR153" i="2"/>
  <c r="AT151" i="2"/>
  <c r="AS152" i="2"/>
  <c r="BL151" i="2"/>
  <c r="AT134" i="2" l="1"/>
  <c r="AS153" i="2"/>
  <c r="AT135" i="2"/>
  <c r="BL135" i="2" s="1"/>
  <c r="AU151" i="2"/>
  <c r="AT152" i="2"/>
  <c r="AV151" i="2" l="1"/>
  <c r="AU152" i="2"/>
  <c r="AT153" i="2"/>
  <c r="AU135" i="2"/>
  <c r="AU139" i="2" s="1"/>
  <c r="BL152" i="2"/>
  <c r="BL153" i="2" s="1"/>
  <c r="BL134" i="2"/>
  <c r="BL139" i="2" s="1"/>
  <c r="AT139" i="2"/>
  <c r="AV135" i="2" l="1"/>
  <c r="AV139" i="2" s="1"/>
  <c r="AU153" i="2"/>
  <c r="AW151" i="2"/>
  <c r="AX151" i="2" s="1"/>
  <c r="AY151" i="2" s="1"/>
  <c r="AZ151" i="2" s="1"/>
  <c r="BF151" i="2" s="1"/>
  <c r="BE151" i="2" s="1"/>
  <c r="AV152" i="2"/>
  <c r="AV153" i="2" l="1"/>
  <c r="AW152" i="2" s="1"/>
  <c r="AW135" i="2"/>
  <c r="AW139" i="2" s="1"/>
  <c r="AX134" i="2" l="1"/>
  <c r="AW153" i="2"/>
  <c r="AX152" i="2" s="1"/>
  <c r="AX135" i="2"/>
  <c r="AY135" i="2" l="1"/>
  <c r="AY139" i="2" s="1"/>
  <c r="AX153" i="2"/>
  <c r="AY152" i="2" s="1"/>
  <c r="AX139" i="2"/>
  <c r="AY153" i="2" l="1"/>
  <c r="AZ152" i="2" s="1"/>
  <c r="AZ153" i="2" s="1"/>
  <c r="AZ135" i="2"/>
  <c r="AZ139" i="2" s="1"/>
  <c r="BD164" i="2" l="1"/>
  <c r="BD165" i="2" l="1"/>
  <c r="BD178" i="2"/>
  <c r="AZ212" i="2" l="1"/>
  <c r="AZ214" i="2" s="1"/>
  <c r="N15" i="2" l="1"/>
  <c r="O14" i="2" s="1"/>
  <c r="O12" i="2" l="1"/>
  <c r="O8" i="2"/>
  <c r="O11" i="2"/>
  <c r="O7" i="2"/>
  <c r="O13" i="2"/>
  <c r="O9" i="2"/>
  <c r="O10" i="2"/>
  <c r="O6" i="2"/>
  <c r="J6" i="2"/>
  <c r="O15" i="2" l="1"/>
  <c r="J15" i="2"/>
  <c r="K6" i="2" s="1"/>
  <c r="K15" i="2" s="1"/>
  <c r="BC148" i="2"/>
  <c r="G156" i="2"/>
  <c r="H156" i="2" s="1"/>
  <c r="I156" i="2" s="1"/>
  <c r="G135" i="2" l="1"/>
  <c r="J156" i="2"/>
  <c r="K156" i="2" l="1"/>
  <c r="G139" i="2"/>
  <c r="G142" i="2" l="1"/>
  <c r="H141" i="2" s="1"/>
  <c r="L156" i="2"/>
  <c r="M156" i="2" l="1"/>
  <c r="G143" i="2"/>
  <c r="G144" i="2" s="1"/>
  <c r="G149" i="2" s="1"/>
  <c r="G163" i="2" s="1"/>
  <c r="N156" i="2" l="1"/>
  <c r="G164" i="2" l="1"/>
  <c r="G178" i="2" s="1"/>
  <c r="O156" i="2"/>
  <c r="D32" i="5" l="1"/>
  <c r="G180" i="2"/>
  <c r="G168" i="2"/>
  <c r="G165" i="2"/>
  <c r="G173" i="2"/>
  <c r="G152" i="2" s="1"/>
  <c r="G153" i="2" s="1"/>
  <c r="P156" i="2"/>
  <c r="D34" i="5" l="1"/>
  <c r="H171" i="2"/>
  <c r="G151" i="2"/>
  <c r="G172" i="2"/>
  <c r="Q156" i="2"/>
  <c r="H135" i="2" l="1"/>
  <c r="H139" i="2" s="1"/>
  <c r="R156" i="2"/>
  <c r="H142" i="2" l="1"/>
  <c r="I141" i="2" s="1"/>
  <c r="S156" i="2"/>
  <c r="H143" i="2" l="1"/>
  <c r="T156" i="2"/>
  <c r="H144" i="2" l="1"/>
  <c r="H149" i="2" s="1"/>
  <c r="U156" i="2"/>
  <c r="V156" i="2" l="1"/>
  <c r="W156" i="2" l="1"/>
  <c r="X156" i="2" l="1"/>
  <c r="Y156" i="2" l="1"/>
  <c r="Z156" i="2" l="1"/>
  <c r="AA156" i="2" l="1"/>
  <c r="AB156" i="2" l="1"/>
  <c r="AC156" i="2" l="1"/>
  <c r="AD156" i="2" l="1"/>
  <c r="AE156" i="2" l="1"/>
  <c r="AF156" i="2" l="1"/>
  <c r="AG156" i="2" l="1"/>
  <c r="AH156" i="2" l="1"/>
  <c r="AI156" i="2" l="1"/>
  <c r="AJ156" i="2" l="1"/>
  <c r="AK156" i="2" l="1"/>
  <c r="AL156" i="2" l="1"/>
  <c r="AM156" i="2" l="1"/>
  <c r="AN156" i="2" l="1"/>
  <c r="AO156" i="2" l="1"/>
  <c r="AP156" i="2" l="1"/>
  <c r="AQ156" i="2" l="1"/>
  <c r="AR156" i="2" l="1"/>
  <c r="AS156" i="2" l="1"/>
  <c r="AT156" i="2" l="1"/>
  <c r="AU156" i="2" l="1"/>
  <c r="AV156" i="2" l="1"/>
  <c r="AW156" i="2" l="1"/>
  <c r="AX156" i="2" l="1"/>
  <c r="AY156" i="2" l="1"/>
  <c r="AZ156" i="2" l="1"/>
  <c r="BC145" i="2"/>
  <c r="BC147" i="2"/>
  <c r="C81" i="2"/>
  <c r="P40" i="2"/>
  <c r="H158" i="2"/>
  <c r="H157" i="2" l="1"/>
  <c r="H163" i="2"/>
  <c r="H164" i="2" s="1"/>
  <c r="H165" i="2" s="1"/>
  <c r="I158" i="2"/>
  <c r="C86" i="2"/>
  <c r="C87" i="2" s="1"/>
  <c r="J158" i="2" l="1"/>
  <c r="I157" i="2"/>
  <c r="H178" i="2"/>
  <c r="H168" i="2"/>
  <c r="H173" i="2"/>
  <c r="K158" i="2" l="1"/>
  <c r="J157" i="2"/>
  <c r="BC157" i="2" s="1"/>
  <c r="H172" i="2"/>
  <c r="H152" i="2"/>
  <c r="H151" i="2" s="1"/>
  <c r="I171" i="2"/>
  <c r="G32" i="5"/>
  <c r="H180" i="2"/>
  <c r="L158" i="2" l="1"/>
  <c r="K157" i="2"/>
  <c r="K163" i="2"/>
  <c r="H153" i="2"/>
  <c r="I135" i="2"/>
  <c r="I139" i="2" s="1"/>
  <c r="I142" i="2" s="1"/>
  <c r="J141" i="2" s="1"/>
  <c r="G34" i="5"/>
  <c r="L157" i="2" l="1"/>
  <c r="L163" i="2"/>
  <c r="M158" i="2"/>
  <c r="I143" i="2"/>
  <c r="I144" i="2" s="1"/>
  <c r="I149" i="2" s="1"/>
  <c r="I163" i="2" s="1"/>
  <c r="M157" i="2" l="1"/>
  <c r="M163" i="2"/>
  <c r="N158" i="2"/>
  <c r="N157" i="2" l="1"/>
  <c r="N163" i="2"/>
  <c r="O158" i="2"/>
  <c r="BD163" i="2"/>
  <c r="O157" i="2" l="1"/>
  <c r="P158" i="2"/>
  <c r="I164" i="2"/>
  <c r="I173" i="2"/>
  <c r="Q158" i="2" l="1"/>
  <c r="R158" i="2" s="1"/>
  <c r="S158" i="2" s="1"/>
  <c r="T158" i="2" s="1"/>
  <c r="U158" i="2" s="1"/>
  <c r="V158" i="2" s="1"/>
  <c r="W158" i="2" s="1"/>
  <c r="X158" i="2" s="1"/>
  <c r="Y158" i="2" s="1"/>
  <c r="Z158" i="2" s="1"/>
  <c r="AA158" i="2" s="1"/>
  <c r="AB158" i="2" s="1"/>
  <c r="AC158" i="2" s="1"/>
  <c r="AD158" i="2" s="1"/>
  <c r="AE158" i="2" s="1"/>
  <c r="AF158" i="2" s="1"/>
  <c r="AG158" i="2" s="1"/>
  <c r="AH158" i="2" s="1"/>
  <c r="AI158" i="2" s="1"/>
  <c r="AJ158" i="2" s="1"/>
  <c r="AK158" i="2" s="1"/>
  <c r="AL158" i="2" s="1"/>
  <c r="AM158" i="2" s="1"/>
  <c r="AN158" i="2" s="1"/>
  <c r="AO158" i="2" s="1"/>
  <c r="AP158" i="2" s="1"/>
  <c r="AQ158" i="2" s="1"/>
  <c r="AR158" i="2" s="1"/>
  <c r="AS158" i="2" s="1"/>
  <c r="AT158" i="2" s="1"/>
  <c r="AU158" i="2" s="1"/>
  <c r="AV158" i="2" s="1"/>
  <c r="AW158" i="2" s="1"/>
  <c r="AX158" i="2" s="1"/>
  <c r="AY158" i="2" s="1"/>
  <c r="AZ158" i="2" s="1"/>
  <c r="P157" i="2"/>
  <c r="I168" i="2"/>
  <c r="I152" i="2"/>
  <c r="I151" i="2" s="1"/>
  <c r="I172" i="2"/>
  <c r="J171" i="2"/>
  <c r="I165" i="2"/>
  <c r="I178" i="2"/>
  <c r="J32" i="5" l="1"/>
  <c r="I180" i="2"/>
  <c r="J135" i="2"/>
  <c r="BC135" i="2" s="1"/>
  <c r="I153" i="2"/>
  <c r="J134" i="2"/>
  <c r="J34" i="5" l="1"/>
  <c r="BC134" i="2"/>
  <c r="BC139" i="2" s="1"/>
  <c r="J139" i="2"/>
  <c r="J142" i="2" l="1"/>
  <c r="K141" i="2" s="1"/>
  <c r="J143" i="2" l="1"/>
  <c r="J144" i="2" s="1"/>
  <c r="J149" i="2" s="1"/>
  <c r="J163" i="2" s="1"/>
  <c r="J164" i="2" s="1"/>
  <c r="J178" i="2" s="1"/>
  <c r="BC163" i="2" l="1"/>
  <c r="BC144" i="2"/>
  <c r="BC149" i="2" s="1"/>
  <c r="J173" i="2"/>
  <c r="J152" i="2" s="1"/>
  <c r="M168" i="2"/>
  <c r="L168" i="2"/>
  <c r="K168" i="2"/>
  <c r="J168" i="2"/>
  <c r="K171" i="2"/>
  <c r="J172" i="2"/>
  <c r="BC170" i="2"/>
  <c r="BC164" i="2"/>
  <c r="BC178" i="2" s="1"/>
  <c r="J165" i="2"/>
  <c r="K135" i="2" l="1"/>
  <c r="J151" i="2"/>
  <c r="M32" i="5"/>
  <c r="J180" i="2"/>
  <c r="BC152" i="2"/>
  <c r="BC153" i="2" s="1"/>
  <c r="BC151" i="2"/>
  <c r="K139" i="2"/>
  <c r="J153" i="2"/>
  <c r="K142" i="2" l="1"/>
  <c r="L141" i="2" s="1"/>
  <c r="M34" i="5"/>
  <c r="K143" i="2" l="1"/>
  <c r="K144" i="2" s="1"/>
  <c r="K149" i="2" s="1"/>
  <c r="K173" i="2" l="1"/>
  <c r="K152" i="2" l="1"/>
  <c r="K151" i="2" s="1"/>
  <c r="K172" i="2"/>
  <c r="L171" i="2"/>
  <c r="L135" i="2"/>
  <c r="K153" i="2"/>
  <c r="L139" i="2" l="1"/>
  <c r="L142" i="2" l="1"/>
  <c r="M141" i="2" s="1"/>
  <c r="L143" i="2" l="1"/>
  <c r="L144" i="2" s="1"/>
  <c r="L149" i="2" s="1"/>
  <c r="L173" i="2" l="1"/>
  <c r="L152" i="2" l="1"/>
  <c r="L151" i="2" s="1"/>
  <c r="M171" i="2"/>
  <c r="L172" i="2"/>
  <c r="L153" i="2" l="1"/>
  <c r="M135" i="2"/>
  <c r="M139" i="2" l="1"/>
  <c r="M142" i="2" l="1"/>
  <c r="N141" i="2" s="1"/>
  <c r="M143" i="2" l="1"/>
  <c r="M144" i="2" s="1"/>
  <c r="M149" i="2" s="1"/>
  <c r="M173" i="2" l="1"/>
  <c r="N171" i="2" l="1"/>
  <c r="M152" i="2"/>
  <c r="M151" i="2" s="1"/>
  <c r="M172" i="2"/>
  <c r="M153" i="2" l="1"/>
  <c r="N135" i="2"/>
  <c r="BD135" i="2" s="1"/>
  <c r="N134" i="2"/>
  <c r="BD134" i="2" l="1"/>
  <c r="BD139" i="2" s="1"/>
  <c r="N139" i="2"/>
  <c r="N142" i="2" l="1"/>
  <c r="O141" i="2" s="1"/>
  <c r="N143" i="2" l="1"/>
  <c r="N144" i="2" s="1"/>
  <c r="BD144" i="2" l="1"/>
  <c r="BD149" i="2" s="1"/>
  <c r="N149" i="2"/>
  <c r="N173" i="2" s="1"/>
  <c r="O171" i="2" l="1"/>
  <c r="N172" i="2"/>
  <c r="N152" i="2"/>
  <c r="N151" i="2" s="1"/>
  <c r="BD170" i="2"/>
  <c r="O135" i="2" l="1"/>
  <c r="N153" i="2"/>
  <c r="BD152" i="2"/>
  <c r="BD153" i="2" s="1"/>
  <c r="O139" i="2" l="1"/>
  <c r="O142" i="2" l="1"/>
  <c r="P141" i="2" s="1"/>
  <c r="O143" i="2" l="1"/>
  <c r="O144" i="2" s="1"/>
  <c r="O149" i="2" l="1"/>
  <c r="O163" i="2" s="1"/>
  <c r="O164" i="2" s="1"/>
  <c r="O165" i="2" l="1"/>
  <c r="O168" i="2"/>
  <c r="O173" i="2"/>
  <c r="O152" i="2" s="1"/>
  <c r="O151" i="2" s="1"/>
  <c r="P171" i="2" l="1"/>
  <c r="O172" i="2"/>
  <c r="P135" i="2" l="1"/>
  <c r="O153" i="2"/>
  <c r="O178" i="2"/>
  <c r="AB32" i="5" l="1"/>
  <c r="O180" i="2"/>
  <c r="P139" i="2"/>
  <c r="AB34" i="5" l="1"/>
  <c r="P142" i="2"/>
  <c r="Q141" i="2" s="1"/>
  <c r="P143" i="2" l="1"/>
  <c r="P144" i="2" s="1"/>
  <c r="P149" i="2" l="1"/>
  <c r="P163" i="2" l="1"/>
  <c r="P173" i="2" l="1"/>
  <c r="P152" i="2" s="1"/>
  <c r="P151" i="2" s="1"/>
  <c r="P164" i="2"/>
  <c r="P168" i="2" s="1"/>
  <c r="P172" i="2" l="1"/>
  <c r="Q171" i="2"/>
  <c r="P178" i="2"/>
  <c r="AE32" i="5" s="1"/>
  <c r="P165" i="2"/>
  <c r="BD151" i="2"/>
  <c r="P153" i="2"/>
  <c r="Q135" i="2"/>
  <c r="Q153" i="2"/>
  <c r="BE152" i="2"/>
  <c r="P180" i="2" l="1"/>
  <c r="BF153" i="2"/>
  <c r="BE153" i="2"/>
  <c r="Q139" i="2"/>
  <c r="BE135" i="2"/>
  <c r="BE139" i="2" s="1"/>
  <c r="AE34" i="5" l="1"/>
  <c r="Q142" i="2"/>
  <c r="R141" i="2" s="1"/>
  <c r="R142" i="2" l="1"/>
  <c r="R143" i="2" s="1"/>
  <c r="R144" i="2" s="1"/>
  <c r="R149" i="2" s="1"/>
  <c r="Q143" i="2"/>
  <c r="Q144" i="2" s="1"/>
  <c r="S141" i="2" l="1"/>
  <c r="S142" i="2" s="1"/>
  <c r="S143" i="2" s="1"/>
  <c r="S144" i="2" s="1"/>
  <c r="BE144" i="2"/>
  <c r="BE149" i="2" s="1"/>
  <c r="Q149" i="2"/>
  <c r="S149" i="2" l="1"/>
  <c r="T141" i="2"/>
  <c r="Q163" i="2"/>
  <c r="Q173" i="2" s="1"/>
  <c r="Q164" i="2" l="1"/>
  <c r="T142" i="2"/>
  <c r="T143" i="2" s="1"/>
  <c r="T144" i="2" s="1"/>
  <c r="R171" i="2"/>
  <c r="Q157" i="2"/>
  <c r="Q159" i="2" s="1"/>
  <c r="Q172" i="2"/>
  <c r="R163" i="2"/>
  <c r="R164" i="2" s="1"/>
  <c r="R173" i="2" l="1"/>
  <c r="U141" i="2"/>
  <c r="T149" i="2"/>
  <c r="R165" i="2"/>
  <c r="R178" i="2"/>
  <c r="AK32" i="5" s="1"/>
  <c r="BE163" i="2"/>
  <c r="Q165" i="2"/>
  <c r="Q178" i="2"/>
  <c r="AH32" i="5" s="1"/>
  <c r="BE164" i="2"/>
  <c r="Q180" i="2" l="1"/>
  <c r="Q168" i="2"/>
  <c r="Q177" i="2"/>
  <c r="R180" i="2"/>
  <c r="AK34" i="5"/>
  <c r="Q162" i="2"/>
  <c r="BE165" i="2"/>
  <c r="BE178" i="2"/>
  <c r="U142" i="2"/>
  <c r="U143" i="2" s="1"/>
  <c r="U144" i="2" s="1"/>
  <c r="R172" i="2"/>
  <c r="S171" i="2"/>
  <c r="R157" i="2"/>
  <c r="R159" i="2" s="1"/>
  <c r="S163" i="2"/>
  <c r="BE170" i="2"/>
  <c r="R168" i="2" l="1"/>
  <c r="R177" i="2"/>
  <c r="AH34" i="5"/>
  <c r="R162" i="2"/>
  <c r="S173" i="2"/>
  <c r="U149" i="2"/>
  <c r="V141" i="2"/>
  <c r="BE159" i="2"/>
  <c r="S164" i="2"/>
  <c r="BE176" i="2" l="1"/>
  <c r="BE177" i="2" s="1"/>
  <c r="BE162" i="2"/>
  <c r="S165" i="2"/>
  <c r="S178" i="2"/>
  <c r="AN32" i="5" s="1"/>
  <c r="V142" i="2"/>
  <c r="V143" i="2" s="1"/>
  <c r="V144" i="2" s="1"/>
  <c r="S172" i="2"/>
  <c r="S157" i="2"/>
  <c r="T171" i="2"/>
  <c r="T163" i="2"/>
  <c r="S180" i="2" l="1"/>
  <c r="S159" i="2"/>
  <c r="V149" i="2"/>
  <c r="BF144" i="2"/>
  <c r="BF149" i="2" s="1"/>
  <c r="W141" i="2"/>
  <c r="T164" i="2"/>
  <c r="T173" i="2"/>
  <c r="S168" i="2" l="1"/>
  <c r="S177" i="2"/>
  <c r="AN34" i="5"/>
  <c r="T178" i="2"/>
  <c r="AQ32" i="5" s="1"/>
  <c r="T165" i="2"/>
  <c r="T157" i="2"/>
  <c r="T172" i="2"/>
  <c r="U171" i="2"/>
  <c r="U163" i="2"/>
  <c r="W142" i="2"/>
  <c r="W143" i="2" s="1"/>
  <c r="W144" i="2" s="1"/>
  <c r="S162" i="2"/>
  <c r="T180" i="2" l="1"/>
  <c r="W149" i="2"/>
  <c r="U173" i="2"/>
  <c r="X141" i="2"/>
  <c r="U164" i="2"/>
  <c r="T159" i="2"/>
  <c r="T177" i="2" s="1"/>
  <c r="AQ34" i="5" l="1"/>
  <c r="T168" i="2"/>
  <c r="T162" i="2"/>
  <c r="U178" i="2"/>
  <c r="AT32" i="5" s="1"/>
  <c r="U165" i="2"/>
  <c r="X142" i="2"/>
  <c r="X143" i="2" s="1"/>
  <c r="X144" i="2" s="1"/>
  <c r="U172" i="2"/>
  <c r="V171" i="2"/>
  <c r="U157" i="2"/>
  <c r="V163" i="2"/>
  <c r="U180" i="2" l="1"/>
  <c r="V164" i="2"/>
  <c r="BF163" i="2"/>
  <c r="U159" i="2"/>
  <c r="U177" i="2" s="1"/>
  <c r="V173" i="2"/>
  <c r="X149" i="2"/>
  <c r="Y141" i="2"/>
  <c r="AT34" i="5" l="1"/>
  <c r="V172" i="2"/>
  <c r="V157" i="2"/>
  <c r="W171" i="2"/>
  <c r="W163" i="2"/>
  <c r="BF170" i="2"/>
  <c r="U162" i="2"/>
  <c r="U168" i="2"/>
  <c r="Y142" i="2"/>
  <c r="Y143" i="2" s="1"/>
  <c r="Y144" i="2" s="1"/>
  <c r="V178" i="2"/>
  <c r="AW32" i="5" s="1"/>
  <c r="V165" i="2"/>
  <c r="BF164" i="2"/>
  <c r="V180" i="2" l="1"/>
  <c r="BF165" i="2"/>
  <c r="BF178" i="2"/>
  <c r="Z141" i="2"/>
  <c r="Y149" i="2"/>
  <c r="W173" i="2"/>
  <c r="W164" i="2"/>
  <c r="V159" i="2"/>
  <c r="V177" i="2" s="1"/>
  <c r="BF157" i="2"/>
  <c r="AW34" i="5" l="1"/>
  <c r="V168" i="2"/>
  <c r="V162" i="2"/>
  <c r="BF159" i="2"/>
  <c r="X171" i="2"/>
  <c r="W157" i="2"/>
  <c r="W172" i="2"/>
  <c r="X163" i="2"/>
  <c r="W178" i="2"/>
  <c r="AZ32" i="5" s="1"/>
  <c r="W165" i="2"/>
  <c r="Z142" i="2"/>
  <c r="Z143" i="2" s="1"/>
  <c r="Z144" i="2" s="1"/>
  <c r="W180" i="2" l="1"/>
  <c r="AA141" i="2"/>
  <c r="Z149" i="2"/>
  <c r="BG144" i="2"/>
  <c r="BG149" i="2" s="1"/>
  <c r="X164" i="2"/>
  <c r="W159" i="2"/>
  <c r="W177" i="2" s="1"/>
  <c r="X173" i="2"/>
  <c r="BF162" i="2"/>
  <c r="BF176" i="2"/>
  <c r="BF177" i="2" s="1"/>
  <c r="AZ34" i="5" l="1"/>
  <c r="Y171" i="2"/>
  <c r="X172" i="2"/>
  <c r="X157" i="2"/>
  <c r="Y163" i="2"/>
  <c r="W162" i="2"/>
  <c r="W168" i="2"/>
  <c r="X178" i="2"/>
  <c r="BC32" i="5" s="1"/>
  <c r="X165" i="2"/>
  <c r="AA142" i="2"/>
  <c r="AA143" i="2" s="1"/>
  <c r="AA144" i="2" s="1"/>
  <c r="X180" i="2" l="1"/>
  <c r="AB141" i="2"/>
  <c r="AB142" i="2" s="1"/>
  <c r="AB143" i="2" s="1"/>
  <c r="AB144" i="2" s="1"/>
  <c r="AB149" i="2" s="1"/>
  <c r="Y164" i="2"/>
  <c r="X159" i="2"/>
  <c r="X177" i="2" s="1"/>
  <c r="AA149" i="2"/>
  <c r="Y173" i="2"/>
  <c r="BC34" i="5" l="1"/>
  <c r="Y157" i="2"/>
  <c r="Z171" i="2"/>
  <c r="Y172" i="2"/>
  <c r="Z163" i="2"/>
  <c r="Y178" i="2"/>
  <c r="BF32" i="5" s="1"/>
  <c r="Y165" i="2"/>
  <c r="X162" i="2"/>
  <c r="X168" i="2"/>
  <c r="AC141" i="2"/>
  <c r="Y180" i="2" l="1"/>
  <c r="AC142" i="2"/>
  <c r="AC143" i="2" s="1"/>
  <c r="AC144" i="2" s="1"/>
  <c r="Z164" i="2"/>
  <c r="BG163" i="2"/>
  <c r="Z173" i="2"/>
  <c r="Y159" i="2"/>
  <c r="Y177" i="2" s="1"/>
  <c r="BF34" i="5" l="1"/>
  <c r="AD141" i="2"/>
  <c r="AD142" i="2" s="1"/>
  <c r="AD143" i="2" s="1"/>
  <c r="AD144" i="2" s="1"/>
  <c r="Y168" i="2"/>
  <c r="Y162" i="2"/>
  <c r="AA171" i="2"/>
  <c r="Z172" i="2"/>
  <c r="Z157" i="2"/>
  <c r="BG170" i="2"/>
  <c r="AA163" i="2"/>
  <c r="Z165" i="2"/>
  <c r="Z178" i="2"/>
  <c r="BI32" i="5" s="1"/>
  <c r="BG164" i="2"/>
  <c r="AC149" i="2"/>
  <c r="Z180" i="2" l="1"/>
  <c r="AD149" i="2"/>
  <c r="BH144" i="2"/>
  <c r="BH149" i="2" s="1"/>
  <c r="AE141" i="2"/>
  <c r="AE142" i="2" s="1"/>
  <c r="AE143" i="2" s="1"/>
  <c r="AE144" i="2" s="1"/>
  <c r="BG165" i="2"/>
  <c r="BG178" i="2"/>
  <c r="Z159" i="2"/>
  <c r="Z177" i="2" s="1"/>
  <c r="BG157" i="2"/>
  <c r="AA173" i="2"/>
  <c r="AA164" i="2"/>
  <c r="BI34" i="5" l="1"/>
  <c r="AA157" i="2"/>
  <c r="AB171" i="2"/>
  <c r="AA172" i="2"/>
  <c r="AB163" i="2"/>
  <c r="Z162" i="2"/>
  <c r="Z168" i="2"/>
  <c r="BG159" i="2"/>
  <c r="AA178" i="2"/>
  <c r="BL32" i="5" s="1"/>
  <c r="AA165" i="2"/>
  <c r="AE149" i="2"/>
  <c r="AF141" i="2"/>
  <c r="AA180" i="2" l="1"/>
  <c r="AF142" i="2"/>
  <c r="AF143" i="2" s="1"/>
  <c r="AF144" i="2" s="1"/>
  <c r="AB164" i="2"/>
  <c r="AB173" i="2"/>
  <c r="BG176" i="2"/>
  <c r="BG177" i="2" s="1"/>
  <c r="BG162" i="2"/>
  <c r="AA159" i="2"/>
  <c r="AA177" i="2" s="1"/>
  <c r="BL34" i="5" l="1"/>
  <c r="AB157" i="2"/>
  <c r="AB172" i="2"/>
  <c r="AC171" i="2"/>
  <c r="AC163" i="2"/>
  <c r="AF149" i="2"/>
  <c r="AA162" i="2"/>
  <c r="AA168" i="2"/>
  <c r="AB178" i="2"/>
  <c r="BO32" i="5" s="1"/>
  <c r="AB165" i="2"/>
  <c r="AG141" i="2"/>
  <c r="AB180" i="2" l="1"/>
  <c r="AG142" i="2"/>
  <c r="AG143" i="2" s="1"/>
  <c r="AG144" i="2" s="1"/>
  <c r="AC164" i="2"/>
  <c r="AC173" i="2"/>
  <c r="AB159" i="2"/>
  <c r="AB177" i="2" s="1"/>
  <c r="BO34" i="5" l="1"/>
  <c r="AC157" i="2"/>
  <c r="AC172" i="2"/>
  <c r="AD171" i="2"/>
  <c r="AD163" i="2"/>
  <c r="AC178" i="2"/>
  <c r="BR32" i="5" s="1"/>
  <c r="AC165" i="2"/>
  <c r="AH141" i="2"/>
  <c r="AB162" i="2"/>
  <c r="AB168" i="2"/>
  <c r="AG149" i="2"/>
  <c r="AC180" i="2" l="1"/>
  <c r="AH142" i="2"/>
  <c r="AH143" i="2" s="1"/>
  <c r="AH144" i="2" s="1"/>
  <c r="AD164" i="2"/>
  <c r="BH163" i="2"/>
  <c r="AD173" i="2"/>
  <c r="AC159" i="2"/>
  <c r="AC177" i="2" s="1"/>
  <c r="BR34" i="5" l="1"/>
  <c r="AC162" i="2"/>
  <c r="AC168" i="2"/>
  <c r="AD157" i="2"/>
  <c r="AD172" i="2"/>
  <c r="AE171" i="2"/>
  <c r="AE163" i="2"/>
  <c r="BH170" i="2"/>
  <c r="AD165" i="2"/>
  <c r="AD178" i="2"/>
  <c r="BU32" i="5" s="1"/>
  <c r="BH164" i="2"/>
  <c r="AH149" i="2"/>
  <c r="BI144" i="2"/>
  <c r="BI149" i="2" s="1"/>
  <c r="AI141" i="2"/>
  <c r="AD180" i="2" l="1"/>
  <c r="AI142" i="2"/>
  <c r="AI143" i="2" s="1"/>
  <c r="AI144" i="2" s="1"/>
  <c r="BH178" i="2"/>
  <c r="BH165" i="2"/>
  <c r="AE173" i="2"/>
  <c r="AE164" i="2"/>
  <c r="AD159" i="2"/>
  <c r="AD177" i="2" s="1"/>
  <c r="BH157" i="2"/>
  <c r="BU34" i="5" l="1"/>
  <c r="AE178" i="2"/>
  <c r="BX32" i="5" s="1"/>
  <c r="AE165" i="2"/>
  <c r="AD168" i="2"/>
  <c r="AD162" i="2"/>
  <c r="BH159" i="2"/>
  <c r="AF171" i="2"/>
  <c r="AE157" i="2"/>
  <c r="AE172" i="2"/>
  <c r="AF163" i="2"/>
  <c r="AI149" i="2"/>
  <c r="AJ141" i="2"/>
  <c r="AE180" i="2" l="1"/>
  <c r="AE159" i="2"/>
  <c r="AE177" i="2" s="1"/>
  <c r="BH162" i="2"/>
  <c r="BH176" i="2"/>
  <c r="BH177" i="2" s="1"/>
  <c r="AF173" i="2"/>
  <c r="AJ142" i="2"/>
  <c r="AJ143" i="2" s="1"/>
  <c r="AJ144" i="2" s="1"/>
  <c r="AF164" i="2"/>
  <c r="BX34" i="5" l="1"/>
  <c r="AK141" i="2"/>
  <c r="AF178" i="2"/>
  <c r="CA32" i="5" s="1"/>
  <c r="AF165" i="2"/>
  <c r="AG171" i="2"/>
  <c r="AF157" i="2"/>
  <c r="AF172" i="2"/>
  <c r="AG163" i="2"/>
  <c r="AE168" i="2"/>
  <c r="AE162" i="2"/>
  <c r="AJ149" i="2"/>
  <c r="AF180" i="2" l="1"/>
  <c r="AG164" i="2"/>
  <c r="AG173" i="2"/>
  <c r="AF159" i="2"/>
  <c r="AF177" i="2" s="1"/>
  <c r="AK142" i="2"/>
  <c r="AK143" i="2" s="1"/>
  <c r="AK144" i="2" s="1"/>
  <c r="CA34" i="5" l="1"/>
  <c r="AK149" i="2"/>
  <c r="AL141" i="2"/>
  <c r="AF168" i="2"/>
  <c r="AF162" i="2"/>
  <c r="AG172" i="2"/>
  <c r="AG157" i="2"/>
  <c r="AH171" i="2"/>
  <c r="AH163" i="2"/>
  <c r="AG178" i="2"/>
  <c r="CD32" i="5" s="1"/>
  <c r="AG165" i="2"/>
  <c r="AG180" i="2" l="1"/>
  <c r="AG159" i="2"/>
  <c r="AG177" i="2" s="1"/>
  <c r="AH164" i="2"/>
  <c r="BI163" i="2"/>
  <c r="AH173" i="2"/>
  <c r="AL142" i="2"/>
  <c r="AL143" i="2" s="1"/>
  <c r="AL144" i="2" s="1"/>
  <c r="CD34" i="5" l="1"/>
  <c r="AM141" i="2"/>
  <c r="AH172" i="2"/>
  <c r="AI171" i="2"/>
  <c r="AH157" i="2"/>
  <c r="AI163" i="2"/>
  <c r="BI170" i="2"/>
  <c r="AH165" i="2"/>
  <c r="AH178" i="2"/>
  <c r="CG32" i="5" s="1"/>
  <c r="BI164" i="2"/>
  <c r="AL149" i="2"/>
  <c r="BJ144" i="2"/>
  <c r="BJ149" i="2" s="1"/>
  <c r="AG162" i="2"/>
  <c r="AG168" i="2"/>
  <c r="AH180" i="2" l="1"/>
  <c r="AI164" i="2"/>
  <c r="BI165" i="2"/>
  <c r="BI178" i="2"/>
  <c r="AH159" i="2"/>
  <c r="AH177" i="2" s="1"/>
  <c r="BI157" i="2"/>
  <c r="AI173" i="2"/>
  <c r="AM142" i="2"/>
  <c r="AM143" i="2" s="1"/>
  <c r="AM144" i="2" s="1"/>
  <c r="CG34" i="5" l="1"/>
  <c r="AM149" i="2"/>
  <c r="AN141" i="2"/>
  <c r="AJ171" i="2"/>
  <c r="AI157" i="2"/>
  <c r="AI172" i="2"/>
  <c r="AJ163" i="2"/>
  <c r="AH162" i="2"/>
  <c r="AH168" i="2"/>
  <c r="BI159" i="2"/>
  <c r="AI178" i="2"/>
  <c r="CJ32" i="5" s="1"/>
  <c r="AI165" i="2"/>
  <c r="AI180" i="2" l="1"/>
  <c r="AJ164" i="2"/>
  <c r="AJ173" i="2"/>
  <c r="AN142" i="2"/>
  <c r="AN143" i="2" s="1"/>
  <c r="AN144" i="2" s="1"/>
  <c r="BI162" i="2"/>
  <c r="BI176" i="2"/>
  <c r="BI177" i="2" s="1"/>
  <c r="AI159" i="2"/>
  <c r="AI177" i="2" s="1"/>
  <c r="CJ34" i="5" l="1"/>
  <c r="AO141" i="2"/>
  <c r="AO142" i="2" s="1"/>
  <c r="AO143" i="2" s="1"/>
  <c r="AO144" i="2" s="1"/>
  <c r="AO149" i="2" s="1"/>
  <c r="AI168" i="2"/>
  <c r="AI162" i="2"/>
  <c r="AN149" i="2"/>
  <c r="AJ172" i="2"/>
  <c r="AJ157" i="2"/>
  <c r="AK171" i="2"/>
  <c r="AK163" i="2"/>
  <c r="AJ178" i="2"/>
  <c r="CM32" i="5" s="1"/>
  <c r="AJ165" i="2"/>
  <c r="AJ180" i="2" l="1"/>
  <c r="AJ159" i="2"/>
  <c r="AJ177" i="2" s="1"/>
  <c r="AK164" i="2"/>
  <c r="AK173" i="2"/>
  <c r="AP141" i="2"/>
  <c r="CM34" i="5" l="1"/>
  <c r="AP142" i="2"/>
  <c r="AP143" i="2" s="1"/>
  <c r="AP144" i="2" s="1"/>
  <c r="AK165" i="2"/>
  <c r="AK178" i="2"/>
  <c r="CP32" i="5" s="1"/>
  <c r="AK172" i="2"/>
  <c r="AK157" i="2"/>
  <c r="AL171" i="2"/>
  <c r="AL163" i="2"/>
  <c r="AJ168" i="2"/>
  <c r="AJ162" i="2"/>
  <c r="AK180" i="2" l="1"/>
  <c r="AQ141" i="2"/>
  <c r="AQ142" i="2" s="1"/>
  <c r="AQ143" i="2" s="1"/>
  <c r="AQ144" i="2" s="1"/>
  <c r="AL173" i="2"/>
  <c r="AK159" i="2"/>
  <c r="AK177" i="2" s="1"/>
  <c r="AL164" i="2"/>
  <c r="BJ163" i="2"/>
  <c r="AP149" i="2"/>
  <c r="BK144" i="2"/>
  <c r="BK149" i="2" s="1"/>
  <c r="CP34" i="5" l="1"/>
  <c r="AR141" i="2"/>
  <c r="AQ149" i="2"/>
  <c r="AL165" i="2"/>
  <c r="AL178" i="2"/>
  <c r="CS32" i="5" s="1"/>
  <c r="BJ164" i="2"/>
  <c r="AK162" i="2"/>
  <c r="AK168" i="2"/>
  <c r="AM171" i="2"/>
  <c r="AL172" i="2"/>
  <c r="AL157" i="2"/>
  <c r="AM163" i="2"/>
  <c r="BJ170" i="2"/>
  <c r="AL180" i="2" l="1"/>
  <c r="BJ178" i="2"/>
  <c r="BJ165" i="2"/>
  <c r="AM164" i="2"/>
  <c r="AM173" i="2"/>
  <c r="AL159" i="2"/>
  <c r="AL177" i="2" s="1"/>
  <c r="BJ157" i="2"/>
  <c r="AR142" i="2"/>
  <c r="AR143" i="2" s="1"/>
  <c r="AR144" i="2" s="1"/>
  <c r="CS34" i="5" l="1"/>
  <c r="AS141" i="2"/>
  <c r="AL162" i="2"/>
  <c r="AL168" i="2"/>
  <c r="BJ159" i="2"/>
  <c r="AR149" i="2"/>
  <c r="AM157" i="2"/>
  <c r="AN171" i="2"/>
  <c r="AM172" i="2"/>
  <c r="AN163" i="2"/>
  <c r="AM165" i="2"/>
  <c r="AM178" i="2"/>
  <c r="CV32" i="5" s="1"/>
  <c r="AM180" i="2" l="1"/>
  <c r="AN173" i="2"/>
  <c r="AN164" i="2"/>
  <c r="AM159" i="2"/>
  <c r="AM177" i="2" s="1"/>
  <c r="BJ162" i="2"/>
  <c r="BJ176" i="2"/>
  <c r="BJ177" i="2" s="1"/>
  <c r="AS142" i="2"/>
  <c r="AS143" i="2" s="1"/>
  <c r="AS144" i="2" s="1"/>
  <c r="CV34" i="5" l="1"/>
  <c r="AS149" i="2"/>
  <c r="AT141" i="2"/>
  <c r="AM162" i="2"/>
  <c r="AM168" i="2"/>
  <c r="AN178" i="2"/>
  <c r="CY32" i="5" s="1"/>
  <c r="AN165" i="2"/>
  <c r="AO171" i="2"/>
  <c r="AN172" i="2"/>
  <c r="AN157" i="2"/>
  <c r="AO163" i="2"/>
  <c r="AN180" i="2" l="1"/>
  <c r="AO164" i="2"/>
  <c r="AT142" i="2"/>
  <c r="AT143" i="2" s="1"/>
  <c r="AT144" i="2" s="1"/>
  <c r="AN159" i="2"/>
  <c r="AN177" i="2" s="1"/>
  <c r="AO173" i="2"/>
  <c r="CY34" i="5" l="1"/>
  <c r="AU141" i="2"/>
  <c r="AU142" i="2" s="1"/>
  <c r="AU143" i="2" s="1"/>
  <c r="AU144" i="2" s="1"/>
  <c r="AU149" i="2" s="1"/>
  <c r="AN168" i="2"/>
  <c r="AN162" i="2"/>
  <c r="AP171" i="2"/>
  <c r="AO157" i="2"/>
  <c r="AO172" i="2"/>
  <c r="AP163" i="2"/>
  <c r="AT149" i="2"/>
  <c r="BL144" i="2"/>
  <c r="BL149" i="2" s="1"/>
  <c r="AO178" i="2"/>
  <c r="DB32" i="5" s="1"/>
  <c r="AO165" i="2"/>
  <c r="AO180" i="2" l="1"/>
  <c r="AV141" i="2"/>
  <c r="AO159" i="2"/>
  <c r="AO177" i="2" s="1"/>
  <c r="AP164" i="2"/>
  <c r="BK163" i="2"/>
  <c r="AP173" i="2"/>
  <c r="DB34" i="5" l="1"/>
  <c r="AP172" i="2"/>
  <c r="AP157" i="2"/>
  <c r="AQ171" i="2"/>
  <c r="AQ163" i="2"/>
  <c r="BK170" i="2"/>
  <c r="AP178" i="2"/>
  <c r="DE32" i="5" s="1"/>
  <c r="AP165" i="2"/>
  <c r="BK164" i="2"/>
  <c r="AO168" i="2"/>
  <c r="AO162" i="2"/>
  <c r="AV142" i="2"/>
  <c r="AV143" i="2" s="1"/>
  <c r="AV144" i="2" s="1"/>
  <c r="AV149" i="2" s="1"/>
  <c r="AP180" i="2" l="1"/>
  <c r="AW141" i="2"/>
  <c r="BK165" i="2"/>
  <c r="BK178" i="2"/>
  <c r="AQ164" i="2"/>
  <c r="AQ173" i="2"/>
  <c r="AP159" i="2"/>
  <c r="AP177" i="2" s="1"/>
  <c r="BK157" i="2"/>
  <c r="DE34" i="5" l="1"/>
  <c r="AP162" i="2"/>
  <c r="AP168" i="2"/>
  <c r="BK159" i="2"/>
  <c r="AQ172" i="2"/>
  <c r="AR171" i="2"/>
  <c r="AQ157" i="2"/>
  <c r="AR163" i="2"/>
  <c r="AQ165" i="2"/>
  <c r="AQ178" i="2"/>
  <c r="DH32" i="5" s="1"/>
  <c r="AW142" i="2"/>
  <c r="AW143" i="2" s="1"/>
  <c r="AW144" i="2" s="1"/>
  <c r="AW149" i="2" s="1"/>
  <c r="AQ180" i="2" l="1"/>
  <c r="AX141" i="2"/>
  <c r="AQ159" i="2"/>
  <c r="AQ177" i="2" s="1"/>
  <c r="BK162" i="2"/>
  <c r="BK176" i="2"/>
  <c r="BK177" i="2" s="1"/>
  <c r="AR164" i="2"/>
  <c r="AR173" i="2"/>
  <c r="DH34" i="5" l="1"/>
  <c r="AR178" i="2"/>
  <c r="DK32" i="5" s="1"/>
  <c r="AR165" i="2"/>
  <c r="AR172" i="2"/>
  <c r="AR157" i="2"/>
  <c r="AS171" i="2"/>
  <c r="AS163" i="2"/>
  <c r="AQ162" i="2"/>
  <c r="AQ168" i="2"/>
  <c r="AX142" i="2"/>
  <c r="AX143" i="2" s="1"/>
  <c r="AX144" i="2" s="1"/>
  <c r="AX149" i="2" s="1"/>
  <c r="AR180" i="2" l="1"/>
  <c r="AY141" i="2"/>
  <c r="AS164" i="2"/>
  <c r="AS173" i="2"/>
  <c r="AR159" i="2"/>
  <c r="AR177" i="2" s="1"/>
  <c r="DK34" i="5" l="1"/>
  <c r="AR162" i="2"/>
  <c r="AR168" i="2"/>
  <c r="AS157" i="2"/>
  <c r="AS172" i="2"/>
  <c r="AT171" i="2"/>
  <c r="AT163" i="2"/>
  <c r="AS178" i="2"/>
  <c r="DN32" i="5" s="1"/>
  <c r="AS165" i="2"/>
  <c r="AY142" i="2"/>
  <c r="AY143" i="2" s="1"/>
  <c r="AY144" i="2" s="1"/>
  <c r="AY149" i="2" s="1"/>
  <c r="AS180" i="2" l="1"/>
  <c r="AT164" i="2"/>
  <c r="AT178" i="2" s="1"/>
  <c r="C183" i="2" s="1"/>
  <c r="BL163" i="2"/>
  <c r="AT173" i="2"/>
  <c r="AS159" i="2"/>
  <c r="AS177" i="2" s="1"/>
  <c r="AZ141" i="2"/>
  <c r="AZ142" i="2" s="1"/>
  <c r="AZ143" i="2" s="1"/>
  <c r="AZ144" i="2" s="1"/>
  <c r="AZ149" i="2" s="1"/>
  <c r="DQ32" i="5" l="1"/>
  <c r="DN34" i="5"/>
  <c r="AS162" i="2"/>
  <c r="AS168" i="2"/>
  <c r="AU171" i="2"/>
  <c r="AT172" i="2"/>
  <c r="AT157" i="2"/>
  <c r="AU163" i="2"/>
  <c r="AU164" i="2" s="1"/>
  <c r="BL170" i="2"/>
  <c r="AT165" i="2"/>
  <c r="BL164" i="2"/>
  <c r="AU165" i="2" l="1"/>
  <c r="AU178" i="2"/>
  <c r="DQ34" i="5"/>
  <c r="BL178" i="2"/>
  <c r="BL165" i="2"/>
  <c r="AT159" i="2"/>
  <c r="BL157" i="2"/>
  <c r="AU173" i="2"/>
  <c r="AT177" i="2" l="1"/>
  <c r="AT179" i="2"/>
  <c r="AT180" i="2" s="1"/>
  <c r="AV171" i="2"/>
  <c r="AU157" i="2"/>
  <c r="AU159" i="2" s="1"/>
  <c r="AU177" i="2" s="1"/>
  <c r="AU172" i="2"/>
  <c r="AV163" i="2"/>
  <c r="AV164" i="2" s="1"/>
  <c r="AT162" i="2"/>
  <c r="AT168" i="2"/>
  <c r="BL159" i="2"/>
  <c r="C182" i="2" l="1"/>
  <c r="AV165" i="2"/>
  <c r="AV178" i="2"/>
  <c r="BL176" i="2"/>
  <c r="BL177" i="2" s="1"/>
  <c r="BL162" i="2"/>
  <c r="AU162" i="2"/>
  <c r="AU168" i="2"/>
  <c r="AV173" i="2"/>
  <c r="AV172" i="2" l="1"/>
  <c r="AW171" i="2"/>
  <c r="AV157" i="2"/>
  <c r="AV159" i="2" s="1"/>
  <c r="AV177" i="2" s="1"/>
  <c r="AW163" i="2"/>
  <c r="AW164" i="2" s="1"/>
  <c r="AW165" i="2" l="1"/>
  <c r="AW178" i="2"/>
  <c r="AV162" i="2"/>
  <c r="AV168" i="2"/>
  <c r="AW173" i="2"/>
  <c r="AW172" i="2" l="1"/>
  <c r="AX171" i="2"/>
  <c r="AW157" i="2"/>
  <c r="AW159" i="2" s="1"/>
  <c r="AW177" i="2" s="1"/>
  <c r="AX163" i="2"/>
  <c r="AX164" i="2" s="1"/>
  <c r="AX165" i="2" l="1"/>
  <c r="AX178" i="2"/>
  <c r="AW162" i="2"/>
  <c r="AW168" i="2"/>
  <c r="AX173" i="2"/>
  <c r="AX172" i="2" l="1"/>
  <c r="AX157" i="2"/>
  <c r="AX159" i="2" s="1"/>
  <c r="AX177" i="2" s="1"/>
  <c r="AY171" i="2"/>
  <c r="AY163" i="2"/>
  <c r="AY164" i="2" s="1"/>
  <c r="AY165" i="2" l="1"/>
  <c r="AY178" i="2"/>
  <c r="AY173" i="2"/>
  <c r="AX162" i="2"/>
  <c r="AX168" i="2"/>
  <c r="AY172" i="2" l="1"/>
  <c r="AZ171" i="2"/>
  <c r="AY157" i="2"/>
  <c r="AY159" i="2" s="1"/>
  <c r="AY177" i="2" s="1"/>
  <c r="AZ163" i="2"/>
  <c r="AZ164" i="2" s="1"/>
  <c r="AZ165" i="2" l="1"/>
  <c r="AZ178" i="2"/>
  <c r="AY162" i="2"/>
  <c r="AY168" i="2"/>
  <c r="AZ173" i="2"/>
  <c r="C32" i="5" l="1"/>
  <c r="AP32" i="5"/>
  <c r="CB32" i="5"/>
  <c r="BB32" i="5"/>
  <c r="CH32" i="5"/>
  <c r="N32" i="5"/>
  <c r="CL32" i="5"/>
  <c r="CO32" i="5"/>
  <c r="X32" i="5"/>
  <c r="BS32" i="5"/>
  <c r="I32" i="5"/>
  <c r="DD32" i="5"/>
  <c r="BA32" i="5"/>
  <c r="AU32" i="5"/>
  <c r="H32" i="5"/>
  <c r="CI32" i="5"/>
  <c r="CT32" i="5"/>
  <c r="R32" i="5"/>
  <c r="BT32" i="5"/>
  <c r="DR32" i="5"/>
  <c r="DR34" i="5" s="1"/>
  <c r="BD32" i="5"/>
  <c r="BN32" i="5"/>
  <c r="DC32" i="5"/>
  <c r="AL32" i="5"/>
  <c r="DP32" i="5"/>
  <c r="O32" i="5"/>
  <c r="Z32" i="5"/>
  <c r="CZ32" i="5"/>
  <c r="CW32" i="5"/>
  <c r="CF32" i="5"/>
  <c r="BV32" i="5"/>
  <c r="DM32" i="5"/>
  <c r="CC32" i="5"/>
  <c r="AA32" i="5"/>
  <c r="CR32" i="5"/>
  <c r="AG32" i="5"/>
  <c r="DA32" i="5"/>
  <c r="AO32" i="5"/>
  <c r="AV32" i="5"/>
  <c r="BZ32" i="5"/>
  <c r="BP32" i="5"/>
  <c r="BE32" i="5"/>
  <c r="T32" i="5"/>
  <c r="AX32" i="5"/>
  <c r="CX32" i="5"/>
  <c r="U32" i="5"/>
  <c r="DI32" i="5"/>
  <c r="BY32" i="5"/>
  <c r="K32" i="5"/>
  <c r="AJ32" i="5"/>
  <c r="L32" i="5"/>
  <c r="CK32" i="5"/>
  <c r="F32" i="5"/>
  <c r="BK32" i="5"/>
  <c r="CN32" i="5"/>
  <c r="DL32" i="5"/>
  <c r="BH32" i="5"/>
  <c r="W32" i="5"/>
  <c r="CU32" i="5"/>
  <c r="AR32" i="5"/>
  <c r="Q32" i="5"/>
  <c r="AM32" i="5"/>
  <c r="BW32" i="5"/>
  <c r="CE32" i="5"/>
  <c r="AS32" i="5"/>
  <c r="CQ32" i="5"/>
  <c r="DJ32" i="5"/>
  <c r="BM32" i="5"/>
  <c r="AD32" i="5"/>
  <c r="BQ32" i="5"/>
  <c r="BG32" i="5"/>
  <c r="E32" i="5"/>
  <c r="AF32" i="5"/>
  <c r="AY32" i="5"/>
  <c r="BJ32" i="5"/>
  <c r="DG32" i="5"/>
  <c r="AI32" i="5"/>
  <c r="DO32" i="5"/>
  <c r="AC32" i="5"/>
  <c r="DF32" i="5"/>
  <c r="AZ157" i="2"/>
  <c r="AZ172" i="2"/>
  <c r="J40" i="5" l="1"/>
  <c r="L40" i="5"/>
  <c r="K40" i="5"/>
  <c r="D40" i="5"/>
  <c r="G40" i="5"/>
  <c r="E40" i="5"/>
  <c r="F40" i="5"/>
  <c r="H40" i="5"/>
  <c r="I40" i="5"/>
  <c r="C40" i="5"/>
  <c r="AC34" i="5"/>
  <c r="AV34" i="5"/>
  <c r="DO34" i="5"/>
  <c r="CZ34" i="5"/>
  <c r="AI34" i="5"/>
  <c r="DF34" i="5"/>
  <c r="BQ34" i="5"/>
  <c r="AR34" i="5"/>
  <c r="AJ34" i="5"/>
  <c r="BZ34" i="5"/>
  <c r="CF34" i="5"/>
  <c r="BS34" i="5"/>
  <c r="BB34" i="5"/>
  <c r="AD34" i="5"/>
  <c r="X34" i="5"/>
  <c r="W34" i="5"/>
  <c r="R34" i="5"/>
  <c r="BH34" i="5"/>
  <c r="Z34" i="5"/>
  <c r="DG34" i="5"/>
  <c r="U34" i="5"/>
  <c r="CI34" i="5"/>
  <c r="AS34" i="5"/>
  <c r="CR34" i="5"/>
  <c r="H34" i="5"/>
  <c r="CE34" i="5"/>
  <c r="AA34" i="5"/>
  <c r="F34" i="5"/>
  <c r="T34" i="5"/>
  <c r="CC34" i="5"/>
  <c r="DC34" i="5"/>
  <c r="BA34" i="5"/>
  <c r="CB34" i="5"/>
  <c r="CU34" i="5"/>
  <c r="CW34" i="5"/>
  <c r="BM34" i="5"/>
  <c r="AO34" i="5"/>
  <c r="DJ34" i="5"/>
  <c r="DA34" i="5"/>
  <c r="CT34" i="5"/>
  <c r="CQ34" i="5"/>
  <c r="AG34" i="5"/>
  <c r="N34" i="5"/>
  <c r="CN34" i="5"/>
  <c r="DP34" i="5"/>
  <c r="AY34" i="5"/>
  <c r="AX34" i="5"/>
  <c r="AU34" i="5"/>
  <c r="AF34" i="5"/>
  <c r="E34" i="5"/>
  <c r="CK34" i="5"/>
  <c r="BE34" i="5"/>
  <c r="DM34" i="5"/>
  <c r="BN34" i="5"/>
  <c r="DD34" i="5"/>
  <c r="AP34" i="5"/>
  <c r="K34" i="5"/>
  <c r="BT34" i="5"/>
  <c r="BY34" i="5"/>
  <c r="CO34" i="5"/>
  <c r="DI34" i="5"/>
  <c r="CL34" i="5"/>
  <c r="DL34" i="5"/>
  <c r="O34" i="5"/>
  <c r="BJ34" i="5"/>
  <c r="CX34" i="5"/>
  <c r="CH34" i="5"/>
  <c r="BK34" i="5"/>
  <c r="AL34" i="5"/>
  <c r="BW34" i="5"/>
  <c r="AM34" i="5"/>
  <c r="BG34" i="5"/>
  <c r="Q34" i="5"/>
  <c r="L34" i="5"/>
  <c r="BP34" i="5"/>
  <c r="BV34" i="5"/>
  <c r="BD34" i="5"/>
  <c r="I34" i="5"/>
  <c r="C34" i="5"/>
  <c r="K17" i="5"/>
  <c r="K19" i="5" s="1"/>
  <c r="AZ159" i="2"/>
  <c r="AZ177" i="2" s="1"/>
  <c r="BD157" i="2"/>
  <c r="BE157" i="2"/>
  <c r="C31" i="5" l="1"/>
  <c r="D31" i="5" s="1"/>
  <c r="D33" i="5" s="1"/>
  <c r="AZ162" i="2"/>
  <c r="XFD162" i="2" s="1"/>
  <c r="AZ168" i="2"/>
  <c r="E31" i="5" l="1"/>
  <c r="E33" i="5" s="1"/>
  <c r="C33" i="5"/>
  <c r="F31" i="5" l="1"/>
  <c r="F33" i="5" s="1"/>
  <c r="G31" i="5"/>
  <c r="G33" i="5" l="1"/>
  <c r="H31" i="5"/>
  <c r="H33" i="5" l="1"/>
  <c r="I31" i="5"/>
  <c r="I33" i="5" l="1"/>
  <c r="J31" i="5"/>
  <c r="J33" i="5" l="1"/>
  <c r="K31" i="5"/>
  <c r="V31" i="5" l="1"/>
  <c r="K33" i="5"/>
  <c r="L31" i="5"/>
  <c r="V33" i="5" l="1"/>
  <c r="W31" i="5"/>
  <c r="S31" i="5"/>
  <c r="Y31" i="5"/>
  <c r="D39" i="5" s="1"/>
  <c r="P31" i="5"/>
  <c r="L33" i="5"/>
  <c r="M31" i="5"/>
  <c r="C39" i="5" s="1"/>
  <c r="AB31" i="5"/>
  <c r="P33" i="5" l="1"/>
  <c r="Q31" i="5"/>
  <c r="Y33" i="5"/>
  <c r="Z31" i="5"/>
  <c r="S33" i="5"/>
  <c r="T31" i="5"/>
  <c r="W33" i="5"/>
  <c r="X31" i="5"/>
  <c r="X33" i="5" s="1"/>
  <c r="M33" i="5"/>
  <c r="N31" i="5"/>
  <c r="AB33" i="5"/>
  <c r="AC31" i="5"/>
  <c r="AH31" i="5"/>
  <c r="AE31" i="5"/>
  <c r="AK31" i="5"/>
  <c r="E39" i="5" s="1"/>
  <c r="AN31" i="5"/>
  <c r="O31" i="5" l="1"/>
  <c r="O33" i="5" s="1"/>
  <c r="N33" i="5"/>
  <c r="AH33" i="5"/>
  <c r="AI31" i="5"/>
  <c r="T33" i="5"/>
  <c r="U31" i="5"/>
  <c r="U33" i="5" s="1"/>
  <c r="R31" i="5"/>
  <c r="R33" i="5" s="1"/>
  <c r="Q33" i="5"/>
  <c r="AK33" i="5"/>
  <c r="AL31" i="5"/>
  <c r="AE33" i="5"/>
  <c r="AF31" i="5"/>
  <c r="AA31" i="5"/>
  <c r="AA33" i="5" s="1"/>
  <c r="Z33" i="5"/>
  <c r="AC33" i="5"/>
  <c r="AD31" i="5"/>
  <c r="AD33" i="5" s="1"/>
  <c r="AO31" i="5"/>
  <c r="AN33" i="5"/>
  <c r="AF33" i="5" l="1"/>
  <c r="AG31" i="5"/>
  <c r="AG33" i="5" s="1"/>
  <c r="AI33" i="5"/>
  <c r="AJ31" i="5"/>
  <c r="AJ33" i="5" s="1"/>
  <c r="AL33" i="5"/>
  <c r="AM31" i="5"/>
  <c r="AM33" i="5" s="1"/>
  <c r="AP31" i="5"/>
  <c r="AO33" i="5"/>
  <c r="AQ31" i="5" l="1"/>
  <c r="AP33" i="5"/>
  <c r="AR31" i="5" l="1"/>
  <c r="AQ33" i="5"/>
  <c r="AS31" i="5" l="1"/>
  <c r="AR33" i="5"/>
  <c r="AT31" i="5" l="1"/>
  <c r="AS33" i="5"/>
  <c r="AU31" i="5" l="1"/>
  <c r="AT33" i="5"/>
  <c r="AV31" i="5" l="1"/>
  <c r="AU33" i="5"/>
  <c r="AW31" i="5" l="1"/>
  <c r="F39" i="5" s="1"/>
  <c r="AV33" i="5"/>
  <c r="AX31" i="5" l="1"/>
  <c r="AW33" i="5"/>
  <c r="AY31" i="5" l="1"/>
  <c r="AX33" i="5"/>
  <c r="AZ31" i="5" l="1"/>
  <c r="AY33" i="5"/>
  <c r="BA31" i="5" l="1"/>
  <c r="AZ33" i="5"/>
  <c r="BB31" i="5" l="1"/>
  <c r="BA33" i="5"/>
  <c r="BC31" i="5" l="1"/>
  <c r="BB33" i="5"/>
  <c r="BD31" i="5" l="1"/>
  <c r="BC33" i="5"/>
  <c r="BE31" i="5" l="1"/>
  <c r="BD33" i="5"/>
  <c r="BF31" i="5" l="1"/>
  <c r="BE33" i="5"/>
  <c r="BG31" i="5" l="1"/>
  <c r="BF33" i="5"/>
  <c r="BH31" i="5" l="1"/>
  <c r="BG33" i="5"/>
  <c r="BI31" i="5" l="1"/>
  <c r="G39" i="5" s="1"/>
  <c r="BH33" i="5"/>
  <c r="BJ31" i="5" l="1"/>
  <c r="BI33" i="5"/>
  <c r="BK31" i="5" l="1"/>
  <c r="BJ33" i="5"/>
  <c r="BL31" i="5" l="1"/>
  <c r="BK33" i="5"/>
  <c r="BM31" i="5" l="1"/>
  <c r="BL33" i="5"/>
  <c r="BN31" i="5" l="1"/>
  <c r="BM33" i="5"/>
  <c r="BO31" i="5" l="1"/>
  <c r="BN33" i="5"/>
  <c r="BP31" i="5" l="1"/>
  <c r="BO33" i="5"/>
  <c r="BQ31" i="5" l="1"/>
  <c r="BP33" i="5"/>
  <c r="BR31" i="5" l="1"/>
  <c r="BQ33" i="5"/>
  <c r="BS31" i="5" l="1"/>
  <c r="BR33" i="5"/>
  <c r="BT31" i="5" l="1"/>
  <c r="BS33" i="5"/>
  <c r="BU31" i="5" l="1"/>
  <c r="H39" i="5" s="1"/>
  <c r="BT33" i="5"/>
  <c r="BV31" i="5" l="1"/>
  <c r="BU33" i="5"/>
  <c r="BW31" i="5" l="1"/>
  <c r="BV33" i="5"/>
  <c r="BX31" i="5" l="1"/>
  <c r="BW33" i="5"/>
  <c r="BY31" i="5" l="1"/>
  <c r="BX33" i="5"/>
  <c r="BZ31" i="5" l="1"/>
  <c r="BY33" i="5"/>
  <c r="CA31" i="5" l="1"/>
  <c r="BZ33" i="5"/>
  <c r="CB31" i="5" l="1"/>
  <c r="CA33" i="5"/>
  <c r="CC31" i="5" l="1"/>
  <c r="CB33" i="5"/>
  <c r="CD31" i="5" l="1"/>
  <c r="CC33" i="5"/>
  <c r="CE31" i="5" l="1"/>
  <c r="CD33" i="5"/>
  <c r="CF31" i="5" l="1"/>
  <c r="CE33" i="5"/>
  <c r="CG31" i="5" l="1"/>
  <c r="I39" i="5" s="1"/>
  <c r="CF33" i="5"/>
  <c r="CH31" i="5" l="1"/>
  <c r="CG33" i="5"/>
  <c r="CI31" i="5" l="1"/>
  <c r="CH33" i="5"/>
  <c r="CJ31" i="5" l="1"/>
  <c r="CI33" i="5"/>
  <c r="CK31" i="5" l="1"/>
  <c r="CJ33" i="5"/>
  <c r="CL31" i="5" l="1"/>
  <c r="CK33" i="5"/>
  <c r="CM31" i="5" l="1"/>
  <c r="CL33" i="5"/>
  <c r="CN31" i="5" l="1"/>
  <c r="CM33" i="5"/>
  <c r="CO31" i="5" l="1"/>
  <c r="CN33" i="5"/>
  <c r="CP31" i="5" l="1"/>
  <c r="CO33" i="5"/>
  <c r="CQ31" i="5" l="1"/>
  <c r="CP33" i="5"/>
  <c r="CR31" i="5" l="1"/>
  <c r="CQ33" i="5"/>
  <c r="CS31" i="5" l="1"/>
  <c r="J39" i="5" s="1"/>
  <c r="CR33" i="5"/>
  <c r="CT31" i="5" l="1"/>
  <c r="CS33" i="5"/>
  <c r="CU31" i="5" l="1"/>
  <c r="CT33" i="5"/>
  <c r="CV31" i="5" l="1"/>
  <c r="CU33" i="5"/>
  <c r="CW31" i="5" l="1"/>
  <c r="CV33" i="5"/>
  <c r="CX31" i="5" l="1"/>
  <c r="CW33" i="5"/>
  <c r="CY31" i="5" l="1"/>
  <c r="CX33" i="5"/>
  <c r="CZ31" i="5" l="1"/>
  <c r="CY33" i="5"/>
  <c r="DA31" i="5" l="1"/>
  <c r="CZ33" i="5"/>
  <c r="DB31" i="5" l="1"/>
  <c r="DA33" i="5"/>
  <c r="DC31" i="5" l="1"/>
  <c r="DB33" i="5"/>
  <c r="DD31" i="5" l="1"/>
  <c r="DC33" i="5"/>
  <c r="DE31" i="5" l="1"/>
  <c r="K39" i="5" s="1"/>
  <c r="DD33" i="5"/>
  <c r="DF31" i="5" l="1"/>
  <c r="DE33" i="5"/>
  <c r="DG31" i="5" l="1"/>
  <c r="DF33" i="5"/>
  <c r="DH31" i="5" l="1"/>
  <c r="DG33" i="5"/>
  <c r="DI31" i="5" l="1"/>
  <c r="DH33" i="5"/>
  <c r="DJ31" i="5" l="1"/>
  <c r="DI33" i="5"/>
  <c r="DK31" i="5" l="1"/>
  <c r="DJ33" i="5"/>
  <c r="DL31" i="5" l="1"/>
  <c r="DK33" i="5"/>
  <c r="DM31" i="5" l="1"/>
  <c r="DL33" i="5"/>
  <c r="DN31" i="5" l="1"/>
  <c r="DM33" i="5"/>
  <c r="DO31" i="5" l="1"/>
  <c r="DN33" i="5"/>
  <c r="DP31" i="5" l="1"/>
  <c r="DO33" i="5"/>
  <c r="DQ31" i="5" l="1"/>
  <c r="L39" i="5" s="1"/>
  <c r="DP33" i="5"/>
  <c r="DR31" i="5" l="1"/>
  <c r="DQ33" i="5"/>
  <c r="DR33" i="5" l="1"/>
  <c r="K18" i="5" s="1"/>
  <c r="K15" i="5"/>
  <c r="K22" i="5" l="1"/>
  <c r="K23" i="5" s="1"/>
  <c r="K20" i="5"/>
  <c r="K16" i="5"/>
</calcChain>
</file>

<file path=xl/sharedStrings.xml><?xml version="1.0" encoding="utf-8"?>
<sst xmlns="http://schemas.openxmlformats.org/spreadsheetml/2006/main" count="372" uniqueCount="267">
  <si>
    <t>Inputs (Вводные данные в модель)</t>
  </si>
  <si>
    <t>Объект</t>
  </si>
  <si>
    <t>Base</t>
  </si>
  <si>
    <t>Дата покупки</t>
  </si>
  <si>
    <t>Sources</t>
  </si>
  <si>
    <t>Руб.</t>
  </si>
  <si>
    <t>%</t>
  </si>
  <si>
    <t>Uses</t>
  </si>
  <si>
    <t>Комиссия SimpleEstate</t>
  </si>
  <si>
    <t>Итого</t>
  </si>
  <si>
    <t>Затраты, в год</t>
  </si>
  <si>
    <t>SimpleEstate Transaction Fees</t>
  </si>
  <si>
    <t>SimpleEstate Management Fees</t>
  </si>
  <si>
    <t xml:space="preserve">Страхование </t>
  </si>
  <si>
    <t xml:space="preserve">Минимальный остаток денежных средств </t>
  </si>
  <si>
    <t xml:space="preserve">Комиссия SimpleEstate </t>
  </si>
  <si>
    <t>Год</t>
  </si>
  <si>
    <t xml:space="preserve">Квартал </t>
  </si>
  <si>
    <t>4 кв.</t>
  </si>
  <si>
    <t>Арендная выручка</t>
  </si>
  <si>
    <t>Налог на недвижимость</t>
  </si>
  <si>
    <t>NOI</t>
  </si>
  <si>
    <t>NOI margin,%</t>
  </si>
  <si>
    <t xml:space="preserve">Due Diligence </t>
  </si>
  <si>
    <t>Страхование недвижимости</t>
  </si>
  <si>
    <t>EBT</t>
  </si>
  <si>
    <t>FCF</t>
  </si>
  <si>
    <t>Cap Rate</t>
  </si>
  <si>
    <t>Дивиденды</t>
  </si>
  <si>
    <t>Денежные средства на начало</t>
  </si>
  <si>
    <t>Денежный поток</t>
  </si>
  <si>
    <t>Денежные средства на конец</t>
  </si>
  <si>
    <t xml:space="preserve">Цена / м2, руб. </t>
  </si>
  <si>
    <t xml:space="preserve">Цена покупки </t>
  </si>
  <si>
    <t>1 кв.</t>
  </si>
  <si>
    <t xml:space="preserve">Последний месяц отчетного периода </t>
  </si>
  <si>
    <t>Рыночная стоимость объекта (EV)</t>
  </si>
  <si>
    <t>Акционерный капитал (Equity)</t>
  </si>
  <si>
    <t>Рост EV (квартальный), %</t>
  </si>
  <si>
    <t>Рост Equity (квартальный), %</t>
  </si>
  <si>
    <t>Дивидендная доходность,%</t>
  </si>
  <si>
    <t xml:space="preserve">Эксплуатация </t>
  </si>
  <si>
    <t>2 кв.</t>
  </si>
  <si>
    <t>Выпуск акций</t>
  </si>
  <si>
    <t>Equity</t>
  </si>
  <si>
    <t xml:space="preserve">Расходы </t>
  </si>
  <si>
    <t>3 кв.</t>
  </si>
  <si>
    <t xml:space="preserve">Кадастровая стоимость / м2, руб. </t>
  </si>
  <si>
    <t xml:space="preserve">Временные периоды </t>
  </si>
  <si>
    <t>Эксплуатация, руб. / м2 / мес.</t>
  </si>
  <si>
    <t xml:space="preserve">Эксплуатация, руб. </t>
  </si>
  <si>
    <t>Рост выручки (г/г) , %</t>
  </si>
  <si>
    <t>1 год</t>
  </si>
  <si>
    <t>2 год</t>
  </si>
  <si>
    <t>3 год</t>
  </si>
  <si>
    <t>5 год</t>
  </si>
  <si>
    <t>6 год</t>
  </si>
  <si>
    <t>7 год</t>
  </si>
  <si>
    <t>8 год</t>
  </si>
  <si>
    <t>9 год</t>
  </si>
  <si>
    <t>10 год</t>
  </si>
  <si>
    <t>Привлечение капитала</t>
  </si>
  <si>
    <t>Раунды</t>
  </si>
  <si>
    <t xml:space="preserve">Окончание 1-го раунда </t>
  </si>
  <si>
    <t xml:space="preserve">Окончание 2-го раунда </t>
  </si>
  <si>
    <t xml:space="preserve">Окончание 3-го раунда </t>
  </si>
  <si>
    <t xml:space="preserve">Цена акции 3-го раунда </t>
  </si>
  <si>
    <t xml:space="preserve">Цена акции 2-го раунда </t>
  </si>
  <si>
    <t xml:space="preserve">Цена акции 1-го раунда </t>
  </si>
  <si>
    <t xml:space="preserve">Количество акций </t>
  </si>
  <si>
    <t xml:space="preserve">Количество акций 1-го раунда </t>
  </si>
  <si>
    <t xml:space="preserve">Количество акций 2-го раунда </t>
  </si>
  <si>
    <t xml:space="preserve">Количество акций 3-го раунда </t>
  </si>
  <si>
    <t xml:space="preserve">Equity Investments </t>
  </si>
  <si>
    <t xml:space="preserve">1й раунд </t>
  </si>
  <si>
    <t xml:space="preserve">2й раунд </t>
  </si>
  <si>
    <t xml:space="preserve">3й раунд </t>
  </si>
  <si>
    <t xml:space="preserve">Всего инвестиций </t>
  </si>
  <si>
    <t>Дивиденды на 1 акцию</t>
  </si>
  <si>
    <t xml:space="preserve">Дивиденды </t>
  </si>
  <si>
    <t>покупка</t>
  </si>
  <si>
    <t xml:space="preserve">Цена акции </t>
  </si>
  <si>
    <t>Дивиденды на акцию</t>
  </si>
  <si>
    <t xml:space="preserve">4 год </t>
  </si>
  <si>
    <t xml:space="preserve">2 кв. </t>
  </si>
  <si>
    <t xml:space="preserve">3 кв. </t>
  </si>
  <si>
    <t xml:space="preserve">4 кв. </t>
  </si>
  <si>
    <t xml:space="preserve">5 кв. </t>
  </si>
  <si>
    <t>6 кв.</t>
  </si>
  <si>
    <t>Налог на землю</t>
  </si>
  <si>
    <t>Цена Объекта, руб. (без НДС)</t>
  </si>
  <si>
    <t>Налог на имущество</t>
  </si>
  <si>
    <t>Цена акций</t>
  </si>
  <si>
    <t>Итого количество акций</t>
  </si>
  <si>
    <t>Налог на прибыль</t>
  </si>
  <si>
    <t>Юридические и прочие расходы</t>
  </si>
  <si>
    <t>в рублях, без НДС</t>
  </si>
  <si>
    <t>Прочие вводные данные</t>
  </si>
  <si>
    <t>Покупка объекта</t>
  </si>
  <si>
    <t>Долг</t>
  </si>
  <si>
    <t>Ставка по brigde займу</t>
  </si>
  <si>
    <t>Комиссия за выдачу bridge займа</t>
  </si>
  <si>
    <t>Привлечение долга</t>
  </si>
  <si>
    <t>Размер brigde займа</t>
  </si>
  <si>
    <t>Накопленный убыток</t>
  </si>
  <si>
    <t>База по налогу на прибыль</t>
  </si>
  <si>
    <t>Ставка налога на имущество (от кадастра)</t>
  </si>
  <si>
    <t>Ставка налога на землю (от кадастра)</t>
  </si>
  <si>
    <t>Используемый убыток</t>
  </si>
  <si>
    <t>SimpleEstate - комиссия за продажу объекта</t>
  </si>
  <si>
    <t>OCR (арендная нагрузка), %</t>
  </si>
  <si>
    <t>Аккредитив</t>
  </si>
  <si>
    <t>Нотариус</t>
  </si>
  <si>
    <t>Upside</t>
  </si>
  <si>
    <t>Downside</t>
  </si>
  <si>
    <t>Сопровождение сделки</t>
  </si>
  <si>
    <t>Площадь, м2 (GLA)</t>
  </si>
  <si>
    <t xml:space="preserve">Кадастровая стоимость помещений </t>
  </si>
  <si>
    <t xml:space="preserve">Арендаторы </t>
  </si>
  <si>
    <t>Ввод в эксплуатацию</t>
  </si>
  <si>
    <t xml:space="preserve">Выдача ключей </t>
  </si>
  <si>
    <t>Ожидаение выдачи ключей, мес.</t>
  </si>
  <si>
    <t>Арендаторы</t>
  </si>
  <si>
    <t>Ставка налога на прибыль "Д-Р"</t>
  </si>
  <si>
    <t>Ставка налога на прибыль "Минимальный"</t>
  </si>
  <si>
    <t xml:space="preserve">Начало работы арендаторов </t>
  </si>
  <si>
    <t>Ремонт, мес.</t>
  </si>
  <si>
    <t>Магнит и прочие</t>
  </si>
  <si>
    <t>Корпус построен (1-да/0-нет)</t>
  </si>
  <si>
    <t>Ключи получены (1-да/0-нет)</t>
  </si>
  <si>
    <t>Арендаторы завершили ремонт (1-да/0-нет)</t>
  </si>
  <si>
    <t>Ставка аренды "Магнит"</t>
  </si>
  <si>
    <t>Индексация маленьких арендаторов</t>
  </si>
  <si>
    <t xml:space="preserve">Индексация ставок аренды маленьких арендаторов </t>
  </si>
  <si>
    <t>Начало индексации маленьких арендаторов</t>
  </si>
  <si>
    <t>Рост ставок аренды (1-да/0-нет)</t>
  </si>
  <si>
    <t>Площадь, м2 ("Магнит")</t>
  </si>
  <si>
    <t>Площадь, м2 (Маленькие)</t>
  </si>
  <si>
    <t>МАП "Магнит"</t>
  </si>
  <si>
    <t xml:space="preserve">МАП маленькие </t>
  </si>
  <si>
    <t xml:space="preserve">Арендный поток </t>
  </si>
  <si>
    <t>Загрузка ставок аренды маленьких арендаторов</t>
  </si>
  <si>
    <t>Ставки аренды в 1й год - маленькие</t>
  </si>
  <si>
    <t xml:space="preserve">Ставки аренды во 2й год - маленькие </t>
  </si>
  <si>
    <t>Загрузка ставок аренды "Магнит"</t>
  </si>
  <si>
    <t>% от товарооборота "Магнит"</t>
  </si>
  <si>
    <t xml:space="preserve">Расчет товарооборота </t>
  </si>
  <si>
    <t>Средний чек с квартиры в месяц, руб.</t>
  </si>
  <si>
    <t xml:space="preserve">Средний чек с квартиры </t>
  </si>
  <si>
    <t>Квартиры готовые (с учетом конкуренции)</t>
  </si>
  <si>
    <t xml:space="preserve">Темпы заселения строящихся корпусов </t>
  </si>
  <si>
    <t>Строящиеся квартиры (с учетом конкуренции)</t>
  </si>
  <si>
    <t xml:space="preserve">Расчетный товарооборот </t>
  </si>
  <si>
    <t>Арендная выручка "Магнит"</t>
  </si>
  <si>
    <t>Доплата аренды с товарооборота "Магнит"</t>
  </si>
  <si>
    <t xml:space="preserve">Рост товарооборота </t>
  </si>
  <si>
    <t>FreeViser, руб.</t>
  </si>
  <si>
    <t xml:space="preserve">Домодедово-Парк </t>
  </si>
  <si>
    <t xml:space="preserve">Рост расходов </t>
  </si>
  <si>
    <t>Эксплуатация (для расчета)</t>
  </si>
  <si>
    <t xml:space="preserve">Показатели </t>
  </si>
  <si>
    <t>3 кв.2025</t>
  </si>
  <si>
    <t>4 кв.2025</t>
  </si>
  <si>
    <t xml:space="preserve">Рассрочка </t>
  </si>
  <si>
    <t xml:space="preserve">Equity investments </t>
  </si>
  <si>
    <t>Debt BoP</t>
  </si>
  <si>
    <t xml:space="preserve">Issuance </t>
  </si>
  <si>
    <t>Repayments</t>
  </si>
  <si>
    <t>Debt EoP</t>
  </si>
  <si>
    <t xml:space="preserve">Ставка по займу </t>
  </si>
  <si>
    <t xml:space="preserve">Итого </t>
  </si>
  <si>
    <t xml:space="preserve">Capitalization </t>
  </si>
  <si>
    <t>Interests BoP</t>
  </si>
  <si>
    <t>Interest EoP</t>
  </si>
  <si>
    <t xml:space="preserve">Эмиссия </t>
  </si>
  <si>
    <t xml:space="preserve">Раунд </t>
  </si>
  <si>
    <t xml:space="preserve">Выпуск </t>
  </si>
  <si>
    <t>Бридж-займ</t>
  </si>
  <si>
    <t xml:space="preserve">Долг по рассрочке </t>
  </si>
  <si>
    <t xml:space="preserve">Returns </t>
  </si>
  <si>
    <t xml:space="preserve">Покупка </t>
  </si>
  <si>
    <t xml:space="preserve">Продажа </t>
  </si>
  <si>
    <t>CF</t>
  </si>
  <si>
    <t>IRR</t>
  </si>
  <si>
    <t>Avg.CoC</t>
  </si>
  <si>
    <t>Год (порядковый номер)</t>
  </si>
  <si>
    <t>1й год</t>
  </si>
  <si>
    <t>2й год</t>
  </si>
  <si>
    <t xml:space="preserve">3й год </t>
  </si>
  <si>
    <t xml:space="preserve">4й год </t>
  </si>
  <si>
    <t xml:space="preserve">5й год </t>
  </si>
  <si>
    <t xml:space="preserve">6й год </t>
  </si>
  <si>
    <t xml:space="preserve">7й год </t>
  </si>
  <si>
    <t>8й год</t>
  </si>
  <si>
    <t xml:space="preserve">9й год </t>
  </si>
  <si>
    <t>10й год</t>
  </si>
  <si>
    <t>n/a</t>
  </si>
  <si>
    <t xml:space="preserve">Арендная выручка маленьких арендаторы </t>
  </si>
  <si>
    <t>Рост Equity (г/г), %</t>
  </si>
  <si>
    <t>Рост EV (г/г), %</t>
  </si>
  <si>
    <t xml:space="preserve">Базовый сценарий </t>
  </si>
  <si>
    <t xml:space="preserve">Прибыль </t>
  </si>
  <si>
    <t xml:space="preserve">Комиссия банка </t>
  </si>
  <si>
    <t xml:space="preserve">Оптимистический сценарий </t>
  </si>
  <si>
    <t>Пессимистический сценарий</t>
  </si>
  <si>
    <t xml:space="preserve">Cap Rate </t>
  </si>
  <si>
    <t xml:space="preserve">Окупаемость </t>
  </si>
  <si>
    <t xml:space="preserve">Сценарий </t>
  </si>
  <si>
    <t>NOI (фикс)</t>
  </si>
  <si>
    <t>ГАП (фикс)</t>
  </si>
  <si>
    <t>МАП (фикс)</t>
  </si>
  <si>
    <t>Покупка
(первоначальный взнос)</t>
  </si>
  <si>
    <t xml:space="preserve">Комиссия брокерам за поиск арендаторов </t>
  </si>
  <si>
    <t>Доходность за год, %</t>
  </si>
  <si>
    <t>Проценты по долгу</t>
  </si>
  <si>
    <t>Выплата долга и комиссии</t>
  </si>
  <si>
    <t>Базовый/Оптимистичный</t>
  </si>
  <si>
    <t xml:space="preserve">Пессимистический </t>
  </si>
  <si>
    <t>Прирост ст</t>
  </si>
  <si>
    <t>Резерв</t>
  </si>
  <si>
    <t>Базовый</t>
  </si>
  <si>
    <t>Оптимистичный</t>
  </si>
  <si>
    <t>Пессиместичный</t>
  </si>
  <si>
    <t>Ставка аренды - маленькие</t>
  </si>
  <si>
    <t xml:space="preserve">Показатель </t>
  </si>
  <si>
    <t>Ед. изм.</t>
  </si>
  <si>
    <t xml:space="preserve">Результаты инвестиций  </t>
  </si>
  <si>
    <t xml:space="preserve">Дата инвестирования </t>
  </si>
  <si>
    <t>---</t>
  </si>
  <si>
    <t xml:space="preserve">Cтоимость доли в момент выхода из проекта </t>
  </si>
  <si>
    <t>руб.</t>
  </si>
  <si>
    <t>В каком раунде вы инвестировали ?</t>
  </si>
  <si>
    <t xml:space="preserve">&lt;== Выберите раунд из списка </t>
  </si>
  <si>
    <t>Общий прирост стоимости</t>
  </si>
  <si>
    <t>Через сколько лет хотите продать ?</t>
  </si>
  <si>
    <t xml:space="preserve">лет </t>
  </si>
  <si>
    <t xml:space="preserve">&lt;== Введите кол-во лет </t>
  </si>
  <si>
    <t>Полученные дивиденды</t>
  </si>
  <si>
    <t>&lt;== Введите сценарий</t>
  </si>
  <si>
    <t>Общая доходность (IRR)</t>
  </si>
  <si>
    <t xml:space="preserve">Проинвестированная сумма </t>
  </si>
  <si>
    <t>&lt;== Введите сумму</t>
  </si>
  <si>
    <t xml:space="preserve">Средняя дивидендная доходность </t>
  </si>
  <si>
    <t>Цена акции</t>
  </si>
  <si>
    <t>Money Multiple (MoM)</t>
  </si>
  <si>
    <t xml:space="preserve">Кол-во приобретаемых акций </t>
  </si>
  <si>
    <t>шт.</t>
  </si>
  <si>
    <t>Доход инвестора (дивиденды + стоимость доли)</t>
  </si>
  <si>
    <t xml:space="preserve">Доля в капитале акционерного общества </t>
  </si>
  <si>
    <t>Прибыль инвестора (доход - инвестиции)</t>
  </si>
  <si>
    <t xml:space="preserve">Месяц </t>
  </si>
  <si>
    <t>Показатель</t>
  </si>
  <si>
    <t xml:space="preserve">Стоимость доли </t>
  </si>
  <si>
    <t xml:space="preserve">Денежный поток </t>
  </si>
  <si>
    <t>Дивидендная доходность, %</t>
  </si>
  <si>
    <t xml:space="preserve">Дата </t>
  </si>
  <si>
    <t>Покупка</t>
  </si>
  <si>
    <t>3й год</t>
  </si>
  <si>
    <t>4й год</t>
  </si>
  <si>
    <t>5й год</t>
  </si>
  <si>
    <t>6й год</t>
  </si>
  <si>
    <t>7й год</t>
  </si>
  <si>
    <t>9й год</t>
  </si>
  <si>
    <t>4 год</t>
  </si>
  <si>
    <t>Стоимость</t>
  </si>
  <si>
    <t>Калькулятор доходности инвестора "Магнит" в ЖК "Домодедово Парк"</t>
  </si>
  <si>
    <r>
      <t xml:space="preserve">Сценарий </t>
    </r>
    <r>
      <rPr>
        <b/>
        <i/>
        <sz val="14"/>
        <color theme="1"/>
        <rFont val="Helvetica"/>
        <family val="2"/>
      </rPr>
      <t>(1-базовый, 2-оптимистичный, 3-пессимистичный)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</si>
</sst>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%"/>
    <numFmt numFmtId="165" formatCode="#,##0.0"/>
    <numFmt numFmtId="166" formatCode="_-* #,##0_-;\-* #,##0_-;_-* &quot;-&quot;??_-;_-@_-"/>
    <numFmt numFmtId="167" formatCode="#,##0;\(#,##0\)"/>
    <numFmt numFmtId="168" formatCode="_-* #,##0.00\ _₽_-;\-* #,##0.00\ _₽_-;_-* &quot;-&quot;??\ _₽_-;_-@_-"/>
    <numFmt numFmtId="169" formatCode="0.000"/>
    <numFmt numFmtId="170" formatCode="#,##0_ ;\-#,##0\ "/>
    <numFmt numFmtId="171" formatCode="_-* #,##0\ _₽_-;\-* #,##0\ _₽_-;_-* &quot;-&quot;?\ _₽_-;_-@_-"/>
    <numFmt numFmtId="172" formatCode="0.0"/>
    <numFmt numFmtId="173" formatCode="0.0\х"/>
    <numFmt numFmtId="174" formatCode="_-* #,##0.0\ _₽_-;\-* #,##0.0\ _₽_-;_-* &quot;-&quot;??\ _₽_-;_-@_-"/>
    <numFmt numFmtId="175" formatCode="_-* #,##0\ _₽_-;\-* #,##0\ _₽_-;_-* &quot;-&quot;??\ _₽_-;_-@_-"/>
  </numFmts>
  <fonts count="52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6"/>
      <color rgb="FF0000FF"/>
      <name val="Calibri"/>
      <family val="2"/>
    </font>
    <font>
      <i/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sz val="16"/>
      <color rgb="FF0000FF"/>
      <name val="Calibri"/>
      <family val="2"/>
    </font>
    <font>
      <b/>
      <sz val="16"/>
      <color rgb="FF0000FF"/>
      <name val="Calibri"/>
      <family val="2"/>
    </font>
    <font>
      <b/>
      <sz val="16"/>
      <color theme="0" tint="-0.499984740745262"/>
      <name val="Calibri"/>
      <family val="2"/>
    </font>
    <font>
      <i/>
      <sz val="16"/>
      <color theme="0" tint="-0.499984740745262"/>
      <name val="Calibri"/>
      <family val="2"/>
    </font>
    <font>
      <i/>
      <sz val="16"/>
      <name val="Calibri"/>
      <family val="2"/>
    </font>
    <font>
      <sz val="16"/>
      <color theme="0" tint="-0.499984740745262"/>
      <name val="Calibri"/>
      <family val="2"/>
    </font>
    <font>
      <b/>
      <i/>
      <sz val="16"/>
      <name val="Calibri"/>
      <family val="2"/>
    </font>
    <font>
      <i/>
      <sz val="16"/>
      <color theme="0" tint="-0.34998626667073579"/>
      <name val="Calibri"/>
      <family val="2"/>
    </font>
    <font>
      <b/>
      <i/>
      <sz val="16"/>
      <color theme="0" tint="-0.34998626667073579"/>
      <name val="Calibri"/>
      <family val="2"/>
    </font>
    <font>
      <b/>
      <i/>
      <sz val="16"/>
      <color rgb="FF002060"/>
      <name val="Calibri"/>
      <family val="2"/>
    </font>
    <font>
      <i/>
      <sz val="16"/>
      <color theme="1" tint="0.499984740745262"/>
      <name val="Calibri"/>
      <family val="2"/>
      <charset val="204"/>
      <scheme val="minor"/>
    </font>
    <font>
      <i/>
      <sz val="16"/>
      <color theme="0"/>
      <name val="Calibri"/>
      <family val="2"/>
    </font>
    <font>
      <b/>
      <i/>
      <sz val="16"/>
      <color theme="0" tint="-0.499984740745262"/>
      <name val="Calibri"/>
      <family val="2"/>
    </font>
    <font>
      <sz val="12"/>
      <color theme="1"/>
      <name val="Helvetica"/>
      <family val="2"/>
    </font>
    <font>
      <b/>
      <sz val="24"/>
      <color rgb="FF7030A0"/>
      <name val="Helvetica"/>
      <family val="2"/>
    </font>
    <font>
      <b/>
      <sz val="14"/>
      <color theme="0"/>
      <name val="Helvetica"/>
      <family val="2"/>
    </font>
    <font>
      <sz val="14"/>
      <color rgb="FF0000FF"/>
      <name val="Helvetica"/>
      <family val="2"/>
    </font>
    <font>
      <sz val="12"/>
      <color rgb="FF0000FF"/>
      <name val="Helvetica"/>
      <family val="2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b/>
      <sz val="14"/>
      <color rgb="FF0000FF"/>
      <name val="Helvetica"/>
      <family val="2"/>
    </font>
    <font>
      <b/>
      <i/>
      <sz val="14"/>
      <color theme="0" tint="-0.499984740745262"/>
      <name val="Helvetica"/>
      <family val="2"/>
    </font>
    <font>
      <sz val="14"/>
      <color theme="0"/>
      <name val="Helvetica"/>
      <family val="2"/>
    </font>
    <font>
      <b/>
      <i/>
      <sz val="14"/>
      <color theme="1"/>
      <name val="Helvetica"/>
      <family val="2"/>
    </font>
    <font>
      <b/>
      <sz val="14"/>
      <color rgb="FF7030A0"/>
      <name val="Helvetica"/>
      <family val="2"/>
    </font>
    <font>
      <b/>
      <sz val="14"/>
      <color rgb="FFC00000"/>
      <name val="Helvetica"/>
      <family val="2"/>
    </font>
    <font>
      <sz val="14"/>
      <name val="Helvetica"/>
      <family val="2"/>
    </font>
    <font>
      <b/>
      <sz val="14"/>
      <color theme="0" tint="-0.14999847407452621"/>
      <name val="Helvetica"/>
      <family val="2"/>
    </font>
    <font>
      <b/>
      <sz val="14"/>
      <color theme="1"/>
      <name val="Century Gothic (Body)"/>
      <charset val="204"/>
    </font>
    <font>
      <b/>
      <sz val="14"/>
      <name val="Century Gothic (Body)"/>
      <charset val="204"/>
    </font>
    <font>
      <sz val="14"/>
      <color theme="1"/>
      <name val="Century Gothic (Body)"/>
      <charset val="204"/>
    </font>
    <font>
      <b/>
      <sz val="14"/>
      <color theme="0" tint="-0.499984740745262"/>
      <name val="Helvetica"/>
      <family val="2"/>
    </font>
    <font>
      <sz val="14"/>
      <color theme="0" tint="-0.499984740745262"/>
      <name val="Helvetica"/>
      <family val="2"/>
    </font>
    <font>
      <sz val="12"/>
      <color theme="0"/>
      <name val="Helvetica"/>
      <family val="2"/>
    </font>
    <font>
      <sz val="12"/>
      <color theme="0" tint="-0.499984740745262"/>
      <name val="Helvetica"/>
      <family val="2"/>
    </font>
    <font>
      <sz val="16"/>
      <color theme="0" tint="-0.34998626667073579"/>
      <name val="Calibri"/>
      <family val="2"/>
    </font>
    <font>
      <b/>
      <sz val="16"/>
      <color theme="1"/>
      <name val="Calibri (Основной текст)"/>
      <charset val="204"/>
    </font>
    <font>
      <sz val="16"/>
      <color theme="1"/>
      <name val="Calibri (Основной текст)"/>
      <charset val="204"/>
    </font>
    <font>
      <i/>
      <sz val="16"/>
      <color theme="1"/>
      <name val="Calibri (Основной текст)"/>
      <charset val="204"/>
    </font>
    <font>
      <b/>
      <i/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5" borderId="6" applyNumberFormat="0" applyFont="0" applyAlignment="0" applyProtection="0"/>
  </cellStyleXfs>
  <cellXfs count="327">
    <xf numFmtId="0" fontId="0" fillId="0" borderId="0" xfId="0"/>
    <xf numFmtId="17" fontId="0" fillId="0" borderId="0" xfId="0" applyNumberFormat="1"/>
    <xf numFmtId="10" fontId="0" fillId="0" borderId="0" xfId="2" applyNumberFormat="1" applyFont="1"/>
    <xf numFmtId="3" fontId="0" fillId="0" borderId="0" xfId="0" applyNumberFormat="1"/>
    <xf numFmtId="169" fontId="0" fillId="0" borderId="0" xfId="0" applyNumberFormat="1"/>
    <xf numFmtId="3" fontId="0" fillId="0" borderId="0" xfId="1" applyNumberFormat="1" applyFont="1" applyAlignment="1">
      <alignment horizontal="center"/>
    </xf>
    <xf numFmtId="9" fontId="0" fillId="0" borderId="0" xfId="2" applyFont="1"/>
    <xf numFmtId="0" fontId="4" fillId="0" borderId="0" xfId="0" applyFont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4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9" fontId="6" fillId="0" borderId="0" xfId="2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6" fillId="0" borderId="0" xfId="2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indent="1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9" fontId="9" fillId="0" borderId="0" xfId="2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9" fontId="9" fillId="0" borderId="1" xfId="2" applyFont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164" fontId="7" fillId="0" borderId="0" xfId="2" applyNumberFormat="1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7" fontId="5" fillId="4" borderId="0" xfId="0" applyNumberFormat="1" applyFont="1" applyFill="1" applyAlignment="1" applyProtection="1">
      <alignment horizontal="center"/>
      <protection hidden="1"/>
    </xf>
    <xf numFmtId="164" fontId="7" fillId="0" borderId="0" xfId="2" applyNumberFormat="1" applyFont="1" applyAlignment="1" applyProtection="1">
      <alignment horizontal="center"/>
      <protection hidden="1"/>
    </xf>
    <xf numFmtId="17" fontId="6" fillId="0" borderId="0" xfId="0" applyNumberFormat="1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3" fontId="9" fillId="0" borderId="1" xfId="0" applyNumberFormat="1" applyFont="1" applyBorder="1" applyAlignment="1" applyProtection="1">
      <alignment horizontal="center"/>
      <protection hidden="1"/>
    </xf>
    <xf numFmtId="17" fontId="6" fillId="0" borderId="0" xfId="0" applyNumberFormat="1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164" fontId="6" fillId="0" borderId="0" xfId="2" applyNumberFormat="1" applyFont="1" applyAlignment="1" applyProtection="1">
      <alignment horizontal="center"/>
      <protection hidden="1"/>
    </xf>
    <xf numFmtId="0" fontId="6" fillId="0" borderId="0" xfId="3" applyFont="1" applyProtection="1">
      <protection hidden="1"/>
    </xf>
    <xf numFmtId="10" fontId="7" fillId="0" borderId="0" xfId="2" applyNumberFormat="1" applyFont="1" applyFill="1" applyAlignment="1" applyProtection="1">
      <alignment horizontal="center"/>
      <protection hidden="1"/>
    </xf>
    <xf numFmtId="9" fontId="7" fillId="0" borderId="0" xfId="2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7" fillId="0" borderId="0" xfId="3" applyNumberFormat="1" applyFont="1" applyAlignment="1" applyProtection="1">
      <alignment horizontal="center"/>
      <protection hidden="1"/>
    </xf>
    <xf numFmtId="3" fontId="6" fillId="0" borderId="0" xfId="3" applyNumberFormat="1" applyFont="1" applyAlignment="1" applyProtection="1">
      <alignment horizontal="center"/>
      <protection hidden="1"/>
    </xf>
    <xf numFmtId="3" fontId="10" fillId="0" borderId="1" xfId="0" applyNumberFormat="1" applyFont="1" applyBorder="1" applyAlignment="1" applyProtection="1">
      <alignment horizontal="center"/>
      <protection hidden="1"/>
    </xf>
    <xf numFmtId="167" fontId="14" fillId="0" borderId="0" xfId="0" applyNumberFormat="1" applyFont="1" applyAlignment="1" applyProtection="1">
      <alignment horizontal="center"/>
      <protection hidden="1"/>
    </xf>
    <xf numFmtId="17" fontId="5" fillId="4" borderId="0" xfId="0" applyNumberFormat="1" applyFont="1" applyFill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164" fontId="6" fillId="0" borderId="0" xfId="4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17" fontId="15" fillId="0" borderId="0" xfId="3" applyNumberFormat="1" applyFont="1" applyAlignment="1" applyProtection="1">
      <alignment horizontal="left" vertical="center" indent="1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15" fillId="0" borderId="0" xfId="2" applyNumberFormat="1" applyFont="1" applyAlignment="1" applyProtection="1">
      <alignment horizontal="center"/>
      <protection hidden="1"/>
    </xf>
    <xf numFmtId="17" fontId="17" fillId="0" borderId="0" xfId="3" applyNumberFormat="1" applyFont="1" applyAlignment="1" applyProtection="1">
      <alignment vertical="center"/>
      <protection hidden="1"/>
    </xf>
    <xf numFmtId="9" fontId="17" fillId="0" borderId="0" xfId="2" applyFont="1" applyProtection="1">
      <protection hidden="1"/>
    </xf>
    <xf numFmtId="0" fontId="17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164" fontId="11" fillId="0" borderId="0" xfId="2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3" fontId="10" fillId="0" borderId="1" xfId="0" applyNumberFormat="1" applyFont="1" applyBorder="1" applyAlignment="1" applyProtection="1">
      <alignment horizontal="right"/>
      <protection hidden="1"/>
    </xf>
    <xf numFmtId="17" fontId="15" fillId="0" borderId="0" xfId="3" applyNumberFormat="1" applyFont="1" applyAlignment="1" applyProtection="1">
      <alignment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17" fontId="11" fillId="0" borderId="0" xfId="3" applyNumberFormat="1" applyFont="1" applyAlignment="1" applyProtection="1">
      <alignment vertical="center"/>
      <protection hidden="1"/>
    </xf>
    <xf numFmtId="167" fontId="11" fillId="0" borderId="2" xfId="0" applyNumberFormat="1" applyFont="1" applyBorder="1" applyAlignment="1" applyProtection="1">
      <alignment horizontal="center"/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7" fontId="10" fillId="0" borderId="1" xfId="0" applyNumberFormat="1" applyFont="1" applyBorder="1" applyAlignment="1" applyProtection="1">
      <alignment horizontal="center"/>
      <protection hidden="1"/>
    </xf>
    <xf numFmtId="10" fontId="11" fillId="0" borderId="0" xfId="2" applyNumberFormat="1" applyFont="1" applyFill="1" applyBorder="1" applyAlignment="1" applyProtection="1">
      <alignment horizontal="center"/>
      <protection hidden="1"/>
    </xf>
    <xf numFmtId="167" fontId="10" fillId="0" borderId="3" xfId="0" applyNumberFormat="1" applyFont="1" applyBorder="1" applyAlignment="1" applyProtection="1">
      <alignment horizont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3" fontId="16" fillId="0" borderId="0" xfId="0" applyNumberFormat="1" applyFont="1" applyAlignment="1" applyProtection="1">
      <alignment horizontal="center"/>
      <protection hidden="1"/>
    </xf>
    <xf numFmtId="167" fontId="6" fillId="0" borderId="0" xfId="0" applyNumberFormat="1" applyFont="1" applyProtection="1">
      <protection hidden="1"/>
    </xf>
    <xf numFmtId="170" fontId="15" fillId="0" borderId="0" xfId="1" applyNumberFormat="1" applyFont="1" applyBorder="1" applyAlignment="1" applyProtection="1">
      <alignment horizontal="center"/>
      <protection hidden="1"/>
    </xf>
    <xf numFmtId="167" fontId="15" fillId="0" borderId="0" xfId="0" applyNumberFormat="1" applyFont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10" fillId="0" borderId="0" xfId="2" applyNumberFormat="1" applyFont="1" applyFill="1" applyBorder="1" applyAlignment="1" applyProtection="1">
      <alignment horizontal="center"/>
      <protection hidden="1"/>
    </xf>
    <xf numFmtId="9" fontId="15" fillId="0" borderId="0" xfId="2" applyFont="1" applyProtection="1">
      <protection hidden="1"/>
    </xf>
    <xf numFmtId="9" fontId="16" fillId="0" borderId="0" xfId="2" applyFont="1" applyFill="1" applyAlignment="1" applyProtection="1">
      <alignment horizontal="center"/>
      <protection hidden="1"/>
    </xf>
    <xf numFmtId="164" fontId="15" fillId="0" borderId="0" xfId="2" applyNumberFormat="1" applyFont="1" applyFill="1" applyAlignment="1" applyProtection="1">
      <alignment horizontal="center"/>
      <protection hidden="1"/>
    </xf>
    <xf numFmtId="9" fontId="10" fillId="0" borderId="0" xfId="2" applyFont="1" applyBorder="1" applyAlignment="1" applyProtection="1">
      <alignment vertical="center"/>
      <protection hidden="1"/>
    </xf>
    <xf numFmtId="9" fontId="10" fillId="0" borderId="0" xfId="2" applyFont="1" applyProtection="1">
      <protection hidden="1"/>
    </xf>
    <xf numFmtId="10" fontId="10" fillId="0" borderId="0" xfId="2" applyNumberFormat="1" applyFont="1" applyFill="1" applyAlignment="1" applyProtection="1">
      <alignment horizontal="center"/>
      <protection hidden="1"/>
    </xf>
    <xf numFmtId="9" fontId="15" fillId="0" borderId="0" xfId="2" applyFont="1" applyBorder="1" applyAlignment="1" applyProtection="1">
      <alignment horizontal="left" vertical="center" indent="1"/>
      <protection hidden="1"/>
    </xf>
    <xf numFmtId="3" fontId="9" fillId="0" borderId="0" xfId="0" applyNumberFormat="1" applyFont="1" applyProtection="1">
      <protection hidden="1"/>
    </xf>
    <xf numFmtId="0" fontId="20" fillId="0" borderId="0" xfId="0" applyFont="1" applyAlignment="1" applyProtection="1">
      <alignment horizontal="left" indent="1"/>
      <protection hidden="1"/>
    </xf>
    <xf numFmtId="0" fontId="20" fillId="0" borderId="0" xfId="0" applyFont="1" applyProtection="1"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9" fontId="17" fillId="0" borderId="2" xfId="2" applyFont="1" applyFill="1" applyBorder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9" fontId="15" fillId="0" borderId="2" xfId="2" applyFont="1" applyFill="1" applyBorder="1" applyAlignment="1" applyProtection="1">
      <alignment horizontal="center"/>
      <protection hidden="1"/>
    </xf>
    <xf numFmtId="3" fontId="10" fillId="0" borderId="2" xfId="0" applyNumberFormat="1" applyFont="1" applyBorder="1" applyAlignment="1" applyProtection="1">
      <alignment horizontal="center"/>
      <protection hidden="1"/>
    </xf>
    <xf numFmtId="167" fontId="10" fillId="0" borderId="0" xfId="0" applyNumberFormat="1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67" fontId="13" fillId="0" borderId="0" xfId="0" applyNumberFormat="1" applyFont="1" applyAlignment="1" applyProtection="1">
      <alignment horizontal="center"/>
      <protection hidden="1"/>
    </xf>
    <xf numFmtId="164" fontId="11" fillId="0" borderId="0" xfId="2" applyNumberFormat="1" applyFont="1" applyFill="1" applyAlignment="1" applyProtection="1">
      <alignment horizontal="center"/>
      <protection hidden="1"/>
    </xf>
    <xf numFmtId="3" fontId="11" fillId="0" borderId="2" xfId="0" applyNumberFormat="1" applyFont="1" applyBorder="1" applyAlignment="1" applyProtection="1">
      <alignment horizontal="center"/>
      <protection hidden="1"/>
    </xf>
    <xf numFmtId="3" fontId="13" fillId="0" borderId="1" xfId="0" applyNumberFormat="1" applyFont="1" applyBorder="1" applyAlignment="1" applyProtection="1">
      <alignment horizontal="center"/>
      <protection hidden="1"/>
    </xf>
    <xf numFmtId="167" fontId="9" fillId="0" borderId="1" xfId="0" applyNumberFormat="1" applyFont="1" applyBorder="1" applyAlignment="1" applyProtection="1">
      <alignment horizontal="center"/>
      <protection hidden="1"/>
    </xf>
    <xf numFmtId="167" fontId="20" fillId="0" borderId="0" xfId="0" applyNumberFormat="1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9" fillId="0" borderId="3" xfId="0" applyNumberFormat="1" applyFont="1" applyBorder="1" applyAlignment="1" applyProtection="1">
      <alignment horizontal="center"/>
      <protection hidden="1"/>
    </xf>
    <xf numFmtId="9" fontId="7" fillId="0" borderId="0" xfId="2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9" fontId="6" fillId="0" borderId="0" xfId="2" applyFont="1" applyAlignment="1" applyProtection="1">
      <alignment horizontal="center"/>
      <protection hidden="1"/>
    </xf>
    <xf numFmtId="9" fontId="6" fillId="0" borderId="0" xfId="2" applyFont="1" applyProtection="1">
      <protection hidden="1"/>
    </xf>
    <xf numFmtId="9" fontId="7" fillId="0" borderId="0" xfId="0" applyNumberFormat="1" applyFont="1" applyAlignment="1" applyProtection="1">
      <alignment horizontal="center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9" fontId="12" fillId="0" borderId="0" xfId="0" applyNumberFormat="1" applyFont="1" applyAlignment="1" applyProtection="1">
      <alignment horizontal="center"/>
      <protection hidden="1"/>
    </xf>
    <xf numFmtId="9" fontId="12" fillId="0" borderId="0" xfId="2" applyFont="1" applyAlignment="1" applyProtection="1">
      <alignment horizontal="center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64" fontId="8" fillId="0" borderId="0" xfId="2" applyNumberFormat="1" applyFont="1" applyAlignment="1" applyProtection="1">
      <alignment horizontal="center"/>
      <protection hidden="1"/>
    </xf>
    <xf numFmtId="164" fontId="6" fillId="0" borderId="0" xfId="2" applyNumberFormat="1" applyFont="1" applyFill="1" applyBorder="1" applyAlignment="1" applyProtection="1">
      <alignment horizontal="center"/>
      <protection hidden="1"/>
    </xf>
    <xf numFmtId="3" fontId="6" fillId="0" borderId="2" xfId="0" applyNumberFormat="1" applyFont="1" applyBorder="1" applyAlignment="1" applyProtection="1">
      <alignment horizontal="center"/>
      <protection hidden="1"/>
    </xf>
    <xf numFmtId="3" fontId="6" fillId="0" borderId="0" xfId="2" applyNumberFormat="1" applyFont="1" applyFill="1" applyBorder="1" applyAlignment="1" applyProtection="1">
      <alignment horizontal="center"/>
      <protection hidden="1"/>
    </xf>
    <xf numFmtId="3" fontId="6" fillId="0" borderId="0" xfId="2" applyNumberFormat="1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167" fontId="15" fillId="5" borderId="6" xfId="6" applyNumberFormat="1" applyFont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7" borderId="0" xfId="0" applyFont="1" applyFill="1" applyProtection="1">
      <protection hidden="1"/>
    </xf>
    <xf numFmtId="0" fontId="9" fillId="7" borderId="0" xfId="0" applyFont="1" applyFill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7" fontId="5" fillId="2" borderId="8" xfId="0" applyNumberFormat="1" applyFont="1" applyFill="1" applyBorder="1" applyAlignment="1" applyProtection="1">
      <alignment horizontal="center"/>
      <protection hidden="1"/>
    </xf>
    <xf numFmtId="17" fontId="5" fillId="4" borderId="8" xfId="0" applyNumberFormat="1" applyFont="1" applyFill="1" applyBorder="1" applyAlignment="1" applyProtection="1">
      <alignment horizontal="center"/>
      <protection hidden="1"/>
    </xf>
    <xf numFmtId="167" fontId="11" fillId="5" borderId="9" xfId="6" applyNumberFormat="1" applyFont="1" applyBorder="1" applyAlignment="1" applyProtection="1">
      <alignment horizontal="center"/>
      <protection hidden="1"/>
    </xf>
    <xf numFmtId="9" fontId="9" fillId="5" borderId="9" xfId="6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7" fontId="9" fillId="7" borderId="0" xfId="0" applyNumberFormat="1" applyFont="1" applyFill="1" applyAlignment="1" applyProtection="1">
      <alignment horizontal="center"/>
      <protection hidden="1"/>
    </xf>
    <xf numFmtId="0" fontId="9" fillId="0" borderId="11" xfId="0" applyFont="1" applyBorder="1" applyProtection="1">
      <protection hidden="1"/>
    </xf>
    <xf numFmtId="167" fontId="10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167" fontId="11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Protection="1">
      <protection hidden="1"/>
    </xf>
    <xf numFmtId="167" fontId="6" fillId="0" borderId="11" xfId="0" applyNumberFormat="1" applyFont="1" applyBorder="1" applyProtection="1">
      <protection hidden="1"/>
    </xf>
    <xf numFmtId="0" fontId="6" fillId="7" borderId="11" xfId="0" applyFont="1" applyFill="1" applyBorder="1" applyProtection="1">
      <protection hidden="1"/>
    </xf>
    <xf numFmtId="167" fontId="10" fillId="0" borderId="12" xfId="0" applyNumberFormat="1" applyFont="1" applyBorder="1" applyAlignment="1" applyProtection="1">
      <alignment horizontal="center"/>
      <protection hidden="1"/>
    </xf>
    <xf numFmtId="167" fontId="6" fillId="0" borderId="0" xfId="0" applyNumberFormat="1" applyFont="1" applyAlignment="1" applyProtection="1">
      <alignment horizontal="center"/>
      <protection hidden="1"/>
    </xf>
    <xf numFmtId="0" fontId="9" fillId="0" borderId="14" xfId="0" applyFont="1" applyBorder="1" applyProtection="1">
      <protection hidden="1"/>
    </xf>
    <xf numFmtId="0" fontId="9" fillId="0" borderId="14" xfId="0" applyFont="1" applyBorder="1" applyAlignment="1" applyProtection="1">
      <alignment horizontal="center"/>
      <protection hidden="1"/>
    </xf>
    <xf numFmtId="167" fontId="9" fillId="0" borderId="14" xfId="0" applyNumberFormat="1" applyFont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164" fontId="5" fillId="6" borderId="0" xfId="2" applyNumberFormat="1" applyFont="1" applyFill="1" applyAlignment="1" applyProtection="1">
      <alignment horizontal="center"/>
      <protection hidden="1"/>
    </xf>
    <xf numFmtId="164" fontId="9" fillId="0" borderId="0" xfId="2" applyNumberFormat="1" applyFont="1" applyFill="1" applyAlignment="1" applyProtection="1">
      <alignment horizontal="center"/>
      <protection hidden="1"/>
    </xf>
    <xf numFmtId="167" fontId="22" fillId="0" borderId="0" xfId="0" applyNumberFormat="1" applyFont="1" applyAlignment="1" applyProtection="1">
      <alignment horizontal="center" vertical="center"/>
      <protection hidden="1"/>
    </xf>
    <xf numFmtId="164" fontId="6" fillId="0" borderId="0" xfId="2" applyNumberFormat="1" applyFont="1" applyFill="1" applyAlignment="1" applyProtection="1">
      <alignment horizontal="center"/>
      <protection hidden="1"/>
    </xf>
    <xf numFmtId="164" fontId="9" fillId="0" borderId="0" xfId="2" applyNumberFormat="1" applyFont="1" applyFill="1" applyBorder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center"/>
      <protection hidden="1"/>
    </xf>
    <xf numFmtId="17" fontId="5" fillId="4" borderId="0" xfId="0" applyNumberFormat="1" applyFont="1" applyFill="1" applyAlignment="1" applyProtection="1">
      <alignment horizontal="left" vertical="center"/>
      <protection hidden="1"/>
    </xf>
    <xf numFmtId="17" fontId="5" fillId="4" borderId="0" xfId="0" applyNumberFormat="1" applyFont="1" applyFill="1" applyAlignment="1" applyProtection="1">
      <alignment horizontal="center" vertical="center"/>
      <protection hidden="1"/>
    </xf>
    <xf numFmtId="166" fontId="5" fillId="4" borderId="0" xfId="1" applyNumberFormat="1" applyFont="1" applyFill="1" applyAlignment="1" applyProtection="1">
      <alignment horizontal="right" vertical="center"/>
      <protection hidden="1"/>
    </xf>
    <xf numFmtId="17" fontId="5" fillId="2" borderId="3" xfId="0" applyNumberFormat="1" applyFont="1" applyFill="1" applyBorder="1" applyAlignment="1" applyProtection="1">
      <alignment horizontal="center" vertical="center"/>
      <protection hidden="1"/>
    </xf>
    <xf numFmtId="17" fontId="5" fillId="2" borderId="2" xfId="0" applyNumberFormat="1" applyFont="1" applyFill="1" applyBorder="1" applyAlignment="1" applyProtection="1">
      <alignment horizontal="center" vertical="center"/>
      <protection hidden="1"/>
    </xf>
    <xf numFmtId="17" fontId="15" fillId="0" borderId="0" xfId="0" applyNumberFormat="1" applyFont="1" applyProtection="1">
      <protection hidden="1"/>
    </xf>
    <xf numFmtId="9" fontId="15" fillId="0" borderId="0" xfId="2" applyFont="1" applyAlignment="1" applyProtection="1">
      <alignment horizontal="center"/>
      <protection hidden="1"/>
    </xf>
    <xf numFmtId="167" fontId="9" fillId="0" borderId="1" xfId="0" applyNumberFormat="1" applyFont="1" applyBorder="1" applyAlignment="1" applyProtection="1">
      <alignment horizontal="center" vertical="center"/>
      <protection hidden="1"/>
    </xf>
    <xf numFmtId="17" fontId="15" fillId="0" borderId="0" xfId="0" applyNumberFormat="1" applyFont="1" applyAlignment="1" applyProtection="1">
      <alignment horizontal="left" indent="1"/>
      <protection hidden="1"/>
    </xf>
    <xf numFmtId="9" fontId="15" fillId="0" borderId="0" xfId="0" applyNumberFormat="1" applyFont="1" applyAlignment="1" applyProtection="1">
      <alignment horizontal="center"/>
      <protection hidden="1"/>
    </xf>
    <xf numFmtId="17" fontId="9" fillId="0" borderId="0" xfId="0" applyNumberFormat="1" applyFont="1" applyProtection="1">
      <protection hidden="1"/>
    </xf>
    <xf numFmtId="17" fontId="15" fillId="0" borderId="0" xfId="2" applyNumberFormat="1" applyFont="1" applyProtection="1">
      <protection hidden="1"/>
    </xf>
    <xf numFmtId="167" fontId="16" fillId="0" borderId="0" xfId="0" applyNumberFormat="1" applyFont="1" applyAlignment="1" applyProtection="1">
      <alignment horizontal="center"/>
      <protection hidden="1"/>
    </xf>
    <xf numFmtId="9" fontId="8" fillId="0" borderId="0" xfId="0" applyNumberFormat="1" applyFont="1" applyProtection="1">
      <protection hidden="1"/>
    </xf>
    <xf numFmtId="3" fontId="5" fillId="4" borderId="0" xfId="0" applyNumberFormat="1" applyFont="1" applyFill="1" applyAlignment="1" applyProtection="1">
      <alignment horizontal="center"/>
      <protection hidden="1"/>
    </xf>
    <xf numFmtId="10" fontId="6" fillId="0" borderId="0" xfId="2" applyNumberFormat="1" applyFont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171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3" fontId="15" fillId="0" borderId="0" xfId="1" applyFont="1" applyFill="1" applyAlignment="1" applyProtection="1">
      <alignment horizontal="center"/>
      <protection hidden="1"/>
    </xf>
    <xf numFmtId="17" fontId="5" fillId="2" borderId="8" xfId="0" applyNumberFormat="1" applyFont="1" applyFill="1" applyBorder="1" applyAlignment="1" applyProtection="1">
      <alignment horizontal="center" vertical="center"/>
      <protection hidden="1"/>
    </xf>
    <xf numFmtId="17" fontId="5" fillId="4" borderId="8" xfId="0" applyNumberFormat="1" applyFont="1" applyFill="1" applyBorder="1" applyAlignment="1" applyProtection="1">
      <alignment horizontal="center" vertical="center"/>
      <protection hidden="1"/>
    </xf>
    <xf numFmtId="172" fontId="6" fillId="0" borderId="0" xfId="0" applyNumberFormat="1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9" fontId="21" fillId="0" borderId="0" xfId="2" applyFont="1" applyProtection="1">
      <protection hidden="1"/>
    </xf>
    <xf numFmtId="9" fontId="21" fillId="0" borderId="2" xfId="2" applyFont="1" applyFill="1" applyBorder="1" applyAlignment="1" applyProtection="1">
      <alignment horizontal="center"/>
      <protection hidden="1"/>
    </xf>
    <xf numFmtId="164" fontId="21" fillId="0" borderId="0" xfId="2" applyNumberFormat="1" applyFont="1" applyFill="1" applyAlignment="1" applyProtection="1">
      <alignment horizontal="center"/>
      <protection hidden="1"/>
    </xf>
    <xf numFmtId="164" fontId="11" fillId="0" borderId="2" xfId="0" applyNumberFormat="1" applyFont="1" applyBorder="1" applyAlignment="1" applyProtection="1">
      <alignment horizontal="center"/>
      <protection hidden="1"/>
    </xf>
    <xf numFmtId="3" fontId="13" fillId="0" borderId="6" xfId="6" applyNumberFormat="1" applyFont="1" applyFill="1" applyAlignment="1" applyProtection="1">
      <alignment horizontal="center"/>
      <protection hidden="1"/>
    </xf>
    <xf numFmtId="167" fontId="13" fillId="0" borderId="6" xfId="6" applyNumberFormat="1" applyFont="1" applyFill="1" applyAlignment="1" applyProtection="1">
      <alignment horizontal="center"/>
      <protection hidden="1"/>
    </xf>
    <xf numFmtId="164" fontId="24" fillId="0" borderId="0" xfId="2" applyNumberFormat="1" applyFont="1" applyFill="1" applyBorder="1" applyAlignment="1" applyProtection="1">
      <alignment horizontal="right"/>
      <protection hidden="1"/>
    </xf>
    <xf numFmtId="0" fontId="5" fillId="4" borderId="0" xfId="0" applyFont="1" applyFill="1" applyAlignment="1" applyProtection="1">
      <alignment horizontal="left"/>
      <protection hidden="1"/>
    </xf>
    <xf numFmtId="3" fontId="5" fillId="2" borderId="0" xfId="0" applyNumberFormat="1" applyFont="1" applyFill="1" applyAlignment="1" applyProtection="1">
      <alignment horizontal="center"/>
      <protection hidden="1"/>
    </xf>
    <xf numFmtId="0" fontId="25" fillId="0" borderId="0" xfId="3" applyFont="1" applyProtection="1">
      <protection hidden="1"/>
    </xf>
    <xf numFmtId="0" fontId="25" fillId="0" borderId="0" xfId="3" applyFont="1" applyAlignment="1" applyProtection="1">
      <alignment horizontal="center"/>
      <protection hidden="1"/>
    </xf>
    <xf numFmtId="0" fontId="26" fillId="0" borderId="15" xfId="3" applyFont="1" applyBorder="1" applyProtection="1">
      <protection hidden="1"/>
    </xf>
    <xf numFmtId="0" fontId="25" fillId="0" borderId="15" xfId="3" applyFont="1" applyBorder="1" applyAlignment="1" applyProtection="1">
      <alignment horizontal="center"/>
      <protection hidden="1"/>
    </xf>
    <xf numFmtId="0" fontId="25" fillId="0" borderId="15" xfId="3" applyFont="1" applyBorder="1" applyProtection="1">
      <protection hidden="1"/>
    </xf>
    <xf numFmtId="0" fontId="27" fillId="4" borderId="0" xfId="3" applyFont="1" applyFill="1" applyProtection="1">
      <protection hidden="1"/>
    </xf>
    <xf numFmtId="0" fontId="27" fillId="4" borderId="0" xfId="3" applyFont="1" applyFill="1" applyAlignment="1" applyProtection="1">
      <alignment horizontal="center"/>
      <protection hidden="1"/>
    </xf>
    <xf numFmtId="0" fontId="27" fillId="0" borderId="0" xfId="3" applyFont="1" applyAlignment="1" applyProtection="1">
      <alignment horizontal="center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30" fillId="0" borderId="0" xfId="3" applyFont="1" applyProtection="1">
      <protection hidden="1"/>
    </xf>
    <xf numFmtId="0" fontId="31" fillId="0" borderId="0" xfId="3" applyFont="1" applyProtection="1">
      <protection hidden="1"/>
    </xf>
    <xf numFmtId="3" fontId="30" fillId="0" borderId="0" xfId="3" applyNumberFormat="1" applyFont="1" applyAlignment="1" applyProtection="1">
      <alignment horizontal="center"/>
      <protection hidden="1"/>
    </xf>
    <xf numFmtId="14" fontId="30" fillId="0" borderId="0" xfId="3" applyNumberFormat="1" applyFont="1" applyAlignment="1" applyProtection="1">
      <alignment horizontal="center"/>
      <protection hidden="1"/>
    </xf>
    <xf numFmtId="0" fontId="30" fillId="0" borderId="0" xfId="3" applyFont="1" applyAlignment="1" applyProtection="1">
      <alignment horizontal="center"/>
      <protection hidden="1"/>
    </xf>
    <xf numFmtId="3" fontId="31" fillId="0" borderId="0" xfId="3" applyNumberFormat="1" applyFont="1" applyAlignment="1" applyProtection="1">
      <alignment horizontal="center"/>
      <protection hidden="1"/>
    </xf>
    <xf numFmtId="1" fontId="30" fillId="0" borderId="0" xfId="3" applyNumberFormat="1" applyFont="1" applyAlignment="1" applyProtection="1">
      <alignment horizontal="center"/>
      <protection locked="0"/>
    </xf>
    <xf numFmtId="3" fontId="32" fillId="0" borderId="0" xfId="3" applyNumberFormat="1" applyFont="1" applyAlignment="1" applyProtection="1">
      <alignment horizontal="left"/>
      <protection hidden="1"/>
    </xf>
    <xf numFmtId="0" fontId="33" fillId="0" borderId="0" xfId="3" applyFont="1" applyProtection="1">
      <protection hidden="1"/>
    </xf>
    <xf numFmtId="0" fontId="33" fillId="0" borderId="0" xfId="3" quotePrefix="1" applyFont="1" applyAlignment="1" applyProtection="1">
      <alignment horizontal="center"/>
      <protection hidden="1"/>
    </xf>
    <xf numFmtId="173" fontId="33" fillId="0" borderId="0" xfId="3" applyNumberFormat="1" applyFont="1" applyAlignment="1" applyProtection="1">
      <alignment horizontal="center"/>
      <protection hidden="1"/>
    </xf>
    <xf numFmtId="1" fontId="34" fillId="0" borderId="0" xfId="3" applyNumberFormat="1" applyFont="1" applyAlignment="1" applyProtection="1">
      <alignment horizontal="right"/>
      <protection hidden="1"/>
    </xf>
    <xf numFmtId="14" fontId="34" fillId="0" borderId="0" xfId="3" applyNumberFormat="1" applyFont="1" applyProtection="1">
      <protection hidden="1"/>
    </xf>
    <xf numFmtId="166" fontId="34" fillId="0" borderId="0" xfId="1" applyNumberFormat="1" applyFont="1" applyProtection="1">
      <protection hidden="1"/>
    </xf>
    <xf numFmtId="3" fontId="32" fillId="0" borderId="16" xfId="3" applyNumberFormat="1" applyFont="1" applyBorder="1" applyAlignment="1" applyProtection="1">
      <alignment horizontal="center"/>
      <protection locked="0"/>
    </xf>
    <xf numFmtId="3" fontId="32" fillId="0" borderId="16" xfId="3" applyNumberFormat="1" applyFont="1" applyBorder="1" applyAlignment="1" applyProtection="1">
      <alignment horizontal="center" vertical="center"/>
      <protection locked="0"/>
    </xf>
    <xf numFmtId="0" fontId="30" fillId="0" borderId="0" xfId="3" quotePrefix="1" applyFont="1" applyAlignment="1" applyProtection="1">
      <alignment horizontal="center"/>
      <protection hidden="1"/>
    </xf>
    <xf numFmtId="164" fontId="31" fillId="0" borderId="0" xfId="4" applyNumberFormat="1" applyFont="1" applyAlignment="1" applyProtection="1">
      <alignment horizontal="center"/>
      <protection hidden="1"/>
    </xf>
    <xf numFmtId="3" fontId="31" fillId="0" borderId="0" xfId="3" applyNumberFormat="1" applyFont="1" applyAlignment="1" applyProtection="1">
      <alignment horizontal="left"/>
      <protection hidden="1"/>
    </xf>
    <xf numFmtId="14" fontId="30" fillId="0" borderId="0" xfId="3" applyNumberFormat="1" applyFont="1" applyProtection="1">
      <protection hidden="1"/>
    </xf>
    <xf numFmtId="174" fontId="30" fillId="0" borderId="0" xfId="5" applyNumberFormat="1" applyFont="1" applyProtection="1">
      <protection hidden="1"/>
    </xf>
    <xf numFmtId="3" fontId="28" fillId="0" borderId="0" xfId="3" applyNumberFormat="1" applyFont="1" applyProtection="1">
      <protection hidden="1"/>
    </xf>
    <xf numFmtId="175" fontId="30" fillId="0" borderId="0" xfId="5" applyNumberFormat="1" applyFont="1" applyProtection="1">
      <protection hidden="1"/>
    </xf>
    <xf numFmtId="175" fontId="30" fillId="0" borderId="0" xfId="3" applyNumberFormat="1" applyFont="1" applyProtection="1">
      <protection hidden="1"/>
    </xf>
    <xf numFmtId="0" fontId="36" fillId="0" borderId="0" xfId="3" applyFont="1" applyProtection="1">
      <protection hidden="1"/>
    </xf>
    <xf numFmtId="0" fontId="36" fillId="0" borderId="0" xfId="3" applyFont="1" applyAlignment="1" applyProtection="1">
      <alignment horizontal="center"/>
      <protection hidden="1"/>
    </xf>
    <xf numFmtId="3" fontId="36" fillId="0" borderId="0" xfId="3" applyNumberFormat="1" applyFont="1" applyAlignment="1" applyProtection="1">
      <alignment horizontal="center"/>
      <protection hidden="1"/>
    </xf>
    <xf numFmtId="3" fontId="33" fillId="0" borderId="15" xfId="3" applyNumberFormat="1" applyFont="1" applyBorder="1" applyAlignment="1" applyProtection="1">
      <alignment horizontal="left"/>
      <protection hidden="1"/>
    </xf>
    <xf numFmtId="3" fontId="33" fillId="0" borderId="15" xfId="3" quotePrefix="1" applyNumberFormat="1" applyFont="1" applyBorder="1" applyAlignment="1" applyProtection="1">
      <alignment horizontal="center"/>
      <protection hidden="1"/>
    </xf>
    <xf numFmtId="10" fontId="33" fillId="0" borderId="15" xfId="2" applyNumberFormat="1" applyFont="1" applyBorder="1" applyAlignment="1" applyProtection="1">
      <alignment horizontal="center"/>
      <protection hidden="1"/>
    </xf>
    <xf numFmtId="3" fontId="37" fillId="0" borderId="15" xfId="3" applyNumberFormat="1" applyFont="1" applyBorder="1" applyAlignment="1" applyProtection="1">
      <alignment horizontal="left"/>
      <protection hidden="1"/>
    </xf>
    <xf numFmtId="3" fontId="37" fillId="0" borderId="15" xfId="3" applyNumberFormat="1" applyFont="1" applyBorder="1" applyAlignment="1" applyProtection="1">
      <alignment horizontal="center"/>
      <protection hidden="1"/>
    </xf>
    <xf numFmtId="0" fontId="38" fillId="0" borderId="0" xfId="3" applyFont="1" applyProtection="1">
      <protection hidden="1"/>
    </xf>
    <xf numFmtId="10" fontId="30" fillId="0" borderId="0" xfId="4" applyNumberFormat="1" applyFont="1" applyProtection="1">
      <protection hidden="1"/>
    </xf>
    <xf numFmtId="3" fontId="37" fillId="0" borderId="0" xfId="3" applyNumberFormat="1" applyFont="1" applyAlignment="1" applyProtection="1">
      <alignment horizontal="left"/>
      <protection hidden="1"/>
    </xf>
    <xf numFmtId="3" fontId="37" fillId="0" borderId="0" xfId="3" applyNumberFormat="1" applyFont="1" applyAlignment="1" applyProtection="1">
      <alignment horizontal="center"/>
      <protection hidden="1"/>
    </xf>
    <xf numFmtId="3" fontId="34" fillId="0" borderId="0" xfId="3" applyNumberFormat="1" applyFont="1" applyAlignment="1" applyProtection="1">
      <alignment horizontal="center"/>
      <protection hidden="1"/>
    </xf>
    <xf numFmtId="3" fontId="39" fillId="0" borderId="0" xfId="3" applyNumberFormat="1" applyFont="1" applyAlignment="1" applyProtection="1">
      <alignment horizontal="center"/>
      <protection hidden="1"/>
    </xf>
    <xf numFmtId="0" fontId="27" fillId="2" borderId="0" xfId="3" applyFont="1" applyFill="1" applyProtection="1">
      <protection hidden="1"/>
    </xf>
    <xf numFmtId="0" fontId="27" fillId="2" borderId="0" xfId="3" applyFont="1" applyFill="1" applyAlignment="1" applyProtection="1">
      <alignment horizontal="center"/>
      <protection hidden="1"/>
    </xf>
    <xf numFmtId="3" fontId="27" fillId="2" borderId="0" xfId="3" applyNumberFormat="1" applyFont="1" applyFill="1" applyAlignment="1" applyProtection="1">
      <alignment horizontal="center"/>
      <protection hidden="1"/>
    </xf>
    <xf numFmtId="0" fontId="27" fillId="6" borderId="0" xfId="3" applyFont="1" applyFill="1" applyProtection="1">
      <protection hidden="1"/>
    </xf>
    <xf numFmtId="17" fontId="27" fillId="6" borderId="0" xfId="3" applyNumberFormat="1" applyFont="1" applyFill="1" applyAlignment="1" applyProtection="1">
      <alignment horizontal="center"/>
      <protection hidden="1"/>
    </xf>
    <xf numFmtId="3" fontId="32" fillId="0" borderId="0" xfId="3" applyNumberFormat="1" applyFont="1" applyAlignment="1" applyProtection="1">
      <alignment horizontal="center"/>
      <protection hidden="1"/>
    </xf>
    <xf numFmtId="0" fontId="31" fillId="0" borderId="1" xfId="3" applyFont="1" applyBorder="1" applyProtection="1">
      <protection hidden="1"/>
    </xf>
    <xf numFmtId="167" fontId="31" fillId="0" borderId="1" xfId="3" applyNumberFormat="1" applyFont="1" applyBorder="1" applyAlignment="1" applyProtection="1">
      <alignment horizontal="center"/>
      <protection hidden="1"/>
    </xf>
    <xf numFmtId="0" fontId="33" fillId="0" borderId="0" xfId="3" applyFont="1" applyAlignment="1" applyProtection="1">
      <alignment horizontal="center"/>
      <protection hidden="1"/>
    </xf>
    <xf numFmtId="10" fontId="33" fillId="0" borderId="0" xfId="2" applyNumberFormat="1" applyFont="1" applyAlignment="1" applyProtection="1">
      <alignment horizontal="center"/>
      <protection hidden="1"/>
    </xf>
    <xf numFmtId="167" fontId="30" fillId="0" borderId="0" xfId="3" applyNumberFormat="1" applyFont="1" applyAlignment="1" applyProtection="1">
      <alignment horizontal="center"/>
      <protection hidden="1"/>
    </xf>
    <xf numFmtId="14" fontId="27" fillId="2" borderId="0" xfId="3" applyNumberFormat="1" applyFont="1" applyFill="1" applyAlignment="1" applyProtection="1">
      <alignment horizontal="center"/>
      <protection hidden="1"/>
    </xf>
    <xf numFmtId="3" fontId="30" fillId="0" borderId="0" xfId="3" applyNumberFormat="1" applyFont="1" applyProtection="1">
      <protection hidden="1"/>
    </xf>
    <xf numFmtId="0" fontId="27" fillId="6" borderId="0" xfId="3" applyFont="1" applyFill="1" applyAlignment="1" applyProtection="1">
      <alignment horizontal="center"/>
      <protection hidden="1"/>
    </xf>
    <xf numFmtId="3" fontId="40" fillId="0" borderId="0" xfId="3" applyNumberFormat="1" applyFont="1" applyAlignment="1" applyProtection="1">
      <alignment horizontal="center"/>
      <protection hidden="1"/>
    </xf>
    <xf numFmtId="17" fontId="41" fillId="0" borderId="0" xfId="0" applyNumberFormat="1" applyFont="1" applyAlignment="1" applyProtection="1">
      <alignment horizontal="left"/>
      <protection hidden="1"/>
    </xf>
    <xf numFmtId="0" fontId="42" fillId="0" borderId="0" xfId="3" applyFont="1" applyProtection="1">
      <protection hidden="1"/>
    </xf>
    <xf numFmtId="17" fontId="41" fillId="0" borderId="0" xfId="0" applyNumberFormat="1" applyFont="1" applyAlignment="1" applyProtection="1">
      <alignment horizontal="center"/>
      <protection hidden="1"/>
    </xf>
    <xf numFmtId="3" fontId="27" fillId="0" borderId="0" xfId="3" applyNumberFormat="1" applyFont="1" applyAlignment="1" applyProtection="1">
      <alignment horizontal="center"/>
      <protection hidden="1"/>
    </xf>
    <xf numFmtId="3" fontId="43" fillId="0" borderId="0" xfId="3" applyNumberFormat="1" applyFont="1" applyAlignment="1" applyProtection="1">
      <alignment horizontal="center"/>
      <protection hidden="1"/>
    </xf>
    <xf numFmtId="0" fontId="44" fillId="0" borderId="0" xfId="3" applyFont="1" applyProtection="1">
      <protection hidden="1"/>
    </xf>
    <xf numFmtId="0" fontId="34" fillId="0" borderId="0" xfId="3" applyFont="1" applyProtection="1">
      <protection hidden="1"/>
    </xf>
    <xf numFmtId="0" fontId="34" fillId="0" borderId="0" xfId="3" applyFont="1" applyAlignment="1" applyProtection="1">
      <alignment horizontal="center"/>
      <protection hidden="1"/>
    </xf>
    <xf numFmtId="0" fontId="45" fillId="0" borderId="0" xfId="3" applyFont="1" applyAlignment="1" applyProtection="1">
      <alignment horizontal="center"/>
      <protection hidden="1"/>
    </xf>
    <xf numFmtId="3" fontId="45" fillId="0" borderId="0" xfId="3" applyNumberFormat="1" applyFont="1" applyAlignment="1" applyProtection="1">
      <alignment horizontal="center"/>
      <protection hidden="1"/>
    </xf>
    <xf numFmtId="0" fontId="45" fillId="0" borderId="0" xfId="3" applyFont="1" applyProtection="1">
      <protection hidden="1"/>
    </xf>
    <xf numFmtId="0" fontId="46" fillId="0" borderId="0" xfId="3" applyFont="1" applyProtection="1">
      <protection hidden="1"/>
    </xf>
    <xf numFmtId="10" fontId="45" fillId="0" borderId="0" xfId="4" applyNumberFormat="1" applyFont="1" applyAlignment="1" applyProtection="1">
      <alignment horizontal="center"/>
      <protection hidden="1"/>
    </xf>
    <xf numFmtId="3" fontId="25" fillId="0" borderId="0" xfId="3" applyNumberFormat="1" applyFont="1" applyAlignment="1" applyProtection="1">
      <alignment horizontal="center"/>
      <protection hidden="1"/>
    </xf>
    <xf numFmtId="166" fontId="30" fillId="0" borderId="0" xfId="1" applyNumberFormat="1" applyFont="1" applyProtection="1">
      <protection hidden="1"/>
    </xf>
    <xf numFmtId="164" fontId="30" fillId="0" borderId="0" xfId="2" applyNumberFormat="1" applyFont="1" applyProtection="1">
      <protection hidden="1"/>
    </xf>
    <xf numFmtId="167" fontId="47" fillId="0" borderId="0" xfId="0" applyNumberFormat="1" applyFont="1" applyAlignment="1" applyProtection="1">
      <alignment horizontal="center"/>
      <protection hidden="1"/>
    </xf>
    <xf numFmtId="9" fontId="9" fillId="0" borderId="2" xfId="2" applyFont="1" applyFill="1" applyBorder="1" applyAlignment="1" applyProtection="1">
      <alignment horizontal="center"/>
      <protection hidden="1"/>
    </xf>
    <xf numFmtId="167" fontId="10" fillId="5" borderId="9" xfId="6" applyNumberFormat="1" applyFont="1" applyBorder="1" applyAlignment="1" applyProtection="1">
      <alignment horizontal="center"/>
      <protection hidden="1"/>
    </xf>
    <xf numFmtId="167" fontId="13" fillId="0" borderId="17" xfId="6" applyNumberFormat="1" applyFont="1" applyFill="1" applyBorder="1" applyAlignment="1" applyProtection="1">
      <alignment horizontal="center"/>
      <protection hidden="1"/>
    </xf>
    <xf numFmtId="167" fontId="9" fillId="0" borderId="0" xfId="6" applyNumberFormat="1" applyFont="1" applyFill="1" applyBorder="1" applyAlignment="1" applyProtection="1">
      <alignment horizontal="center"/>
      <protection hidden="1"/>
    </xf>
    <xf numFmtId="164" fontId="15" fillId="0" borderId="0" xfId="2" applyNumberFormat="1" applyFont="1" applyFill="1" applyBorder="1" applyAlignment="1" applyProtection="1">
      <alignment horizontal="center"/>
      <protection hidden="1"/>
    </xf>
    <xf numFmtId="3" fontId="13" fillId="0" borderId="17" xfId="6" applyNumberFormat="1" applyFont="1" applyFill="1" applyBorder="1" applyAlignment="1" applyProtection="1">
      <alignment horizontal="center"/>
      <protection hidden="1"/>
    </xf>
    <xf numFmtId="3" fontId="9" fillId="0" borderId="2" xfId="6" applyNumberFormat="1" applyFont="1" applyFill="1" applyBorder="1" applyAlignment="1" applyProtection="1">
      <alignment horizontal="center"/>
      <protection hidden="1"/>
    </xf>
    <xf numFmtId="3" fontId="9" fillId="0" borderId="2" xfId="0" applyNumberFormat="1" applyFont="1" applyBorder="1" applyAlignment="1" applyProtection="1">
      <alignment horizontal="center"/>
      <protection hidden="1"/>
    </xf>
    <xf numFmtId="3" fontId="48" fillId="0" borderId="2" xfId="0" applyNumberFormat="1" applyFont="1" applyBorder="1" applyAlignment="1" applyProtection="1">
      <alignment horizontal="center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3" fontId="49" fillId="0" borderId="0" xfId="2" applyNumberFormat="1" applyFont="1" applyFill="1" applyAlignment="1" applyProtection="1">
      <alignment horizontal="center"/>
      <protection hidden="1"/>
    </xf>
    <xf numFmtId="3" fontId="49" fillId="0" borderId="0" xfId="2" applyNumberFormat="1" applyFont="1" applyFill="1" applyBorder="1" applyAlignment="1" applyProtection="1">
      <alignment horizontal="center"/>
      <protection hidden="1"/>
    </xf>
    <xf numFmtId="3" fontId="49" fillId="0" borderId="5" xfId="0" applyNumberFormat="1" applyFont="1" applyBorder="1" applyAlignment="1" applyProtection="1">
      <alignment horizontal="center"/>
      <protection hidden="1"/>
    </xf>
    <xf numFmtId="164" fontId="49" fillId="0" borderId="0" xfId="2" applyNumberFormat="1" applyFont="1" applyFill="1" applyBorder="1" applyAlignment="1" applyProtection="1">
      <alignment horizontal="center"/>
      <protection hidden="1"/>
    </xf>
    <xf numFmtId="3" fontId="48" fillId="0" borderId="0" xfId="2" applyNumberFormat="1" applyFont="1" applyFill="1" applyBorder="1" applyAlignment="1" applyProtection="1">
      <alignment horizontal="center"/>
      <protection hidden="1"/>
    </xf>
    <xf numFmtId="3" fontId="48" fillId="0" borderId="3" xfId="0" applyNumberFormat="1" applyFont="1" applyBorder="1" applyAlignment="1" applyProtection="1">
      <alignment horizontal="center"/>
      <protection hidden="1"/>
    </xf>
    <xf numFmtId="9" fontId="50" fillId="0" borderId="2" xfId="2" applyFont="1" applyBorder="1" applyAlignment="1" applyProtection="1">
      <alignment horizontal="center"/>
      <protection hidden="1"/>
    </xf>
    <xf numFmtId="164" fontId="50" fillId="0" borderId="0" xfId="2" applyNumberFormat="1" applyFont="1" applyAlignment="1" applyProtection="1">
      <alignment horizontal="center"/>
      <protection hidden="1"/>
    </xf>
    <xf numFmtId="9" fontId="49" fillId="0" borderId="2" xfId="2" applyFont="1" applyBorder="1" applyAlignment="1" applyProtection="1">
      <alignment horizontal="center"/>
      <protection hidden="1"/>
    </xf>
    <xf numFmtId="170" fontId="50" fillId="0" borderId="2" xfId="1" applyNumberFormat="1" applyFont="1" applyBorder="1" applyAlignment="1" applyProtection="1">
      <alignment horizontal="center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167" fontId="49" fillId="0" borderId="2" xfId="0" applyNumberFormat="1" applyFont="1" applyBorder="1" applyAlignment="1" applyProtection="1">
      <alignment horizontal="center"/>
      <protection hidden="1"/>
    </xf>
    <xf numFmtId="167" fontId="49" fillId="0" borderId="0" xfId="0" applyNumberFormat="1" applyFont="1" applyAlignment="1" applyProtection="1">
      <alignment horizontal="center"/>
      <protection hidden="1"/>
    </xf>
    <xf numFmtId="167" fontId="50" fillId="0" borderId="7" xfId="0" applyNumberFormat="1" applyFont="1" applyBorder="1" applyAlignment="1" applyProtection="1">
      <alignment horizontal="center"/>
      <protection hidden="1"/>
    </xf>
    <xf numFmtId="167" fontId="50" fillId="0" borderId="0" xfId="0" applyNumberFormat="1" applyFont="1" applyAlignment="1" applyProtection="1">
      <alignment horizontal="center"/>
      <protection hidden="1"/>
    </xf>
    <xf numFmtId="167" fontId="49" fillId="0" borderId="5" xfId="0" applyNumberFormat="1" applyFont="1" applyBorder="1" applyAlignment="1" applyProtection="1">
      <alignment horizontal="center"/>
      <protection hidden="1"/>
    </xf>
    <xf numFmtId="167" fontId="48" fillId="0" borderId="1" xfId="0" applyNumberFormat="1" applyFont="1" applyBorder="1" applyAlignment="1" applyProtection="1">
      <alignment horizontal="center"/>
      <protection hidden="1"/>
    </xf>
    <xf numFmtId="9" fontId="50" fillId="0" borderId="4" xfId="2" applyFont="1" applyBorder="1" applyAlignment="1" applyProtection="1">
      <alignment horizontal="center"/>
      <protection hidden="1"/>
    </xf>
    <xf numFmtId="167" fontId="48" fillId="0" borderId="3" xfId="0" applyNumberFormat="1" applyFont="1" applyBorder="1" applyAlignment="1" applyProtection="1">
      <alignment horizontal="center"/>
      <protection hidden="1"/>
    </xf>
    <xf numFmtId="167" fontId="50" fillId="0" borderId="2" xfId="1" applyNumberFormat="1" applyFont="1" applyBorder="1" applyAlignment="1" applyProtection="1">
      <alignment horizontal="center"/>
      <protection hidden="1"/>
    </xf>
    <xf numFmtId="167" fontId="50" fillId="0" borderId="0" xfId="0" applyNumberFormat="1" applyFont="1" applyAlignment="1" applyProtection="1">
      <alignment horizontal="center" vertical="center"/>
      <protection hidden="1"/>
    </xf>
    <xf numFmtId="167" fontId="50" fillId="0" borderId="2" xfId="1" applyNumberFormat="1" applyFont="1" applyFill="1" applyBorder="1" applyAlignment="1" applyProtection="1">
      <alignment horizontal="center"/>
      <protection hidden="1"/>
    </xf>
    <xf numFmtId="167" fontId="48" fillId="0" borderId="2" xfId="0" applyNumberFormat="1" applyFont="1" applyBorder="1" applyAlignment="1" applyProtection="1">
      <alignment horizontal="center"/>
      <protection hidden="1"/>
    </xf>
    <xf numFmtId="167" fontId="10" fillId="5" borderId="18" xfId="6" applyNumberFormat="1" applyFont="1" applyBorder="1" applyAlignment="1" applyProtection="1">
      <alignment horizontal="center" vertical="center"/>
      <protection hidden="1"/>
    </xf>
    <xf numFmtId="167" fontId="9" fillId="5" borderId="18" xfId="6" applyNumberFormat="1" applyFont="1" applyBorder="1" applyAlignment="1" applyProtection="1">
      <alignment horizontal="center"/>
      <protection hidden="1"/>
    </xf>
    <xf numFmtId="3" fontId="48" fillId="0" borderId="1" xfId="0" applyNumberFormat="1" applyFont="1" applyBorder="1" applyAlignment="1" applyProtection="1">
      <alignment horizontal="center"/>
      <protection hidden="1"/>
    </xf>
    <xf numFmtId="3" fontId="9" fillId="5" borderId="9" xfId="6" applyNumberFormat="1" applyFont="1" applyBorder="1" applyAlignment="1" applyProtection="1">
      <alignment horizontal="center"/>
      <protection hidden="1"/>
    </xf>
    <xf numFmtId="164" fontId="51" fillId="5" borderId="9" xfId="2" applyNumberFormat="1" applyFont="1" applyFill="1" applyBorder="1" applyAlignment="1" applyProtection="1">
      <alignment horizontal="center"/>
      <protection hidden="1"/>
    </xf>
    <xf numFmtId="9" fontId="9" fillId="5" borderId="18" xfId="6" applyNumberFormat="1" applyFont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17" fontId="5" fillId="6" borderId="10" xfId="0" applyNumberFormat="1" applyFont="1" applyFill="1" applyBorder="1" applyAlignment="1" applyProtection="1">
      <alignment horizontal="center" vertical="center"/>
      <protection hidden="1"/>
    </xf>
    <xf numFmtId="17" fontId="5" fillId="6" borderId="13" xfId="0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Примечание" xfId="6" builtinId="10"/>
    <cellStyle name="Процентный" xfId="2" builtinId="5"/>
    <cellStyle name="Финансовый" xfId="1" builtinId="3"/>
    <cellStyle name="Comma 2" xfId="5" xr:uid="{00000000-0005-0000-0000-000000000000}"/>
    <cellStyle name="Normal 2" xfId="3" xr:uid="{00000000-0005-0000-0000-000001000000}"/>
    <cellStyle name="Percent 2" xfId="4" xr:uid="{00000000-0005-0000-0000-000002000000}"/>
  </cellStyles>
  <dxfs count="0"/>
  <tableStyles count="0" defaultTableStyle="TableStyleMedium2" defaultPivotStyle="PivotStyleLight16"/>
  <colors>
    <mruColors>
      <color rgb="FF0000FF"/>
      <color rgb="FFFF0000"/>
      <color rgb="FFFF00FF"/>
      <color rgb="FF00CC00"/>
      <color rgb="FF9999FF"/>
      <color rgb="FFFF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Стоимость доли</a:t>
            </a:r>
            <a:r>
              <a:rPr lang="en-US" sz="1800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инвестора,</a:t>
            </a:r>
            <a:r>
              <a:rPr lang="ru-RU" sz="1800" b="1" baseline="0">
                <a:solidFill>
                  <a:schemeClr val="bg1">
                    <a:lumMod val="50000"/>
                  </a:schemeClr>
                </a:solidFill>
              </a:rPr>
              <a:t> тыс. руб.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'Калькулятор инвестора'!$A$39</c:f>
              <c:strCache>
                <c:ptCount val="1"/>
                <c:pt idx="0">
                  <c:v>Стоимость доли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9-784D-8D7C-22B21FE5D7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'Калькулятор инвестора'!$B$38:$L$38</c:f>
              <c:strCache>
                <c:ptCount val="11"/>
                <c:pt idx="0">
                  <c:v>Покупка</c:v>
                </c:pt>
                <c:pt idx="1">
                  <c:v>1й год</c:v>
                </c:pt>
                <c:pt idx="2">
                  <c:v>2й год</c:v>
                </c:pt>
                <c:pt idx="3">
                  <c:v>3й год</c:v>
                </c:pt>
                <c:pt idx="4">
                  <c:v>4й год</c:v>
                </c:pt>
                <c:pt idx="5">
                  <c:v>5й год</c:v>
                </c:pt>
                <c:pt idx="6">
                  <c:v>6й год</c:v>
                </c:pt>
                <c:pt idx="7">
                  <c:v>7й год</c:v>
                </c:pt>
                <c:pt idx="8">
                  <c:v>8й год</c:v>
                </c:pt>
                <c:pt idx="9">
                  <c:v>9й год</c:v>
                </c:pt>
                <c:pt idx="10">
                  <c:v>10й год</c:v>
                </c:pt>
              </c:strCache>
            </c:strRef>
          </c:cat>
          <c:val>
            <c:numRef>
              <c:f>'Калькулятор инвестора'!$B$39:$L$39</c:f>
              <c:numCache>
                <c:formatCode>#,##0</c:formatCode>
                <c:ptCount val="11"/>
                <c:pt idx="0">
                  <c:v>5000</c:v>
                </c:pt>
                <c:pt idx="1">
                  <c:v>6000</c:v>
                </c:pt>
                <c:pt idx="2">
                  <c:v>6825</c:v>
                </c:pt>
                <c:pt idx="3">
                  <c:v>7487.9410223167879</c:v>
                </c:pt>
                <c:pt idx="4">
                  <c:v>8040.1427006748236</c:v>
                </c:pt>
                <c:pt idx="5">
                  <c:v>8632.0282081828173</c:v>
                </c:pt>
                <c:pt idx="6">
                  <c:v>9266.4154116383288</c:v>
                </c:pt>
                <c:pt idx="7">
                  <c:v>9946.3211412819419</c:v>
                </c:pt>
                <c:pt idx="8">
                  <c:v>10674.975196697367</c:v>
                </c:pt>
                <c:pt idx="9">
                  <c:v>11455.835336868044</c:v>
                </c:pt>
                <c:pt idx="10">
                  <c:v>12292.603323463833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9-784D-8D7C-22B21FE5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7091056"/>
        <c:axId val="687096880"/>
      </c:barChart>
      <c:catAx>
        <c:axId val="6870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87096880"/>
        <c:crosses val="autoZero"/>
        <c:auto val="1"/>
        <c:lblAlgn val="ctr"/>
        <c:lblOffset val="100"/>
        <c:noMultiLvlLbl val="0"/>
      </c:catAx>
      <c:valAx>
        <c:axId val="68709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0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Дивиденды</a:t>
            </a:r>
            <a:r>
              <a:rPr lang="en-US" sz="1800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инвестора,</a:t>
            </a:r>
            <a:r>
              <a:rPr lang="ru-RU" sz="1800" b="1" baseline="0">
                <a:solidFill>
                  <a:schemeClr val="bg1">
                    <a:lumMod val="50000"/>
                  </a:schemeClr>
                </a:solidFill>
              </a:rPr>
              <a:t> тыс. руб.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2790501968407142E-2"/>
          <c:y val="0.13789064772360693"/>
          <c:w val="0.96966114957096694"/>
          <c:h val="0.75358194529934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'Калькулятор инвестора'!$A$40</c:f>
              <c:strCache>
                <c:ptCount val="1"/>
                <c:pt idx="0">
                  <c:v>Дивиденды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'Калькулятор инвестора'!$B$38:$L$38</c:f>
              <c:strCache>
                <c:ptCount val="11"/>
                <c:pt idx="0">
                  <c:v>Покупка</c:v>
                </c:pt>
                <c:pt idx="1">
                  <c:v>1й год</c:v>
                </c:pt>
                <c:pt idx="2">
                  <c:v>2й год</c:v>
                </c:pt>
                <c:pt idx="3">
                  <c:v>3й год</c:v>
                </c:pt>
                <c:pt idx="4">
                  <c:v>4й год</c:v>
                </c:pt>
                <c:pt idx="5">
                  <c:v>5й год</c:v>
                </c:pt>
                <c:pt idx="6">
                  <c:v>6й год</c:v>
                </c:pt>
                <c:pt idx="7">
                  <c:v>7й год</c:v>
                </c:pt>
                <c:pt idx="8">
                  <c:v>8й год</c:v>
                </c:pt>
                <c:pt idx="9">
                  <c:v>9й год</c:v>
                </c:pt>
                <c:pt idx="10">
                  <c:v>10й год</c:v>
                </c:pt>
              </c:strCache>
            </c:strRef>
          </c:cat>
          <c:val>
            <c:numRef>
              <c:f>'Калькулятор инвестора'!$B$40:$L$40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455.86908920197772</c:v>
                </c:pt>
                <c:pt idx="4">
                  <c:v>501.52457593981183</c:v>
                </c:pt>
                <c:pt idx="5">
                  <c:v>538.84130584420222</c:v>
                </c:pt>
                <c:pt idx="6">
                  <c:v>578.84886776070334</c:v>
                </c:pt>
                <c:pt idx="7">
                  <c:v>621.73875698708764</c:v>
                </c:pt>
                <c:pt idx="8">
                  <c:v>667.71601044509248</c:v>
                </c:pt>
                <c:pt idx="9">
                  <c:v>717.00016094425996</c:v>
                </c:pt>
                <c:pt idx="10">
                  <c:v>769.82625854931837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5-834C-A56A-113404DF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7091056"/>
        <c:axId val="687096880"/>
      </c:barChart>
      <c:catAx>
        <c:axId val="6870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87096880"/>
        <c:crosses val="autoZero"/>
        <c:auto val="1"/>
        <c:lblAlgn val="ctr"/>
        <c:lblOffset val="100"/>
        <c:noMultiLvlLbl val="0"/>
      </c:catAx>
      <c:valAx>
        <c:axId val="68709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0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Парк'!$BB$199:$BL$199</c:f>
            </c:multiLvlStrRef>
          </c:cat>
          <c:val>
            <c:numRef>
              <c:f>'Домодедово Парк'!$BB$201:$BL$201</c:f>
            </c:numRef>
          </c:val>
          <c:extLst>
            <c:ext xmlns:c16="http://schemas.microsoft.com/office/drawing/2014/chart" uri="{C3380CC4-5D6E-409C-BE32-E72D297353CC}">
              <c16:uniqueId val="{00000002-8C64-CD45-B2C2-5364D56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Парк'!$BB$199:$BL$199</c:f>
            </c:multiLvlStrRef>
          </c:cat>
          <c:val>
            <c:numRef>
              <c:f>'Домодедово Парк'!$BB$202:$BL$202</c:f>
            </c:numRef>
          </c:val>
          <c:extLst>
            <c:ext xmlns:c16="http://schemas.microsoft.com/office/drawing/2014/chart" uri="{C3380CC4-5D6E-409C-BE32-E72D297353CC}">
              <c16:uniqueId val="{00000002-4A4B-F844-9F7D-97A6D60D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'Домодедово Парк'!$BB$177:$BL$177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'Домодедово Парк'!$BB$175:$BL$175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63-B047-B951-784F5EAA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'Домодедово Парк'!$BB$178:$BL$178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'Домодедово Парк'!$BB$175:$BL$175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C10-0A4C-94EC-2C0F13C59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Парк'!$BB$206:$BL$206</c:f>
            </c:multiLvlStrRef>
          </c:cat>
          <c:val>
            <c:numRef>
              <c:f>'Домодедово Парк'!$BB$208:$BL$208</c:f>
            </c:numRef>
          </c:val>
          <c:extLst>
            <c:ext xmlns:c16="http://schemas.microsoft.com/office/drawing/2014/chart" uri="{C3380CC4-5D6E-409C-BE32-E72D297353CC}">
              <c16:uniqueId val="{00000002-091B-8F41-925B-5681A4AF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Парк'!$BB$206:$BL$206</c:f>
            </c:multiLvlStrRef>
          </c:cat>
          <c:val>
            <c:numRef>
              <c:f>'Домодедово Парк'!$BB$209:$BL$209</c:f>
            </c:numRef>
          </c:val>
          <c:extLst>
            <c:ext xmlns:c16="http://schemas.microsoft.com/office/drawing/2014/chart" uri="{C3380CC4-5D6E-409C-BE32-E72D297353CC}">
              <c16:uniqueId val="{00000002-E96B-D940-A8BE-C9383106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Парк'!$BB$212:$BL$212</c:f>
            </c:multiLvlStrRef>
          </c:cat>
          <c:val>
            <c:numRef>
              <c:f>'Домодедово Парк'!$BB$214:$BL$214</c:f>
            </c:numRef>
          </c:val>
          <c:extLst>
            <c:ext xmlns:c16="http://schemas.microsoft.com/office/drawing/2014/chart" uri="{C3380CC4-5D6E-409C-BE32-E72D297353CC}">
              <c16:uniqueId val="{00000002-5798-A74F-B4BE-D224DC93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'Домодедово Парк'!$BB$212:$BL$212</c:f>
            </c:multiLvlStrRef>
          </c:cat>
          <c:val>
            <c:numRef>
              <c:f>'Домодедово Парк'!$BB$215:$BL$215</c:f>
            </c:numRef>
          </c:val>
          <c:extLst>
            <c:ext xmlns:c16="http://schemas.microsoft.com/office/drawing/2014/chart" uri="{C3380CC4-5D6E-409C-BE32-E72D297353CC}">
              <c16:uniqueId val="{00000002-1453-BF48-A85E-63C61E08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9075808"/>
        <c:axId val="439077520"/>
      </c:barChart>
      <c:catAx>
        <c:axId val="4390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439077520"/>
        <c:crosses val="autoZero"/>
        <c:auto val="1"/>
        <c:lblAlgn val="ctr"/>
        <c:lblOffset val="100"/>
        <c:noMultiLvlLbl val="0"/>
      </c:catAx>
      <c:valAx>
        <c:axId val="439077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07580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81703</xdr:rowOff>
    </xdr:from>
    <xdr:to>
      <xdr:col>130</xdr:col>
      <xdr:colOff>10044</xdr:colOff>
      <xdr:row>58</xdr:row>
      <xdr:rowOff>33685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E038F56-125A-2924-87F2-515D2D2F8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45897"/>
          <a:ext cx="170057096" cy="80635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157345</xdr:rowOff>
    </xdr:from>
    <xdr:to>
      <xdr:col>5</xdr:col>
      <xdr:colOff>310768</xdr:colOff>
      <xdr:row>44</xdr:row>
      <xdr:rowOff>162227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91D5B54-627B-7E44-98A9-FDF6CB60B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548810</xdr:colOff>
      <xdr:row>24</xdr:row>
      <xdr:rowOff>157346</xdr:rowOff>
    </xdr:from>
    <xdr:to>
      <xdr:col>13</xdr:col>
      <xdr:colOff>428955</xdr:colOff>
      <xdr:row>44</xdr:row>
      <xdr:rowOff>168584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9DE5C04-1BF1-5D41-9522-0484924C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584805</xdr:colOff>
      <xdr:row>175</xdr:row>
      <xdr:rowOff>6351</xdr:rowOff>
    </xdr:from>
    <xdr:to>
      <xdr:col>75</xdr:col>
      <xdr:colOff>23889</xdr:colOff>
      <xdr:row>189</xdr:row>
      <xdr:rowOff>216324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E6F4600-658F-C05B-7320-90B4A7613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471413</xdr:colOff>
      <xdr:row>189</xdr:row>
      <xdr:rowOff>68943</xdr:rowOff>
    </xdr:from>
    <xdr:to>
      <xdr:col>75</xdr:col>
      <xdr:colOff>11188</xdr:colOff>
      <xdr:row>202</xdr:row>
      <xdr:rowOff>144236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FF31AC4-10DB-9DA7-BF07-C3A09ED5A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29330</xdr:colOff>
      <xdr:row>178</xdr:row>
      <xdr:rowOff>249464</xdr:rowOff>
    </xdr:from>
    <xdr:to>
      <xdr:col>55</xdr:col>
      <xdr:colOff>1162957</xdr:colOff>
      <xdr:row>193</xdr:row>
      <xdr:rowOff>188505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3669E5DF-4221-344F-86D3-E0A2B6A1C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113393</xdr:colOff>
      <xdr:row>179</xdr:row>
      <xdr:rowOff>120650</xdr:rowOff>
    </xdr:from>
    <xdr:to>
      <xdr:col>63</xdr:col>
      <xdr:colOff>119742</xdr:colOff>
      <xdr:row>191</xdr:row>
      <xdr:rowOff>195943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D710E2C7-3C5F-FE44-811D-6EC3DEE3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1093107</xdr:colOff>
      <xdr:row>206</xdr:row>
      <xdr:rowOff>73479</xdr:rowOff>
    </xdr:from>
    <xdr:to>
      <xdr:col>74</xdr:col>
      <xdr:colOff>10583</xdr:colOff>
      <xdr:row>222</xdr:row>
      <xdr:rowOff>11309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4ABD5AB-77BC-7840-9A5A-2AD5BE7A0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889000</xdr:colOff>
      <xdr:row>221</xdr:row>
      <xdr:rowOff>113392</xdr:rowOff>
    </xdr:from>
    <xdr:to>
      <xdr:col>75</xdr:col>
      <xdr:colOff>428775</xdr:colOff>
      <xdr:row>234</xdr:row>
      <xdr:rowOff>188685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69507A6-3494-714C-A3CF-B370E82FD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57</xdr:col>
      <xdr:colOff>181428</xdr:colOff>
      <xdr:row>220</xdr:row>
      <xdr:rowOff>181428</xdr:rowOff>
    </xdr:from>
    <xdr:to>
      <xdr:col>63</xdr:col>
      <xdr:colOff>77712</xdr:colOff>
      <xdr:row>236</xdr:row>
      <xdr:rowOff>119259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E7FDB3AA-3AA1-2C43-8853-2D958BAFA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0</xdr:colOff>
      <xdr:row>238</xdr:row>
      <xdr:rowOff>62592</xdr:rowOff>
    </xdr:from>
    <xdr:to>
      <xdr:col>65</xdr:col>
      <xdr:colOff>1216175</xdr:colOff>
      <xdr:row>251</xdr:row>
      <xdr:rowOff>137885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B86E0D2D-361D-E640-A01C-6F0554386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1320800</xdr:colOff>
      <xdr:row>17</xdr:row>
      <xdr:rowOff>101600</xdr:rowOff>
    </xdr:from>
    <xdr:to>
      <xdr:col>27</xdr:col>
      <xdr:colOff>660400</xdr:colOff>
      <xdr:row>58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19E4274-6AF4-691F-D921-983E0AAF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19000" y="4851400"/>
          <a:ext cx="28397200" cy="1150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ryabov/Desktop/VVR%20Desk%202024-2025/&#1054;&#1090;&#1089;&#1084;&#1086;&#1090;&#1088;&#1077;&#1085;&#1085;&#1099;&#1077;%20&#1086;&#1073;&#1098;&#1077;&#1082;&#1090;&#1099;/&#1055;&#1077;&#1088;&#1077;&#1082;&#1088;&#1077;&#1089;&#1090;&#1086;&#1082;%20&#1074;%20&#1057;&#1090;&#1091;&#1087;&#1080;&#1085;&#1086;%20&#1086;&#1090;%20&#1040;&#1085;&#1090;&#1086;&#1085;&#1072;%20&#1057;&#1086;&#1074;&#1093;&#1086;&#1079;/Retail_Complex_Stupino_model_MOEX_V2.xlsx" TargetMode="External"/><Relationship Id="rId1" Type="http://schemas.openxmlformats.org/officeDocument/2006/relationships/externalLinkPath" Target="/Users/vryabov/Desktop/VVR%20Desk%202024-2025/&#1054;&#1090;&#1089;&#1084;&#1086;&#1090;&#1088;&#1077;&#1085;&#1085;&#1099;&#1077;%20&#1086;&#1073;&#1098;&#1077;&#1082;&#1090;&#1099;/&#1055;&#1077;&#1088;&#1077;&#1082;&#1088;&#1077;&#1089;&#1090;&#1086;&#1082;%20&#1074;%20&#1057;&#1090;&#1091;&#1087;&#1080;&#1085;&#1086;%20&#1086;&#1090;%20&#1040;&#1085;&#1090;&#1086;&#1085;&#1072;%20&#1057;&#1086;&#1074;&#1093;&#1086;&#1079;/Retail_Complex_Stupino_model_MOEX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алькулятор инвестора"/>
      <sheetName val="CF_model "/>
      <sheetName val="Rent-Roll"/>
      <sheetName val="КУ"/>
      <sheetName val="for memo "/>
      <sheetName val="Sheet2"/>
      <sheetName val="Sheet1"/>
    </sheetNames>
    <sheetDataSet>
      <sheetData sheetId="0"/>
      <sheetData sheetId="1">
        <row r="66">
          <cell r="C66">
            <v>10000</v>
          </cell>
        </row>
        <row r="67">
          <cell r="C67">
            <v>10500</v>
          </cell>
        </row>
        <row r="68">
          <cell r="C68">
            <v>11000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F524-37E0-9544-9BAE-85D713F44171}">
  <sheetPr>
    <tabColor rgb="FF7030A0"/>
  </sheetPr>
  <dimension ref="A1:DR193"/>
  <sheetViews>
    <sheetView showGridLines="0" tabSelected="1" topLeftCell="A12" zoomScale="90" zoomScaleNormal="90" workbookViewId="0">
      <selection activeCell="D18" sqref="D18"/>
    </sheetView>
  </sheetViews>
  <sheetFormatPr baseColWidth="10" defaultColWidth="8.83203125" defaultRowHeight="15" customHeight="1"/>
  <cols>
    <col min="1" max="1" width="71.1640625" style="205" customWidth="1"/>
    <col min="2" max="2" width="15.5" style="206" bestFit="1" customWidth="1"/>
    <col min="3" max="3" width="19.5" style="205" customWidth="1"/>
    <col min="4" max="4" width="26.1640625" style="205" customWidth="1"/>
    <col min="5" max="5" width="18.1640625" style="205" customWidth="1"/>
    <col min="6" max="6" width="25.6640625" style="205" customWidth="1"/>
    <col min="7" max="8" width="15.83203125" style="205" customWidth="1"/>
    <col min="9" max="9" width="31" style="205" customWidth="1"/>
    <col min="10" max="10" width="14.83203125" style="205" bestFit="1" customWidth="1"/>
    <col min="11" max="12" width="15.83203125" style="205" customWidth="1"/>
    <col min="13" max="13" width="14.6640625" style="205" bestFit="1" customWidth="1"/>
    <col min="14" max="14" width="14.5" style="205" bestFit="1" customWidth="1"/>
    <col min="15" max="15" width="14.5" style="205" customWidth="1"/>
    <col min="16" max="85" width="18.83203125" style="205" customWidth="1"/>
    <col min="86" max="122" width="14.1640625" style="205" customWidth="1"/>
    <col min="123" max="16384" width="8.83203125" style="205"/>
  </cols>
  <sheetData>
    <row r="1" spans="1:16" ht="16" hidden="1">
      <c r="C1" s="205">
        <v>1</v>
      </c>
    </row>
    <row r="2" spans="1:16" ht="16" hidden="1">
      <c r="C2" s="205">
        <v>2</v>
      </c>
    </row>
    <row r="3" spans="1:16" ht="16" hidden="1">
      <c r="C3" s="205">
        <v>3</v>
      </c>
    </row>
    <row r="4" spans="1:16" ht="16" hidden="1">
      <c r="C4" s="205">
        <v>4</v>
      </c>
    </row>
    <row r="5" spans="1:16" ht="16" hidden="1">
      <c r="C5" s="205">
        <v>5</v>
      </c>
    </row>
    <row r="6" spans="1:16" ht="16" hidden="1">
      <c r="C6" s="205">
        <v>6</v>
      </c>
    </row>
    <row r="7" spans="1:16" ht="16" hidden="1">
      <c r="C7" s="205">
        <v>7</v>
      </c>
    </row>
    <row r="8" spans="1:16" ht="16" hidden="1">
      <c r="C8" s="205">
        <v>8</v>
      </c>
    </row>
    <row r="9" spans="1:16" ht="16" hidden="1">
      <c r="C9" s="205">
        <v>9</v>
      </c>
    </row>
    <row r="10" spans="1:16" ht="16" hidden="1">
      <c r="C10" s="205">
        <v>10</v>
      </c>
    </row>
    <row r="11" spans="1:16" ht="15" hidden="1" customHeight="1"/>
    <row r="12" spans="1:16" ht="32" thickBot="1">
      <c r="A12" s="207" t="s">
        <v>265</v>
      </c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</row>
    <row r="13" spans="1:16" ht="16"/>
    <row r="14" spans="1:16" s="215" customFormat="1" ht="18">
      <c r="A14" s="210" t="s">
        <v>224</v>
      </c>
      <c r="B14" s="210"/>
      <c r="C14" s="211" t="s">
        <v>225</v>
      </c>
      <c r="D14" s="211"/>
      <c r="E14" s="212"/>
      <c r="F14" s="212"/>
      <c r="G14" s="210" t="s">
        <v>226</v>
      </c>
      <c r="H14" s="211"/>
      <c r="I14" s="211"/>
      <c r="J14" s="211" t="s">
        <v>225</v>
      </c>
      <c r="K14" s="211"/>
      <c r="L14" s="213"/>
      <c r="M14" s="214"/>
      <c r="N14" s="213"/>
      <c r="O14" s="213"/>
      <c r="P14" s="213"/>
    </row>
    <row r="15" spans="1:16" s="215" customFormat="1" ht="18">
      <c r="A15" s="216" t="s">
        <v>227</v>
      </c>
      <c r="C15" s="217" t="s">
        <v>228</v>
      </c>
      <c r="D15" s="218">
        <f>VLOOKUP($D$16,$L$16:$M$19,2)</f>
        <v>45853</v>
      </c>
      <c r="E15" s="219"/>
      <c r="F15" s="217"/>
      <c r="G15" s="216" t="s">
        <v>229</v>
      </c>
      <c r="J15" s="217" t="s">
        <v>230</v>
      </c>
      <c r="K15" s="220">
        <f>MAX($B$31:$DR$31)</f>
        <v>12292603.323463833</v>
      </c>
    </row>
    <row r="16" spans="1:16" s="215" customFormat="1" ht="19" thickBot="1">
      <c r="A16" s="216" t="s">
        <v>231</v>
      </c>
      <c r="C16" s="217"/>
      <c r="D16" s="221">
        <v>1</v>
      </c>
      <c r="E16" s="222" t="s">
        <v>232</v>
      </c>
      <c r="F16" s="217"/>
      <c r="G16" s="223" t="s">
        <v>233</v>
      </c>
      <c r="J16" s="224" t="s">
        <v>228</v>
      </c>
      <c r="K16" s="225">
        <f>K15/D19</f>
        <v>2.4585206646927666</v>
      </c>
      <c r="L16" s="226">
        <v>1</v>
      </c>
      <c r="M16" s="227">
        <f>'Домодедово Парк'!C68</f>
        <v>45853</v>
      </c>
      <c r="N16" s="228">
        <f>'[1]CF_model '!C66</f>
        <v>10000</v>
      </c>
      <c r="O16" s="234"/>
    </row>
    <row r="17" spans="1:122" s="215" customFormat="1" ht="19" thickBot="1">
      <c r="A17" s="216" t="s">
        <v>234</v>
      </c>
      <c r="C17" s="219" t="s">
        <v>235</v>
      </c>
      <c r="D17" s="229">
        <v>10</v>
      </c>
      <c r="E17" s="222" t="s">
        <v>236</v>
      </c>
      <c r="G17" s="216" t="s">
        <v>237</v>
      </c>
      <c r="J17" s="217" t="s">
        <v>230</v>
      </c>
      <c r="K17" s="220">
        <f>SUM(B32:DR32)</f>
        <v>5201365.0256724544</v>
      </c>
      <c r="L17" s="226">
        <v>2</v>
      </c>
      <c r="M17" s="227">
        <f>'Домодедово Парк'!C69</f>
        <v>45915</v>
      </c>
      <c r="N17" s="228">
        <f>'[1]CF_model '!C67</f>
        <v>10500</v>
      </c>
      <c r="O17" s="234"/>
    </row>
    <row r="18" spans="1:122" s="215" customFormat="1" ht="19" thickBot="1">
      <c r="A18" s="216" t="s">
        <v>266</v>
      </c>
      <c r="D18" s="230">
        <v>1</v>
      </c>
      <c r="E18" s="222" t="s">
        <v>238</v>
      </c>
      <c r="F18" s="217"/>
      <c r="G18" s="216" t="s">
        <v>239</v>
      </c>
      <c r="J18" s="231" t="s">
        <v>228</v>
      </c>
      <c r="K18" s="232">
        <f>XIRR($B$33:$DR$33,$B$30:$DR$30)</f>
        <v>0.1623275220394135</v>
      </c>
      <c r="L18" s="226">
        <v>3</v>
      </c>
      <c r="M18" s="227">
        <f>'Домодедово Парк'!C70</f>
        <v>46006</v>
      </c>
      <c r="N18" s="228">
        <f>'[1]CF_model '!C68</f>
        <v>11000</v>
      </c>
      <c r="O18" s="234"/>
    </row>
    <row r="19" spans="1:122" s="215" customFormat="1" ht="19" thickBot="1">
      <c r="A19" s="233" t="s">
        <v>240</v>
      </c>
      <c r="C19" s="217" t="s">
        <v>230</v>
      </c>
      <c r="D19" s="229">
        <v>5000000</v>
      </c>
      <c r="E19" s="222" t="s">
        <v>241</v>
      </c>
      <c r="F19" s="217"/>
      <c r="G19" s="216" t="s">
        <v>242</v>
      </c>
      <c r="J19" s="231" t="s">
        <v>228</v>
      </c>
      <c r="K19" s="232">
        <f>$K$17/$D$17/$D$19</f>
        <v>0.10402730051344909</v>
      </c>
      <c r="M19" s="234"/>
      <c r="N19" s="282"/>
    </row>
    <row r="20" spans="1:122" s="215" customFormat="1" ht="18">
      <c r="E20" s="217"/>
      <c r="F20" s="217"/>
      <c r="G20" s="223" t="s">
        <v>244</v>
      </c>
      <c r="J20" s="224" t="s">
        <v>228</v>
      </c>
      <c r="K20" s="225">
        <f>(K15+K17)/D19</f>
        <v>3.4987936698272573</v>
      </c>
      <c r="L20" s="283"/>
      <c r="P20" s="234"/>
      <c r="Q20" s="234"/>
      <c r="R20" s="234"/>
      <c r="S20" s="235"/>
    </row>
    <row r="21" spans="1:122" s="215" customFormat="1" ht="18">
      <c r="A21" s="233" t="s">
        <v>243</v>
      </c>
      <c r="C21" s="217" t="s">
        <v>230</v>
      </c>
      <c r="D21" s="220">
        <f>VLOOKUP($D$16,$L$16:$N$19,3)</f>
        <v>10000</v>
      </c>
      <c r="E21" s="217"/>
      <c r="F21" s="217"/>
      <c r="L21" s="213"/>
      <c r="M21" s="213"/>
      <c r="N21" s="213"/>
      <c r="O21" s="213"/>
      <c r="P21" s="236"/>
      <c r="Q21" s="237"/>
      <c r="R21" s="238"/>
    </row>
    <row r="22" spans="1:122" s="215" customFormat="1" ht="18">
      <c r="A22" s="233" t="s">
        <v>245</v>
      </c>
      <c r="B22" s="233"/>
      <c r="C22" s="217" t="s">
        <v>246</v>
      </c>
      <c r="D22" s="220">
        <f>$D$19/$D$21</f>
        <v>500</v>
      </c>
      <c r="E22" s="217"/>
      <c r="F22" s="217"/>
      <c r="G22" s="239" t="s">
        <v>247</v>
      </c>
      <c r="J22" s="240" t="s">
        <v>230</v>
      </c>
      <c r="K22" s="241">
        <f>K15+K17</f>
        <v>17493968.349136285</v>
      </c>
      <c r="L22" s="213"/>
      <c r="M22" s="213"/>
      <c r="N22" s="213"/>
      <c r="O22" s="213"/>
      <c r="P22" s="236"/>
    </row>
    <row r="23" spans="1:122" s="215" customFormat="1" ht="19" thickBot="1">
      <c r="A23" s="242" t="s">
        <v>248</v>
      </c>
      <c r="B23" s="242"/>
      <c r="C23" s="243" t="s">
        <v>228</v>
      </c>
      <c r="D23" s="244">
        <f>D22/'Домодедово Парк'!$C$81</f>
        <v>2.4826963587120072E-2</v>
      </c>
      <c r="E23" s="217"/>
      <c r="F23" s="217"/>
      <c r="G23" s="245" t="s">
        <v>249</v>
      </c>
      <c r="H23" s="245"/>
      <c r="I23" s="245"/>
      <c r="J23" s="246" t="s">
        <v>230</v>
      </c>
      <c r="K23" s="246">
        <f>K22-D19</f>
        <v>12493968.349136285</v>
      </c>
      <c r="L23" s="247"/>
      <c r="M23" s="247"/>
      <c r="N23" s="247"/>
      <c r="O23" s="247"/>
      <c r="P23" s="247"/>
      <c r="R23" s="248"/>
    </row>
    <row r="24" spans="1:122" s="215" customFormat="1" ht="18.5" customHeight="1">
      <c r="B24" s="219"/>
      <c r="C24" s="217"/>
      <c r="D24" s="217"/>
      <c r="E24" s="217"/>
      <c r="F24" s="217"/>
      <c r="G24" s="249"/>
      <c r="H24" s="249"/>
      <c r="I24" s="249"/>
      <c r="J24" s="250"/>
      <c r="K24" s="250"/>
    </row>
    <row r="25" spans="1:122" s="215" customFormat="1" ht="19.75" customHeight="1">
      <c r="B25" s="219"/>
      <c r="C25" s="217"/>
      <c r="D25" s="251">
        <v>1</v>
      </c>
      <c r="E25" s="217"/>
      <c r="F25" s="217"/>
      <c r="G25" s="249"/>
      <c r="H25" s="249"/>
      <c r="I25" s="249"/>
      <c r="J25" s="250"/>
      <c r="K25" s="252"/>
    </row>
    <row r="26" spans="1:122" s="215" customFormat="1" ht="18">
      <c r="B26" s="219"/>
      <c r="C26" s="218"/>
      <c r="D26" s="251">
        <v>2</v>
      </c>
      <c r="E26" s="217"/>
      <c r="F26" s="217"/>
      <c r="G26" s="249"/>
      <c r="H26" s="249"/>
      <c r="I26" s="249"/>
      <c r="J26" s="250"/>
      <c r="K26" s="252"/>
    </row>
    <row r="27" spans="1:122" s="215" customFormat="1" ht="18">
      <c r="B27" s="219"/>
      <c r="C27" s="217"/>
      <c r="D27" s="251">
        <v>3</v>
      </c>
      <c r="E27" s="217"/>
      <c r="F27" s="217"/>
      <c r="G27" s="249"/>
      <c r="H27" s="250"/>
      <c r="I27" s="250"/>
      <c r="J27" s="250"/>
      <c r="K27" s="252"/>
    </row>
    <row r="28" spans="1:122" s="215" customFormat="1" ht="18">
      <c r="A28" s="253" t="s">
        <v>16</v>
      </c>
      <c r="B28" s="254">
        <v>1</v>
      </c>
      <c r="C28" s="254">
        <v>1</v>
      </c>
      <c r="D28" s="254">
        <v>1</v>
      </c>
      <c r="E28" s="254">
        <v>1</v>
      </c>
      <c r="F28" s="254">
        <v>1</v>
      </c>
      <c r="G28" s="254">
        <v>1</v>
      </c>
      <c r="H28" s="254">
        <v>1</v>
      </c>
      <c r="I28" s="254">
        <v>1</v>
      </c>
      <c r="J28" s="254">
        <v>1</v>
      </c>
      <c r="K28" s="254">
        <v>1</v>
      </c>
      <c r="L28" s="254">
        <v>1</v>
      </c>
      <c r="M28" s="254">
        <v>1</v>
      </c>
      <c r="N28" s="254">
        <f>B28+1</f>
        <v>2</v>
      </c>
      <c r="O28" s="254">
        <f t="shared" ref="O28:BZ28" si="0">C28+1</f>
        <v>2</v>
      </c>
      <c r="P28" s="254">
        <f t="shared" si="0"/>
        <v>2</v>
      </c>
      <c r="Q28" s="254">
        <f t="shared" si="0"/>
        <v>2</v>
      </c>
      <c r="R28" s="254">
        <f t="shared" si="0"/>
        <v>2</v>
      </c>
      <c r="S28" s="254">
        <f t="shared" si="0"/>
        <v>2</v>
      </c>
      <c r="T28" s="254">
        <f t="shared" si="0"/>
        <v>2</v>
      </c>
      <c r="U28" s="254">
        <f t="shared" si="0"/>
        <v>2</v>
      </c>
      <c r="V28" s="254">
        <f t="shared" si="0"/>
        <v>2</v>
      </c>
      <c r="W28" s="254">
        <f t="shared" si="0"/>
        <v>2</v>
      </c>
      <c r="X28" s="254">
        <f t="shared" si="0"/>
        <v>2</v>
      </c>
      <c r="Y28" s="254">
        <f t="shared" si="0"/>
        <v>2</v>
      </c>
      <c r="Z28" s="254">
        <f t="shared" si="0"/>
        <v>3</v>
      </c>
      <c r="AA28" s="254">
        <f t="shared" si="0"/>
        <v>3</v>
      </c>
      <c r="AB28" s="254">
        <f t="shared" si="0"/>
        <v>3</v>
      </c>
      <c r="AC28" s="254">
        <f t="shared" si="0"/>
        <v>3</v>
      </c>
      <c r="AD28" s="254">
        <f t="shared" si="0"/>
        <v>3</v>
      </c>
      <c r="AE28" s="254">
        <f t="shared" si="0"/>
        <v>3</v>
      </c>
      <c r="AF28" s="254">
        <f t="shared" si="0"/>
        <v>3</v>
      </c>
      <c r="AG28" s="254">
        <f t="shared" si="0"/>
        <v>3</v>
      </c>
      <c r="AH28" s="254">
        <f t="shared" si="0"/>
        <v>3</v>
      </c>
      <c r="AI28" s="254">
        <f t="shared" si="0"/>
        <v>3</v>
      </c>
      <c r="AJ28" s="254">
        <f t="shared" si="0"/>
        <v>3</v>
      </c>
      <c r="AK28" s="254">
        <f t="shared" si="0"/>
        <v>3</v>
      </c>
      <c r="AL28" s="254">
        <f t="shared" si="0"/>
        <v>4</v>
      </c>
      <c r="AM28" s="254">
        <f t="shared" si="0"/>
        <v>4</v>
      </c>
      <c r="AN28" s="254">
        <f t="shared" si="0"/>
        <v>4</v>
      </c>
      <c r="AO28" s="254">
        <f t="shared" si="0"/>
        <v>4</v>
      </c>
      <c r="AP28" s="254">
        <f t="shared" si="0"/>
        <v>4</v>
      </c>
      <c r="AQ28" s="254">
        <f t="shared" si="0"/>
        <v>4</v>
      </c>
      <c r="AR28" s="254">
        <f t="shared" si="0"/>
        <v>4</v>
      </c>
      <c r="AS28" s="254">
        <f t="shared" si="0"/>
        <v>4</v>
      </c>
      <c r="AT28" s="254">
        <f t="shared" si="0"/>
        <v>4</v>
      </c>
      <c r="AU28" s="254">
        <f t="shared" si="0"/>
        <v>4</v>
      </c>
      <c r="AV28" s="254">
        <f t="shared" si="0"/>
        <v>4</v>
      </c>
      <c r="AW28" s="254">
        <f t="shared" si="0"/>
        <v>4</v>
      </c>
      <c r="AX28" s="254">
        <f t="shared" si="0"/>
        <v>5</v>
      </c>
      <c r="AY28" s="254">
        <f t="shared" si="0"/>
        <v>5</v>
      </c>
      <c r="AZ28" s="254">
        <f t="shared" si="0"/>
        <v>5</v>
      </c>
      <c r="BA28" s="254">
        <f t="shared" si="0"/>
        <v>5</v>
      </c>
      <c r="BB28" s="254">
        <f t="shared" si="0"/>
        <v>5</v>
      </c>
      <c r="BC28" s="254">
        <f t="shared" si="0"/>
        <v>5</v>
      </c>
      <c r="BD28" s="254">
        <f t="shared" si="0"/>
        <v>5</v>
      </c>
      <c r="BE28" s="254">
        <f t="shared" si="0"/>
        <v>5</v>
      </c>
      <c r="BF28" s="254">
        <f t="shared" si="0"/>
        <v>5</v>
      </c>
      <c r="BG28" s="254">
        <f t="shared" si="0"/>
        <v>5</v>
      </c>
      <c r="BH28" s="254">
        <f t="shared" si="0"/>
        <v>5</v>
      </c>
      <c r="BI28" s="254">
        <f t="shared" si="0"/>
        <v>5</v>
      </c>
      <c r="BJ28" s="254">
        <f t="shared" si="0"/>
        <v>6</v>
      </c>
      <c r="BK28" s="254">
        <f t="shared" si="0"/>
        <v>6</v>
      </c>
      <c r="BL28" s="254">
        <f t="shared" si="0"/>
        <v>6</v>
      </c>
      <c r="BM28" s="254">
        <f t="shared" si="0"/>
        <v>6</v>
      </c>
      <c r="BN28" s="254">
        <f t="shared" si="0"/>
        <v>6</v>
      </c>
      <c r="BO28" s="254">
        <f t="shared" si="0"/>
        <v>6</v>
      </c>
      <c r="BP28" s="254">
        <f t="shared" si="0"/>
        <v>6</v>
      </c>
      <c r="BQ28" s="254">
        <f t="shared" si="0"/>
        <v>6</v>
      </c>
      <c r="BR28" s="254">
        <f t="shared" si="0"/>
        <v>6</v>
      </c>
      <c r="BS28" s="254">
        <f t="shared" si="0"/>
        <v>6</v>
      </c>
      <c r="BT28" s="254">
        <f t="shared" si="0"/>
        <v>6</v>
      </c>
      <c r="BU28" s="254">
        <f t="shared" si="0"/>
        <v>6</v>
      </c>
      <c r="BV28" s="254">
        <f t="shared" si="0"/>
        <v>7</v>
      </c>
      <c r="BW28" s="254">
        <f t="shared" si="0"/>
        <v>7</v>
      </c>
      <c r="BX28" s="254">
        <f t="shared" si="0"/>
        <v>7</v>
      </c>
      <c r="BY28" s="254">
        <f t="shared" si="0"/>
        <v>7</v>
      </c>
      <c r="BZ28" s="254">
        <f t="shared" si="0"/>
        <v>7</v>
      </c>
      <c r="CA28" s="254">
        <f t="shared" ref="CA28:DR28" si="1">BO28+1</f>
        <v>7</v>
      </c>
      <c r="CB28" s="254">
        <f t="shared" si="1"/>
        <v>7</v>
      </c>
      <c r="CC28" s="254">
        <f t="shared" si="1"/>
        <v>7</v>
      </c>
      <c r="CD28" s="254">
        <f t="shared" si="1"/>
        <v>7</v>
      </c>
      <c r="CE28" s="254">
        <f t="shared" si="1"/>
        <v>7</v>
      </c>
      <c r="CF28" s="254">
        <f t="shared" si="1"/>
        <v>7</v>
      </c>
      <c r="CG28" s="254">
        <f t="shared" si="1"/>
        <v>7</v>
      </c>
      <c r="CH28" s="254">
        <f t="shared" si="1"/>
        <v>8</v>
      </c>
      <c r="CI28" s="254">
        <f t="shared" si="1"/>
        <v>8</v>
      </c>
      <c r="CJ28" s="254">
        <f t="shared" si="1"/>
        <v>8</v>
      </c>
      <c r="CK28" s="254">
        <f t="shared" si="1"/>
        <v>8</v>
      </c>
      <c r="CL28" s="254">
        <f t="shared" si="1"/>
        <v>8</v>
      </c>
      <c r="CM28" s="254">
        <f t="shared" si="1"/>
        <v>8</v>
      </c>
      <c r="CN28" s="254">
        <f t="shared" si="1"/>
        <v>8</v>
      </c>
      <c r="CO28" s="254">
        <f t="shared" si="1"/>
        <v>8</v>
      </c>
      <c r="CP28" s="254">
        <f t="shared" si="1"/>
        <v>8</v>
      </c>
      <c r="CQ28" s="254">
        <f t="shared" si="1"/>
        <v>8</v>
      </c>
      <c r="CR28" s="254">
        <f t="shared" si="1"/>
        <v>8</v>
      </c>
      <c r="CS28" s="254">
        <f t="shared" si="1"/>
        <v>8</v>
      </c>
      <c r="CT28" s="254">
        <f t="shared" si="1"/>
        <v>9</v>
      </c>
      <c r="CU28" s="254">
        <f t="shared" si="1"/>
        <v>9</v>
      </c>
      <c r="CV28" s="254">
        <f t="shared" si="1"/>
        <v>9</v>
      </c>
      <c r="CW28" s="254">
        <f t="shared" si="1"/>
        <v>9</v>
      </c>
      <c r="CX28" s="254">
        <f t="shared" si="1"/>
        <v>9</v>
      </c>
      <c r="CY28" s="254">
        <f t="shared" si="1"/>
        <v>9</v>
      </c>
      <c r="CZ28" s="254">
        <f t="shared" si="1"/>
        <v>9</v>
      </c>
      <c r="DA28" s="254">
        <f t="shared" si="1"/>
        <v>9</v>
      </c>
      <c r="DB28" s="254">
        <f t="shared" si="1"/>
        <v>9</v>
      </c>
      <c r="DC28" s="254">
        <f t="shared" si="1"/>
        <v>9</v>
      </c>
      <c r="DD28" s="254">
        <f t="shared" si="1"/>
        <v>9</v>
      </c>
      <c r="DE28" s="254">
        <f t="shared" si="1"/>
        <v>9</v>
      </c>
      <c r="DF28" s="254">
        <f t="shared" si="1"/>
        <v>10</v>
      </c>
      <c r="DG28" s="254">
        <f t="shared" si="1"/>
        <v>10</v>
      </c>
      <c r="DH28" s="254">
        <f t="shared" si="1"/>
        <v>10</v>
      </c>
      <c r="DI28" s="254">
        <f t="shared" si="1"/>
        <v>10</v>
      </c>
      <c r="DJ28" s="254">
        <f t="shared" si="1"/>
        <v>10</v>
      </c>
      <c r="DK28" s="254">
        <f t="shared" si="1"/>
        <v>10</v>
      </c>
      <c r="DL28" s="254">
        <f t="shared" si="1"/>
        <v>10</v>
      </c>
      <c r="DM28" s="254">
        <f t="shared" si="1"/>
        <v>10</v>
      </c>
      <c r="DN28" s="254">
        <f t="shared" si="1"/>
        <v>10</v>
      </c>
      <c r="DO28" s="254">
        <f t="shared" si="1"/>
        <v>10</v>
      </c>
      <c r="DP28" s="254">
        <f t="shared" si="1"/>
        <v>10</v>
      </c>
      <c r="DQ28" s="254">
        <f t="shared" si="1"/>
        <v>10</v>
      </c>
      <c r="DR28" s="254">
        <f t="shared" si="1"/>
        <v>11</v>
      </c>
    </row>
    <row r="29" spans="1:122" s="215" customFormat="1" ht="18">
      <c r="A29" s="253" t="s">
        <v>250</v>
      </c>
      <c r="B29" s="254">
        <v>1</v>
      </c>
      <c r="C29" s="255">
        <f>B29+1</f>
        <v>2</v>
      </c>
      <c r="D29" s="255">
        <f t="shared" ref="D29:BO29" si="2">C29+1</f>
        <v>3</v>
      </c>
      <c r="E29" s="255">
        <f t="shared" si="2"/>
        <v>4</v>
      </c>
      <c r="F29" s="255">
        <f t="shared" si="2"/>
        <v>5</v>
      </c>
      <c r="G29" s="255">
        <f t="shared" si="2"/>
        <v>6</v>
      </c>
      <c r="H29" s="255">
        <f t="shared" si="2"/>
        <v>7</v>
      </c>
      <c r="I29" s="255">
        <f t="shared" si="2"/>
        <v>8</v>
      </c>
      <c r="J29" s="255">
        <f t="shared" si="2"/>
        <v>9</v>
      </c>
      <c r="K29" s="255">
        <f t="shared" si="2"/>
        <v>10</v>
      </c>
      <c r="L29" s="255">
        <f t="shared" si="2"/>
        <v>11</v>
      </c>
      <c r="M29" s="255">
        <f t="shared" si="2"/>
        <v>12</v>
      </c>
      <c r="N29" s="255">
        <f t="shared" si="2"/>
        <v>13</v>
      </c>
      <c r="O29" s="255">
        <f t="shared" si="2"/>
        <v>14</v>
      </c>
      <c r="P29" s="255">
        <f t="shared" si="2"/>
        <v>15</v>
      </c>
      <c r="Q29" s="255">
        <f t="shared" si="2"/>
        <v>16</v>
      </c>
      <c r="R29" s="255">
        <f t="shared" si="2"/>
        <v>17</v>
      </c>
      <c r="S29" s="255">
        <f t="shared" si="2"/>
        <v>18</v>
      </c>
      <c r="T29" s="255">
        <f t="shared" si="2"/>
        <v>19</v>
      </c>
      <c r="U29" s="255">
        <f t="shared" si="2"/>
        <v>20</v>
      </c>
      <c r="V29" s="255">
        <f t="shared" si="2"/>
        <v>21</v>
      </c>
      <c r="W29" s="255">
        <f t="shared" si="2"/>
        <v>22</v>
      </c>
      <c r="X29" s="255">
        <f t="shared" si="2"/>
        <v>23</v>
      </c>
      <c r="Y29" s="255">
        <f t="shared" si="2"/>
        <v>24</v>
      </c>
      <c r="Z29" s="255">
        <f t="shared" si="2"/>
        <v>25</v>
      </c>
      <c r="AA29" s="255">
        <f t="shared" si="2"/>
        <v>26</v>
      </c>
      <c r="AB29" s="255">
        <f t="shared" si="2"/>
        <v>27</v>
      </c>
      <c r="AC29" s="255">
        <f t="shared" si="2"/>
        <v>28</v>
      </c>
      <c r="AD29" s="255">
        <f t="shared" si="2"/>
        <v>29</v>
      </c>
      <c r="AE29" s="255">
        <f t="shared" si="2"/>
        <v>30</v>
      </c>
      <c r="AF29" s="255">
        <f t="shared" si="2"/>
        <v>31</v>
      </c>
      <c r="AG29" s="255">
        <f t="shared" si="2"/>
        <v>32</v>
      </c>
      <c r="AH29" s="255">
        <f t="shared" si="2"/>
        <v>33</v>
      </c>
      <c r="AI29" s="255">
        <f t="shared" si="2"/>
        <v>34</v>
      </c>
      <c r="AJ29" s="255">
        <f t="shared" si="2"/>
        <v>35</v>
      </c>
      <c r="AK29" s="255">
        <f t="shared" si="2"/>
        <v>36</v>
      </c>
      <c r="AL29" s="255">
        <f t="shared" si="2"/>
        <v>37</v>
      </c>
      <c r="AM29" s="255">
        <f t="shared" si="2"/>
        <v>38</v>
      </c>
      <c r="AN29" s="255">
        <f t="shared" si="2"/>
        <v>39</v>
      </c>
      <c r="AO29" s="255">
        <f t="shared" si="2"/>
        <v>40</v>
      </c>
      <c r="AP29" s="255">
        <f t="shared" si="2"/>
        <v>41</v>
      </c>
      <c r="AQ29" s="255">
        <f t="shared" si="2"/>
        <v>42</v>
      </c>
      <c r="AR29" s="255">
        <f t="shared" si="2"/>
        <v>43</v>
      </c>
      <c r="AS29" s="255">
        <f t="shared" si="2"/>
        <v>44</v>
      </c>
      <c r="AT29" s="255">
        <f t="shared" si="2"/>
        <v>45</v>
      </c>
      <c r="AU29" s="255">
        <f t="shared" si="2"/>
        <v>46</v>
      </c>
      <c r="AV29" s="255">
        <f t="shared" si="2"/>
        <v>47</v>
      </c>
      <c r="AW29" s="255">
        <f t="shared" si="2"/>
        <v>48</v>
      </c>
      <c r="AX29" s="255">
        <f t="shared" si="2"/>
        <v>49</v>
      </c>
      <c r="AY29" s="255">
        <f t="shared" si="2"/>
        <v>50</v>
      </c>
      <c r="AZ29" s="255">
        <f t="shared" si="2"/>
        <v>51</v>
      </c>
      <c r="BA29" s="255">
        <f t="shared" si="2"/>
        <v>52</v>
      </c>
      <c r="BB29" s="255">
        <f t="shared" si="2"/>
        <v>53</v>
      </c>
      <c r="BC29" s="255">
        <f t="shared" si="2"/>
        <v>54</v>
      </c>
      <c r="BD29" s="255">
        <f t="shared" si="2"/>
        <v>55</v>
      </c>
      <c r="BE29" s="255">
        <f t="shared" si="2"/>
        <v>56</v>
      </c>
      <c r="BF29" s="255">
        <f t="shared" si="2"/>
        <v>57</v>
      </c>
      <c r="BG29" s="255">
        <f t="shared" si="2"/>
        <v>58</v>
      </c>
      <c r="BH29" s="255">
        <f t="shared" si="2"/>
        <v>59</v>
      </c>
      <c r="BI29" s="255">
        <f t="shared" si="2"/>
        <v>60</v>
      </c>
      <c r="BJ29" s="255">
        <f t="shared" si="2"/>
        <v>61</v>
      </c>
      <c r="BK29" s="255">
        <f t="shared" si="2"/>
        <v>62</v>
      </c>
      <c r="BL29" s="255">
        <f t="shared" si="2"/>
        <v>63</v>
      </c>
      <c r="BM29" s="255">
        <f t="shared" si="2"/>
        <v>64</v>
      </c>
      <c r="BN29" s="255">
        <f t="shared" si="2"/>
        <v>65</v>
      </c>
      <c r="BO29" s="255">
        <f t="shared" si="2"/>
        <v>66</v>
      </c>
      <c r="BP29" s="255">
        <f t="shared" ref="BP29:DR29" si="3">BO29+1</f>
        <v>67</v>
      </c>
      <c r="BQ29" s="255">
        <f t="shared" si="3"/>
        <v>68</v>
      </c>
      <c r="BR29" s="255">
        <f t="shared" si="3"/>
        <v>69</v>
      </c>
      <c r="BS29" s="255">
        <f t="shared" si="3"/>
        <v>70</v>
      </c>
      <c r="BT29" s="255">
        <f t="shared" si="3"/>
        <v>71</v>
      </c>
      <c r="BU29" s="255">
        <f t="shared" si="3"/>
        <v>72</v>
      </c>
      <c r="BV29" s="255">
        <f t="shared" si="3"/>
        <v>73</v>
      </c>
      <c r="BW29" s="255">
        <f t="shared" si="3"/>
        <v>74</v>
      </c>
      <c r="BX29" s="255">
        <f t="shared" si="3"/>
        <v>75</v>
      </c>
      <c r="BY29" s="255">
        <f t="shared" si="3"/>
        <v>76</v>
      </c>
      <c r="BZ29" s="255">
        <f t="shared" si="3"/>
        <v>77</v>
      </c>
      <c r="CA29" s="255">
        <f t="shared" si="3"/>
        <v>78</v>
      </c>
      <c r="CB29" s="255">
        <f t="shared" si="3"/>
        <v>79</v>
      </c>
      <c r="CC29" s="255">
        <f t="shared" si="3"/>
        <v>80</v>
      </c>
      <c r="CD29" s="255">
        <f t="shared" si="3"/>
        <v>81</v>
      </c>
      <c r="CE29" s="255">
        <f t="shared" si="3"/>
        <v>82</v>
      </c>
      <c r="CF29" s="255">
        <f t="shared" si="3"/>
        <v>83</v>
      </c>
      <c r="CG29" s="255">
        <f t="shared" si="3"/>
        <v>84</v>
      </c>
      <c r="CH29" s="255">
        <f t="shared" si="3"/>
        <v>85</v>
      </c>
      <c r="CI29" s="255">
        <f t="shared" si="3"/>
        <v>86</v>
      </c>
      <c r="CJ29" s="255">
        <f t="shared" si="3"/>
        <v>87</v>
      </c>
      <c r="CK29" s="255">
        <f t="shared" si="3"/>
        <v>88</v>
      </c>
      <c r="CL29" s="255">
        <f t="shared" si="3"/>
        <v>89</v>
      </c>
      <c r="CM29" s="255">
        <f t="shared" si="3"/>
        <v>90</v>
      </c>
      <c r="CN29" s="255">
        <f t="shared" si="3"/>
        <v>91</v>
      </c>
      <c r="CO29" s="255">
        <f t="shared" si="3"/>
        <v>92</v>
      </c>
      <c r="CP29" s="255">
        <f t="shared" si="3"/>
        <v>93</v>
      </c>
      <c r="CQ29" s="255">
        <f t="shared" si="3"/>
        <v>94</v>
      </c>
      <c r="CR29" s="255">
        <f t="shared" si="3"/>
        <v>95</v>
      </c>
      <c r="CS29" s="255">
        <f t="shared" si="3"/>
        <v>96</v>
      </c>
      <c r="CT29" s="255">
        <f t="shared" si="3"/>
        <v>97</v>
      </c>
      <c r="CU29" s="255">
        <f t="shared" si="3"/>
        <v>98</v>
      </c>
      <c r="CV29" s="255">
        <f t="shared" si="3"/>
        <v>99</v>
      </c>
      <c r="CW29" s="255">
        <f t="shared" si="3"/>
        <v>100</v>
      </c>
      <c r="CX29" s="255">
        <f t="shared" si="3"/>
        <v>101</v>
      </c>
      <c r="CY29" s="255">
        <f t="shared" si="3"/>
        <v>102</v>
      </c>
      <c r="CZ29" s="255">
        <f t="shared" si="3"/>
        <v>103</v>
      </c>
      <c r="DA29" s="255">
        <f t="shared" si="3"/>
        <v>104</v>
      </c>
      <c r="DB29" s="255">
        <f t="shared" si="3"/>
        <v>105</v>
      </c>
      <c r="DC29" s="255">
        <f t="shared" si="3"/>
        <v>106</v>
      </c>
      <c r="DD29" s="255">
        <f t="shared" si="3"/>
        <v>107</v>
      </c>
      <c r="DE29" s="255">
        <f t="shared" si="3"/>
        <v>108</v>
      </c>
      <c r="DF29" s="255">
        <f t="shared" si="3"/>
        <v>109</v>
      </c>
      <c r="DG29" s="255">
        <f t="shared" si="3"/>
        <v>110</v>
      </c>
      <c r="DH29" s="255">
        <f t="shared" si="3"/>
        <v>111</v>
      </c>
      <c r="DI29" s="255">
        <f t="shared" si="3"/>
        <v>112</v>
      </c>
      <c r="DJ29" s="255">
        <f t="shared" si="3"/>
        <v>113</v>
      </c>
      <c r="DK29" s="255">
        <f t="shared" si="3"/>
        <v>114</v>
      </c>
      <c r="DL29" s="255">
        <f t="shared" si="3"/>
        <v>115</v>
      </c>
      <c r="DM29" s="255">
        <f t="shared" si="3"/>
        <v>116</v>
      </c>
      <c r="DN29" s="255">
        <f t="shared" si="3"/>
        <v>117</v>
      </c>
      <c r="DO29" s="255">
        <f t="shared" si="3"/>
        <v>118</v>
      </c>
      <c r="DP29" s="255">
        <f t="shared" si="3"/>
        <v>119</v>
      </c>
      <c r="DQ29" s="255">
        <f t="shared" si="3"/>
        <v>120</v>
      </c>
      <c r="DR29" s="255">
        <f t="shared" si="3"/>
        <v>121</v>
      </c>
    </row>
    <row r="30" spans="1:122" s="215" customFormat="1" ht="18">
      <c r="A30" s="256" t="s">
        <v>251</v>
      </c>
      <c r="B30" s="257">
        <f>EOMONTH(D15,0)</f>
        <v>45869</v>
      </c>
      <c r="C30" s="257">
        <f>EOMONTH(B30,1)</f>
        <v>45900</v>
      </c>
      <c r="D30" s="257">
        <f>EOMONTH(C30,1)</f>
        <v>45930</v>
      </c>
      <c r="E30" s="257">
        <f t="shared" ref="E30:BO30" si="4">EOMONTH(D30,1)</f>
        <v>45961</v>
      </c>
      <c r="F30" s="257">
        <f t="shared" si="4"/>
        <v>45991</v>
      </c>
      <c r="G30" s="257">
        <f t="shared" si="4"/>
        <v>46022</v>
      </c>
      <c r="H30" s="257">
        <f t="shared" si="4"/>
        <v>46053</v>
      </c>
      <c r="I30" s="257">
        <f t="shared" si="4"/>
        <v>46081</v>
      </c>
      <c r="J30" s="257">
        <f t="shared" si="4"/>
        <v>46112</v>
      </c>
      <c r="K30" s="257">
        <f>EOMONTH(J30,1)</f>
        <v>46142</v>
      </c>
      <c r="L30" s="257">
        <f t="shared" si="4"/>
        <v>46173</v>
      </c>
      <c r="M30" s="257">
        <f t="shared" si="4"/>
        <v>46203</v>
      </c>
      <c r="N30" s="257">
        <f t="shared" si="4"/>
        <v>46234</v>
      </c>
      <c r="O30" s="257">
        <f t="shared" si="4"/>
        <v>46265</v>
      </c>
      <c r="P30" s="257">
        <f t="shared" si="4"/>
        <v>46295</v>
      </c>
      <c r="Q30" s="257">
        <f t="shared" si="4"/>
        <v>46326</v>
      </c>
      <c r="R30" s="257">
        <f t="shared" si="4"/>
        <v>46356</v>
      </c>
      <c r="S30" s="257">
        <f t="shared" si="4"/>
        <v>46387</v>
      </c>
      <c r="T30" s="257">
        <f t="shared" si="4"/>
        <v>46418</v>
      </c>
      <c r="U30" s="257">
        <f t="shared" si="4"/>
        <v>46446</v>
      </c>
      <c r="V30" s="257">
        <f t="shared" si="4"/>
        <v>46477</v>
      </c>
      <c r="W30" s="257">
        <f t="shared" si="4"/>
        <v>46507</v>
      </c>
      <c r="X30" s="257">
        <f t="shared" si="4"/>
        <v>46538</v>
      </c>
      <c r="Y30" s="257">
        <f t="shared" si="4"/>
        <v>46568</v>
      </c>
      <c r="Z30" s="257">
        <f t="shared" si="4"/>
        <v>46599</v>
      </c>
      <c r="AA30" s="257">
        <f t="shared" si="4"/>
        <v>46630</v>
      </c>
      <c r="AB30" s="257">
        <f t="shared" si="4"/>
        <v>46660</v>
      </c>
      <c r="AC30" s="257">
        <f t="shared" si="4"/>
        <v>46691</v>
      </c>
      <c r="AD30" s="257">
        <f t="shared" si="4"/>
        <v>46721</v>
      </c>
      <c r="AE30" s="257">
        <f t="shared" si="4"/>
        <v>46752</v>
      </c>
      <c r="AF30" s="257">
        <f t="shared" si="4"/>
        <v>46783</v>
      </c>
      <c r="AG30" s="257">
        <f t="shared" si="4"/>
        <v>46812</v>
      </c>
      <c r="AH30" s="257">
        <f t="shared" si="4"/>
        <v>46843</v>
      </c>
      <c r="AI30" s="257">
        <f t="shared" si="4"/>
        <v>46873</v>
      </c>
      <c r="AJ30" s="257">
        <f t="shared" si="4"/>
        <v>46904</v>
      </c>
      <c r="AK30" s="257">
        <f t="shared" si="4"/>
        <v>46934</v>
      </c>
      <c r="AL30" s="257">
        <f t="shared" si="4"/>
        <v>46965</v>
      </c>
      <c r="AM30" s="257">
        <f t="shared" si="4"/>
        <v>46996</v>
      </c>
      <c r="AN30" s="257">
        <f t="shared" si="4"/>
        <v>47026</v>
      </c>
      <c r="AO30" s="257">
        <f t="shared" si="4"/>
        <v>47057</v>
      </c>
      <c r="AP30" s="257">
        <f t="shared" si="4"/>
        <v>47087</v>
      </c>
      <c r="AQ30" s="257">
        <f t="shared" si="4"/>
        <v>47118</v>
      </c>
      <c r="AR30" s="257">
        <f t="shared" si="4"/>
        <v>47149</v>
      </c>
      <c r="AS30" s="257">
        <f t="shared" si="4"/>
        <v>47177</v>
      </c>
      <c r="AT30" s="257">
        <f t="shared" si="4"/>
        <v>47208</v>
      </c>
      <c r="AU30" s="257">
        <f t="shared" si="4"/>
        <v>47238</v>
      </c>
      <c r="AV30" s="257">
        <f t="shared" si="4"/>
        <v>47269</v>
      </c>
      <c r="AW30" s="257">
        <f t="shared" si="4"/>
        <v>47299</v>
      </c>
      <c r="AX30" s="257">
        <f t="shared" si="4"/>
        <v>47330</v>
      </c>
      <c r="AY30" s="257">
        <f t="shared" si="4"/>
        <v>47361</v>
      </c>
      <c r="AZ30" s="257">
        <f t="shared" si="4"/>
        <v>47391</v>
      </c>
      <c r="BA30" s="257">
        <f t="shared" si="4"/>
        <v>47422</v>
      </c>
      <c r="BB30" s="257">
        <f t="shared" si="4"/>
        <v>47452</v>
      </c>
      <c r="BC30" s="257">
        <f t="shared" si="4"/>
        <v>47483</v>
      </c>
      <c r="BD30" s="257">
        <f t="shared" si="4"/>
        <v>47514</v>
      </c>
      <c r="BE30" s="257">
        <f t="shared" si="4"/>
        <v>47542</v>
      </c>
      <c r="BF30" s="257">
        <f t="shared" si="4"/>
        <v>47573</v>
      </c>
      <c r="BG30" s="257">
        <f t="shared" si="4"/>
        <v>47603</v>
      </c>
      <c r="BH30" s="257">
        <f t="shared" si="4"/>
        <v>47634</v>
      </c>
      <c r="BI30" s="257">
        <f t="shared" si="4"/>
        <v>47664</v>
      </c>
      <c r="BJ30" s="257">
        <f t="shared" si="4"/>
        <v>47695</v>
      </c>
      <c r="BK30" s="257">
        <f t="shared" si="4"/>
        <v>47726</v>
      </c>
      <c r="BL30" s="257">
        <f t="shared" si="4"/>
        <v>47756</v>
      </c>
      <c r="BM30" s="257">
        <f t="shared" si="4"/>
        <v>47787</v>
      </c>
      <c r="BN30" s="257">
        <f t="shared" si="4"/>
        <v>47817</v>
      </c>
      <c r="BO30" s="257">
        <f t="shared" si="4"/>
        <v>47848</v>
      </c>
      <c r="BP30" s="257">
        <f t="shared" ref="BP30:DP30" si="5">EOMONTH(BO30,1)</f>
        <v>47879</v>
      </c>
      <c r="BQ30" s="257">
        <f t="shared" si="5"/>
        <v>47907</v>
      </c>
      <c r="BR30" s="257">
        <f t="shared" si="5"/>
        <v>47938</v>
      </c>
      <c r="BS30" s="257">
        <f t="shared" si="5"/>
        <v>47968</v>
      </c>
      <c r="BT30" s="257">
        <f t="shared" si="5"/>
        <v>47999</v>
      </c>
      <c r="BU30" s="257">
        <f t="shared" si="5"/>
        <v>48029</v>
      </c>
      <c r="BV30" s="257">
        <f t="shared" si="5"/>
        <v>48060</v>
      </c>
      <c r="BW30" s="257">
        <f t="shared" si="5"/>
        <v>48091</v>
      </c>
      <c r="BX30" s="257">
        <f t="shared" si="5"/>
        <v>48121</v>
      </c>
      <c r="BY30" s="257">
        <f t="shared" si="5"/>
        <v>48152</v>
      </c>
      <c r="BZ30" s="257">
        <f t="shared" si="5"/>
        <v>48182</v>
      </c>
      <c r="CA30" s="257">
        <f t="shared" si="5"/>
        <v>48213</v>
      </c>
      <c r="CB30" s="257">
        <f t="shared" si="5"/>
        <v>48244</v>
      </c>
      <c r="CC30" s="257">
        <f t="shared" si="5"/>
        <v>48273</v>
      </c>
      <c r="CD30" s="257">
        <f t="shared" si="5"/>
        <v>48304</v>
      </c>
      <c r="CE30" s="257">
        <f t="shared" si="5"/>
        <v>48334</v>
      </c>
      <c r="CF30" s="257">
        <f t="shared" si="5"/>
        <v>48365</v>
      </c>
      <c r="CG30" s="257">
        <f t="shared" si="5"/>
        <v>48395</v>
      </c>
      <c r="CH30" s="257">
        <f t="shared" si="5"/>
        <v>48426</v>
      </c>
      <c r="CI30" s="257">
        <f t="shared" si="5"/>
        <v>48457</v>
      </c>
      <c r="CJ30" s="257">
        <f t="shared" si="5"/>
        <v>48487</v>
      </c>
      <c r="CK30" s="257">
        <f t="shared" si="5"/>
        <v>48518</v>
      </c>
      <c r="CL30" s="257">
        <f t="shared" si="5"/>
        <v>48548</v>
      </c>
      <c r="CM30" s="257">
        <f t="shared" si="5"/>
        <v>48579</v>
      </c>
      <c r="CN30" s="257">
        <f t="shared" si="5"/>
        <v>48610</v>
      </c>
      <c r="CO30" s="257">
        <f t="shared" si="5"/>
        <v>48638</v>
      </c>
      <c r="CP30" s="257">
        <f t="shared" si="5"/>
        <v>48669</v>
      </c>
      <c r="CQ30" s="257">
        <f t="shared" si="5"/>
        <v>48699</v>
      </c>
      <c r="CR30" s="257">
        <f t="shared" si="5"/>
        <v>48730</v>
      </c>
      <c r="CS30" s="257">
        <f t="shared" si="5"/>
        <v>48760</v>
      </c>
      <c r="CT30" s="257">
        <f t="shared" si="5"/>
        <v>48791</v>
      </c>
      <c r="CU30" s="257">
        <f t="shared" si="5"/>
        <v>48822</v>
      </c>
      <c r="CV30" s="257">
        <f t="shared" si="5"/>
        <v>48852</v>
      </c>
      <c r="CW30" s="257">
        <f t="shared" si="5"/>
        <v>48883</v>
      </c>
      <c r="CX30" s="257">
        <f t="shared" si="5"/>
        <v>48913</v>
      </c>
      <c r="CY30" s="257">
        <f t="shared" si="5"/>
        <v>48944</v>
      </c>
      <c r="CZ30" s="257">
        <f t="shared" si="5"/>
        <v>48975</v>
      </c>
      <c r="DA30" s="257">
        <f t="shared" si="5"/>
        <v>49003</v>
      </c>
      <c r="DB30" s="257">
        <f t="shared" si="5"/>
        <v>49034</v>
      </c>
      <c r="DC30" s="257">
        <f t="shared" si="5"/>
        <v>49064</v>
      </c>
      <c r="DD30" s="257">
        <f t="shared" si="5"/>
        <v>49095</v>
      </c>
      <c r="DE30" s="257">
        <f t="shared" si="5"/>
        <v>49125</v>
      </c>
      <c r="DF30" s="257">
        <f t="shared" si="5"/>
        <v>49156</v>
      </c>
      <c r="DG30" s="257">
        <f t="shared" si="5"/>
        <v>49187</v>
      </c>
      <c r="DH30" s="257">
        <f t="shared" si="5"/>
        <v>49217</v>
      </c>
      <c r="DI30" s="257">
        <f t="shared" si="5"/>
        <v>49248</v>
      </c>
      <c r="DJ30" s="257">
        <f t="shared" si="5"/>
        <v>49278</v>
      </c>
      <c r="DK30" s="257">
        <f t="shared" si="5"/>
        <v>49309</v>
      </c>
      <c r="DL30" s="257">
        <f t="shared" si="5"/>
        <v>49340</v>
      </c>
      <c r="DM30" s="257">
        <f t="shared" si="5"/>
        <v>49368</v>
      </c>
      <c r="DN30" s="257">
        <f t="shared" si="5"/>
        <v>49399</v>
      </c>
      <c r="DO30" s="257">
        <f t="shared" si="5"/>
        <v>49429</v>
      </c>
      <c r="DP30" s="257">
        <f t="shared" si="5"/>
        <v>49460</v>
      </c>
      <c r="DQ30" s="257">
        <f>EOMONTH(DP30,1)</f>
        <v>49490</v>
      </c>
      <c r="DR30" s="257">
        <f>EOMONTH(DQ30,1)</f>
        <v>49521</v>
      </c>
    </row>
    <row r="31" spans="1:122" s="215" customFormat="1" ht="18">
      <c r="A31" s="215" t="s">
        <v>252</v>
      </c>
      <c r="B31" s="258">
        <f>$D$19</f>
        <v>5000000</v>
      </c>
      <c r="C31" s="217">
        <f>IFERROR(HLOOKUP(C$30,'Домодедово Парк'!$F$175:$AZ$177,3,0)*'Калькулятор инвестора'!$D$22,'Калькулятор инвестора'!B$31)*(C29&lt;=($D$17*12))</f>
        <v>5000000</v>
      </c>
      <c r="D31" s="217">
        <f>IFERROR(HLOOKUP(D$30,'Домодедово Парк'!$F$175:$AZ$177,3,0)*'Калькулятор инвестора'!$D$22,'Калькулятор инвестора'!C$31)*(D29&lt;=($D$17*12))</f>
        <v>5250000</v>
      </c>
      <c r="E31" s="217">
        <f>IFERROR(HLOOKUP(E$30,'Домодедово Парк'!$F$175:$AZ$177,3,0)*'Калькулятор инвестора'!$D$22,'Калькулятор инвестора'!D$31)*(E29&lt;=($D$17*12))</f>
        <v>5250000</v>
      </c>
      <c r="F31" s="217">
        <f>IFERROR(HLOOKUP(F$30,'Домодедово Парк'!$F$175:$AZ$177,3,0)*'Калькулятор инвестора'!$D$22,'Калькулятор инвестора'!E$31)*(F29&lt;=($D$17*12))</f>
        <v>5250000</v>
      </c>
      <c r="G31" s="217">
        <f>IFERROR(HLOOKUP(G$30,'Домодедово Парк'!$F$175:$AZ$177,3,0)*'Калькулятор инвестора'!$D$22,'Калькулятор инвестора'!F$31)*(G29&lt;=($D$17*12))</f>
        <v>5500000</v>
      </c>
      <c r="H31" s="217">
        <f>IFERROR(HLOOKUP(H$30,'Домодедово Парк'!$F$175:$AZ$177,3,0)*'Калькулятор инвестора'!$D$22,'Калькулятор инвестора'!G$31)*(H29&lt;=($D$17*12))</f>
        <v>5500000</v>
      </c>
      <c r="I31" s="217">
        <f>IFERROR(HLOOKUP(I$30,'Домодедово Парк'!$F$175:$AZ$177,3,0)*'Калькулятор инвестора'!$D$22,'Калькулятор инвестора'!H$31)*(I29&lt;=($D$17*12))</f>
        <v>5500000</v>
      </c>
      <c r="J31" s="217">
        <f>IFERROR(HLOOKUP(J$30,'Домодедово Парк'!$F$175:$AZ$177,3,0)*'Калькулятор инвестора'!$D$22,'Калькулятор инвестора'!I$31)*(J29&lt;=($D$17*12))</f>
        <v>5750000</v>
      </c>
      <c r="K31" s="217">
        <f>IFERROR(HLOOKUP(K$30,'Домодедово Парк'!$F$175:$AZ$177,3,0)*'Калькулятор инвестора'!$D$22,'Калькулятор инвестора'!J$31)*(K29&lt;=($D$17*12))</f>
        <v>5750000</v>
      </c>
      <c r="L31" s="217">
        <f>IFERROR(HLOOKUP(L$30,'Домодедово Парк'!$F$175:$AZ$177,3,0)*'Калькулятор инвестора'!$D$22,'Калькулятор инвестора'!K$31)*(L29&lt;=($D$17*12))</f>
        <v>5750000</v>
      </c>
      <c r="M31" s="217">
        <f>IFERROR(HLOOKUP(M$30,'Домодедово Парк'!$F$175:$AZ$177,3,0)*'Калькулятор инвестора'!$D$22,'Калькулятор инвестора'!L$31)*(M29&lt;=($D$17*12))</f>
        <v>6000000</v>
      </c>
      <c r="N31" s="217">
        <f>IFERROR(HLOOKUP(N$30,'Домодедово Парк'!$F$175:$AZ$177,3,0)*'Калькулятор инвестора'!$D$22,'Калькулятор инвестора'!M$31)*(N29&lt;=($D$17*12))</f>
        <v>6000000</v>
      </c>
      <c r="O31" s="217">
        <f>IFERROR(HLOOKUP(O$30,'Домодедово Парк'!$F$175:$AZ$177,3,0)*'Калькулятор инвестора'!$D$22,'Калькулятор инвестора'!N$31)*(O29&lt;=($D$17*12))</f>
        <v>6000000</v>
      </c>
      <c r="P31" s="217">
        <f>IFERROR(HLOOKUP(P$30,'Домодедово Парк'!$F$175:$AZ$177,3,0)*'Калькулятор инвестора'!$D$22,'Калькулятор инвестора'!O$31)*(P29&lt;=($D$17*12))</f>
        <v>6225000</v>
      </c>
      <c r="Q31" s="217">
        <f>IFERROR(HLOOKUP(Q$30,'Домодедово Парк'!$F$175:$AZ$177,3,0)*'Калькулятор инвестора'!$D$22,'Калькулятор инвестора'!P$31)*(Q29&lt;=($D$17*12))</f>
        <v>6225000</v>
      </c>
      <c r="R31" s="217">
        <f>IFERROR(HLOOKUP(R$30,'Домодедово Парк'!$F$175:$AZ$177,3,0)*'Калькулятор инвестора'!$D$22,'Калькулятор инвестора'!Q$31)*(R29&lt;=($D$17*12))</f>
        <v>6225000</v>
      </c>
      <c r="S31" s="217">
        <f>IFERROR(HLOOKUP(S$30,'Домодедово Парк'!$F$175:$AZ$177,3,0)*'Калькулятор инвестора'!$D$22,'Калькулятор инвестора'!R$31)*(S29&lt;=($D$17*12))</f>
        <v>6450000</v>
      </c>
      <c r="T31" s="217">
        <f>IFERROR(HLOOKUP(T$30,'Домодедово Парк'!$F$175:$AZ$177,3,0)*'Калькулятор инвестора'!$D$22,'Калькулятор инвестора'!S$31)*(T29&lt;=($D$17*12))</f>
        <v>6450000</v>
      </c>
      <c r="U31" s="217">
        <f>IFERROR(HLOOKUP(U$30,'Домодедово Парк'!$F$175:$AZ$177,3,0)*'Калькулятор инвестора'!$D$22,'Калькулятор инвестора'!T$31)*(U29&lt;=($D$17*12))</f>
        <v>6450000</v>
      </c>
      <c r="V31" s="217">
        <f>IFERROR(HLOOKUP(V$30,'Домодедово Парк'!$F$175:$AZ$177,3,0)*'Калькулятор инвестора'!$D$22,'Калькулятор инвестора'!U$31)*(V29&lt;=($D$17*12))</f>
        <v>6650000</v>
      </c>
      <c r="W31" s="217">
        <f>IFERROR(HLOOKUP(W$30,'Домодедово Парк'!$F$175:$AZ$177,3,0)*'Калькулятор инвестора'!$D$22,'Калькулятор инвестора'!V$31)*(W29&lt;=($D$17*12))</f>
        <v>6650000</v>
      </c>
      <c r="X31" s="217">
        <f>IFERROR(HLOOKUP(X$30,'Домодедово Парк'!$F$175:$AZ$177,3,0)*'Калькулятор инвестора'!$D$22,'Калькулятор инвестора'!W$31)*(X29&lt;=($D$17*12))</f>
        <v>6650000</v>
      </c>
      <c r="Y31" s="217">
        <f>IFERROR(HLOOKUP(Y$30,'Домодедово Парк'!$F$175:$AZ$177,3,0)*'Калькулятор инвестора'!$D$22,'Калькулятор инвестора'!X$31)*(Y29&lt;=($D$17*12))</f>
        <v>6825000</v>
      </c>
      <c r="Z31" s="217">
        <f>IFERROR(HLOOKUP(Z$30,'Домодедово Парк'!$F$175:$AZ$177,3,0)*'Калькулятор инвестора'!$D$22,'Калькулятор инвестора'!Y$31)*(Z29&lt;=($D$17*12))</f>
        <v>6825000</v>
      </c>
      <c r="AA31" s="217">
        <f>IFERROR(HLOOKUP(AA$30,'Домодедово Парк'!$F$175:$AZ$177,3,0)*'Калькулятор инвестора'!$D$22,'Калькулятор инвестора'!Z$31)*(AA29&lt;=($D$17*12))</f>
        <v>6825000</v>
      </c>
      <c r="AB31" s="217">
        <f>IFERROR(HLOOKUP(AB$30,'Домодедово Парк'!$F$175:$AZ$177,3,0)*'Калькулятор инвестора'!$D$22,'Калькулятор инвестора'!AA$31)*(AB29&lt;=($D$17*12))</f>
        <v>7000000</v>
      </c>
      <c r="AC31" s="217">
        <f>IFERROR(HLOOKUP(AC$30,'Домодедово Парк'!$F$175:$AZ$177,3,0)*'Калькулятор инвестора'!$D$22,'Калькулятор инвестора'!AB$31)*(AC29&lt;=($D$17*12))</f>
        <v>7000000</v>
      </c>
      <c r="AD31" s="217">
        <f>IFERROR(HLOOKUP(AD$30,'Домодедово Парк'!$F$175:$AZ$177,3,0)*'Калькулятор инвестора'!$D$22,'Калькулятор инвестора'!AC$31)*(AD29&lt;=($D$17*12))</f>
        <v>7000000</v>
      </c>
      <c r="AE31" s="217">
        <f>IFERROR(HLOOKUP(AE$30,'Домодедово Парк'!$F$175:$AZ$177,3,0)*'Калькулятор инвестора'!$D$22,'Калькулятор инвестора'!AD$31)*(AE29&lt;=($D$17*12))</f>
        <v>7125000</v>
      </c>
      <c r="AF31" s="217">
        <f>IFERROR(HLOOKUP(AF$30,'Домодедово Парк'!$F$175:$AZ$177,3,0)*'Калькулятор инвестора'!$D$22,'Калькулятор инвестора'!AE$31)*(AF29&lt;=($D$17*12))</f>
        <v>7125000</v>
      </c>
      <c r="AG31" s="217">
        <f>IFERROR(HLOOKUP(AG$30,'Домодедово Парк'!$F$175:$AZ$177,3,0)*'Калькулятор инвестора'!$D$22,'Калькулятор инвестора'!AF$31)*(AG29&lt;=($D$17*12))</f>
        <v>7125000</v>
      </c>
      <c r="AH31" s="217">
        <f>IFERROR(HLOOKUP(AH$30,'Домодедово Парк'!$F$175:$AZ$177,3,0)*'Калькулятор инвестора'!$D$22,'Калькулятор инвестора'!AG$31)*(AH29&lt;=($D$17*12))</f>
        <v>7356824.9948015474</v>
      </c>
      <c r="AI31" s="217">
        <f>IFERROR(HLOOKUP(AI$30,'Домодедово Парк'!$F$175:$AZ$177,3,0)*'Калькулятор инвестора'!$D$22,'Калькулятор инвестора'!AH$31)*(AI29&lt;=($D$17*12))</f>
        <v>7356824.9948015474</v>
      </c>
      <c r="AJ31" s="217">
        <f>IFERROR(HLOOKUP(AJ$30,'Домодедово Парк'!$F$175:$AZ$177,3,0)*'Калькулятор инвестора'!$D$22,'Калькулятор инвестора'!AI$31)*(AJ29&lt;=($D$17*12))</f>
        <v>7356824.9948015474</v>
      </c>
      <c r="AK31" s="217">
        <f>IFERROR(HLOOKUP(AK$30,'Домодедово Парк'!$F$175:$AZ$177,3,0)*'Калькулятор инвестора'!$D$22,'Калькулятор инвестора'!AJ$31)*(AK29&lt;=($D$17*12))</f>
        <v>7487941.0223167883</v>
      </c>
      <c r="AL31" s="217">
        <f>IFERROR(HLOOKUP(AL$30,'Домодедово Парк'!$F$175:$AZ$177,3,0)*'Калькулятор инвестора'!$D$22,'Калькулятор инвестора'!AK$31)*(AL29&lt;=($D$17*12))</f>
        <v>7487941.0223167883</v>
      </c>
      <c r="AM31" s="217">
        <f>IFERROR(HLOOKUP(AM$30,'Домодедово Парк'!$F$175:$AZ$177,3,0)*'Калькулятор инвестора'!$D$22,'Калькулятор инвестора'!AL$31)*(AM29&lt;=($D$17*12))</f>
        <v>7487941.0223167883</v>
      </c>
      <c r="AN31" s="217">
        <f>IFERROR(HLOOKUP(AN$30,'Домодедово Парк'!$F$175:$AZ$177,3,0)*'Калькулятор инвестора'!$D$22,'Калькулятор инвестора'!AM$31)*(AN29&lt;=($D$17*12))</f>
        <v>7623525.4718587613</v>
      </c>
      <c r="AO31" s="217">
        <f>IFERROR(HLOOKUP(AO$30,'Домодедово Парк'!$F$175:$AZ$177,3,0)*'Калькулятор инвестора'!$D$22,'Калькулятор инвестора'!AN$31)*(AO29&lt;=($D$17*12))</f>
        <v>7623525.4718587613</v>
      </c>
      <c r="AP31" s="217">
        <f>IFERROR(HLOOKUP(AP$30,'Домодедово Парк'!$F$175:$AZ$177,3,0)*'Калькулятор инвестора'!$D$22,'Калькулятор инвестора'!AO$31)*(AP29&lt;=($D$17*12))</f>
        <v>7623525.4718587613</v>
      </c>
      <c r="AQ31" s="217">
        <f>IFERROR(HLOOKUP(AQ$30,'Домодедово Парк'!$F$175:$AZ$177,3,0)*'Калькулятор инвестора'!$D$22,'Калькулятор инвестора'!AP$31)*(AQ29&lt;=($D$17*12))</f>
        <v>7760870.7032513097</v>
      </c>
      <c r="AR31" s="217">
        <f>IFERROR(HLOOKUP(AR$30,'Домодедово Парк'!$F$175:$AZ$177,3,0)*'Калькулятор инвестора'!$D$22,'Калькулятор инвестора'!AQ$31)*(AR29&lt;=($D$17*12))</f>
        <v>7760870.7032513097</v>
      </c>
      <c r="AS31" s="217">
        <f>IFERROR(HLOOKUP(AS$30,'Домодедово Парк'!$F$175:$AZ$177,3,0)*'Калькулятор инвестора'!$D$22,'Калькулятор инвестора'!AR$31)*(AS29&lt;=($D$17*12))</f>
        <v>7760870.7032513097</v>
      </c>
      <c r="AT31" s="217">
        <f>IFERROR(HLOOKUP(AT$30,'Домодедово Парк'!$F$175:$AZ$177,3,0)*'Калькулятор инвестора'!$D$22,'Калькулятор инвестора'!AS$31)*(AT29&lt;=($D$17*12))</f>
        <v>7899596.0185087211</v>
      </c>
      <c r="AU31" s="217">
        <f>IFERROR(HLOOKUP(AU$30,'Домодедово Парк'!$F$175:$AZ$177,3,0)*'Калькулятор инвестора'!$D$22,'Калькулятор инвестора'!AT$31)*(AU29&lt;=($D$17*12))</f>
        <v>7899596.0185087211</v>
      </c>
      <c r="AV31" s="217">
        <f>IFERROR(HLOOKUP(AV$30,'Домодедово Парк'!$F$175:$AZ$177,3,0)*'Калькулятор инвестора'!$D$22,'Калькулятор инвестора'!AU$31)*(AV29&lt;=($D$17*12))</f>
        <v>7899596.0185087211</v>
      </c>
      <c r="AW31" s="217">
        <f>IFERROR(HLOOKUP(AW$30,'Домодедово Парк'!$F$175:$AZ$177,3,0)*'Калькулятор инвестора'!$D$22,'Калькулятор инвестора'!AV$31)*(AW29&lt;=($D$17*12))</f>
        <v>8040142.7006748235</v>
      </c>
      <c r="AX31" s="217">
        <f>IFERROR(HLOOKUP(AX$30,'Домодедово Парк'!$F$175:$AZ$177,3,0)*'Калькулятор инвестора'!$D$22,'Калькулятор инвестора'!AW$31)*(AX29&lt;=($D$17*12))</f>
        <v>8040142.7006748235</v>
      </c>
      <c r="AY31" s="217">
        <f>IFERROR(HLOOKUP(AY$30,'Домодедово Парк'!$F$175:$AZ$177,3,0)*'Калькулятор инвестора'!$D$22,'Калькулятор инвестора'!AX$31)*(AY29&lt;=($D$17*12))</f>
        <v>8040142.7006748235</v>
      </c>
      <c r="AZ31" s="217">
        <f>IFERROR(HLOOKUP(AZ$30,'Домодедово Парк'!$F$175:$AZ$177,3,0)*'Калькулятор инвестора'!$D$22,'Калькулятор инвестора'!AY$31)*(AZ29&lt;=($D$17*12))</f>
        <v>8185470.5944095282</v>
      </c>
      <c r="BA31" s="217">
        <f>IFERROR(HLOOKUP(BA$30,'Домодедово Парк'!$F$175:$AZ$177,3,0)*'Калькулятор инвестора'!$D$22,'Калькулятор инвестора'!AZ$31)*(BA29&lt;=($D$17*12))</f>
        <v>8185470.5944095282</v>
      </c>
      <c r="BB31" s="217">
        <f>IFERROR(HLOOKUP(BB$30,'Домодедово Парк'!$F$175:$AZ$177,3,0)*'Калькулятор инвестора'!$D$22,'Калькулятор инвестора'!BA$31)*(BB29&lt;=($D$17*12))</f>
        <v>8185470.5944095282</v>
      </c>
      <c r="BC31" s="217">
        <f>IFERROR(HLOOKUP(BC$30,'Домодедово Парк'!$F$175:$AZ$177,3,0)*'Калькулятор инвестора'!$D$22,'Калькулятор инвестора'!BB$31)*(BC29&lt;=($D$17*12))</f>
        <v>8332682.5247243484</v>
      </c>
      <c r="BD31" s="217">
        <f>IFERROR(HLOOKUP(BD$30,'Домодедово Парк'!$F$175:$AZ$177,3,0)*'Калькулятор инвестора'!$D$22,'Калькулятор инвестора'!BC$31)*(BD29&lt;=($D$17*12))</f>
        <v>8332682.5247243484</v>
      </c>
      <c r="BE31" s="217">
        <f>IFERROR(HLOOKUP(BE$30,'Домодедово Парк'!$F$175:$AZ$177,3,0)*'Калькулятор инвестора'!$D$22,'Калькулятор инвестора'!BD$31)*(BE29&lt;=($D$17*12))</f>
        <v>8332682.5247243484</v>
      </c>
      <c r="BF31" s="217">
        <f>IFERROR(HLOOKUP(BF$30,'Домодедово Парк'!$F$175:$AZ$177,3,0)*'Калькулятор инвестора'!$D$22,'Калькулятор инвестора'!BE$31)*(BF29&lt;=($D$17*12))</f>
        <v>8481380.935157435</v>
      </c>
      <c r="BG31" s="217">
        <f>IFERROR(HLOOKUP(BG$30,'Домодедово Парк'!$F$175:$AZ$177,3,0)*'Калькулятор инвестора'!$D$22,'Калькулятор инвестора'!BF$31)*(BG29&lt;=($D$17*12))</f>
        <v>8481380.935157435</v>
      </c>
      <c r="BH31" s="217">
        <f>IFERROR(HLOOKUP(BH$30,'Домодедово Парк'!$F$175:$AZ$177,3,0)*'Калькулятор инвестора'!$D$22,'Калькулятор инвестора'!BG$31)*(BH29&lt;=($D$17*12))</f>
        <v>8481380.935157435</v>
      </c>
      <c r="BI31" s="217">
        <f>IFERROR(HLOOKUP(BI$30,'Домодедово Парк'!$F$175:$AZ$177,3,0)*'Калькулятор инвестора'!$D$22,'Калькулятор инвестора'!BH$31)*(BI29&lt;=($D$17*12))</f>
        <v>8632028.2081828173</v>
      </c>
      <c r="BJ31" s="217">
        <f>IFERROR(HLOOKUP(BJ$30,'Домодедово Парк'!$F$175:$AZ$177,3,0)*'Калькулятор инвестора'!$D$22,'Калькулятор инвестора'!BI$31)*(BJ29&lt;=($D$17*12))</f>
        <v>8632028.2081828173</v>
      </c>
      <c r="BK31" s="217">
        <f>IFERROR(HLOOKUP(BK$30,'Домодедово Парк'!$F$175:$AZ$177,3,0)*'Калькулятор инвестора'!$D$22,'Калькулятор инвестора'!BJ$31)*(BK29&lt;=($D$17*12))</f>
        <v>8632028.2081828173</v>
      </c>
      <c r="BL31" s="217">
        <f>IFERROR(HLOOKUP(BL$30,'Домодедово Парк'!$F$175:$AZ$177,3,0)*'Калькулятор инвестора'!$D$22,'Калькулятор инвестора'!BK$31)*(BL29&lt;=($D$17*12))</f>
        <v>8787791.3775866088</v>
      </c>
      <c r="BM31" s="217">
        <f>IFERROR(HLOOKUP(BM$30,'Домодедово Парк'!$F$175:$AZ$177,3,0)*'Калькулятор инвестора'!$D$22,'Калькулятор инвестора'!BL$31)*(BM29&lt;=($D$17*12))</f>
        <v>8787791.3775866088</v>
      </c>
      <c r="BN31" s="217">
        <f>IFERROR(HLOOKUP(BN$30,'Домодедово Парк'!$F$175:$AZ$177,3,0)*'Калькулятор инвестора'!$D$22,'Калькулятор инвестора'!BM$31)*(BN29&lt;=($D$17*12))</f>
        <v>8787791.3775866088</v>
      </c>
      <c r="BO31" s="217">
        <f>IFERROR(HLOOKUP(BO$30,'Домодедово Парк'!$F$175:$AZ$177,3,0)*'Калькулятор инвестора'!$D$22,'Калькулятор инвестора'!BN$31)*(BO29&lt;=($D$17*12))</f>
        <v>8945570.4661311172</v>
      </c>
      <c r="BP31" s="217">
        <f>IFERROR(HLOOKUP(BP$30,'Домодедово Парк'!$F$175:$AZ$177,3,0)*'Калькулятор инвестора'!$D$22,'Калькулятор инвестора'!BO$31)*(BP29&lt;=($D$17*12))</f>
        <v>8945570.4661311172</v>
      </c>
      <c r="BQ31" s="217">
        <f>IFERROR(HLOOKUP(BQ$30,'Домодедово Парк'!$F$175:$AZ$177,3,0)*'Калькулятор инвестора'!$D$22,'Калькулятор инвестора'!BP$31)*(BQ29&lt;=($D$17*12))</f>
        <v>8945570.4661311172</v>
      </c>
      <c r="BR31" s="217">
        <f>IFERROR(HLOOKUP(BR$30,'Домодедово Парк'!$F$175:$AZ$177,3,0)*'Калькулятор инвестора'!$D$22,'Калькулятор инвестора'!BQ$31)*(BR29&lt;=($D$17*12))</f>
        <v>9104950.2973978408</v>
      </c>
      <c r="BS31" s="217">
        <f>IFERROR(HLOOKUP(BS$30,'Домодедово Парк'!$F$175:$AZ$177,3,0)*'Калькулятор инвестора'!$D$22,'Калькулятор инвестора'!BR$31)*(BS29&lt;=($D$17*12))</f>
        <v>9104950.2973978408</v>
      </c>
      <c r="BT31" s="217">
        <f>IFERROR(HLOOKUP(BT$30,'Домодедово Парк'!$F$175:$AZ$177,3,0)*'Калькулятор инвестора'!$D$22,'Калькулятор инвестора'!BS$31)*(BT29&lt;=($D$17*12))</f>
        <v>9104950.2973978408</v>
      </c>
      <c r="BU31" s="217">
        <f>IFERROR(HLOOKUP(BU$30,'Домодедово Парк'!$F$175:$AZ$177,3,0)*'Калькулятор инвестора'!$D$22,'Калькулятор инвестора'!BT$31)*(BU29&lt;=($D$17*12))</f>
        <v>9266415.4116383288</v>
      </c>
      <c r="BV31" s="217">
        <f>IFERROR(HLOOKUP(BV$30,'Домодедово Парк'!$F$175:$AZ$177,3,0)*'Калькулятор инвестора'!$D$22,'Калькулятор инвестора'!BU$31)*(BV29&lt;=($D$17*12))</f>
        <v>9266415.4116383288</v>
      </c>
      <c r="BW31" s="217">
        <f>IFERROR(HLOOKUP(BW$30,'Домодедово Парк'!$F$175:$AZ$177,3,0)*'Калькулятор инвестора'!$D$22,'Калькулятор инвестора'!BV$31)*(BW29&lt;=($D$17*12))</f>
        <v>9266415.4116383288</v>
      </c>
      <c r="BX31" s="217">
        <f>IFERROR(HLOOKUP(BX$30,'Домодедово Парк'!$F$175:$AZ$177,3,0)*'Калькулятор инвестора'!$D$22,'Калькулятор инвестора'!BW$31)*(BX29&lt;=($D$17*12))</f>
        <v>9433354.5350037087</v>
      </c>
      <c r="BY31" s="217">
        <f>IFERROR(HLOOKUP(BY$30,'Домодедово Парк'!$F$175:$AZ$177,3,0)*'Калькулятор инвестора'!$D$22,'Калькулятор инвестора'!BX$31)*(BY29&lt;=($D$17*12))</f>
        <v>9433354.5350037087</v>
      </c>
      <c r="BZ31" s="217">
        <f>IFERROR(HLOOKUP(BZ$30,'Домодедово Парк'!$F$175:$AZ$177,3,0)*'Калькулятор инвестора'!$D$22,'Калькулятор инвестора'!BY$31)*(BZ29&lt;=($D$17*12))</f>
        <v>9433354.5350037087</v>
      </c>
      <c r="CA31" s="217">
        <f>IFERROR(HLOOKUP(CA$30,'Домодедово Парк'!$F$175:$AZ$177,3,0)*'Калькулятор инвестора'!$D$22,'Калькулятор инвестора'!BZ$31)*(CA29&lt;=($D$17*12))</f>
        <v>9602450.6918496601</v>
      </c>
      <c r="CB31" s="217">
        <f>IFERROR(HLOOKUP(CB$30,'Домодедово Парк'!$F$175:$AZ$177,3,0)*'Калькулятор инвестора'!$D$22,'Калькулятор инвестора'!CA$31)*(CB29&lt;=($D$17*12))</f>
        <v>9602450.6918496601</v>
      </c>
      <c r="CC31" s="217">
        <f>IFERROR(HLOOKUP(CC$30,'Домодедово Парк'!$F$175:$AZ$177,3,0)*'Калькулятор инвестора'!$D$22,'Калькулятор инвестора'!CB$31)*(CC29&lt;=($D$17*12))</f>
        <v>9602450.6918496601</v>
      </c>
      <c r="CD31" s="217">
        <f>IFERROR(HLOOKUP(CD$30,'Домодедово Парк'!$F$175:$AZ$177,3,0)*'Калькулятор инвестора'!$D$22,'Калькулятор инвестора'!CC$31)*(CD29&lt;=($D$17*12))</f>
        <v>9773270.29017484</v>
      </c>
      <c r="CE31" s="217">
        <f>IFERROR(HLOOKUP(CE$30,'Домодедово Парк'!$F$175:$AZ$177,3,0)*'Калькулятор инвестора'!$D$22,'Калькулятор инвестора'!CD$31)*(CE29&lt;=($D$17*12))</f>
        <v>9773270.29017484</v>
      </c>
      <c r="CF31" s="217">
        <f>IFERROR(HLOOKUP(CF$30,'Домодедово Парк'!$F$175:$AZ$177,3,0)*'Калькулятор инвестора'!$D$22,'Калькулятор инвестора'!CE$31)*(CF29&lt;=($D$17*12))</f>
        <v>9773270.29017484</v>
      </c>
      <c r="CG31" s="217">
        <f>IFERROR(HLOOKUP(CG$30,'Домодедово Парк'!$F$175:$AZ$177,3,0)*'Калькулятор инвестора'!$D$22,'Калькулятор инвестора'!CF$31)*(CG29&lt;=($D$17*12))</f>
        <v>9946321.1412819419</v>
      </c>
      <c r="CH31" s="217">
        <f>IFERROR(HLOOKUP(CH$30,'Домодедово Парк'!$F$175:$AZ$177,3,0)*'Калькулятор инвестора'!$D$22,'Калькулятор инвестора'!CG$31)*(CH29&lt;=($D$17*12))</f>
        <v>9946321.1412819419</v>
      </c>
      <c r="CI31" s="217">
        <f>IFERROR(HLOOKUP(CI$30,'Домодедово Парк'!$F$175:$AZ$177,3,0)*'Калькулятор инвестора'!$D$22,'Калькулятор инвестора'!CH$31)*(CI29&lt;=($D$17*12))</f>
        <v>9946321.1412819419</v>
      </c>
      <c r="CJ31" s="217">
        <f>IFERROR(HLOOKUP(CJ$30,'Домодедово Парк'!$F$175:$AZ$177,3,0)*'Калькулятор инвестора'!$D$22,'Калькулятор инвестора'!CI$31)*(CJ29&lt;=($D$17*12))</f>
        <v>10125229.182152681</v>
      </c>
      <c r="CK31" s="217">
        <f>IFERROR(HLOOKUP(CK$30,'Домодедово Парк'!$F$175:$AZ$177,3,0)*'Калькулятор инвестора'!$D$22,'Калькулятор инвестора'!CJ$31)*(CK29&lt;=($D$17*12))</f>
        <v>10125229.182152681</v>
      </c>
      <c r="CL31" s="217">
        <f>IFERROR(HLOOKUP(CL$30,'Домодедово Парк'!$F$175:$AZ$177,3,0)*'Калькулятор инвестора'!$D$22,'Калькулятор инвестора'!CK$31)*(CL29&lt;=($D$17*12))</f>
        <v>10125229.182152681</v>
      </c>
      <c r="CM31" s="217">
        <f>IFERROR(HLOOKUP(CM$30,'Домодедово Парк'!$F$175:$AZ$177,3,0)*'Калькулятор инвестора'!$D$22,'Калькулятор инвестора'!CL$31)*(CM29&lt;=($D$17*12))</f>
        <v>10306445.248847632</v>
      </c>
      <c r="CN31" s="217">
        <f>IFERROR(HLOOKUP(CN$30,'Домодедово Парк'!$F$175:$AZ$177,3,0)*'Калькулятор инвестора'!$D$22,'Калькулятор инвестора'!CM$31)*(CN29&lt;=($D$17*12))</f>
        <v>10306445.248847632</v>
      </c>
      <c r="CO31" s="217">
        <f>IFERROR(HLOOKUP(CO$30,'Домодедово Парк'!$F$175:$AZ$177,3,0)*'Калькулятор инвестора'!$D$22,'Калькулятор инвестора'!CN$31)*(CO29&lt;=($D$17*12))</f>
        <v>10306445.248847632</v>
      </c>
      <c r="CP31" s="217">
        <f>IFERROR(HLOOKUP(CP$30,'Домодедово Парк'!$F$175:$AZ$177,3,0)*'Калькулятор инвестора'!$D$22,'Калькулятор инвестора'!CO$31)*(CP29&lt;=($D$17*12))</f>
        <v>10489516.50253417</v>
      </c>
      <c r="CQ31" s="217">
        <f>IFERROR(HLOOKUP(CQ$30,'Домодедово Парк'!$F$175:$AZ$177,3,0)*'Калькулятор инвестора'!$D$22,'Калькулятор инвестора'!CP$31)*(CQ29&lt;=($D$17*12))</f>
        <v>10489516.50253417</v>
      </c>
      <c r="CR31" s="217">
        <f>IFERROR(HLOOKUP(CR$30,'Домодедово Парк'!$F$175:$AZ$177,3,0)*'Калькулятор инвестора'!$D$22,'Калькулятор инвестора'!CQ$31)*(CR29&lt;=($D$17*12))</f>
        <v>10489516.50253417</v>
      </c>
      <c r="CS31" s="217">
        <f>IFERROR(HLOOKUP(CS$30,'Домодедово Парк'!$F$175:$AZ$177,3,0)*'Калькулятор инвестора'!$D$22,'Калькулятор инвестора'!CR$31)*(CS29&lt;=($D$17*12))</f>
        <v>10674975.196697367</v>
      </c>
      <c r="CT31" s="217">
        <f>IFERROR(HLOOKUP(CT$30,'Домодедово Парк'!$F$175:$AZ$177,3,0)*'Калькулятор инвестора'!$D$22,'Калькулятор инвестора'!CS$31)*(CT29&lt;=($D$17*12))</f>
        <v>10674975.196697367</v>
      </c>
      <c r="CU31" s="217">
        <f>IFERROR(HLOOKUP(CU$30,'Домодедово Парк'!$F$175:$AZ$177,3,0)*'Калькулятор инвестора'!$D$22,'Калькулятор инвестора'!CT$31)*(CU29&lt;=($D$17*12))</f>
        <v>10674975.196697367</v>
      </c>
      <c r="CV31" s="217">
        <f>IFERROR(HLOOKUP(CV$30,'Домодедово Парк'!$F$175:$AZ$177,3,0)*'Калькулятор инвестора'!$D$22,'Калькулятор инвестора'!CU$31)*(CV29&lt;=($D$17*12))</f>
        <v>10866701.08390766</v>
      </c>
      <c r="CW31" s="217">
        <f>IFERROR(HLOOKUP(CW$30,'Домодедово Парк'!$F$175:$AZ$177,3,0)*'Калькулятор инвестора'!$D$22,'Калькулятор инвестора'!CV$31)*(CW29&lt;=($D$17*12))</f>
        <v>10866701.08390766</v>
      </c>
      <c r="CX31" s="217">
        <f>IFERROR(HLOOKUP(CX$30,'Домодедово Парк'!$F$175:$AZ$177,3,0)*'Калькулятор инвестора'!$D$22,'Калькулятор инвестора'!CW$31)*(CX29&lt;=($D$17*12))</f>
        <v>10866701.08390766</v>
      </c>
      <c r="CY31" s="217">
        <f>IFERROR(HLOOKUP(CY$30,'Домодедово Парк'!$F$175:$AZ$177,3,0)*'Калькулятор инвестора'!$D$22,'Калькулятор инвестора'!CX$31)*(CY29&lt;=($D$17*12))</f>
        <v>11060896.558749853</v>
      </c>
      <c r="CZ31" s="217">
        <f>IFERROR(HLOOKUP(CZ$30,'Домодедово Парк'!$F$175:$AZ$177,3,0)*'Калькулятор инвестора'!$D$22,'Калькулятор инвестора'!CY$31)*(CZ29&lt;=($D$17*12))</f>
        <v>11060896.558749853</v>
      </c>
      <c r="DA31" s="217">
        <f>IFERROR(HLOOKUP(DA$30,'Домодедово Парк'!$F$175:$AZ$177,3,0)*'Калькулятор инвестора'!$D$22,'Калькулятор инвестора'!CZ$31)*(DA29&lt;=($D$17*12))</f>
        <v>11060896.558749853</v>
      </c>
      <c r="DB31" s="217">
        <f>IFERROR(HLOOKUP(DB$30,'Домодедово Парк'!$F$175:$AZ$177,3,0)*'Калькулятор инвестора'!$D$22,'Калькулятор инвестора'!DA$31)*(DB29&lt;=($D$17*12))</f>
        <v>11257088.667153938</v>
      </c>
      <c r="DC31" s="217">
        <f>IFERROR(HLOOKUP(DC$30,'Домодедово Парк'!$F$175:$AZ$177,3,0)*'Калькулятор инвестора'!$D$22,'Калькулятор инвестора'!DB$31)*(DC29&lt;=($D$17*12))</f>
        <v>11257088.667153938</v>
      </c>
      <c r="DD31" s="217">
        <f>IFERROR(HLOOKUP(DD$30,'Домодедово Парк'!$F$175:$AZ$177,3,0)*'Калькулятор инвестора'!$D$22,'Калькулятор инвестора'!DC$31)*(DD29&lt;=($D$17*12))</f>
        <v>11257088.667153938</v>
      </c>
      <c r="DE31" s="217">
        <f>IFERROR(HLOOKUP(DE$30,'Домодедово Парк'!$F$175:$AZ$177,3,0)*'Калькулятор инвестора'!$D$22,'Калькулятор инвестора'!DD$31)*(DE29&lt;=($D$17*12))</f>
        <v>11455835.336868044</v>
      </c>
      <c r="DF31" s="217">
        <f>IFERROR(HLOOKUP(DF$30,'Домодедово Парк'!$F$175:$AZ$177,3,0)*'Калькулятор инвестора'!$D$22,'Калькулятор инвестора'!DE$31)*(DF29&lt;=($D$17*12))</f>
        <v>11455835.336868044</v>
      </c>
      <c r="DG31" s="217">
        <f>IFERROR(HLOOKUP(DG$30,'Домодедово Парк'!$F$175:$AZ$177,3,0)*'Калькулятор инвестора'!$D$22,'Калькулятор инвестора'!DF$31)*(DG29&lt;=($D$17*12))</f>
        <v>11455835.336868044</v>
      </c>
      <c r="DH31" s="217">
        <f>IFERROR(HLOOKUP(DH$30,'Домодедово Парк'!$F$175:$AZ$177,3,0)*'Калькулятор инвестора'!$D$22,'Калькулятор инвестора'!DG$31)*(DH29&lt;=($D$17*12))</f>
        <v>11661287.903142542</v>
      </c>
      <c r="DI31" s="217">
        <f>IFERROR(HLOOKUP(DI$30,'Домодедово Парк'!$F$175:$AZ$177,3,0)*'Калькулятор инвестора'!$D$22,'Калькулятор инвестора'!DH$31)*(DI29&lt;=($D$17*12))</f>
        <v>11661287.903142542</v>
      </c>
      <c r="DJ31" s="217">
        <f>IFERROR(HLOOKUP(DJ$30,'Домодедово Парк'!$F$175:$AZ$177,3,0)*'Калькулятор инвестора'!$D$22,'Калькулятор инвестора'!DI$31)*(DJ29&lt;=($D$17*12))</f>
        <v>11661287.903142542</v>
      </c>
      <c r="DK31" s="217">
        <f>IFERROR(HLOOKUP(DK$30,'Домодедово Парк'!$F$175:$AZ$177,3,0)*'Калькулятор инвестора'!$D$22,'Калькулятор инвестора'!DJ$31)*(DK29&lt;=($D$17*12))</f>
        <v>11869382.928183177</v>
      </c>
      <c r="DL31" s="217">
        <f>IFERROR(HLOOKUP(DL$30,'Домодедово Парк'!$F$175:$AZ$177,3,0)*'Калькулятор инвестора'!$D$22,'Калькулятор инвестора'!DK$31)*(DL29&lt;=($D$17*12))</f>
        <v>11869382.928183177</v>
      </c>
      <c r="DM31" s="217">
        <f>IFERROR(HLOOKUP(DM$30,'Домодедово Парк'!$F$175:$AZ$177,3,0)*'Калькулятор инвестора'!$D$22,'Калькулятор инвестора'!DL$31)*(DM29&lt;=($D$17*12))</f>
        <v>11869382.928183177</v>
      </c>
      <c r="DN31" s="217">
        <f>IFERROR(HLOOKUP(DN$30,'Домодедово Парк'!$F$175:$AZ$177,3,0)*'Калькулятор инвестора'!$D$22,'Калькулятор инвестора'!DM$31)*(DN29&lt;=($D$17*12))</f>
        <v>12079626.435522642</v>
      </c>
      <c r="DO31" s="217">
        <f>IFERROR(HLOOKUP(DO$30,'Домодедово Парк'!$F$175:$AZ$177,3,0)*'Калькулятор инвестора'!$D$22,'Калькулятор инвестора'!DN$31)*(DO29&lt;=($D$17*12))</f>
        <v>12079626.435522642</v>
      </c>
      <c r="DP31" s="217">
        <f>IFERROR(HLOOKUP(DP$30,'Домодедово Парк'!$F$175:$AZ$177,3,0)*'Калькулятор инвестора'!$D$22,'Калькулятор инвестора'!DO$31)*(DP29&lt;=($D$17*12))</f>
        <v>12079626.435522642</v>
      </c>
      <c r="DQ31" s="217">
        <f>IFERROR(HLOOKUP(DQ$30,'Домодедово Парк'!$F$175:$AZ$177,3,0)*'Калькулятор инвестора'!$D$22,'Калькулятор инвестора'!DP$31)*(DQ29&lt;=($D$17*12))</f>
        <v>12292603.323463833</v>
      </c>
      <c r="DR31" s="217">
        <f>IFERROR(HLOOKUP(DR$30,'Домодедово Парк'!$F$175:$AZ$177,3,0)*'Калькулятор инвестора'!$D$22,'Калькулятор инвестора'!DQ$31)*(DR29&lt;=($D$17*12))</f>
        <v>0</v>
      </c>
    </row>
    <row r="32" spans="1:122" s="215" customFormat="1" ht="18">
      <c r="A32" s="215" t="s">
        <v>28</v>
      </c>
      <c r="B32" s="258">
        <v>0</v>
      </c>
      <c r="C32" s="217">
        <f>IFERROR(HLOOKUP(C$30,'Домодедово Парк'!$G$175:$AZ$178,4,0)*'Калькулятор инвестора'!$D$22,0)*(C29&lt;=($D$17*12))</f>
        <v>0</v>
      </c>
      <c r="D32" s="217">
        <f>IFERROR(HLOOKUP(D$30,'Домодедово Парк'!$G$175:$AZ$178,4,0)*'Калькулятор инвестора'!$D$22,0)*(D29&lt;=($D$17*12))</f>
        <v>0</v>
      </c>
      <c r="E32" s="217">
        <f>IFERROR(HLOOKUP(E$30,'Домодедово Парк'!$G$175:$AZ$178,4,0)*'Калькулятор инвестора'!$D$22,0)*(E29&lt;=($D$17*12))</f>
        <v>0</v>
      </c>
      <c r="F32" s="217">
        <f>IFERROR(HLOOKUP(F$30,'Домодедово Парк'!$G$175:$AZ$178,4,0)*'Калькулятор инвестора'!$D$22,0)*(F29&lt;=($D$17*12))</f>
        <v>0</v>
      </c>
      <c r="G32" s="217">
        <f>IFERROR(HLOOKUP(G$30,'Домодедово Парк'!$G$175:$AZ$178,4,0)*'Калькулятор инвестора'!$D$22,0)*(G29&lt;=($D$17*12))</f>
        <v>0</v>
      </c>
      <c r="H32" s="217">
        <f>IFERROR(HLOOKUP(H$30,'Домодедово Парк'!$G$175:$AZ$178,4,0)*'Калькулятор инвестора'!$D$22,0)*(H29&lt;=($D$17*12))</f>
        <v>0</v>
      </c>
      <c r="I32" s="217">
        <f>IFERROR(HLOOKUP(I$30,'Домодедово Парк'!$G$175:$AZ$178,4,0)*'Калькулятор инвестора'!$D$22,0)*(I29&lt;=($D$17*12))</f>
        <v>0</v>
      </c>
      <c r="J32" s="217">
        <f>IFERROR(HLOOKUP(J$30,'Домодедово Парк'!$G$175:$AZ$178,4,0)*'Калькулятор инвестора'!$D$22,0)*(J29&lt;=($D$17*12))</f>
        <v>0</v>
      </c>
      <c r="K32" s="217">
        <f>IFERROR(HLOOKUP(K$30,'Домодедово Парк'!$G$175:$AZ$178,4,0)*'Калькулятор инвестора'!$D$22,0)*(K29&lt;=($D$17*12))</f>
        <v>0</v>
      </c>
      <c r="L32" s="217">
        <f>IFERROR(HLOOKUP(L$30,'Домодедово Парк'!$G$175:$AZ$178,4,0)*'Калькулятор инвестора'!$D$22,0)*(L29&lt;=($D$17*12))</f>
        <v>0</v>
      </c>
      <c r="M32" s="217">
        <f>IFERROR(HLOOKUP(M$30,'Домодедово Парк'!$G$175:$AZ$178,4,0)*'Калькулятор инвестора'!$D$22,0)*(M29&lt;=($D$17*12))</f>
        <v>0</v>
      </c>
      <c r="N32" s="217">
        <f>IFERROR(HLOOKUP(N$30,'Домодедово Парк'!$G$175:$AZ$178,4,0)*'Калькулятор инвестора'!$D$22,0)*(N29&lt;=($D$17*12))</f>
        <v>0</v>
      </c>
      <c r="O32" s="217">
        <f>IFERROR(HLOOKUP(O$30,'Домодедово Парк'!$G$175:$AZ$178,4,0)*'Калькулятор инвестора'!$D$22,0)*(O29&lt;=($D$17*12))</f>
        <v>0</v>
      </c>
      <c r="P32" s="217">
        <f>IFERROR(HLOOKUP(P$30,'Домодедово Парк'!$G$175:$AZ$178,4,0)*'Калькулятор инвестора'!$D$22,0)*(P29&lt;=($D$17*12))</f>
        <v>87500</v>
      </c>
      <c r="Q32" s="217">
        <f>IFERROR(HLOOKUP(Q$30,'Домодедово Парк'!$G$175:$AZ$178,4,0)*'Калькулятор инвестора'!$D$22,0)*(Q29&lt;=($D$17*12))</f>
        <v>0</v>
      </c>
      <c r="R32" s="217">
        <f>IFERROR(HLOOKUP(R$30,'Домодедово Парк'!$G$175:$AZ$178,4,0)*'Калькулятор инвестора'!$D$22,0)*(R29&lt;=($D$17*12))</f>
        <v>0</v>
      </c>
      <c r="S32" s="217">
        <f>IFERROR(HLOOKUP(S$30,'Домодедово Парк'!$G$175:$AZ$178,4,0)*'Калькулятор инвестора'!$D$22,0)*(S29&lt;=($D$17*12))</f>
        <v>87500</v>
      </c>
      <c r="T32" s="217">
        <f>IFERROR(HLOOKUP(T$30,'Домодедово Парк'!$G$175:$AZ$178,4,0)*'Калькулятор инвестора'!$D$22,0)*(T29&lt;=($D$17*12))</f>
        <v>0</v>
      </c>
      <c r="U32" s="217">
        <f>IFERROR(HLOOKUP(U$30,'Домодедово Парк'!$G$175:$AZ$178,4,0)*'Калькулятор инвестора'!$D$22,0)*(U29&lt;=($D$17*12))</f>
        <v>0</v>
      </c>
      <c r="V32" s="217">
        <f>IFERROR(HLOOKUP(V$30,'Домодедово Парк'!$G$175:$AZ$178,4,0)*'Калькулятор инвестора'!$D$22,0)*(V29&lt;=($D$17*12))</f>
        <v>87500</v>
      </c>
      <c r="W32" s="217">
        <f>IFERROR(HLOOKUP(W$30,'Домодедово Парк'!$G$175:$AZ$178,4,0)*'Калькулятор инвестора'!$D$22,0)*(W29&lt;=($D$17*12))</f>
        <v>0</v>
      </c>
      <c r="X32" s="217">
        <f>IFERROR(HLOOKUP(X$30,'Домодедово Парк'!$G$175:$AZ$178,4,0)*'Калькулятор инвестора'!$D$22,0)*(X29&lt;=($D$17*12))</f>
        <v>0</v>
      </c>
      <c r="Y32" s="217">
        <f>IFERROR(HLOOKUP(Y$30,'Домодедово Парк'!$G$175:$AZ$178,4,0)*'Калькулятор инвестора'!$D$22,0)*(Y29&lt;=($D$17*12))</f>
        <v>87500</v>
      </c>
      <c r="Z32" s="217">
        <f>IFERROR(HLOOKUP(Z$30,'Домодедово Парк'!$G$175:$AZ$178,4,0)*'Калькулятор инвестора'!$D$22,0)*(Z29&lt;=($D$17*12))</f>
        <v>0</v>
      </c>
      <c r="AA32" s="217">
        <f>IFERROR(HLOOKUP(AA$30,'Домодедово Парк'!$G$175:$AZ$178,4,0)*'Калькулятор инвестора'!$D$22,0)*(AA29&lt;=($D$17*12))</f>
        <v>0</v>
      </c>
      <c r="AB32" s="217">
        <f>IFERROR(HLOOKUP(AB$30,'Домодедово Парк'!$G$175:$AZ$178,4,0)*'Калькулятор инвестора'!$D$22,0)*(AB29&lt;=($D$17*12))</f>
        <v>107357.37613730509</v>
      </c>
      <c r="AC32" s="217">
        <f>IFERROR(HLOOKUP(AC$30,'Домодедово Парк'!$G$175:$AZ$178,4,0)*'Калькулятор инвестора'!$D$22,0)*(AC29&lt;=($D$17*12))</f>
        <v>0</v>
      </c>
      <c r="AD32" s="217">
        <f>IFERROR(HLOOKUP(AD$30,'Домодедово Парк'!$G$175:$AZ$178,4,0)*'Калькулятор инвестора'!$D$22,0)*(AD29&lt;=($D$17*12))</f>
        <v>0</v>
      </c>
      <c r="AE32" s="217">
        <f>IFERROR(HLOOKUP(AE$30,'Домодедово Парк'!$G$175:$AZ$178,4,0)*'Калькулятор инвестора'!$D$22,0)*(AE29&lt;=($D$17*12))</f>
        <v>114760.19274948144</v>
      </c>
      <c r="AF32" s="217">
        <f>IFERROR(HLOOKUP(AF$30,'Домодедово Парк'!$G$175:$AZ$178,4,0)*'Калькулятор инвестора'!$D$22,0)*(AF29&lt;=($D$17*12))</f>
        <v>0</v>
      </c>
      <c r="AG32" s="217">
        <f>IFERROR(HLOOKUP(AG$30,'Домодедово Парк'!$G$175:$AZ$178,4,0)*'Калькулятор инвестора'!$D$22,0)*(AG29&lt;=($D$17*12))</f>
        <v>0</v>
      </c>
      <c r="AH32" s="217">
        <f>IFERROR(HLOOKUP(AH$30,'Домодедово Парк'!$G$175:$AZ$178,4,0)*'Калькулятор инвестора'!$D$22,0)*(AH29&lt;=($D$17*12))</f>
        <v>118402.1751284302</v>
      </c>
      <c r="AI32" s="217">
        <f>IFERROR(HLOOKUP(AI$30,'Домодедово Парк'!$G$175:$AZ$178,4,0)*'Калькулятор инвестора'!$D$22,0)*(AI29&lt;=($D$17*12))</f>
        <v>0</v>
      </c>
      <c r="AJ32" s="217">
        <f>IFERROR(HLOOKUP(AJ$30,'Домодедово Парк'!$G$175:$AZ$178,4,0)*'Калькулятор инвестора'!$D$22,0)*(AJ29&lt;=($D$17*12))</f>
        <v>0</v>
      </c>
      <c r="AK32" s="217">
        <f>IFERROR(HLOOKUP(AK$30,'Домодедово Парк'!$G$175:$AZ$178,4,0)*'Калькулятор инвестора'!$D$22,0)*(AK29&lt;=($D$17*12))</f>
        <v>115349.34518676097</v>
      </c>
      <c r="AL32" s="217">
        <f>IFERROR(HLOOKUP(AL$30,'Домодедово Парк'!$G$175:$AZ$178,4,0)*'Калькулятор инвестора'!$D$22,0)*(AL29&lt;=($D$17*12))</f>
        <v>0</v>
      </c>
      <c r="AM32" s="217">
        <f>IFERROR(HLOOKUP(AM$30,'Домодедово Парк'!$G$175:$AZ$178,4,0)*'Калькулятор инвестора'!$D$22,0)*(AM29&lt;=($D$17*12))</f>
        <v>0</v>
      </c>
      <c r="AN32" s="217">
        <f>IFERROR(HLOOKUP(AN$30,'Домодедово Парк'!$G$175:$AZ$178,4,0)*'Калькулятор инвестора'!$D$22,0)*(AN29&lt;=($D$17*12))</f>
        <v>124476.45428694786</v>
      </c>
      <c r="AO32" s="217">
        <f>IFERROR(HLOOKUP(AO$30,'Домодедово Парк'!$G$175:$AZ$178,4,0)*'Калькулятор инвестора'!$D$22,0)*(AO29&lt;=($D$17*12))</f>
        <v>0</v>
      </c>
      <c r="AP32" s="217">
        <f>IFERROR(HLOOKUP(AP$30,'Домодедово Парк'!$G$175:$AZ$178,4,0)*'Калькулятор инвестора'!$D$22,0)*(AP29&lt;=($D$17*12))</f>
        <v>0</v>
      </c>
      <c r="AQ32" s="217">
        <f>IFERROR(HLOOKUP(AQ$30,'Домодедово Парк'!$G$175:$AZ$178,4,0)*'Калькулятор инвестора'!$D$22,0)*(AQ29&lt;=($D$17*12))</f>
        <v>126129.69205688305</v>
      </c>
      <c r="AR32" s="217">
        <f>IFERROR(HLOOKUP(AR$30,'Домодедово Парк'!$G$175:$AZ$178,4,0)*'Калькулятор инвестора'!$D$22,0)*(AR29&lt;=($D$17*12))</f>
        <v>0</v>
      </c>
      <c r="AS32" s="217">
        <f>IFERROR(HLOOKUP(AS$30,'Домодедово Парк'!$G$175:$AZ$178,4,0)*'Калькулятор инвестора'!$D$22,0)*(AS29&lt;=($D$17*12))</f>
        <v>0</v>
      </c>
      <c r="AT32" s="217">
        <f>IFERROR(HLOOKUP(AT$30,'Домодедово Парк'!$G$175:$AZ$178,4,0)*'Калькулятор инвестора'!$D$22,0)*(AT29&lt;=($D$17*12))</f>
        <v>126964.67887876483</v>
      </c>
      <c r="AU32" s="217">
        <f>IFERROR(HLOOKUP(AU$30,'Домодедово Парк'!$G$175:$AZ$178,4,0)*'Калькулятор инвестора'!$D$22,0)*(AU29&lt;=($D$17*12))</f>
        <v>0</v>
      </c>
      <c r="AV32" s="217">
        <f>IFERROR(HLOOKUP(AV$30,'Домодедово Парк'!$G$175:$AZ$178,4,0)*'Калькулятор инвестора'!$D$22,0)*(AV29&lt;=($D$17*12))</f>
        <v>0</v>
      </c>
      <c r="AW32" s="217">
        <f>IFERROR(HLOOKUP(AW$30,'Домодедово Парк'!$G$175:$AZ$178,4,0)*'Калькулятор инвестора'!$D$22,0)*(AW29&lt;=($D$17*12))</f>
        <v>123953.75071721611</v>
      </c>
      <c r="AX32" s="217">
        <f>IFERROR(HLOOKUP(AX$30,'Домодедово Парк'!$G$175:$AZ$178,4,0)*'Калькулятор инвестора'!$D$22,0)*(AX29&lt;=($D$17*12))</f>
        <v>0</v>
      </c>
      <c r="AY32" s="217">
        <f>IFERROR(HLOOKUP(AY$30,'Домодедово Парк'!$G$175:$AZ$178,4,0)*'Калькулятор инвестора'!$D$22,0)*(AY29&lt;=($D$17*12))</f>
        <v>0</v>
      </c>
      <c r="AZ32" s="217">
        <f>IFERROR(HLOOKUP(AZ$30,'Домодедово Парк'!$G$175:$AZ$178,4,0)*'Калькулятор инвестора'!$D$22,0)*(AZ29&lt;=($D$17*12))</f>
        <v>133736.84481951737</v>
      </c>
      <c r="BA32" s="217">
        <f>IFERROR(HLOOKUP(BA$30,'Домодедово Парк'!$G$175:$AZ$178,4,0)*'Калькулятор инвестора'!$D$22,0)*(BA29&lt;=($D$17*12))</f>
        <v>0</v>
      </c>
      <c r="BB32" s="217">
        <f>IFERROR(HLOOKUP(BB$30,'Домодедово Парк'!$G$175:$AZ$178,4,0)*'Калькулятор инвестора'!$D$22,0)*(BB29&lt;=($D$17*12))</f>
        <v>0</v>
      </c>
      <c r="BC32" s="217">
        <f>IFERROR(HLOOKUP(BC$30,'Домодедово Парк'!$G$175:$AZ$178,4,0)*'Калькулятор инвестора'!$D$22,0)*(BC29&lt;=($D$17*12))</f>
        <v>135505.17790153602</v>
      </c>
      <c r="BD32" s="217">
        <f>IFERROR(HLOOKUP(BD$30,'Домодедово Парк'!$G$175:$AZ$178,4,0)*'Калькулятор инвестора'!$D$22,0)*(BD29&lt;=($D$17*12))</f>
        <v>0</v>
      </c>
      <c r="BE32" s="217">
        <f>IFERROR(HLOOKUP(BE$30,'Домодедово Парк'!$G$175:$AZ$178,4,0)*'Калькулятор инвестора'!$D$22,0)*(BE29&lt;=($D$17*12))</f>
        <v>0</v>
      </c>
      <c r="BF32" s="217">
        <f>IFERROR(HLOOKUP(BF$30,'Домодедово Парк'!$G$175:$AZ$178,4,0)*'Калькулятор инвестора'!$D$22,0)*(BF29&lt;=($D$17*12))</f>
        <v>136419.98135672879</v>
      </c>
      <c r="BG32" s="217">
        <f>IFERROR(HLOOKUP(BG$30,'Домодедово Парк'!$G$175:$AZ$178,4,0)*'Калькулятор инвестора'!$D$22,0)*(BG29&lt;=($D$17*12))</f>
        <v>0</v>
      </c>
      <c r="BH32" s="217">
        <f>IFERROR(HLOOKUP(BH$30,'Домодедово Парк'!$G$175:$AZ$178,4,0)*'Калькулятор инвестора'!$D$22,0)*(BH29&lt;=($D$17*12))</f>
        <v>0</v>
      </c>
      <c r="BI32" s="217">
        <f>IFERROR(HLOOKUP(BI$30,'Домодедово Парк'!$G$175:$AZ$178,4,0)*'Калькулятор инвестора'!$D$22,0)*(BI29&lt;=($D$17*12))</f>
        <v>133179.30176641996</v>
      </c>
      <c r="BJ32" s="217">
        <f>IFERROR(HLOOKUP(BJ$30,'Домодедово Парк'!$G$175:$AZ$178,4,0)*'Калькулятор инвестора'!$D$22,0)*(BJ29&lt;=($D$17*12))</f>
        <v>0</v>
      </c>
      <c r="BK32" s="217">
        <f>IFERROR(HLOOKUP(BK$30,'Домодедово Парк'!$G$175:$AZ$178,4,0)*'Калькулятор инвестора'!$D$22,0)*(BK29&lt;=($D$17*12))</f>
        <v>0</v>
      </c>
      <c r="BL32" s="217">
        <f>IFERROR(HLOOKUP(BL$30,'Домодедово Парк'!$G$175:$AZ$178,4,0)*'Калькулятор инвестора'!$D$22,0)*(BL29&lt;=($D$17*12))</f>
        <v>143664.88729779571</v>
      </c>
      <c r="BM32" s="217">
        <f>IFERROR(HLOOKUP(BM$30,'Домодедово Парк'!$G$175:$AZ$178,4,0)*'Калькулятор инвестора'!$D$22,0)*(BM29&lt;=($D$17*12))</f>
        <v>0</v>
      </c>
      <c r="BN32" s="217">
        <f>IFERROR(HLOOKUP(BN$30,'Домодедово Парк'!$G$175:$AZ$178,4,0)*'Калькулятор инвестора'!$D$22,0)*(BN29&lt;=($D$17*12))</f>
        <v>0</v>
      </c>
      <c r="BO32" s="217">
        <f>IFERROR(HLOOKUP(BO$30,'Домодедово Парк'!$G$175:$AZ$178,4,0)*'Калькулятор инвестора'!$D$22,0)*(BO29&lt;=($D$17*12))</f>
        <v>145556.34788778654</v>
      </c>
      <c r="BP32" s="217">
        <f>IFERROR(HLOOKUP(BP$30,'Домодедово Парк'!$G$175:$AZ$178,4,0)*'Калькулятор инвестора'!$D$22,0)*(BP29&lt;=($D$17*12))</f>
        <v>0</v>
      </c>
      <c r="BQ32" s="217">
        <f>IFERROR(HLOOKUP(BQ$30,'Домодедово Парк'!$G$175:$AZ$178,4,0)*'Калькулятор инвестора'!$D$22,0)*(BQ29&lt;=($D$17*12))</f>
        <v>0</v>
      </c>
      <c r="BR32" s="217">
        <f>IFERROR(HLOOKUP(BR$30,'Домодедово Парк'!$G$175:$AZ$178,4,0)*'Калькулятор инвестора'!$D$22,0)*(BR29&lt;=($D$17*12))</f>
        <v>146557.40370877407</v>
      </c>
      <c r="BS32" s="217">
        <f>IFERROR(HLOOKUP(BS$30,'Домодедово Парк'!$G$175:$AZ$178,4,0)*'Калькулятор инвестора'!$D$22,0)*(BS29&lt;=($D$17*12))</f>
        <v>0</v>
      </c>
      <c r="BT32" s="217">
        <f>IFERROR(HLOOKUP(BT$30,'Домодедово Парк'!$G$175:$AZ$178,4,0)*'Калькулятор инвестора'!$D$22,0)*(BT29&lt;=($D$17*12))</f>
        <v>0</v>
      </c>
      <c r="BU32" s="217">
        <f>IFERROR(HLOOKUP(BU$30,'Домодедово Парк'!$G$175:$AZ$178,4,0)*'Калькулятор инвестора'!$D$22,0)*(BU29&lt;=($D$17*12))</f>
        <v>143070.228866347</v>
      </c>
      <c r="BV32" s="217">
        <f>IFERROR(HLOOKUP(BV$30,'Домодедово Парк'!$G$175:$AZ$178,4,0)*'Калькулятор инвестора'!$D$22,0)*(BV29&lt;=($D$17*12))</f>
        <v>0</v>
      </c>
      <c r="BW32" s="217">
        <f>IFERROR(HLOOKUP(BW$30,'Домодедово Парк'!$G$175:$AZ$178,4,0)*'Калькулятор инвестора'!$D$22,0)*(BW29&lt;=($D$17*12))</f>
        <v>0</v>
      </c>
      <c r="BX32" s="217">
        <f>IFERROR(HLOOKUP(BX$30,'Домодедово Парк'!$G$175:$AZ$178,4,0)*'Калькулятор инвестора'!$D$22,0)*(BX29&lt;=($D$17*12))</f>
        <v>154308.09040519907</v>
      </c>
      <c r="BY32" s="217">
        <f>IFERROR(HLOOKUP(BY$30,'Домодедово Парк'!$G$175:$AZ$178,4,0)*'Калькулятор инвестора'!$D$22,0)*(BY29&lt;=($D$17*12))</f>
        <v>0</v>
      </c>
      <c r="BZ32" s="217">
        <f>IFERROR(HLOOKUP(BZ$30,'Домодедово Парк'!$G$175:$AZ$178,4,0)*'Калькулятор инвестора'!$D$22,0)*(BZ29&lt;=($D$17*12))</f>
        <v>0</v>
      </c>
      <c r="CA32" s="217">
        <f>IFERROR(HLOOKUP(CA$30,'Домодедово Парк'!$G$175:$AZ$178,4,0)*'Калькулятор инвестора'!$D$22,0)*(CA29&lt;=($D$17*12))</f>
        <v>156331.27190623095</v>
      </c>
      <c r="CB32" s="217">
        <f>IFERROR(HLOOKUP(CB$30,'Домодедово Парк'!$G$175:$AZ$178,4,0)*'Калькулятор инвестора'!$D$22,0)*(CB29&lt;=($D$17*12))</f>
        <v>0</v>
      </c>
      <c r="CC32" s="217">
        <f>IFERROR(HLOOKUP(CC$30,'Домодедово Парк'!$G$175:$AZ$178,4,0)*'Калькулятор инвестора'!$D$22,0)*(CC29&lt;=($D$17*12))</f>
        <v>0</v>
      </c>
      <c r="CD32" s="217">
        <f>IFERROR(HLOOKUP(CD$30,'Домодедово Парк'!$G$175:$AZ$178,4,0)*'Калькулятор инвестора'!$D$22,0)*(CD29&lt;=($D$17*12))</f>
        <v>157425.50325993757</v>
      </c>
      <c r="CE32" s="217">
        <f>IFERROR(HLOOKUP(CE$30,'Домодедово Парк'!$G$175:$AZ$178,4,0)*'Калькулятор инвестора'!$D$22,0)*(CE29&lt;=($D$17*12))</f>
        <v>0</v>
      </c>
      <c r="CF32" s="217">
        <f>IFERROR(HLOOKUP(CF$30,'Домодедово Парк'!$G$175:$AZ$178,4,0)*'Калькулятор инвестора'!$D$22,0)*(CF29&lt;=($D$17*12))</f>
        <v>0</v>
      </c>
      <c r="CG32" s="217">
        <f>IFERROR(HLOOKUP(CG$30,'Домодедово Парк'!$G$175:$AZ$178,4,0)*'Калькулятор инвестора'!$D$22,0)*(CG29&lt;=($D$17*12))</f>
        <v>153673.89141572005</v>
      </c>
      <c r="CH32" s="217">
        <f>IFERROR(HLOOKUP(CH$30,'Домодедово Парк'!$G$175:$AZ$178,4,0)*'Калькулятор инвестора'!$D$22,0)*(CH29&lt;=($D$17*12))</f>
        <v>0</v>
      </c>
      <c r="CI32" s="217">
        <f>IFERROR(HLOOKUP(CI$30,'Домодедово Парк'!$G$175:$AZ$178,4,0)*'Калькулятор инвестора'!$D$22,0)*(CI29&lt;=($D$17*12))</f>
        <v>0</v>
      </c>
      <c r="CJ32" s="217">
        <f>IFERROR(HLOOKUP(CJ$30,'Домодедово Парк'!$G$175:$AZ$178,4,0)*'Калькулятор инвестора'!$D$22,0)*(CJ29&lt;=($D$17*12))</f>
        <v>165717.32213076341</v>
      </c>
      <c r="CK32" s="217">
        <f>IFERROR(HLOOKUP(CK$30,'Домодедово Парк'!$G$175:$AZ$178,4,0)*'Калькулятор инвестора'!$D$22,0)*(CK29&lt;=($D$17*12))</f>
        <v>0</v>
      </c>
      <c r="CL32" s="217">
        <f>IFERROR(HLOOKUP(CL$30,'Домодедово Парк'!$G$175:$AZ$178,4,0)*'Калькулятор инвестора'!$D$22,0)*(CL29&lt;=($D$17*12))</f>
        <v>0</v>
      </c>
      <c r="CM32" s="217">
        <f>IFERROR(HLOOKUP(CM$30,'Домодедово Парк'!$G$175:$AZ$178,4,0)*'Калькулятор инвестора'!$D$22,0)*(CM29&lt;=($D$17*12))</f>
        <v>167881.41838969314</v>
      </c>
      <c r="CN32" s="217">
        <f>IFERROR(HLOOKUP(CN$30,'Домодедово Парк'!$G$175:$AZ$178,4,0)*'Калькулятор инвестора'!$D$22,0)*(CN29&lt;=($D$17*12))</f>
        <v>0</v>
      </c>
      <c r="CO32" s="217">
        <f>IFERROR(HLOOKUP(CO$30,'Домодедово Парк'!$G$175:$AZ$178,4,0)*'Калькулятор инвестора'!$D$22,0)*(CO29&lt;=($D$17*12))</f>
        <v>0</v>
      </c>
      <c r="CP32" s="217">
        <f>IFERROR(HLOOKUP(CP$30,'Домодедово Парк'!$G$175:$AZ$178,4,0)*'Калькулятор инвестора'!$D$22,0)*(CP29&lt;=($D$17*12))</f>
        <v>169076.27170717204</v>
      </c>
      <c r="CQ32" s="217">
        <f>IFERROR(HLOOKUP(CQ$30,'Домодедово Парк'!$G$175:$AZ$178,4,0)*'Калькулятор инвестора'!$D$22,0)*(CQ29&lt;=($D$17*12))</f>
        <v>0</v>
      </c>
      <c r="CR32" s="217">
        <f>IFERROR(HLOOKUP(CR$30,'Домодедово Парк'!$G$175:$AZ$178,4,0)*'Калькулятор инвестора'!$D$22,0)*(CR29&lt;=($D$17*12))</f>
        <v>0</v>
      </c>
      <c r="CS32" s="217">
        <f>IFERROR(HLOOKUP(CS$30,'Домодедово Парк'!$G$175:$AZ$178,4,0)*'Калькулятор инвестора'!$D$22,0)*(CS29&lt;=($D$17*12))</f>
        <v>165040.99821746384</v>
      </c>
      <c r="CT32" s="217">
        <f>IFERROR(HLOOKUP(CT$30,'Домодедово Парк'!$G$175:$AZ$178,4,0)*'Калькулятор инвестора'!$D$22,0)*(CT29&lt;=($D$17*12))</f>
        <v>0</v>
      </c>
      <c r="CU32" s="217">
        <f>IFERROR(HLOOKUP(CU$30,'Домодедово Парк'!$G$175:$AZ$178,4,0)*'Калькулятор инвестора'!$D$22,0)*(CU29&lt;=($D$17*12))</f>
        <v>0</v>
      </c>
      <c r="CV32" s="217">
        <f>IFERROR(HLOOKUP(CV$30,'Домодедово Парк'!$G$175:$AZ$178,4,0)*'Калькулятор инвестора'!$D$22,0)*(CV29&lt;=($D$17*12))</f>
        <v>177947.04648156266</v>
      </c>
      <c r="CW32" s="217">
        <f>IFERROR(HLOOKUP(CW$30,'Домодедово Парк'!$G$175:$AZ$178,4,0)*'Калькулятор инвестора'!$D$22,0)*(CW29&lt;=($D$17*12))</f>
        <v>0</v>
      </c>
      <c r="CX32" s="217">
        <f>IFERROR(HLOOKUP(CX$30,'Домодедово Парк'!$G$175:$AZ$178,4,0)*'Калькулятор инвестора'!$D$22,0)*(CX29&lt;=($D$17*12))</f>
        <v>0</v>
      </c>
      <c r="CY32" s="217">
        <f>IFERROR(HLOOKUP(CY$30,'Домодедово Парк'!$G$175:$AZ$178,4,0)*'Калькулятор инвестора'!$D$22,0)*(CY29&lt;=($D$17*12))</f>
        <v>180261.89376992092</v>
      </c>
      <c r="CZ32" s="217">
        <f>IFERROR(HLOOKUP(CZ$30,'Домодедово Парк'!$G$175:$AZ$178,4,0)*'Калькулятор инвестора'!$D$22,0)*(CZ29&lt;=($D$17*12))</f>
        <v>0</v>
      </c>
      <c r="DA32" s="217">
        <f>IFERROR(HLOOKUP(DA$30,'Домодедово Парк'!$G$175:$AZ$178,4,0)*'Калькулятор инвестора'!$D$22,0)*(DA29&lt;=($D$17*12))</f>
        <v>0</v>
      </c>
      <c r="DB32" s="217">
        <f>IFERROR(HLOOKUP(DB$30,'Домодедово Парк'!$G$175:$AZ$178,4,0)*'Калькулятор инвестора'!$D$22,0)*(DB29&lt;=($D$17*12))</f>
        <v>181565.3771661495</v>
      </c>
      <c r="DC32" s="217">
        <f>IFERROR(HLOOKUP(DC$30,'Домодедово Парк'!$G$175:$AZ$178,4,0)*'Калькулятор инвестора'!$D$22,0)*(DC29&lt;=($D$17*12))</f>
        <v>0</v>
      </c>
      <c r="DD32" s="217">
        <f>IFERROR(HLOOKUP(DD$30,'Домодедово Парк'!$G$175:$AZ$178,4,0)*'Калькулятор инвестора'!$D$22,0)*(DD29&lt;=($D$17*12))</f>
        <v>0</v>
      </c>
      <c r="DE32" s="217">
        <f>IFERROR(HLOOKUP(DE$30,'Домодедово Парк'!$G$175:$AZ$178,4,0)*'Калькулятор инвестора'!$D$22,0)*(DE29&lt;=($D$17*12))</f>
        <v>177225.84352662697</v>
      </c>
      <c r="DF32" s="217">
        <f>IFERROR(HLOOKUP(DF$30,'Домодедово Парк'!$G$175:$AZ$178,4,0)*'Калькулятор инвестора'!$D$22,0)*(DF29&lt;=($D$17*12))</f>
        <v>0</v>
      </c>
      <c r="DG32" s="217">
        <f>IFERROR(HLOOKUP(DG$30,'Домодедово Парк'!$G$175:$AZ$178,4,0)*'Калькулятор инвестора'!$D$22,0)*(DG29&lt;=($D$17*12))</f>
        <v>0</v>
      </c>
      <c r="DH32" s="217">
        <f>IFERROR(HLOOKUP(DH$30,'Домодедово Парк'!$G$175:$AZ$178,4,0)*'Калькулятор инвестора'!$D$22,0)*(DH29&lt;=($D$17*12))</f>
        <v>191055.57683995008</v>
      </c>
      <c r="DI32" s="217">
        <f>IFERROR(HLOOKUP(DI$30,'Домодедово Парк'!$G$175:$AZ$178,4,0)*'Калькулятор инвестора'!$D$22,0)*(DI29&lt;=($D$17*12))</f>
        <v>0</v>
      </c>
      <c r="DJ32" s="217">
        <f>IFERROR(HLOOKUP(DJ$30,'Домодедово Парк'!$G$175:$AZ$178,4,0)*'Калькулятор инвестора'!$D$22,0)*(DJ29&lt;=($D$17*12))</f>
        <v>0</v>
      </c>
      <c r="DK32" s="217">
        <f>IFERROR(HLOOKUP(DK$30,'Домодедово Парк'!$G$175:$AZ$178,4,0)*'Калькулятор инвестора'!$D$22,0)*(DK29&lt;=($D$17*12))</f>
        <v>193531.69877109464</v>
      </c>
      <c r="DL32" s="217">
        <f>IFERROR(HLOOKUP(DL$30,'Домодедово Парк'!$G$175:$AZ$178,4,0)*'Калькулятор инвестора'!$D$22,0)*(DL29&lt;=($D$17*12))</f>
        <v>0</v>
      </c>
      <c r="DM32" s="217">
        <f>IFERROR(HLOOKUP(DM$30,'Домодедово Парк'!$G$175:$AZ$178,4,0)*'Калькулятор инвестора'!$D$22,0)*(DM29&lt;=($D$17*12))</f>
        <v>0</v>
      </c>
      <c r="DN32" s="217">
        <f>IFERROR(HLOOKUP(DN$30,'Домодедово Парк'!$G$175:$AZ$178,4,0)*'Калькулятор инвестора'!$D$22,0)*(DN29&lt;=($D$17*12))</f>
        <v>194952.42324020097</v>
      </c>
      <c r="DO32" s="217">
        <f>IFERROR(HLOOKUP(DO$30,'Домодедово Парк'!$G$175:$AZ$178,4,0)*'Калькулятор инвестора'!$D$22,0)*(DO29&lt;=($D$17*12))</f>
        <v>0</v>
      </c>
      <c r="DP32" s="217">
        <f>IFERROR(HLOOKUP(DP$30,'Домодедово Парк'!$G$175:$AZ$178,4,0)*'Калькулятор инвестора'!$D$22,0)*(DP29&lt;=($D$17*12))</f>
        <v>0</v>
      </c>
      <c r="DQ32" s="217">
        <f>IFERROR(HLOOKUP(DQ$30,'Домодедово Парк'!$G$175:$AZ$178,4,0)*'Калькулятор инвестора'!$D$22,0)*(DQ29&lt;=($D$17*12))</f>
        <v>190286.55969807276</v>
      </c>
      <c r="DR32" s="217">
        <f>IFERROR(HLOOKUP(DR$30,'Домодедово Парк'!$G$175:$AZ$178,4,0)*'Калькулятор инвестора'!$D$22,0)*(DR29&lt;=($D$17*12))</f>
        <v>0</v>
      </c>
    </row>
    <row r="33" spans="1:122" s="216" customFormat="1" ht="18">
      <c r="A33" s="259" t="s">
        <v>253</v>
      </c>
      <c r="B33" s="260">
        <f>-B31+B32</f>
        <v>-5000000</v>
      </c>
      <c r="C33" s="260">
        <f t="shared" ref="C33:AH33" si="6">IF(C$29&lt;=($D$17*12),C32,0) + (C29=$D$17*12)*C31</f>
        <v>0</v>
      </c>
      <c r="D33" s="260">
        <f t="shared" si="6"/>
        <v>0</v>
      </c>
      <c r="E33" s="260">
        <f t="shared" si="6"/>
        <v>0</v>
      </c>
      <c r="F33" s="260">
        <f t="shared" si="6"/>
        <v>0</v>
      </c>
      <c r="G33" s="260">
        <f t="shared" si="6"/>
        <v>0</v>
      </c>
      <c r="H33" s="260">
        <f t="shared" si="6"/>
        <v>0</v>
      </c>
      <c r="I33" s="260">
        <f t="shared" si="6"/>
        <v>0</v>
      </c>
      <c r="J33" s="260">
        <f t="shared" si="6"/>
        <v>0</v>
      </c>
      <c r="K33" s="260">
        <f t="shared" si="6"/>
        <v>0</v>
      </c>
      <c r="L33" s="260">
        <f t="shared" si="6"/>
        <v>0</v>
      </c>
      <c r="M33" s="260">
        <f t="shared" si="6"/>
        <v>0</v>
      </c>
      <c r="N33" s="260">
        <f t="shared" si="6"/>
        <v>0</v>
      </c>
      <c r="O33" s="260">
        <f t="shared" si="6"/>
        <v>0</v>
      </c>
      <c r="P33" s="260">
        <f t="shared" si="6"/>
        <v>87500</v>
      </c>
      <c r="Q33" s="260">
        <f t="shared" si="6"/>
        <v>0</v>
      </c>
      <c r="R33" s="260">
        <f t="shared" si="6"/>
        <v>0</v>
      </c>
      <c r="S33" s="260">
        <f t="shared" si="6"/>
        <v>87500</v>
      </c>
      <c r="T33" s="260">
        <f t="shared" si="6"/>
        <v>0</v>
      </c>
      <c r="U33" s="260">
        <f t="shared" si="6"/>
        <v>0</v>
      </c>
      <c r="V33" s="260">
        <f t="shared" si="6"/>
        <v>87500</v>
      </c>
      <c r="W33" s="260">
        <f t="shared" si="6"/>
        <v>0</v>
      </c>
      <c r="X33" s="260">
        <f t="shared" si="6"/>
        <v>0</v>
      </c>
      <c r="Y33" s="260">
        <f t="shared" si="6"/>
        <v>87500</v>
      </c>
      <c r="Z33" s="260">
        <f t="shared" si="6"/>
        <v>0</v>
      </c>
      <c r="AA33" s="260">
        <f t="shared" si="6"/>
        <v>0</v>
      </c>
      <c r="AB33" s="260">
        <f t="shared" si="6"/>
        <v>107357.37613730509</v>
      </c>
      <c r="AC33" s="260">
        <f t="shared" si="6"/>
        <v>0</v>
      </c>
      <c r="AD33" s="260">
        <f t="shared" si="6"/>
        <v>0</v>
      </c>
      <c r="AE33" s="260">
        <f t="shared" si="6"/>
        <v>114760.19274948144</v>
      </c>
      <c r="AF33" s="260">
        <f t="shared" si="6"/>
        <v>0</v>
      </c>
      <c r="AG33" s="260">
        <f t="shared" si="6"/>
        <v>0</v>
      </c>
      <c r="AH33" s="260">
        <f t="shared" si="6"/>
        <v>118402.1751284302</v>
      </c>
      <c r="AI33" s="260">
        <f t="shared" ref="AI33:BN33" si="7">IF(AI$29&lt;=($D$17*12),AI32,0) + (AI29=$D$17*12)*AI31</f>
        <v>0</v>
      </c>
      <c r="AJ33" s="260">
        <f t="shared" si="7"/>
        <v>0</v>
      </c>
      <c r="AK33" s="260">
        <f t="shared" si="7"/>
        <v>115349.34518676097</v>
      </c>
      <c r="AL33" s="260">
        <f t="shared" si="7"/>
        <v>0</v>
      </c>
      <c r="AM33" s="260">
        <f t="shared" si="7"/>
        <v>0</v>
      </c>
      <c r="AN33" s="260">
        <f t="shared" si="7"/>
        <v>124476.45428694786</v>
      </c>
      <c r="AO33" s="260">
        <f t="shared" si="7"/>
        <v>0</v>
      </c>
      <c r="AP33" s="260">
        <f t="shared" si="7"/>
        <v>0</v>
      </c>
      <c r="AQ33" s="260">
        <f t="shared" si="7"/>
        <v>126129.69205688305</v>
      </c>
      <c r="AR33" s="260">
        <f t="shared" si="7"/>
        <v>0</v>
      </c>
      <c r="AS33" s="260">
        <f t="shared" si="7"/>
        <v>0</v>
      </c>
      <c r="AT33" s="260">
        <f t="shared" si="7"/>
        <v>126964.67887876483</v>
      </c>
      <c r="AU33" s="260">
        <f t="shared" si="7"/>
        <v>0</v>
      </c>
      <c r="AV33" s="260">
        <f t="shared" si="7"/>
        <v>0</v>
      </c>
      <c r="AW33" s="260">
        <f t="shared" si="7"/>
        <v>123953.75071721611</v>
      </c>
      <c r="AX33" s="260">
        <f t="shared" si="7"/>
        <v>0</v>
      </c>
      <c r="AY33" s="260">
        <f t="shared" si="7"/>
        <v>0</v>
      </c>
      <c r="AZ33" s="260">
        <f t="shared" si="7"/>
        <v>133736.84481951737</v>
      </c>
      <c r="BA33" s="260">
        <f t="shared" si="7"/>
        <v>0</v>
      </c>
      <c r="BB33" s="260">
        <f t="shared" si="7"/>
        <v>0</v>
      </c>
      <c r="BC33" s="260">
        <f t="shared" si="7"/>
        <v>135505.17790153602</v>
      </c>
      <c r="BD33" s="260">
        <f t="shared" si="7"/>
        <v>0</v>
      </c>
      <c r="BE33" s="260">
        <f t="shared" si="7"/>
        <v>0</v>
      </c>
      <c r="BF33" s="260">
        <f t="shared" si="7"/>
        <v>136419.98135672879</v>
      </c>
      <c r="BG33" s="260">
        <f t="shared" si="7"/>
        <v>0</v>
      </c>
      <c r="BH33" s="260">
        <f t="shared" si="7"/>
        <v>0</v>
      </c>
      <c r="BI33" s="260">
        <f t="shared" si="7"/>
        <v>133179.30176641996</v>
      </c>
      <c r="BJ33" s="260">
        <f t="shared" si="7"/>
        <v>0</v>
      </c>
      <c r="BK33" s="260">
        <f t="shared" si="7"/>
        <v>0</v>
      </c>
      <c r="BL33" s="260">
        <f t="shared" si="7"/>
        <v>143664.88729779571</v>
      </c>
      <c r="BM33" s="260">
        <f t="shared" si="7"/>
        <v>0</v>
      </c>
      <c r="BN33" s="260">
        <f t="shared" si="7"/>
        <v>0</v>
      </c>
      <c r="BO33" s="260">
        <f t="shared" ref="BO33:CT33" si="8">IF(BO$29&lt;=($D$17*12),BO32,0) + (BO29=$D$17*12)*BO31</f>
        <v>145556.34788778654</v>
      </c>
      <c r="BP33" s="260">
        <f t="shared" si="8"/>
        <v>0</v>
      </c>
      <c r="BQ33" s="260">
        <f t="shared" si="8"/>
        <v>0</v>
      </c>
      <c r="BR33" s="260">
        <f t="shared" si="8"/>
        <v>146557.40370877407</v>
      </c>
      <c r="BS33" s="260">
        <f t="shared" si="8"/>
        <v>0</v>
      </c>
      <c r="BT33" s="260">
        <f t="shared" si="8"/>
        <v>0</v>
      </c>
      <c r="BU33" s="260">
        <f t="shared" si="8"/>
        <v>143070.228866347</v>
      </c>
      <c r="BV33" s="260">
        <f t="shared" si="8"/>
        <v>0</v>
      </c>
      <c r="BW33" s="260">
        <f t="shared" si="8"/>
        <v>0</v>
      </c>
      <c r="BX33" s="260">
        <f t="shared" si="8"/>
        <v>154308.09040519907</v>
      </c>
      <c r="BY33" s="260">
        <f t="shared" si="8"/>
        <v>0</v>
      </c>
      <c r="BZ33" s="260">
        <f t="shared" si="8"/>
        <v>0</v>
      </c>
      <c r="CA33" s="260">
        <f t="shared" si="8"/>
        <v>156331.27190623095</v>
      </c>
      <c r="CB33" s="260">
        <f t="shared" si="8"/>
        <v>0</v>
      </c>
      <c r="CC33" s="260">
        <f t="shared" si="8"/>
        <v>0</v>
      </c>
      <c r="CD33" s="260">
        <f t="shared" si="8"/>
        <v>157425.50325993757</v>
      </c>
      <c r="CE33" s="260">
        <f t="shared" si="8"/>
        <v>0</v>
      </c>
      <c r="CF33" s="260">
        <f t="shared" si="8"/>
        <v>0</v>
      </c>
      <c r="CG33" s="260">
        <f t="shared" si="8"/>
        <v>153673.89141572005</v>
      </c>
      <c r="CH33" s="260">
        <f t="shared" si="8"/>
        <v>0</v>
      </c>
      <c r="CI33" s="260">
        <f t="shared" si="8"/>
        <v>0</v>
      </c>
      <c r="CJ33" s="260">
        <f t="shared" si="8"/>
        <v>165717.32213076341</v>
      </c>
      <c r="CK33" s="260">
        <f t="shared" si="8"/>
        <v>0</v>
      </c>
      <c r="CL33" s="260">
        <f t="shared" si="8"/>
        <v>0</v>
      </c>
      <c r="CM33" s="260">
        <f t="shared" si="8"/>
        <v>167881.41838969314</v>
      </c>
      <c r="CN33" s="260">
        <f t="shared" si="8"/>
        <v>0</v>
      </c>
      <c r="CO33" s="260">
        <f t="shared" si="8"/>
        <v>0</v>
      </c>
      <c r="CP33" s="260">
        <f t="shared" si="8"/>
        <v>169076.27170717204</v>
      </c>
      <c r="CQ33" s="260">
        <f t="shared" si="8"/>
        <v>0</v>
      </c>
      <c r="CR33" s="260">
        <f t="shared" si="8"/>
        <v>0</v>
      </c>
      <c r="CS33" s="260">
        <f t="shared" si="8"/>
        <v>165040.99821746384</v>
      </c>
      <c r="CT33" s="260">
        <f t="shared" si="8"/>
        <v>0</v>
      </c>
      <c r="CU33" s="260">
        <f t="shared" ref="CU33:DR33" si="9">IF(CU$29&lt;=($D$17*12),CU32,0) + (CU29=$D$17*12)*CU31</f>
        <v>0</v>
      </c>
      <c r="CV33" s="260">
        <f t="shared" si="9"/>
        <v>177947.04648156266</v>
      </c>
      <c r="CW33" s="260">
        <f t="shared" si="9"/>
        <v>0</v>
      </c>
      <c r="CX33" s="260">
        <f t="shared" si="9"/>
        <v>0</v>
      </c>
      <c r="CY33" s="260">
        <f t="shared" si="9"/>
        <v>180261.89376992092</v>
      </c>
      <c r="CZ33" s="260">
        <f t="shared" si="9"/>
        <v>0</v>
      </c>
      <c r="DA33" s="260">
        <f t="shared" si="9"/>
        <v>0</v>
      </c>
      <c r="DB33" s="260">
        <f t="shared" si="9"/>
        <v>181565.3771661495</v>
      </c>
      <c r="DC33" s="260">
        <f t="shared" si="9"/>
        <v>0</v>
      </c>
      <c r="DD33" s="260">
        <f t="shared" si="9"/>
        <v>0</v>
      </c>
      <c r="DE33" s="260">
        <f t="shared" si="9"/>
        <v>177225.84352662697</v>
      </c>
      <c r="DF33" s="260">
        <f t="shared" si="9"/>
        <v>0</v>
      </c>
      <c r="DG33" s="260">
        <f t="shared" si="9"/>
        <v>0</v>
      </c>
      <c r="DH33" s="260">
        <f t="shared" si="9"/>
        <v>191055.57683995008</v>
      </c>
      <c r="DI33" s="260">
        <f t="shared" si="9"/>
        <v>0</v>
      </c>
      <c r="DJ33" s="260">
        <f t="shared" si="9"/>
        <v>0</v>
      </c>
      <c r="DK33" s="260">
        <f t="shared" si="9"/>
        <v>193531.69877109464</v>
      </c>
      <c r="DL33" s="260">
        <f t="shared" si="9"/>
        <v>0</v>
      </c>
      <c r="DM33" s="260">
        <f t="shared" si="9"/>
        <v>0</v>
      </c>
      <c r="DN33" s="260">
        <f t="shared" si="9"/>
        <v>194952.42324020097</v>
      </c>
      <c r="DO33" s="260">
        <f t="shared" si="9"/>
        <v>0</v>
      </c>
      <c r="DP33" s="260">
        <f t="shared" si="9"/>
        <v>0</v>
      </c>
      <c r="DQ33" s="260">
        <f t="shared" si="9"/>
        <v>12482889.883161906</v>
      </c>
      <c r="DR33" s="260">
        <f t="shared" si="9"/>
        <v>0</v>
      </c>
    </row>
    <row r="34" spans="1:122" s="223" customFormat="1" ht="18">
      <c r="A34" s="223" t="s">
        <v>254</v>
      </c>
      <c r="B34" s="261"/>
      <c r="C34" s="262" t="str">
        <f>IF(C32/$B$31=0," ",C32/$B$31*4)</f>
        <v xml:space="preserve"> </v>
      </c>
      <c r="D34" s="262" t="str">
        <f>IF(D32/$B$31=0," ",D32/$B$31*4)</f>
        <v xml:space="preserve"> </v>
      </c>
      <c r="E34" s="262" t="str">
        <f>IF(E32/$B$31=0," ",E32/$B$31*4)</f>
        <v xml:space="preserve"> </v>
      </c>
      <c r="F34" s="262" t="str">
        <f t="shared" ref="F34:BN34" si="10">IF(F32/$B$31=0," ",F32/$B$31*4)</f>
        <v xml:space="preserve"> </v>
      </c>
      <c r="G34" s="262" t="str">
        <f>IF(G32/$B$31=0," ",G32/$B$31*4)</f>
        <v xml:space="preserve"> </v>
      </c>
      <c r="H34" s="262" t="str">
        <f t="shared" si="10"/>
        <v xml:space="preserve"> </v>
      </c>
      <c r="I34" s="262" t="str">
        <f>IF(I32/$B$31=0," ",I32/$B$31*4)</f>
        <v xml:space="preserve"> </v>
      </c>
      <c r="J34" s="262" t="str">
        <f>IF(J32/$B$31=0," ",J32/$B$31*4)</f>
        <v xml:space="preserve"> </v>
      </c>
      <c r="K34" s="262" t="str">
        <f t="shared" si="10"/>
        <v xml:space="preserve"> </v>
      </c>
      <c r="L34" s="262" t="str">
        <f t="shared" si="10"/>
        <v xml:space="preserve"> </v>
      </c>
      <c r="M34" s="262" t="str">
        <f t="shared" si="10"/>
        <v xml:space="preserve"> </v>
      </c>
      <c r="N34" s="262" t="str">
        <f t="shared" si="10"/>
        <v xml:space="preserve"> </v>
      </c>
      <c r="O34" s="262" t="str">
        <f t="shared" si="10"/>
        <v xml:space="preserve"> </v>
      </c>
      <c r="P34" s="262">
        <f t="shared" si="10"/>
        <v>7.0000000000000007E-2</v>
      </c>
      <c r="Q34" s="262" t="str">
        <f t="shared" si="10"/>
        <v xml:space="preserve"> </v>
      </c>
      <c r="R34" s="262" t="str">
        <f t="shared" si="10"/>
        <v xml:space="preserve"> </v>
      </c>
      <c r="S34" s="262">
        <f t="shared" si="10"/>
        <v>7.0000000000000007E-2</v>
      </c>
      <c r="T34" s="262" t="str">
        <f t="shared" si="10"/>
        <v xml:space="preserve"> </v>
      </c>
      <c r="U34" s="262" t="str">
        <f t="shared" si="10"/>
        <v xml:space="preserve"> </v>
      </c>
      <c r="V34" s="262">
        <f t="shared" si="10"/>
        <v>7.0000000000000007E-2</v>
      </c>
      <c r="W34" s="262" t="str">
        <f t="shared" si="10"/>
        <v xml:space="preserve"> </v>
      </c>
      <c r="X34" s="262" t="str">
        <f t="shared" si="10"/>
        <v xml:space="preserve"> </v>
      </c>
      <c r="Y34" s="262">
        <f t="shared" si="10"/>
        <v>7.0000000000000007E-2</v>
      </c>
      <c r="Z34" s="262" t="str">
        <f t="shared" si="10"/>
        <v xml:space="preserve"> </v>
      </c>
      <c r="AA34" s="262" t="str">
        <f t="shared" si="10"/>
        <v xml:space="preserve"> </v>
      </c>
      <c r="AB34" s="262">
        <f t="shared" si="10"/>
        <v>8.5885900909844076E-2</v>
      </c>
      <c r="AC34" s="262" t="str">
        <f t="shared" si="10"/>
        <v xml:space="preserve"> </v>
      </c>
      <c r="AD34" s="262" t="str">
        <f t="shared" si="10"/>
        <v xml:space="preserve"> </v>
      </c>
      <c r="AE34" s="262">
        <f t="shared" si="10"/>
        <v>9.1808154199585157E-2</v>
      </c>
      <c r="AF34" s="262" t="str">
        <f t="shared" si="10"/>
        <v xml:space="preserve"> </v>
      </c>
      <c r="AG34" s="262" t="str">
        <f t="shared" si="10"/>
        <v xml:space="preserve"> </v>
      </c>
      <c r="AH34" s="262">
        <f t="shared" si="10"/>
        <v>9.4721740102744159E-2</v>
      </c>
      <c r="AI34" s="262" t="str">
        <f t="shared" si="10"/>
        <v xml:space="preserve"> </v>
      </c>
      <c r="AJ34" s="262" t="str">
        <f t="shared" si="10"/>
        <v xml:space="preserve"> </v>
      </c>
      <c r="AK34" s="262">
        <f t="shared" si="10"/>
        <v>9.2279476149408776E-2</v>
      </c>
      <c r="AL34" s="262" t="str">
        <f t="shared" si="10"/>
        <v xml:space="preserve"> </v>
      </c>
      <c r="AM34" s="262" t="str">
        <f t="shared" si="10"/>
        <v xml:space="preserve"> </v>
      </c>
      <c r="AN34" s="262">
        <f t="shared" si="10"/>
        <v>9.9581163429558292E-2</v>
      </c>
      <c r="AO34" s="262" t="str">
        <f t="shared" si="10"/>
        <v xml:space="preserve"> </v>
      </c>
      <c r="AP34" s="262" t="str">
        <f t="shared" si="10"/>
        <v xml:space="preserve"> </v>
      </c>
      <c r="AQ34" s="262">
        <f t="shared" si="10"/>
        <v>0.10090375364550644</v>
      </c>
      <c r="AR34" s="262" t="str">
        <f t="shared" si="10"/>
        <v xml:space="preserve"> </v>
      </c>
      <c r="AS34" s="262" t="str">
        <f t="shared" si="10"/>
        <v xml:space="preserve"> </v>
      </c>
      <c r="AT34" s="262">
        <f t="shared" si="10"/>
        <v>0.10157174310301186</v>
      </c>
      <c r="AU34" s="262" t="str">
        <f t="shared" si="10"/>
        <v xml:space="preserve"> </v>
      </c>
      <c r="AV34" s="262" t="str">
        <f t="shared" si="10"/>
        <v xml:space="preserve"> </v>
      </c>
      <c r="AW34" s="262">
        <f t="shared" si="10"/>
        <v>9.9163000573772891E-2</v>
      </c>
      <c r="AX34" s="262" t="str">
        <f t="shared" si="10"/>
        <v xml:space="preserve"> </v>
      </c>
      <c r="AY34" s="262" t="str">
        <f t="shared" si="10"/>
        <v xml:space="preserve"> </v>
      </c>
      <c r="AZ34" s="262">
        <f t="shared" si="10"/>
        <v>0.1069894758556139</v>
      </c>
      <c r="BA34" s="262" t="str">
        <f t="shared" si="10"/>
        <v xml:space="preserve"> </v>
      </c>
      <c r="BB34" s="262" t="str">
        <f t="shared" si="10"/>
        <v xml:space="preserve"> </v>
      </c>
      <c r="BC34" s="262">
        <f t="shared" si="10"/>
        <v>0.10840414232122882</v>
      </c>
      <c r="BD34" s="262" t="str">
        <f t="shared" si="10"/>
        <v xml:space="preserve"> </v>
      </c>
      <c r="BE34" s="262" t="str">
        <f t="shared" si="10"/>
        <v xml:space="preserve"> </v>
      </c>
      <c r="BF34" s="262">
        <f t="shared" si="10"/>
        <v>0.10913598508538304</v>
      </c>
      <c r="BG34" s="262" t="str">
        <f t="shared" si="10"/>
        <v xml:space="preserve"> </v>
      </c>
      <c r="BH34" s="262" t="str">
        <f t="shared" si="10"/>
        <v xml:space="preserve"> </v>
      </c>
      <c r="BI34" s="262">
        <f t="shared" si="10"/>
        <v>0.10654344141313597</v>
      </c>
      <c r="BJ34" s="262" t="str">
        <f t="shared" si="10"/>
        <v xml:space="preserve"> </v>
      </c>
      <c r="BK34" s="262" t="str">
        <f t="shared" si="10"/>
        <v xml:space="preserve"> </v>
      </c>
      <c r="BL34" s="262">
        <f t="shared" si="10"/>
        <v>0.11493190983823656</v>
      </c>
      <c r="BM34" s="262" t="str">
        <f t="shared" si="10"/>
        <v xml:space="preserve"> </v>
      </c>
      <c r="BN34" s="262" t="str">
        <f t="shared" si="10"/>
        <v xml:space="preserve"> </v>
      </c>
      <c r="BO34" s="262">
        <f t="shared" ref="BO34:DQ34" si="11">IF(BO32/$B$31=0," ",BO32/$B$31*4)</f>
        <v>0.11644507831022924</v>
      </c>
      <c r="BP34" s="262" t="str">
        <f t="shared" si="11"/>
        <v xml:space="preserve"> </v>
      </c>
      <c r="BQ34" s="262" t="str">
        <f t="shared" si="11"/>
        <v xml:space="preserve"> </v>
      </c>
      <c r="BR34" s="262">
        <f t="shared" si="11"/>
        <v>0.11724592296701926</v>
      </c>
      <c r="BS34" s="262" t="str">
        <f t="shared" si="11"/>
        <v xml:space="preserve"> </v>
      </c>
      <c r="BT34" s="262" t="str">
        <f t="shared" si="11"/>
        <v xml:space="preserve"> </v>
      </c>
      <c r="BU34" s="262">
        <f t="shared" si="11"/>
        <v>0.11445618309307759</v>
      </c>
      <c r="BV34" s="262" t="str">
        <f t="shared" si="11"/>
        <v xml:space="preserve"> </v>
      </c>
      <c r="BW34" s="262" t="str">
        <f t="shared" si="11"/>
        <v xml:space="preserve"> </v>
      </c>
      <c r="BX34" s="262">
        <f t="shared" si="11"/>
        <v>0.12344647232415926</v>
      </c>
      <c r="BY34" s="262" t="str">
        <f t="shared" si="11"/>
        <v xml:space="preserve"> </v>
      </c>
      <c r="BZ34" s="262" t="str">
        <f t="shared" si="11"/>
        <v xml:space="preserve"> </v>
      </c>
      <c r="CA34" s="262">
        <f t="shared" si="11"/>
        <v>0.12506501752498475</v>
      </c>
      <c r="CB34" s="262" t="str">
        <f t="shared" si="11"/>
        <v xml:space="preserve"> </v>
      </c>
      <c r="CC34" s="262" t="str">
        <f t="shared" si="11"/>
        <v xml:space="preserve"> </v>
      </c>
      <c r="CD34" s="262">
        <f t="shared" si="11"/>
        <v>0.12594040260795006</v>
      </c>
      <c r="CE34" s="262" t="str">
        <f t="shared" si="11"/>
        <v xml:space="preserve"> </v>
      </c>
      <c r="CF34" s="262" t="str">
        <f t="shared" si="11"/>
        <v xml:space="preserve"> </v>
      </c>
      <c r="CG34" s="262">
        <f t="shared" si="11"/>
        <v>0.12293911313257604</v>
      </c>
      <c r="CH34" s="262" t="str">
        <f t="shared" si="11"/>
        <v xml:space="preserve"> </v>
      </c>
      <c r="CI34" s="262" t="str">
        <f t="shared" si="11"/>
        <v xml:space="preserve"> </v>
      </c>
      <c r="CJ34" s="262">
        <f t="shared" si="11"/>
        <v>0.13257385770461072</v>
      </c>
      <c r="CK34" s="262" t="str">
        <f t="shared" si="11"/>
        <v xml:space="preserve"> </v>
      </c>
      <c r="CL34" s="262" t="str">
        <f t="shared" si="11"/>
        <v xml:space="preserve"> </v>
      </c>
      <c r="CM34" s="262">
        <f t="shared" si="11"/>
        <v>0.13430513471175451</v>
      </c>
      <c r="CN34" s="262" t="str">
        <f t="shared" si="11"/>
        <v xml:space="preserve"> </v>
      </c>
      <c r="CO34" s="262" t="str">
        <f t="shared" si="11"/>
        <v xml:space="preserve"> </v>
      </c>
      <c r="CP34" s="262">
        <f t="shared" si="11"/>
        <v>0.13526101736573765</v>
      </c>
      <c r="CQ34" s="262" t="str">
        <f t="shared" si="11"/>
        <v xml:space="preserve"> </v>
      </c>
      <c r="CR34" s="262" t="str">
        <f t="shared" si="11"/>
        <v xml:space="preserve"> </v>
      </c>
      <c r="CS34" s="262">
        <f t="shared" si="11"/>
        <v>0.13203279857397107</v>
      </c>
      <c r="CT34" s="262" t="str">
        <f t="shared" si="11"/>
        <v xml:space="preserve"> </v>
      </c>
      <c r="CU34" s="262" t="str">
        <f t="shared" si="11"/>
        <v xml:space="preserve"> </v>
      </c>
      <c r="CV34" s="262">
        <f t="shared" si="11"/>
        <v>0.14235763718525013</v>
      </c>
      <c r="CW34" s="262" t="str">
        <f t="shared" si="11"/>
        <v xml:space="preserve"> </v>
      </c>
      <c r="CX34" s="262" t="str">
        <f t="shared" si="11"/>
        <v xml:space="preserve"> </v>
      </c>
      <c r="CY34" s="262">
        <f t="shared" si="11"/>
        <v>0.14420951501593673</v>
      </c>
      <c r="CZ34" s="262" t="str">
        <f t="shared" si="11"/>
        <v xml:space="preserve"> </v>
      </c>
      <c r="DA34" s="262" t="str">
        <f t="shared" si="11"/>
        <v xml:space="preserve"> </v>
      </c>
      <c r="DB34" s="262">
        <f t="shared" si="11"/>
        <v>0.14525230173291959</v>
      </c>
      <c r="DC34" s="262" t="str">
        <f t="shared" si="11"/>
        <v xml:space="preserve"> </v>
      </c>
      <c r="DD34" s="262" t="str">
        <f t="shared" si="11"/>
        <v xml:space="preserve"> </v>
      </c>
      <c r="DE34" s="262">
        <f t="shared" si="11"/>
        <v>0.14178067482130158</v>
      </c>
      <c r="DF34" s="262" t="str">
        <f t="shared" si="11"/>
        <v xml:space="preserve"> </v>
      </c>
      <c r="DG34" s="262" t="str">
        <f t="shared" si="11"/>
        <v xml:space="preserve"> </v>
      </c>
      <c r="DH34" s="262">
        <f t="shared" si="11"/>
        <v>0.15284446147196007</v>
      </c>
      <c r="DI34" s="262" t="str">
        <f t="shared" si="11"/>
        <v xml:space="preserve"> </v>
      </c>
      <c r="DJ34" s="262" t="str">
        <f t="shared" si="11"/>
        <v xml:space="preserve"> </v>
      </c>
      <c r="DK34" s="262">
        <f t="shared" si="11"/>
        <v>0.15482535901687572</v>
      </c>
      <c r="DL34" s="262" t="str">
        <f t="shared" si="11"/>
        <v xml:space="preserve"> </v>
      </c>
      <c r="DM34" s="262" t="str">
        <f t="shared" si="11"/>
        <v xml:space="preserve"> </v>
      </c>
      <c r="DN34" s="262">
        <f t="shared" si="11"/>
        <v>0.15596193859216076</v>
      </c>
      <c r="DO34" s="262" t="str">
        <f t="shared" si="11"/>
        <v xml:space="preserve"> </v>
      </c>
      <c r="DP34" s="262" t="str">
        <f t="shared" si="11"/>
        <v xml:space="preserve"> </v>
      </c>
      <c r="DQ34" s="262">
        <f t="shared" si="11"/>
        <v>0.1522292477584582</v>
      </c>
      <c r="DR34" s="262" t="str">
        <f>IF(DR32/$B$31=0," ",DR32/$B$31*4)</f>
        <v xml:space="preserve"> </v>
      </c>
    </row>
    <row r="35" spans="1:122" s="215" customFormat="1" ht="18">
      <c r="B35" s="263"/>
      <c r="C35" s="263">
        <v>1</v>
      </c>
      <c r="D35" s="263">
        <v>2</v>
      </c>
      <c r="E35" s="263">
        <f>D35+1</f>
        <v>3</v>
      </c>
      <c r="F35" s="263">
        <f t="shared" ref="F35:L35" si="12">E35+1</f>
        <v>4</v>
      </c>
      <c r="G35" s="263">
        <f t="shared" si="12"/>
        <v>5</v>
      </c>
      <c r="H35" s="263">
        <f t="shared" si="12"/>
        <v>6</v>
      </c>
      <c r="I35" s="263">
        <f t="shared" si="12"/>
        <v>7</v>
      </c>
      <c r="J35" s="263">
        <f t="shared" si="12"/>
        <v>8</v>
      </c>
      <c r="K35" s="263">
        <f t="shared" si="12"/>
        <v>9</v>
      </c>
      <c r="L35" s="263">
        <f t="shared" si="12"/>
        <v>10</v>
      </c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</row>
    <row r="36" spans="1:122" s="215" customFormat="1" ht="18">
      <c r="A36" s="253" t="s">
        <v>255</v>
      </c>
      <c r="B36" s="254" t="s">
        <v>255</v>
      </c>
      <c r="C36" s="264">
        <f>EOMONTH(B30,12)</f>
        <v>46234</v>
      </c>
      <c r="D36" s="264">
        <f>EOMONTH(C36,12)</f>
        <v>46599</v>
      </c>
      <c r="E36" s="264">
        <f t="shared" ref="E36:L36" si="13">EOMONTH(D36,12)</f>
        <v>46965</v>
      </c>
      <c r="F36" s="264">
        <f t="shared" si="13"/>
        <v>47330</v>
      </c>
      <c r="G36" s="264">
        <f t="shared" si="13"/>
        <v>47695</v>
      </c>
      <c r="H36" s="264">
        <f t="shared" si="13"/>
        <v>48060</v>
      </c>
      <c r="I36" s="264">
        <f t="shared" si="13"/>
        <v>48426</v>
      </c>
      <c r="J36" s="264">
        <f t="shared" si="13"/>
        <v>48791</v>
      </c>
      <c r="K36" s="264">
        <f t="shared" si="13"/>
        <v>49156</v>
      </c>
      <c r="L36" s="264">
        <f t="shared" si="13"/>
        <v>49521</v>
      </c>
    </row>
    <row r="37" spans="1:122" s="215" customFormat="1" ht="18">
      <c r="A37" s="253" t="s">
        <v>16</v>
      </c>
      <c r="B37" s="254" t="s">
        <v>16</v>
      </c>
      <c r="C37" s="254">
        <v>12</v>
      </c>
      <c r="D37" s="254">
        <f>C37+12</f>
        <v>24</v>
      </c>
      <c r="E37" s="254">
        <f t="shared" ref="E37:L37" si="14">D37+12</f>
        <v>36</v>
      </c>
      <c r="F37" s="254">
        <f t="shared" si="14"/>
        <v>48</v>
      </c>
      <c r="G37" s="254">
        <f t="shared" si="14"/>
        <v>60</v>
      </c>
      <c r="H37" s="254">
        <f t="shared" si="14"/>
        <v>72</v>
      </c>
      <c r="I37" s="254">
        <f t="shared" si="14"/>
        <v>84</v>
      </c>
      <c r="J37" s="254">
        <f t="shared" si="14"/>
        <v>96</v>
      </c>
      <c r="K37" s="254">
        <f t="shared" si="14"/>
        <v>108</v>
      </c>
      <c r="L37" s="254">
        <f t="shared" si="14"/>
        <v>120</v>
      </c>
      <c r="DR37" s="265"/>
    </row>
    <row r="38" spans="1:122" s="215" customFormat="1" ht="18">
      <c r="A38" s="256" t="s">
        <v>251</v>
      </c>
      <c r="B38" s="266" t="s">
        <v>256</v>
      </c>
      <c r="C38" s="266" t="s">
        <v>186</v>
      </c>
      <c r="D38" s="266" t="s">
        <v>187</v>
      </c>
      <c r="E38" s="266" t="s">
        <v>257</v>
      </c>
      <c r="F38" s="266" t="s">
        <v>258</v>
      </c>
      <c r="G38" s="266" t="s">
        <v>259</v>
      </c>
      <c r="H38" s="266" t="s">
        <v>260</v>
      </c>
      <c r="I38" s="266" t="s">
        <v>261</v>
      </c>
      <c r="J38" s="266" t="s">
        <v>193</v>
      </c>
      <c r="K38" s="266" t="s">
        <v>262</v>
      </c>
      <c r="L38" s="266" t="s">
        <v>195</v>
      </c>
    </row>
    <row r="39" spans="1:122" s="215" customFormat="1" ht="18">
      <c r="A39" s="216" t="str">
        <f>A31</f>
        <v xml:space="preserve">Стоимость доли </v>
      </c>
      <c r="B39" s="220">
        <f>B31/1000</f>
        <v>5000</v>
      </c>
      <c r="C39" s="220">
        <f>HLOOKUP(C$37,$B$29:$DR$31,3,FALSE)/1000</f>
        <v>6000</v>
      </c>
      <c r="D39" s="220">
        <f t="shared" ref="D39:L39" si="15">HLOOKUP(D$37,$B$29:$DR$31,3,FALSE)/1000</f>
        <v>6825</v>
      </c>
      <c r="E39" s="220">
        <f t="shared" si="15"/>
        <v>7487.9410223167879</v>
      </c>
      <c r="F39" s="220">
        <f t="shared" si="15"/>
        <v>8040.1427006748236</v>
      </c>
      <c r="G39" s="220">
        <f t="shared" si="15"/>
        <v>8632.0282081828173</v>
      </c>
      <c r="H39" s="220">
        <f t="shared" si="15"/>
        <v>9266.4154116383288</v>
      </c>
      <c r="I39" s="220">
        <f t="shared" si="15"/>
        <v>9946.3211412819419</v>
      </c>
      <c r="J39" s="220">
        <f t="shared" si="15"/>
        <v>10674.975196697367</v>
      </c>
      <c r="K39" s="220">
        <f t="shared" si="15"/>
        <v>11455.835336868044</v>
      </c>
      <c r="L39" s="220">
        <f t="shared" si="15"/>
        <v>12292.603323463833</v>
      </c>
    </row>
    <row r="40" spans="1:122" s="215" customFormat="1" ht="18">
      <c r="A40" s="216" t="s">
        <v>79</v>
      </c>
      <c r="B40" s="220">
        <f>B32</f>
        <v>0</v>
      </c>
      <c r="C40" s="267">
        <f>SUMIF($C$28:$DR$28,C$35,$C$32:$DR$32)/1000</f>
        <v>0</v>
      </c>
      <c r="D40" s="267">
        <f t="shared" ref="D40:L40" si="16">SUMIF($C$28:$DR$28,D$35,$C$32:$DR$32)/1000</f>
        <v>350</v>
      </c>
      <c r="E40" s="267">
        <f t="shared" si="16"/>
        <v>455.86908920197772</v>
      </c>
      <c r="F40" s="267">
        <f t="shared" si="16"/>
        <v>501.52457593981183</v>
      </c>
      <c r="G40" s="267">
        <f t="shared" si="16"/>
        <v>538.84130584420222</v>
      </c>
      <c r="H40" s="267">
        <f t="shared" si="16"/>
        <v>578.84886776070334</v>
      </c>
      <c r="I40" s="267">
        <f t="shared" si="16"/>
        <v>621.73875698708764</v>
      </c>
      <c r="J40" s="267">
        <f t="shared" si="16"/>
        <v>667.71601044509248</v>
      </c>
      <c r="K40" s="267">
        <f t="shared" si="16"/>
        <v>717.00016094425996</v>
      </c>
      <c r="L40" s="267">
        <f t="shared" si="16"/>
        <v>769.82625854931837</v>
      </c>
      <c r="M40" s="268"/>
      <c r="N40" s="268"/>
      <c r="O40" s="269"/>
    </row>
    <row r="41" spans="1:122" s="215" customFormat="1" ht="18">
      <c r="A41" s="216"/>
      <c r="B41" s="220"/>
      <c r="C41" s="220"/>
      <c r="D41" s="270"/>
      <c r="E41" s="270"/>
      <c r="F41" s="270"/>
      <c r="G41" s="270"/>
      <c r="H41" s="270"/>
      <c r="I41" s="270"/>
      <c r="J41" s="270"/>
      <c r="K41" s="270"/>
      <c r="L41" s="270"/>
      <c r="M41" s="268"/>
      <c r="N41" s="268"/>
    </row>
    <row r="42" spans="1:122" s="215" customFormat="1" ht="18">
      <c r="A42" s="216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</row>
    <row r="43" spans="1:122" s="215" customFormat="1" ht="18">
      <c r="A43" s="216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</row>
    <row r="44" spans="1:122" s="215" customFormat="1" ht="18">
      <c r="A44" s="216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</row>
    <row r="45" spans="1:122" s="215" customFormat="1" ht="18">
      <c r="A45" s="216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</row>
    <row r="46" spans="1:122" s="215" customFormat="1" ht="18">
      <c r="A46" s="216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</row>
    <row r="47" spans="1:122" s="215" customFormat="1" ht="18">
      <c r="A47" s="216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</row>
    <row r="48" spans="1:122" s="215" customFormat="1" ht="18">
      <c r="A48" s="216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</row>
    <row r="49" spans="1:14" s="215" customFormat="1" ht="18">
      <c r="A49" s="216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</row>
    <row r="50" spans="1:14" s="215" customFormat="1" ht="18">
      <c r="A50" s="216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</row>
    <row r="51" spans="1:14" s="215" customFormat="1" ht="18">
      <c r="A51" s="216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</row>
    <row r="52" spans="1:14" s="215" customFormat="1" ht="18">
      <c r="A52" s="216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</row>
    <row r="53" spans="1:14" s="215" customFormat="1" ht="18">
      <c r="A53" s="216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</row>
    <row r="54" spans="1:14" s="215" customFormat="1" ht="18">
      <c r="A54" s="216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</row>
    <row r="55" spans="1:14" s="215" customFormat="1" ht="18">
      <c r="A55" s="216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</row>
    <row r="56" spans="1:14" s="215" customFormat="1" ht="18">
      <c r="A56" s="216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</row>
    <row r="57" spans="1:14" s="215" customFormat="1" ht="18">
      <c r="A57" s="216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</row>
    <row r="58" spans="1:14" s="215" customFormat="1" ht="18">
      <c r="A58" s="216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</row>
    <row r="59" spans="1:14" s="215" customFormat="1" ht="18">
      <c r="A59" s="216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</row>
    <row r="60" spans="1:14" s="215" customFormat="1" ht="18">
      <c r="A60" s="216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</row>
    <row r="61" spans="1:14" s="215" customFormat="1" ht="18">
      <c r="A61" s="216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</row>
    <row r="62" spans="1:14" s="215" customFormat="1" ht="18">
      <c r="A62" s="216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</row>
    <row r="63" spans="1:14" s="215" customFormat="1" ht="18">
      <c r="A63" s="216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</row>
    <row r="64" spans="1:14" s="215" customFormat="1" ht="18">
      <c r="A64" s="216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</row>
    <row r="65" spans="1:14" s="215" customFormat="1" ht="18">
      <c r="A65" s="216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</row>
    <row r="66" spans="1:14" s="215" customFormat="1" ht="18">
      <c r="A66" s="216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</row>
    <row r="67" spans="1:14" s="215" customFormat="1" ht="18">
      <c r="A67" s="216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</row>
    <row r="68" spans="1:14" s="215" customFormat="1" ht="18">
      <c r="A68" s="216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</row>
    <row r="69" spans="1:14" s="215" customFormat="1" ht="18">
      <c r="A69" s="216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</row>
    <row r="70" spans="1:14" s="215" customFormat="1" ht="18">
      <c r="A70" s="216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</row>
    <row r="71" spans="1:14" s="215" customFormat="1" ht="18">
      <c r="A71" s="216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</row>
    <row r="72" spans="1:14" s="215" customFormat="1" ht="18">
      <c r="A72" s="216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</row>
    <row r="73" spans="1:14" s="215" customFormat="1" ht="18">
      <c r="A73" s="216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</row>
    <row r="74" spans="1:14" s="215" customFormat="1" ht="18">
      <c r="A74" s="216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</row>
    <row r="75" spans="1:14" s="215" customFormat="1" ht="18">
      <c r="A75" s="216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</row>
    <row r="76" spans="1:14" s="215" customFormat="1" ht="18">
      <c r="A76" s="216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</row>
    <row r="77" spans="1:14" s="215" customFormat="1" ht="18">
      <c r="A77" s="216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</row>
    <row r="78" spans="1:14" s="215" customFormat="1" ht="18">
      <c r="A78" s="216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</row>
    <row r="79" spans="1:14" s="215" customFormat="1" ht="18">
      <c r="A79" s="216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</row>
    <row r="80" spans="1:14" s="215" customFormat="1" ht="18">
      <c r="A80" s="216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</row>
    <row r="81" spans="1:18" s="215" customFormat="1" ht="18">
      <c r="A81" s="216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</row>
    <row r="82" spans="1:18" s="215" customFormat="1" ht="18">
      <c r="A82" s="216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</row>
    <row r="83" spans="1:18" s="215" customFormat="1" ht="18">
      <c r="A83" s="216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</row>
    <row r="84" spans="1:18" s="215" customFormat="1" ht="18">
      <c r="A84" s="216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</row>
    <row r="85" spans="1:18" s="215" customFormat="1" ht="29" customHeight="1">
      <c r="A85" s="216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2"/>
      <c r="O85" s="273"/>
      <c r="P85" s="273"/>
      <c r="Q85" s="273"/>
      <c r="R85" s="273"/>
    </row>
    <row r="86" spans="1:18" s="215" customFormat="1" ht="18">
      <c r="A86" s="216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2"/>
      <c r="O86" s="273"/>
      <c r="P86" s="273"/>
      <c r="Q86" s="273"/>
      <c r="R86" s="273"/>
    </row>
    <row r="87" spans="1:18" s="215" customFormat="1" ht="18">
      <c r="A87" s="216"/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2"/>
      <c r="O87" s="273"/>
      <c r="P87" s="273"/>
      <c r="Q87" s="273"/>
      <c r="R87" s="273"/>
    </row>
    <row r="88" spans="1:18" s="215" customFormat="1" ht="18">
      <c r="A88" s="216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4"/>
      <c r="P88" s="274"/>
      <c r="Q88" s="273"/>
      <c r="R88" s="273"/>
    </row>
    <row r="89" spans="1:18" s="215" customFormat="1" ht="18">
      <c r="A89" s="216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20"/>
      <c r="O89" s="274"/>
      <c r="P89" s="274"/>
      <c r="Q89" s="273"/>
      <c r="R89" s="273"/>
    </row>
    <row r="90" spans="1:18" s="215" customFormat="1" ht="18">
      <c r="A90" s="216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20"/>
      <c r="O90" s="274"/>
      <c r="P90" s="274"/>
      <c r="Q90" s="273"/>
      <c r="R90" s="273"/>
    </row>
    <row r="91" spans="1:18" s="215" customFormat="1" ht="18">
      <c r="A91" s="216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20"/>
      <c r="O91" s="274"/>
      <c r="P91" s="274"/>
      <c r="Q91" s="273"/>
      <c r="R91" s="273"/>
    </row>
    <row r="92" spans="1:18" s="215" customFormat="1" ht="18">
      <c r="A92" s="216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20"/>
      <c r="O92" s="274"/>
      <c r="P92" s="274"/>
      <c r="Q92" s="273"/>
      <c r="R92" s="273"/>
    </row>
    <row r="93" spans="1:18" s="215" customFormat="1" ht="18">
      <c r="A93" s="216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20"/>
      <c r="O93" s="274"/>
      <c r="P93" s="274"/>
      <c r="Q93" s="273"/>
      <c r="R93" s="273"/>
    </row>
    <row r="94" spans="1:18" s="215" customFormat="1" ht="18">
      <c r="A94" s="216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20"/>
      <c r="O94" s="274"/>
      <c r="P94" s="274"/>
      <c r="Q94" s="273"/>
      <c r="R94" s="273"/>
    </row>
    <row r="95" spans="1:18" s="215" customFormat="1" ht="18">
      <c r="B95" s="275"/>
      <c r="C95" s="251" t="s">
        <v>256</v>
      </c>
      <c r="D95" s="251" t="s">
        <v>52</v>
      </c>
      <c r="E95" s="251" t="s">
        <v>53</v>
      </c>
      <c r="F95" s="251" t="s">
        <v>54</v>
      </c>
      <c r="G95" s="251" t="s">
        <v>263</v>
      </c>
      <c r="H95" s="251" t="s">
        <v>55</v>
      </c>
      <c r="I95" s="251" t="s">
        <v>56</v>
      </c>
      <c r="J95" s="251" t="s">
        <v>57</v>
      </c>
      <c r="K95" s="251" t="s">
        <v>58</v>
      </c>
      <c r="L95" s="251" t="s">
        <v>59</v>
      </c>
      <c r="M95" s="251" t="s">
        <v>60</v>
      </c>
      <c r="N95" s="217"/>
      <c r="O95" s="274"/>
      <c r="P95" s="274"/>
      <c r="Q95" s="273"/>
      <c r="R95" s="273"/>
    </row>
    <row r="96" spans="1:18" s="215" customFormat="1" ht="18">
      <c r="B96" s="275" t="s">
        <v>28</v>
      </c>
      <c r="C96" s="251">
        <v>0</v>
      </c>
      <c r="D96" s="251" t="e">
        <f>#REF!/10^3</f>
        <v>#REF!</v>
      </c>
      <c r="E96" s="251" t="e">
        <f>#REF!/10^3</f>
        <v>#REF!</v>
      </c>
      <c r="F96" s="251" t="e">
        <f>#REF!/10^3</f>
        <v>#REF!</v>
      </c>
      <c r="G96" s="251" t="e">
        <f>#REF!/10^3</f>
        <v>#REF!</v>
      </c>
      <c r="H96" s="251" t="e">
        <f>#REF!/10^3</f>
        <v>#REF!</v>
      </c>
      <c r="I96" s="251" t="e">
        <f>#REF!/10^3</f>
        <v>#REF!</v>
      </c>
      <c r="J96" s="251" t="e">
        <f>#REF!/10^3</f>
        <v>#REF!</v>
      </c>
      <c r="K96" s="251" t="e">
        <f>#REF!/10^3</f>
        <v>#REF!</v>
      </c>
      <c r="L96" s="251" t="e">
        <f>#REF!/10^3</f>
        <v>#REF!</v>
      </c>
      <c r="M96" s="251" t="e">
        <f>#REF!/10^3</f>
        <v>#REF!</v>
      </c>
      <c r="N96" s="217"/>
      <c r="O96" s="274"/>
      <c r="P96" s="274"/>
      <c r="Q96" s="273"/>
      <c r="R96" s="273"/>
    </row>
    <row r="97" spans="2:18" s="215" customFormat="1" ht="18">
      <c r="B97" s="275" t="s">
        <v>264</v>
      </c>
      <c r="C97" s="251">
        <f>D19/10^3</f>
        <v>5000</v>
      </c>
      <c r="D97" s="251" t="e">
        <f>#REF!/10^3</f>
        <v>#REF!</v>
      </c>
      <c r="E97" s="251" t="e">
        <f>#REF!/10^3</f>
        <v>#REF!</v>
      </c>
      <c r="F97" s="251" t="e">
        <f>#REF!/10^3</f>
        <v>#REF!</v>
      </c>
      <c r="G97" s="251" t="e">
        <f>#REF!/10^3</f>
        <v>#REF!</v>
      </c>
      <c r="H97" s="251" t="e">
        <f>#REF!/10^3</f>
        <v>#REF!</v>
      </c>
      <c r="I97" s="251" t="e">
        <f>#REF!/10^3</f>
        <v>#REF!</v>
      </c>
      <c r="J97" s="251" t="e">
        <f>#REF!/10^3</f>
        <v>#REF!</v>
      </c>
      <c r="K97" s="251" t="e">
        <f>#REF!/10^3</f>
        <v>#REF!</v>
      </c>
      <c r="L97" s="251" t="e">
        <f>#REF!/10^3</f>
        <v>#REF!</v>
      </c>
      <c r="M97" s="251" t="e">
        <f>#REF!/10^3</f>
        <v>#REF!</v>
      </c>
      <c r="N97" s="217"/>
      <c r="O97" s="274"/>
      <c r="P97" s="274"/>
      <c r="Q97" s="273"/>
      <c r="R97" s="273"/>
    </row>
    <row r="98" spans="2:18" s="215" customFormat="1" ht="18">
      <c r="B98" s="275"/>
      <c r="C98" s="251"/>
      <c r="D98" s="251"/>
      <c r="E98" s="251"/>
      <c r="F98" s="251"/>
      <c r="G98" s="251"/>
      <c r="H98" s="251"/>
      <c r="I98" s="251"/>
      <c r="J98" s="274"/>
      <c r="K98" s="274"/>
      <c r="L98" s="274"/>
      <c r="M98" s="274"/>
      <c r="O98" s="274"/>
      <c r="P98" s="274"/>
      <c r="Q98" s="273"/>
      <c r="R98" s="273"/>
    </row>
    <row r="99" spans="2:18" ht="16">
      <c r="B99" s="276"/>
      <c r="C99" s="277"/>
      <c r="D99" s="277"/>
      <c r="E99" s="277"/>
      <c r="F99" s="277"/>
      <c r="G99" s="277"/>
      <c r="H99" s="277"/>
      <c r="I99" s="277"/>
      <c r="J99" s="278"/>
      <c r="K99" s="278"/>
      <c r="L99" s="278"/>
      <c r="M99" s="278"/>
      <c r="O99" s="278"/>
      <c r="P99" s="278"/>
      <c r="Q99" s="279"/>
      <c r="R99" s="279"/>
    </row>
    <row r="100" spans="2:18" ht="16">
      <c r="B100" s="276"/>
      <c r="C100" s="277"/>
      <c r="D100" s="277"/>
      <c r="E100" s="277"/>
      <c r="F100" s="277"/>
      <c r="G100" s="277"/>
      <c r="H100" s="277"/>
      <c r="I100" s="277"/>
      <c r="J100" s="278"/>
      <c r="K100" s="278"/>
      <c r="L100" s="278"/>
      <c r="M100" s="278"/>
      <c r="O100" s="278"/>
      <c r="P100" s="278"/>
      <c r="Q100" s="279"/>
      <c r="R100" s="279"/>
    </row>
    <row r="101" spans="2:18" ht="16">
      <c r="B101" s="276"/>
      <c r="C101" s="277"/>
      <c r="D101" s="277"/>
      <c r="E101" s="277"/>
      <c r="F101" s="277"/>
      <c r="G101" s="280"/>
      <c r="H101" s="277"/>
      <c r="I101" s="277"/>
      <c r="J101" s="278"/>
      <c r="K101" s="278"/>
      <c r="L101" s="278"/>
      <c r="M101" s="278"/>
      <c r="O101" s="278"/>
      <c r="P101" s="278"/>
      <c r="Q101" s="279"/>
      <c r="R101" s="279"/>
    </row>
    <row r="102" spans="2:18" ht="16">
      <c r="B102" s="276"/>
      <c r="C102" s="277"/>
      <c r="D102" s="277"/>
      <c r="E102" s="277"/>
      <c r="F102" s="277"/>
      <c r="G102" s="277"/>
      <c r="H102" s="277"/>
      <c r="I102" s="277"/>
      <c r="J102" s="278"/>
      <c r="K102" s="278"/>
      <c r="L102" s="278"/>
      <c r="M102" s="278"/>
      <c r="O102" s="278"/>
      <c r="P102" s="278"/>
      <c r="Q102" s="279"/>
      <c r="R102" s="279"/>
    </row>
    <row r="103" spans="2:18" ht="16">
      <c r="B103" s="276"/>
      <c r="C103" s="277"/>
      <c r="D103" s="277"/>
      <c r="E103" s="277"/>
      <c r="F103" s="277"/>
      <c r="G103" s="277"/>
      <c r="H103" s="277"/>
      <c r="I103" s="277"/>
      <c r="J103" s="278"/>
      <c r="K103" s="278"/>
      <c r="L103" s="278"/>
      <c r="M103" s="278"/>
      <c r="O103" s="278"/>
      <c r="P103" s="278"/>
      <c r="Q103" s="279"/>
      <c r="R103" s="279"/>
    </row>
    <row r="104" spans="2:18" ht="16">
      <c r="B104" s="276"/>
      <c r="C104" s="277"/>
      <c r="D104" s="277"/>
      <c r="E104" s="277"/>
      <c r="F104" s="277"/>
      <c r="G104" s="277"/>
      <c r="H104" s="277"/>
      <c r="I104" s="277"/>
      <c r="J104" s="278"/>
      <c r="K104" s="278"/>
      <c r="L104" s="278"/>
      <c r="M104" s="278"/>
      <c r="O104" s="278"/>
      <c r="P104" s="278"/>
      <c r="Q104" s="279"/>
      <c r="R104" s="279"/>
    </row>
    <row r="105" spans="2:18" ht="16">
      <c r="B105" s="276"/>
      <c r="C105" s="277"/>
      <c r="D105" s="277"/>
      <c r="E105" s="277"/>
      <c r="F105" s="277"/>
      <c r="G105" s="277"/>
      <c r="H105" s="277"/>
      <c r="I105" s="277"/>
      <c r="J105" s="278"/>
      <c r="K105" s="278"/>
      <c r="L105" s="278"/>
      <c r="M105" s="278"/>
      <c r="O105" s="279"/>
      <c r="P105" s="279"/>
      <c r="Q105" s="279"/>
      <c r="R105" s="279"/>
    </row>
    <row r="106" spans="2:18" ht="16">
      <c r="B106" s="276"/>
      <c r="C106" s="277"/>
      <c r="D106" s="277"/>
      <c r="E106" s="277"/>
      <c r="F106" s="277"/>
      <c r="G106" s="277"/>
      <c r="H106" s="277"/>
      <c r="I106" s="277"/>
      <c r="J106" s="278"/>
      <c r="K106" s="278"/>
      <c r="L106" s="278"/>
      <c r="M106" s="278"/>
      <c r="O106" s="278"/>
      <c r="P106" s="278"/>
    </row>
    <row r="107" spans="2:18" ht="16">
      <c r="B107" s="276"/>
      <c r="C107" s="277"/>
      <c r="D107" s="277"/>
      <c r="E107" s="277"/>
      <c r="F107" s="277"/>
      <c r="G107" s="277"/>
      <c r="H107" s="277"/>
      <c r="I107" s="277"/>
      <c r="J107" s="278"/>
      <c r="K107" s="278"/>
      <c r="L107" s="278"/>
      <c r="M107" s="278"/>
    </row>
    <row r="108" spans="2:18" ht="16">
      <c r="B108" s="276"/>
      <c r="C108" s="277"/>
      <c r="D108" s="277"/>
      <c r="E108" s="277"/>
      <c r="F108" s="277"/>
      <c r="G108" s="277"/>
      <c r="H108" s="277"/>
      <c r="I108" s="277"/>
      <c r="J108" s="278"/>
      <c r="K108" s="278"/>
      <c r="L108" s="278"/>
      <c r="M108" s="278"/>
    </row>
    <row r="109" spans="2:18" ht="16">
      <c r="B109" s="276"/>
      <c r="C109" s="277"/>
      <c r="D109" s="277"/>
      <c r="E109" s="277"/>
      <c r="F109" s="277"/>
      <c r="G109" s="277"/>
      <c r="H109" s="277"/>
      <c r="I109" s="277"/>
      <c r="J109" s="278"/>
      <c r="K109" s="278"/>
      <c r="L109" s="278"/>
      <c r="M109" s="278"/>
    </row>
    <row r="110" spans="2:18" ht="16">
      <c r="C110" s="281"/>
      <c r="D110" s="281"/>
      <c r="E110" s="281"/>
      <c r="F110" s="281"/>
      <c r="G110" s="281"/>
      <c r="H110" s="281"/>
      <c r="I110" s="281"/>
    </row>
    <row r="111" spans="2:18" ht="16">
      <c r="C111" s="281"/>
      <c r="D111" s="281"/>
      <c r="E111" s="281"/>
      <c r="F111" s="281"/>
      <c r="G111" s="281"/>
      <c r="H111" s="281"/>
      <c r="I111" s="281"/>
    </row>
    <row r="112" spans="2:18" ht="16">
      <c r="C112" s="281"/>
      <c r="D112" s="281"/>
      <c r="E112" s="281"/>
      <c r="F112" s="281"/>
      <c r="G112" s="281"/>
      <c r="H112" s="281"/>
      <c r="I112" s="281"/>
    </row>
    <row r="113" spans="3:9" ht="16">
      <c r="C113" s="281"/>
      <c r="D113" s="281"/>
      <c r="E113" s="281"/>
      <c r="F113" s="281"/>
      <c r="G113" s="281"/>
      <c r="H113" s="281"/>
      <c r="I113" s="281"/>
    </row>
    <row r="114" spans="3:9" ht="16">
      <c r="C114" s="281"/>
      <c r="D114" s="281"/>
      <c r="E114" s="281"/>
      <c r="F114" s="281"/>
      <c r="G114" s="281"/>
      <c r="H114" s="281"/>
      <c r="I114" s="281"/>
    </row>
    <row r="115" spans="3:9" ht="16">
      <c r="C115" s="281"/>
      <c r="D115" s="281"/>
      <c r="E115" s="281"/>
      <c r="F115" s="281"/>
      <c r="G115" s="281"/>
      <c r="H115" s="281"/>
      <c r="I115" s="281"/>
    </row>
    <row r="116" spans="3:9" ht="16">
      <c r="C116" s="281"/>
      <c r="D116" s="281"/>
      <c r="E116" s="281"/>
      <c r="F116" s="281"/>
      <c r="G116" s="281"/>
      <c r="H116" s="281"/>
      <c r="I116" s="281"/>
    </row>
    <row r="117" spans="3:9" ht="16">
      <c r="C117" s="281"/>
      <c r="D117" s="281"/>
      <c r="E117" s="281"/>
      <c r="F117" s="281"/>
      <c r="G117" s="281"/>
      <c r="H117" s="281"/>
      <c r="I117" s="281"/>
    </row>
    <row r="118" spans="3:9" ht="16">
      <c r="C118" s="281"/>
      <c r="D118" s="281"/>
      <c r="E118" s="281"/>
      <c r="F118" s="281"/>
      <c r="G118" s="281"/>
      <c r="H118" s="281"/>
      <c r="I118" s="281"/>
    </row>
    <row r="119" spans="3:9" ht="16">
      <c r="C119" s="281"/>
      <c r="D119" s="281"/>
      <c r="E119" s="281"/>
      <c r="F119" s="281"/>
      <c r="G119" s="281"/>
      <c r="H119" s="281"/>
      <c r="I119" s="281"/>
    </row>
    <row r="120" spans="3:9" ht="16">
      <c r="C120" s="281"/>
      <c r="D120" s="281"/>
      <c r="E120" s="281"/>
      <c r="F120" s="281"/>
      <c r="G120" s="281"/>
      <c r="H120" s="281"/>
      <c r="I120" s="281"/>
    </row>
    <row r="121" spans="3:9" ht="16">
      <c r="C121" s="281"/>
      <c r="D121" s="281"/>
      <c r="E121" s="281"/>
      <c r="F121" s="281"/>
      <c r="G121" s="281"/>
      <c r="H121" s="281"/>
      <c r="I121" s="281"/>
    </row>
    <row r="122" spans="3:9" ht="16">
      <c r="C122" s="281"/>
      <c r="D122" s="281"/>
      <c r="E122" s="281"/>
      <c r="F122" s="281"/>
      <c r="G122" s="281"/>
      <c r="H122" s="281"/>
      <c r="I122" s="281"/>
    </row>
    <row r="123" spans="3:9" ht="16">
      <c r="C123" s="281"/>
      <c r="D123" s="281"/>
      <c r="E123" s="281"/>
      <c r="F123" s="281"/>
      <c r="G123" s="281"/>
      <c r="H123" s="281"/>
      <c r="I123" s="281"/>
    </row>
    <row r="124" spans="3:9" ht="16">
      <c r="C124" s="281"/>
      <c r="D124" s="281"/>
      <c r="E124" s="281"/>
      <c r="F124" s="281"/>
      <c r="G124" s="281"/>
      <c r="H124" s="281"/>
      <c r="I124" s="281"/>
    </row>
    <row r="125" spans="3:9" ht="16">
      <c r="C125" s="281"/>
      <c r="D125" s="281"/>
      <c r="E125" s="281"/>
      <c r="F125" s="281"/>
      <c r="G125" s="281"/>
      <c r="H125" s="281"/>
      <c r="I125" s="281"/>
    </row>
    <row r="126" spans="3:9" ht="16">
      <c r="C126" s="281"/>
      <c r="D126" s="281"/>
      <c r="E126" s="281"/>
      <c r="F126" s="281"/>
      <c r="G126" s="281"/>
      <c r="H126" s="281"/>
      <c r="I126" s="281"/>
    </row>
    <row r="127" spans="3:9" ht="16">
      <c r="C127" s="281"/>
      <c r="D127" s="281"/>
      <c r="E127" s="281"/>
      <c r="F127" s="281"/>
      <c r="G127" s="281"/>
      <c r="H127" s="281"/>
      <c r="I127" s="281"/>
    </row>
    <row r="128" spans="3:9" ht="16">
      <c r="C128" s="281"/>
      <c r="D128" s="281"/>
      <c r="E128" s="281"/>
      <c r="F128" s="281"/>
      <c r="G128" s="281"/>
      <c r="H128" s="281"/>
      <c r="I128" s="281"/>
    </row>
    <row r="129" spans="3:9" ht="16">
      <c r="C129" s="281"/>
      <c r="D129" s="281"/>
      <c r="E129" s="281"/>
      <c r="F129" s="281"/>
      <c r="G129" s="281"/>
      <c r="H129" s="281"/>
      <c r="I129" s="281"/>
    </row>
    <row r="130" spans="3:9" ht="16">
      <c r="C130" s="281"/>
      <c r="D130" s="281"/>
      <c r="E130" s="281"/>
      <c r="F130" s="281"/>
      <c r="G130" s="281"/>
      <c r="H130" s="281"/>
      <c r="I130" s="281"/>
    </row>
    <row r="131" spans="3:9" ht="16">
      <c r="C131" s="281"/>
      <c r="D131" s="281"/>
      <c r="E131" s="281"/>
      <c r="F131" s="281"/>
      <c r="G131" s="281"/>
      <c r="H131" s="281"/>
      <c r="I131" s="281"/>
    </row>
    <row r="132" spans="3:9" ht="16">
      <c r="C132" s="281"/>
      <c r="D132" s="281"/>
      <c r="E132" s="281"/>
      <c r="F132" s="281"/>
      <c r="G132" s="281"/>
      <c r="H132" s="281"/>
      <c r="I132" s="281"/>
    </row>
    <row r="133" spans="3:9" ht="16">
      <c r="C133" s="281"/>
      <c r="D133" s="281"/>
      <c r="E133" s="281"/>
      <c r="F133" s="281"/>
      <c r="G133" s="281"/>
      <c r="H133" s="281"/>
      <c r="I133" s="281"/>
    </row>
    <row r="134" spans="3:9" ht="16">
      <c r="C134" s="281"/>
      <c r="D134" s="281"/>
      <c r="E134" s="281"/>
      <c r="F134" s="281"/>
      <c r="G134" s="281"/>
      <c r="H134" s="281"/>
      <c r="I134" s="281"/>
    </row>
    <row r="135" spans="3:9" ht="16">
      <c r="C135" s="281"/>
      <c r="D135" s="281"/>
      <c r="E135" s="281"/>
      <c r="F135" s="281"/>
      <c r="G135" s="281"/>
      <c r="H135" s="281"/>
      <c r="I135" s="281"/>
    </row>
    <row r="136" spans="3:9" ht="16">
      <c r="C136" s="281"/>
      <c r="D136" s="281"/>
      <c r="E136" s="281"/>
      <c r="F136" s="281"/>
      <c r="G136" s="281"/>
      <c r="H136" s="281"/>
      <c r="I136" s="281"/>
    </row>
    <row r="137" spans="3:9" ht="16">
      <c r="C137" s="281"/>
      <c r="D137" s="281"/>
      <c r="E137" s="281"/>
      <c r="F137" s="281"/>
      <c r="G137" s="281"/>
      <c r="H137" s="281"/>
      <c r="I137" s="281"/>
    </row>
    <row r="138" spans="3:9" ht="16">
      <c r="C138" s="281"/>
      <c r="D138" s="281"/>
      <c r="E138" s="281"/>
      <c r="F138" s="281"/>
      <c r="G138" s="281"/>
      <c r="H138" s="281"/>
      <c r="I138" s="281"/>
    </row>
    <row r="139" spans="3:9" ht="16">
      <c r="C139" s="281"/>
      <c r="D139" s="281"/>
      <c r="E139" s="281"/>
      <c r="F139" s="281"/>
      <c r="G139" s="281"/>
      <c r="H139" s="281"/>
      <c r="I139" s="281"/>
    </row>
    <row r="140" spans="3:9" ht="16">
      <c r="C140" s="281"/>
      <c r="D140" s="281"/>
      <c r="E140" s="281"/>
      <c r="F140" s="281"/>
      <c r="G140" s="281"/>
      <c r="H140" s="281"/>
      <c r="I140" s="281"/>
    </row>
    <row r="141" spans="3:9" ht="16">
      <c r="C141" s="281"/>
      <c r="D141" s="281"/>
      <c r="E141" s="281"/>
      <c r="F141" s="281"/>
      <c r="G141" s="281"/>
      <c r="H141" s="281"/>
      <c r="I141" s="281"/>
    </row>
    <row r="142" spans="3:9" ht="16">
      <c r="C142" s="281"/>
      <c r="D142" s="281"/>
      <c r="E142" s="281"/>
      <c r="F142" s="281"/>
      <c r="G142" s="281"/>
      <c r="H142" s="281"/>
      <c r="I142" s="281"/>
    </row>
    <row r="143" spans="3:9" ht="16">
      <c r="C143" s="281"/>
      <c r="D143" s="281"/>
      <c r="E143" s="281"/>
      <c r="F143" s="281"/>
      <c r="G143" s="281"/>
      <c r="H143" s="281"/>
      <c r="I143" s="281"/>
    </row>
    <row r="144" spans="3:9" ht="16">
      <c r="C144" s="281"/>
      <c r="D144" s="281"/>
      <c r="E144" s="281"/>
      <c r="F144" s="281"/>
      <c r="G144" s="281"/>
      <c r="H144" s="281"/>
      <c r="I144" s="281"/>
    </row>
    <row r="145" spans="3:9" ht="16">
      <c r="C145" s="281"/>
      <c r="D145" s="281"/>
      <c r="E145" s="281"/>
      <c r="F145" s="281"/>
      <c r="G145" s="281"/>
      <c r="H145" s="281"/>
      <c r="I145" s="281"/>
    </row>
    <row r="146" spans="3:9" ht="16">
      <c r="C146" s="281"/>
      <c r="D146" s="281"/>
      <c r="E146" s="281"/>
      <c r="F146" s="281"/>
      <c r="G146" s="281"/>
      <c r="H146" s="281"/>
      <c r="I146" s="281"/>
    </row>
    <row r="147" spans="3:9" ht="16">
      <c r="C147" s="281"/>
      <c r="D147" s="281"/>
      <c r="E147" s="281"/>
      <c r="F147" s="281"/>
      <c r="G147" s="281"/>
      <c r="H147" s="281"/>
      <c r="I147" s="281"/>
    </row>
    <row r="148" spans="3:9" ht="16">
      <c r="C148" s="281"/>
      <c r="D148" s="281"/>
      <c r="E148" s="281"/>
      <c r="F148" s="281"/>
      <c r="G148" s="281"/>
      <c r="H148" s="281"/>
      <c r="I148" s="281"/>
    </row>
    <row r="149" spans="3:9" ht="16">
      <c r="C149" s="281"/>
      <c r="D149" s="281"/>
      <c r="E149" s="281"/>
      <c r="F149" s="281"/>
      <c r="G149" s="281"/>
      <c r="H149" s="281"/>
      <c r="I149" s="281"/>
    </row>
    <row r="150" spans="3:9" ht="16">
      <c r="C150" s="281"/>
      <c r="D150" s="281"/>
      <c r="E150" s="281"/>
      <c r="F150" s="281"/>
      <c r="G150" s="281"/>
      <c r="H150" s="281"/>
      <c r="I150" s="281"/>
    </row>
    <row r="151" spans="3:9" ht="16">
      <c r="C151" s="281"/>
      <c r="D151" s="281"/>
      <c r="E151" s="281"/>
      <c r="F151" s="281"/>
      <c r="G151" s="281"/>
      <c r="H151" s="281"/>
      <c r="I151" s="281"/>
    </row>
    <row r="152" spans="3:9" ht="16">
      <c r="C152" s="281"/>
      <c r="D152" s="281"/>
      <c r="E152" s="281"/>
      <c r="F152" s="281"/>
      <c r="G152" s="281"/>
      <c r="H152" s="281"/>
      <c r="I152" s="281"/>
    </row>
    <row r="153" spans="3:9" ht="16">
      <c r="C153" s="281"/>
      <c r="D153" s="281"/>
      <c r="E153" s="281"/>
      <c r="F153" s="281"/>
      <c r="G153" s="281"/>
      <c r="H153" s="281"/>
      <c r="I153" s="281"/>
    </row>
    <row r="154" spans="3:9" ht="16">
      <c r="C154" s="281"/>
      <c r="D154" s="281"/>
      <c r="E154" s="281"/>
      <c r="F154" s="281"/>
      <c r="G154" s="281"/>
      <c r="H154" s="281"/>
      <c r="I154" s="281"/>
    </row>
    <row r="155" spans="3:9" ht="16">
      <c r="C155" s="281"/>
      <c r="D155" s="281"/>
      <c r="E155" s="281"/>
      <c r="F155" s="281"/>
      <c r="G155" s="281"/>
      <c r="H155" s="281"/>
      <c r="I155" s="281"/>
    </row>
    <row r="156" spans="3:9" ht="16">
      <c r="C156" s="281"/>
      <c r="D156" s="281"/>
      <c r="E156" s="281"/>
      <c r="F156" s="281"/>
      <c r="G156" s="281"/>
      <c r="H156" s="281"/>
      <c r="I156" s="281"/>
    </row>
    <row r="157" spans="3:9" ht="16">
      <c r="C157" s="281"/>
      <c r="D157" s="281"/>
      <c r="E157" s="281"/>
      <c r="F157" s="281"/>
      <c r="G157" s="281"/>
      <c r="H157" s="281"/>
      <c r="I157" s="281"/>
    </row>
    <row r="158" spans="3:9" ht="16">
      <c r="C158" s="281"/>
      <c r="D158" s="281"/>
      <c r="E158" s="281"/>
      <c r="F158" s="281"/>
      <c r="G158" s="281"/>
      <c r="H158" s="281"/>
      <c r="I158" s="281"/>
    </row>
    <row r="159" spans="3:9" ht="16">
      <c r="C159" s="281"/>
      <c r="D159" s="281"/>
      <c r="E159" s="281"/>
      <c r="F159" s="281"/>
      <c r="G159" s="281"/>
      <c r="H159" s="281"/>
      <c r="I159" s="281"/>
    </row>
    <row r="160" spans="3:9" ht="16">
      <c r="C160" s="281"/>
      <c r="D160" s="281"/>
      <c r="E160" s="281"/>
      <c r="F160" s="281"/>
      <c r="G160" s="281"/>
      <c r="H160" s="281"/>
      <c r="I160" s="281"/>
    </row>
    <row r="161" spans="3:9" ht="16">
      <c r="C161" s="281"/>
      <c r="D161" s="281"/>
      <c r="E161" s="281"/>
      <c r="F161" s="281"/>
      <c r="G161" s="281"/>
      <c r="H161" s="281"/>
      <c r="I161" s="281"/>
    </row>
    <row r="162" spans="3:9" ht="16">
      <c r="C162" s="281"/>
      <c r="D162" s="281"/>
      <c r="E162" s="281"/>
      <c r="F162" s="281"/>
      <c r="G162" s="281"/>
      <c r="H162" s="281"/>
      <c r="I162" s="281"/>
    </row>
    <row r="163" spans="3:9" ht="16">
      <c r="C163" s="281"/>
      <c r="D163" s="281"/>
      <c r="E163" s="281"/>
      <c r="F163" s="281"/>
      <c r="G163" s="281"/>
      <c r="H163" s="281"/>
      <c r="I163" s="281"/>
    </row>
    <row r="164" spans="3:9" ht="16">
      <c r="C164" s="281"/>
      <c r="D164" s="281"/>
      <c r="E164" s="281"/>
      <c r="F164" s="281"/>
      <c r="G164" s="281"/>
      <c r="H164" s="281"/>
      <c r="I164" s="281"/>
    </row>
    <row r="165" spans="3:9" ht="16">
      <c r="C165" s="281"/>
      <c r="D165" s="281"/>
      <c r="E165" s="281"/>
      <c r="F165" s="281"/>
      <c r="G165" s="281"/>
      <c r="H165" s="281"/>
      <c r="I165" s="281"/>
    </row>
    <row r="166" spans="3:9" ht="16">
      <c r="C166" s="281"/>
      <c r="D166" s="281"/>
      <c r="E166" s="281"/>
      <c r="F166" s="281"/>
      <c r="G166" s="281"/>
      <c r="H166" s="281"/>
      <c r="I166" s="281"/>
    </row>
    <row r="167" spans="3:9" ht="16">
      <c r="C167" s="281"/>
      <c r="D167" s="281"/>
      <c r="E167" s="281"/>
      <c r="F167" s="281"/>
      <c r="G167" s="281"/>
      <c r="H167" s="281"/>
      <c r="I167" s="281"/>
    </row>
    <row r="168" spans="3:9" ht="16">
      <c r="C168" s="281"/>
      <c r="D168" s="281"/>
      <c r="E168" s="281"/>
      <c r="F168" s="281"/>
      <c r="G168" s="281"/>
      <c r="H168" s="281"/>
      <c r="I168" s="281"/>
    </row>
    <row r="169" spans="3:9" ht="16">
      <c r="C169" s="281"/>
      <c r="D169" s="281"/>
      <c r="E169" s="281"/>
      <c r="F169" s="281"/>
      <c r="G169" s="281"/>
      <c r="H169" s="281"/>
      <c r="I169" s="281"/>
    </row>
    <row r="170" spans="3:9" ht="16">
      <c r="C170" s="281"/>
      <c r="D170" s="281"/>
      <c r="E170" s="281"/>
      <c r="F170" s="281"/>
      <c r="G170" s="281"/>
      <c r="H170" s="281"/>
      <c r="I170" s="281"/>
    </row>
    <row r="171" spans="3:9" ht="16">
      <c r="C171" s="281"/>
      <c r="D171" s="281"/>
      <c r="E171" s="281"/>
      <c r="F171" s="281"/>
      <c r="G171" s="281"/>
      <c r="H171" s="281"/>
      <c r="I171" s="281"/>
    </row>
    <row r="172" spans="3:9" ht="16">
      <c r="C172" s="281"/>
      <c r="D172" s="281"/>
      <c r="E172" s="281"/>
      <c r="F172" s="281"/>
      <c r="G172" s="281"/>
      <c r="H172" s="281"/>
      <c r="I172" s="281"/>
    </row>
    <row r="173" spans="3:9" ht="16">
      <c r="C173" s="281"/>
      <c r="D173" s="281"/>
      <c r="E173" s="281"/>
      <c r="F173" s="281"/>
      <c r="G173" s="281"/>
      <c r="H173" s="281"/>
      <c r="I173" s="281"/>
    </row>
    <row r="174" spans="3:9" ht="16">
      <c r="C174" s="281"/>
      <c r="D174" s="281"/>
      <c r="E174" s="281"/>
      <c r="F174" s="281"/>
      <c r="G174" s="281"/>
      <c r="H174" s="281"/>
      <c r="I174" s="281"/>
    </row>
    <row r="175" spans="3:9" ht="16">
      <c r="C175" s="281"/>
      <c r="D175" s="281"/>
      <c r="E175" s="281"/>
      <c r="F175" s="281"/>
      <c r="G175" s="281"/>
      <c r="H175" s="281"/>
      <c r="I175" s="281"/>
    </row>
    <row r="176" spans="3:9" ht="16">
      <c r="C176" s="281"/>
      <c r="D176" s="281"/>
      <c r="E176" s="281"/>
      <c r="F176" s="281"/>
      <c r="G176" s="281"/>
      <c r="H176" s="281"/>
      <c r="I176" s="281"/>
    </row>
    <row r="177" spans="3:9" ht="16">
      <c r="C177" s="281"/>
      <c r="D177" s="281"/>
      <c r="E177" s="281"/>
      <c r="F177" s="281"/>
      <c r="G177" s="281"/>
      <c r="H177" s="281"/>
      <c r="I177" s="281"/>
    </row>
    <row r="178" spans="3:9" ht="16">
      <c r="C178" s="281"/>
      <c r="D178" s="281"/>
      <c r="E178" s="281"/>
      <c r="F178" s="281"/>
      <c r="G178" s="281"/>
      <c r="H178" s="281"/>
      <c r="I178" s="281"/>
    </row>
    <row r="179" spans="3:9" ht="16">
      <c r="C179" s="281"/>
      <c r="D179" s="281"/>
      <c r="E179" s="281"/>
      <c r="F179" s="281"/>
      <c r="G179" s="281"/>
      <c r="H179" s="281"/>
      <c r="I179" s="281"/>
    </row>
    <row r="180" spans="3:9" ht="16">
      <c r="C180" s="281"/>
      <c r="D180" s="281"/>
      <c r="E180" s="281"/>
      <c r="F180" s="281"/>
      <c r="G180" s="281"/>
      <c r="H180" s="281"/>
      <c r="I180" s="281"/>
    </row>
    <row r="181" spans="3:9" ht="16">
      <c r="C181" s="281"/>
      <c r="D181" s="281"/>
      <c r="E181" s="281"/>
      <c r="F181" s="281"/>
      <c r="G181" s="281"/>
      <c r="H181" s="281"/>
      <c r="I181" s="281"/>
    </row>
    <row r="182" spans="3:9" ht="16">
      <c r="C182" s="281"/>
      <c r="D182" s="281"/>
      <c r="E182" s="281"/>
      <c r="F182" s="281"/>
      <c r="G182" s="281"/>
      <c r="H182" s="281"/>
      <c r="I182" s="281"/>
    </row>
    <row r="183" spans="3:9" ht="16">
      <c r="C183" s="281"/>
      <c r="D183" s="281"/>
      <c r="E183" s="281"/>
      <c r="F183" s="281"/>
      <c r="G183" s="281"/>
      <c r="H183" s="281"/>
      <c r="I183" s="281"/>
    </row>
    <row r="184" spans="3:9" ht="16">
      <c r="C184" s="281"/>
      <c r="D184" s="281"/>
      <c r="E184" s="281"/>
      <c r="F184" s="281"/>
      <c r="G184" s="281"/>
      <c r="H184" s="281"/>
      <c r="I184" s="281"/>
    </row>
    <row r="185" spans="3:9" ht="16">
      <c r="C185" s="281"/>
      <c r="D185" s="281"/>
      <c r="E185" s="281"/>
      <c r="F185" s="281"/>
      <c r="G185" s="281"/>
      <c r="H185" s="281"/>
      <c r="I185" s="281"/>
    </row>
    <row r="186" spans="3:9" ht="16">
      <c r="C186" s="281"/>
      <c r="D186" s="281"/>
      <c r="E186" s="281"/>
      <c r="F186" s="281"/>
      <c r="G186" s="281"/>
      <c r="H186" s="281"/>
      <c r="I186" s="281"/>
    </row>
    <row r="187" spans="3:9" ht="16">
      <c r="C187" s="281"/>
      <c r="D187" s="281"/>
      <c r="E187" s="281"/>
      <c r="F187" s="281"/>
      <c r="G187" s="281"/>
      <c r="H187" s="281"/>
      <c r="I187" s="281"/>
    </row>
    <row r="188" spans="3:9" ht="16">
      <c r="C188" s="281"/>
      <c r="D188" s="281"/>
      <c r="E188" s="281"/>
      <c r="F188" s="281"/>
      <c r="G188" s="281"/>
      <c r="H188" s="281"/>
      <c r="I188" s="281"/>
    </row>
    <row r="189" spans="3:9" ht="16">
      <c r="C189" s="281"/>
      <c r="D189" s="281"/>
      <c r="E189" s="281"/>
      <c r="F189" s="281"/>
      <c r="G189" s="281"/>
      <c r="H189" s="281"/>
      <c r="I189" s="281"/>
    </row>
    <row r="190" spans="3:9" ht="16">
      <c r="C190" s="281"/>
      <c r="D190" s="281"/>
      <c r="E190" s="281"/>
      <c r="F190" s="281"/>
      <c r="G190" s="281"/>
      <c r="H190" s="281"/>
      <c r="I190" s="281"/>
    </row>
    <row r="191" spans="3:9" ht="16">
      <c r="C191" s="281"/>
      <c r="D191" s="281"/>
      <c r="E191" s="281"/>
      <c r="F191" s="281"/>
      <c r="G191" s="281"/>
      <c r="H191" s="281"/>
      <c r="I191" s="281"/>
    </row>
    <row r="192" spans="3:9" ht="16">
      <c r="C192" s="281"/>
      <c r="D192" s="281"/>
      <c r="E192" s="281"/>
      <c r="F192" s="281"/>
      <c r="G192" s="281"/>
      <c r="H192" s="281"/>
      <c r="I192" s="281"/>
    </row>
    <row r="193" spans="3:9" ht="16">
      <c r="C193" s="281"/>
      <c r="D193" s="281"/>
      <c r="E193" s="281"/>
      <c r="F193" s="281"/>
      <c r="G193" s="281"/>
      <c r="H193" s="281"/>
      <c r="I193" s="281"/>
    </row>
  </sheetData>
  <sheetProtection algorithmName="SHA-512" hashValue="o5qvbGuo58oF/6LY8gyLrregsO7hxpF2mD/jdxeu4Hjj3/3XCzTZy4wEZEHqo0vWgIt8LQQLJqE4Vemb0IZ2wQ==" saltValue="qRmHifUUc43Zo8bxs5Q0Jg==" spinCount="100000" sheet="1" objects="1" selectLockedCells="1"/>
  <dataValidations count="5">
    <dataValidation allowBlank="1" showErrorMessage="1" promptTitle="Уведомление для инвесторов " prompt="Дата расчитывается в зависимости от раунда (даты начала каждого раунда см. на листе с моделью)_x000a_" sqref="D15" xr:uid="{731F48CD-9058-9B45-A72D-BD56B57353F5}"/>
    <dataValidation type="whole" allowBlank="1" showInputMessage="1" showErrorMessage="1" promptTitle="Уведомление для инвесторов " prompt="Если вы инвестируете в 1ом раунде, то сумма инвестиций не должна быть меньше 5 млн руб." sqref="D19" xr:uid="{460BC90B-A988-3047-ACFF-83C63F3B2CB5}">
      <formula1>100000</formula1>
      <formula2>210000000</formula2>
    </dataValidation>
    <dataValidation type="list" allowBlank="1" showInputMessage="1" showErrorMessage="1" sqref="D16" xr:uid="{D2DE3FFB-AFC7-DA4F-A4CD-D78D1275BA23}">
      <formula1>$L$16:$L$18</formula1>
    </dataValidation>
    <dataValidation type="list" allowBlank="1" showInputMessage="1" showErrorMessage="1" sqref="D18" xr:uid="{C4C5F149-1F58-2448-9F61-DFFADB5EFEA0}">
      <formula1>$D$25:$D$27</formula1>
    </dataValidation>
    <dataValidation type="whole" allowBlank="1" showInputMessage="1" showErrorMessage="1" sqref="D17" xr:uid="{75624A59-6D69-7B49-86F6-AD8D32FED51B}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FD215"/>
  <sheetViews>
    <sheetView showGridLines="0" zoomScaleNormal="100" workbookViewId="0">
      <pane ySplit="1" topLeftCell="A114" activePane="bottomLeft" state="frozen"/>
      <selection pane="bottomLeft" activeCell="A175" sqref="A175:XFD183"/>
    </sheetView>
  </sheetViews>
  <sheetFormatPr baseColWidth="10" defaultColWidth="8.83203125" defaultRowHeight="21" outlineLevelRow="2" outlineLevelCol="1"/>
  <cols>
    <col min="1" max="1" width="5.1640625" style="11" customWidth="1"/>
    <col min="2" max="2" width="51.5" style="11" customWidth="1"/>
    <col min="3" max="3" width="26.5" style="11" customWidth="1"/>
    <col min="4" max="4" width="2.5" style="11" customWidth="1" outlineLevel="1"/>
    <col min="5" max="5" width="19.83203125" style="11" customWidth="1" outlineLevel="1"/>
    <col min="6" max="6" width="23.33203125" style="10" customWidth="1"/>
    <col min="7" max="7" width="19.1640625" style="10" customWidth="1"/>
    <col min="8" max="8" width="20.5" style="10" customWidth="1"/>
    <col min="9" max="9" width="23.83203125" style="10" customWidth="1"/>
    <col min="10" max="10" width="19.83203125" style="10" customWidth="1"/>
    <col min="11" max="11" width="20.33203125" style="10" bestFit="1" customWidth="1"/>
    <col min="12" max="12" width="20.83203125" style="10" customWidth="1"/>
    <col min="13" max="13" width="19.5" style="10" customWidth="1"/>
    <col min="14" max="14" width="18.5" style="10" customWidth="1"/>
    <col min="15" max="15" width="17.5" style="10" bestFit="1" customWidth="1"/>
    <col min="16" max="16" width="19" style="10" customWidth="1"/>
    <col min="17" max="17" width="17.5" style="10" bestFit="1" customWidth="1"/>
    <col min="18" max="18" width="18.5" style="10" customWidth="1"/>
    <col min="19" max="20" width="17.5" style="10" bestFit="1" customWidth="1"/>
    <col min="21" max="21" width="22.6640625" style="10" customWidth="1"/>
    <col min="22" max="24" width="17.6640625" style="10" bestFit="1" customWidth="1"/>
    <col min="25" max="34" width="17.5" style="10" bestFit="1" customWidth="1"/>
    <col min="35" max="46" width="15.83203125" style="10" bestFit="1" customWidth="1"/>
    <col min="47" max="47" width="15.83203125" style="10" hidden="1" customWidth="1"/>
    <col min="48" max="51" width="15.6640625" style="10" hidden="1" customWidth="1"/>
    <col min="52" max="52" width="15.1640625" style="10" hidden="1" customWidth="1"/>
    <col min="53" max="53" width="9.83203125" style="11" hidden="1" customWidth="1"/>
    <col min="54" max="54" width="61.83203125" style="11" hidden="1" customWidth="1"/>
    <col min="55" max="55" width="18.6640625" style="11" hidden="1" customWidth="1"/>
    <col min="56" max="64" width="16.83203125" style="11" hidden="1" customWidth="1"/>
    <col min="65" max="69" width="15.83203125" style="11" hidden="1" customWidth="1"/>
    <col min="70" max="78" width="0" style="11" hidden="1" customWidth="1"/>
    <col min="79" max="16384" width="8.83203125" style="11"/>
  </cols>
  <sheetData>
    <row r="1" spans="1:52">
      <c r="A1" s="7"/>
      <c r="B1" s="8" t="s">
        <v>157</v>
      </c>
      <c r="C1" s="204">
        <f>'Калькулятор инвестора'!$D$18</f>
        <v>1</v>
      </c>
      <c r="D1" s="9"/>
      <c r="E1" s="9"/>
      <c r="F1" s="9"/>
      <c r="G1" s="9"/>
      <c r="H1" s="9"/>
      <c r="I1" s="9"/>
      <c r="J1" s="9"/>
      <c r="K1" s="9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>
      <c r="G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s="18" customFormat="1">
      <c r="B3" s="105" t="s">
        <v>0</v>
      </c>
      <c r="C3" s="105"/>
      <c r="D3" s="105"/>
      <c r="E3" s="105"/>
      <c r="F3" s="106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1:52">
      <c r="E4" s="10"/>
      <c r="F4" s="11"/>
      <c r="G4" s="11"/>
      <c r="H4" s="11"/>
      <c r="I4" s="11"/>
      <c r="J4" s="11"/>
      <c r="K4" s="11"/>
      <c r="L4" s="11"/>
      <c r="M4" s="11"/>
      <c r="N4" s="2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>
      <c r="B5" s="13" t="s">
        <v>1</v>
      </c>
      <c r="C5" s="14"/>
      <c r="E5" s="10"/>
      <c r="F5" s="11"/>
      <c r="G5" s="11"/>
      <c r="I5" s="15" t="s">
        <v>4</v>
      </c>
      <c r="J5" s="16" t="s">
        <v>5</v>
      </c>
      <c r="K5" s="16" t="s">
        <v>6</v>
      </c>
      <c r="L5" s="15" t="s">
        <v>7</v>
      </c>
      <c r="M5" s="15"/>
      <c r="N5" s="16" t="s">
        <v>5</v>
      </c>
      <c r="O5" s="16" t="s">
        <v>6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>
      <c r="B6" s="11" t="s">
        <v>90</v>
      </c>
      <c r="C6" s="17">
        <v>181000000</v>
      </c>
      <c r="D6" s="10"/>
      <c r="E6" s="17"/>
      <c r="F6" s="17"/>
      <c r="G6" s="17"/>
      <c r="I6" s="18" t="s">
        <v>44</v>
      </c>
      <c r="J6" s="19">
        <f>N15</f>
        <v>210000000</v>
      </c>
      <c r="K6" s="20">
        <f>J6/$J$15</f>
        <v>1</v>
      </c>
      <c r="L6" s="18" t="s">
        <v>33</v>
      </c>
      <c r="M6" s="21"/>
      <c r="N6" s="19">
        <f>$C$6</f>
        <v>181000000</v>
      </c>
      <c r="O6" s="22">
        <f>N6/$N$15</f>
        <v>0.86190476190476195</v>
      </c>
      <c r="P6" s="11"/>
      <c r="Q6" s="11"/>
      <c r="R6" s="11"/>
      <c r="S6" s="11"/>
      <c r="T6" s="11"/>
      <c r="U6" s="11"/>
      <c r="V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>
      <c r="B7" s="11" t="s">
        <v>116</v>
      </c>
      <c r="C7" s="17">
        <v>710</v>
      </c>
      <c r="D7" s="10"/>
      <c r="E7" s="23"/>
      <c r="F7" s="23"/>
      <c r="G7" s="23"/>
      <c r="H7" s="23"/>
      <c r="I7" s="18"/>
      <c r="J7" s="17"/>
      <c r="K7" s="20"/>
      <c r="L7" s="18" t="s">
        <v>23</v>
      </c>
      <c r="M7" s="12"/>
      <c r="N7" s="24">
        <v>1500000</v>
      </c>
      <c r="O7" s="22">
        <f t="shared" ref="O7:O14" si="0">N7/$N$15</f>
        <v>7.1428571428571426E-3</v>
      </c>
      <c r="P7" s="11"/>
      <c r="Q7" s="11"/>
      <c r="R7" s="11"/>
      <c r="S7" s="11"/>
      <c r="T7" s="11"/>
      <c r="U7" s="11"/>
      <c r="V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>
      <c r="B8" s="26" t="s">
        <v>32</v>
      </c>
      <c r="C8" s="27">
        <f>C6/C7</f>
        <v>254929.57746478874</v>
      </c>
      <c r="D8" s="25"/>
      <c r="E8" s="23"/>
      <c r="F8" s="23"/>
      <c r="G8" s="23"/>
      <c r="H8" s="23"/>
      <c r="L8" s="18" t="s">
        <v>115</v>
      </c>
      <c r="N8" s="24">
        <v>1500000</v>
      </c>
      <c r="O8" s="22">
        <f t="shared" si="0"/>
        <v>7.1428571428571426E-3</v>
      </c>
      <c r="P8" s="11"/>
      <c r="Q8" s="11"/>
      <c r="R8" s="11"/>
      <c r="S8" s="11"/>
      <c r="T8" s="11"/>
      <c r="U8" s="11"/>
      <c r="V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>
      <c r="B9" s="11" t="s">
        <v>3</v>
      </c>
      <c r="C9" s="34">
        <v>45869</v>
      </c>
      <c r="D9" s="25"/>
      <c r="E9" s="10"/>
      <c r="L9" s="18" t="s">
        <v>202</v>
      </c>
      <c r="N9" s="24">
        <v>500000</v>
      </c>
      <c r="O9" s="22">
        <f t="shared" si="0"/>
        <v>2.3809523809523812E-3</v>
      </c>
      <c r="P9" s="11"/>
      <c r="Q9" s="11"/>
      <c r="R9" s="11"/>
      <c r="S9" s="11"/>
      <c r="T9" s="11"/>
      <c r="U9" s="11"/>
      <c r="V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>
      <c r="B10" s="11" t="s">
        <v>117</v>
      </c>
      <c r="C10" s="23">
        <f>C11*C7</f>
        <v>60350000</v>
      </c>
      <c r="D10" s="28"/>
      <c r="E10" s="10"/>
      <c r="I10" s="18"/>
      <c r="J10" s="17"/>
      <c r="K10" s="20"/>
      <c r="L10" s="11" t="s">
        <v>43</v>
      </c>
      <c r="M10" s="11"/>
      <c r="N10" s="24">
        <v>1000000</v>
      </c>
      <c r="O10" s="22">
        <f t="shared" si="0"/>
        <v>4.7619047619047623E-3</v>
      </c>
      <c r="P10" s="11"/>
      <c r="Q10" s="11"/>
      <c r="R10" s="11"/>
      <c r="S10" s="11"/>
      <c r="T10" s="11"/>
      <c r="U10" s="11"/>
      <c r="V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>
      <c r="B11" s="26" t="s">
        <v>47</v>
      </c>
      <c r="C11" s="49">
        <v>85000</v>
      </c>
      <c r="D11" s="33"/>
      <c r="E11" s="10"/>
      <c r="I11" s="29"/>
      <c r="J11" s="30"/>
      <c r="K11" s="31"/>
      <c r="L11" s="32" t="s">
        <v>111</v>
      </c>
      <c r="N11" s="24">
        <v>500000</v>
      </c>
      <c r="O11" s="22">
        <f t="shared" si="0"/>
        <v>2.3809523809523812E-3</v>
      </c>
      <c r="P11" s="11"/>
      <c r="Q11" s="11"/>
      <c r="R11" s="11"/>
      <c r="S11" s="11"/>
      <c r="T11" s="11"/>
      <c r="U11" s="11"/>
      <c r="V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>
      <c r="B12" s="11" t="s">
        <v>119</v>
      </c>
      <c r="C12" s="34">
        <v>46022</v>
      </c>
      <c r="D12" s="33"/>
      <c r="E12" s="27"/>
      <c r="F12" s="27"/>
      <c r="G12" s="27"/>
      <c r="H12" s="27"/>
      <c r="L12" s="32" t="s">
        <v>112</v>
      </c>
      <c r="N12" s="24">
        <v>500000</v>
      </c>
      <c r="O12" s="22">
        <f t="shared" si="0"/>
        <v>2.3809523809523812E-3</v>
      </c>
      <c r="P12" s="11"/>
      <c r="Q12" s="11"/>
      <c r="R12" s="11"/>
      <c r="S12" s="11"/>
      <c r="T12" s="11"/>
      <c r="U12" s="11"/>
      <c r="V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>
      <c r="B13" s="26" t="s">
        <v>121</v>
      </c>
      <c r="C13" s="49">
        <v>3</v>
      </c>
      <c r="E13" s="10"/>
      <c r="L13" s="32" t="s">
        <v>15</v>
      </c>
      <c r="N13" s="19">
        <f>$C$49*$N$6</f>
        <v>9050000</v>
      </c>
      <c r="O13" s="22">
        <f t="shared" si="0"/>
        <v>4.3095238095238096E-2</v>
      </c>
      <c r="P13" s="11"/>
      <c r="Q13" s="11"/>
      <c r="R13" s="11"/>
      <c r="S13" s="11"/>
      <c r="T13" s="11"/>
      <c r="U13" s="11"/>
      <c r="V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>
      <c r="B14" s="11" t="s">
        <v>120</v>
      </c>
      <c r="C14" s="33">
        <f>EOMONTH(C12,C13)</f>
        <v>46112</v>
      </c>
      <c r="D14" s="28"/>
      <c r="E14" s="10"/>
      <c r="I14" s="11"/>
      <c r="J14" s="11"/>
      <c r="K14" s="11"/>
      <c r="L14" s="11" t="s">
        <v>219</v>
      </c>
      <c r="M14" s="11"/>
      <c r="N14" s="24">
        <f>SUM(J24:O24)-SUM(N6:N13)</f>
        <v>14450000</v>
      </c>
      <c r="O14" s="22">
        <f t="shared" si="0"/>
        <v>6.8809523809523807E-2</v>
      </c>
      <c r="P14" s="11"/>
      <c r="Q14" s="11"/>
      <c r="R14" s="11"/>
      <c r="S14" s="11"/>
      <c r="T14" s="11"/>
      <c r="U14" s="11"/>
      <c r="V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>
      <c r="E15" s="10"/>
      <c r="I15" s="35" t="s">
        <v>9</v>
      </c>
      <c r="J15" s="36">
        <f>SUM(J6:J14)</f>
        <v>210000000</v>
      </c>
      <c r="K15" s="37">
        <f>SUM(K6:K14)</f>
        <v>1</v>
      </c>
      <c r="L15" s="35" t="s">
        <v>9</v>
      </c>
      <c r="M15" s="35"/>
      <c r="N15" s="36">
        <f>SUM(N6:N14)</f>
        <v>210000000</v>
      </c>
      <c r="O15" s="37">
        <f>SUM(O6:O14)</f>
        <v>0.99999999999999989</v>
      </c>
      <c r="P15" s="11"/>
      <c r="Q15" s="11"/>
      <c r="R15" s="11"/>
      <c r="S15" s="11"/>
      <c r="T15" s="11"/>
      <c r="V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>
      <c r="B16" s="13" t="s">
        <v>118</v>
      </c>
      <c r="C16" s="38"/>
      <c r="D16" s="33"/>
      <c r="E16" s="14" t="s">
        <v>2</v>
      </c>
      <c r="F16" s="14" t="s">
        <v>113</v>
      </c>
      <c r="G16" s="14" t="s">
        <v>114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V16" s="11"/>
      <c r="W16" s="11"/>
      <c r="X16" s="11"/>
      <c r="Y16" s="11"/>
      <c r="Z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2:52">
      <c r="B17" s="11" t="s">
        <v>122</v>
      </c>
      <c r="C17" s="39" t="s">
        <v>127</v>
      </c>
      <c r="E17" s="10"/>
      <c r="I17" s="11"/>
      <c r="J17" s="125"/>
      <c r="K17" s="11"/>
      <c r="L17" s="11"/>
      <c r="M17" s="11"/>
      <c r="N17" s="11"/>
      <c r="O17" s="11"/>
      <c r="P17" s="11"/>
      <c r="Q17" s="11"/>
      <c r="R17" s="11"/>
      <c r="S17" s="11"/>
      <c r="T17" s="11"/>
      <c r="V17" s="11"/>
      <c r="W17" s="11"/>
      <c r="X17" s="11"/>
      <c r="Y17" s="11"/>
      <c r="Z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2:52">
      <c r="B18" s="26" t="s">
        <v>126</v>
      </c>
      <c r="C18" s="49">
        <v>3</v>
      </c>
      <c r="E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11"/>
      <c r="W18" s="11"/>
      <c r="X18" s="11"/>
      <c r="Y18" s="11"/>
      <c r="Z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2:52" ht="28" customHeight="1">
      <c r="B19" s="11" t="s">
        <v>125</v>
      </c>
      <c r="C19" s="33">
        <f>EOMONTH(C14,3)</f>
        <v>46203</v>
      </c>
      <c r="D19" s="40"/>
      <c r="E19" s="10"/>
      <c r="I19" s="324" t="s">
        <v>160</v>
      </c>
      <c r="J19" s="191" t="str">
        <f>K19</f>
        <v>3 кв.2025</v>
      </c>
      <c r="K19" s="192" t="s">
        <v>161</v>
      </c>
      <c r="L19" s="192" t="s">
        <v>161</v>
      </c>
      <c r="M19" s="192" t="s">
        <v>162</v>
      </c>
      <c r="N19" s="192" t="s">
        <v>162</v>
      </c>
      <c r="O19" s="192" t="s">
        <v>162</v>
      </c>
      <c r="P19" s="325" t="s">
        <v>170</v>
      </c>
      <c r="Q19" s="11"/>
      <c r="S19" s="11"/>
      <c r="T19" s="11"/>
      <c r="U19" s="189" t="s">
        <v>211</v>
      </c>
      <c r="V19" s="48" t="str">
        <f>K19</f>
        <v>3 кв.2025</v>
      </c>
      <c r="W19" s="44" t="str">
        <f>N19</f>
        <v>4 кв.2025</v>
      </c>
      <c r="X19" s="44"/>
      <c r="Z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2:52">
      <c r="C20" s="33"/>
      <c r="D20" s="40"/>
      <c r="E20" s="10"/>
      <c r="I20" s="324"/>
      <c r="J20" s="144">
        <f>C9</f>
        <v>45869</v>
      </c>
      <c r="K20" s="145">
        <f>EOMONTH(C9,1)</f>
        <v>45900</v>
      </c>
      <c r="L20" s="145">
        <f>EOMONTH(K20,1)</f>
        <v>45930</v>
      </c>
      <c r="M20" s="145">
        <f>EOMONTH(L20,1)</f>
        <v>45961</v>
      </c>
      <c r="N20" s="145">
        <f t="shared" ref="N20:O20" si="1">EOMONTH(M20,1)</f>
        <v>45991</v>
      </c>
      <c r="O20" s="145">
        <f t="shared" si="1"/>
        <v>46022</v>
      </c>
      <c r="P20" s="326"/>
      <c r="Q20" s="11"/>
      <c r="S20" s="11"/>
      <c r="T20" s="11"/>
      <c r="U20" s="23">
        <f>J22</f>
        <v>122050000</v>
      </c>
      <c r="V20" s="92">
        <f>L22</f>
        <v>6610000</v>
      </c>
      <c r="W20" s="23">
        <f>O22</f>
        <v>52340000</v>
      </c>
      <c r="X20" s="23"/>
      <c r="Z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2:52">
      <c r="B21" s="11" t="s">
        <v>142</v>
      </c>
      <c r="C21" s="122">
        <v>0.8</v>
      </c>
      <c r="D21" s="25"/>
      <c r="E21" s="10"/>
      <c r="I21" s="11"/>
      <c r="J21" s="11"/>
      <c r="K21" s="11"/>
      <c r="L21" s="11"/>
      <c r="M21" s="11"/>
      <c r="N21" s="11"/>
      <c r="O21" s="11"/>
      <c r="P21" s="150"/>
      <c r="Q21" s="11"/>
      <c r="S21" s="11"/>
      <c r="T21" s="11"/>
      <c r="V21" s="11"/>
      <c r="Z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2:52">
      <c r="B22" s="11" t="s">
        <v>143</v>
      </c>
      <c r="C22" s="122">
        <v>1</v>
      </c>
      <c r="D22" s="10"/>
      <c r="E22" s="10"/>
      <c r="I22" s="11" t="s">
        <v>163</v>
      </c>
      <c r="J22" s="50">
        <v>122050000</v>
      </c>
      <c r="K22" s="50">
        <v>0</v>
      </c>
      <c r="L22" s="50">
        <v>6610000</v>
      </c>
      <c r="M22" s="50">
        <v>0</v>
      </c>
      <c r="N22" s="50">
        <v>0</v>
      </c>
      <c r="O22" s="50">
        <v>52340000</v>
      </c>
      <c r="P22" s="151">
        <f>-SUM(J22:O22)</f>
        <v>-181000000</v>
      </c>
      <c r="Q22" s="11"/>
      <c r="S22" s="11"/>
      <c r="T22" s="11"/>
      <c r="V22" s="11"/>
      <c r="W22" s="11"/>
      <c r="X22" s="11"/>
      <c r="Y22" s="11"/>
      <c r="Z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2:52">
      <c r="B23" s="11" t="s">
        <v>223</v>
      </c>
      <c r="C23" s="23">
        <f>CHOOSE($C$1,E23,F23,G23)</f>
        <v>3000</v>
      </c>
      <c r="D23" s="10"/>
      <c r="E23" s="17">
        <v>3000</v>
      </c>
      <c r="F23" s="17">
        <v>3500</v>
      </c>
      <c r="G23" s="17">
        <v>2500</v>
      </c>
      <c r="I23" s="11"/>
      <c r="J23" s="11"/>
      <c r="K23" s="11"/>
      <c r="L23" s="11"/>
      <c r="M23" s="11"/>
      <c r="N23" s="11"/>
      <c r="O23" s="11"/>
      <c r="P23" s="151"/>
      <c r="Q23" s="11"/>
      <c r="S23" s="11"/>
      <c r="T23" s="11"/>
      <c r="U23" s="11"/>
      <c r="V23" s="11"/>
      <c r="W23" s="11"/>
      <c r="X23" s="11"/>
      <c r="Y23" s="11"/>
      <c r="Z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2:52">
      <c r="B24" s="11" t="s">
        <v>132</v>
      </c>
      <c r="C24" s="166">
        <f>CHOOSE($C$1,E24,F24,G24)</f>
        <v>7.0000000000000007E-2</v>
      </c>
      <c r="D24" s="10"/>
      <c r="E24" s="122">
        <v>7.0000000000000007E-2</v>
      </c>
      <c r="F24" s="122">
        <v>0.1</v>
      </c>
      <c r="G24" s="122">
        <v>0.05</v>
      </c>
      <c r="I24" s="11" t="s">
        <v>164</v>
      </c>
      <c r="J24" s="50">
        <v>82000000</v>
      </c>
      <c r="K24" s="50">
        <v>0</v>
      </c>
      <c r="L24" s="50">
        <v>70000000</v>
      </c>
      <c r="M24" s="50">
        <v>0</v>
      </c>
      <c r="N24" s="50">
        <v>0</v>
      </c>
      <c r="O24" s="50">
        <v>58000000</v>
      </c>
      <c r="P24" s="151">
        <f>-SUM(J24:O24)</f>
        <v>-210000000</v>
      </c>
      <c r="Q24" s="11"/>
      <c r="S24" s="11"/>
      <c r="T24" s="11"/>
      <c r="U24" s="11"/>
      <c r="V24" s="11"/>
      <c r="W24" s="11"/>
      <c r="X24" s="11"/>
      <c r="Y24" s="11"/>
      <c r="Z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2:52">
      <c r="B25" s="11" t="s">
        <v>134</v>
      </c>
      <c r="C25" s="33">
        <f>EOMONTH(C19,24)</f>
        <v>46934</v>
      </c>
      <c r="D25" s="10"/>
      <c r="E25" s="10"/>
      <c r="I25" s="11"/>
      <c r="J25" s="11"/>
      <c r="K25" s="11"/>
      <c r="L25" s="11"/>
      <c r="M25" s="11"/>
      <c r="N25" s="11"/>
      <c r="O25" s="11"/>
      <c r="P25" s="151"/>
      <c r="Q25" s="11"/>
      <c r="S25" s="11"/>
      <c r="T25" s="11"/>
      <c r="U25" s="11"/>
      <c r="V25" s="11"/>
      <c r="W25" s="11"/>
      <c r="X25" s="11"/>
      <c r="Y25" s="11"/>
      <c r="Z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2:52">
      <c r="C26" s="43"/>
      <c r="D26" s="10"/>
      <c r="E26" s="10"/>
      <c r="I26" s="18" t="s">
        <v>169</v>
      </c>
      <c r="J26" s="147">
        <f>$C$54</f>
        <v>0.27</v>
      </c>
      <c r="K26" s="11"/>
      <c r="L26" s="11"/>
      <c r="M26" s="11"/>
      <c r="N26" s="11"/>
      <c r="O26" s="11"/>
      <c r="P26" s="151"/>
      <c r="Q26" s="11"/>
      <c r="S26" s="11"/>
      <c r="T26" s="11"/>
      <c r="U26" s="11"/>
      <c r="V26" s="11"/>
      <c r="W26" s="11"/>
      <c r="X26" s="11"/>
      <c r="Y26" s="11"/>
      <c r="Z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2:52">
      <c r="B27" s="11" t="s">
        <v>136</v>
      </c>
      <c r="C27" s="17">
        <v>510</v>
      </c>
      <c r="D27" s="10"/>
      <c r="E27" s="10"/>
      <c r="I27" s="11"/>
      <c r="J27" s="11"/>
      <c r="K27" s="11"/>
      <c r="L27" s="11"/>
      <c r="M27" s="11"/>
      <c r="N27" s="11"/>
      <c r="O27" s="11"/>
      <c r="P27" s="151"/>
      <c r="Q27" s="11"/>
      <c r="S27" s="11"/>
      <c r="T27" s="11"/>
      <c r="U27" s="11"/>
      <c r="V27" s="11"/>
      <c r="W27" s="11"/>
      <c r="X27" s="11"/>
      <c r="Y27" s="11"/>
      <c r="Z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2:52">
      <c r="B28" s="11" t="s">
        <v>137</v>
      </c>
      <c r="C28" s="17">
        <f>C7-C27</f>
        <v>200</v>
      </c>
      <c r="D28" s="10"/>
      <c r="E28" s="10"/>
      <c r="I28" s="11" t="s">
        <v>165</v>
      </c>
      <c r="J28" s="50">
        <v>0</v>
      </c>
      <c r="K28" s="23">
        <f>J31</f>
        <v>58750000</v>
      </c>
      <c r="L28" s="23">
        <f>K31</f>
        <v>58750000</v>
      </c>
      <c r="M28" s="23">
        <f t="shared" ref="M28:O28" si="2">L31</f>
        <v>0</v>
      </c>
      <c r="N28" s="23">
        <f t="shared" si="2"/>
        <v>0</v>
      </c>
      <c r="O28" s="23">
        <f t="shared" si="2"/>
        <v>0</v>
      </c>
      <c r="P28" s="151"/>
      <c r="Q28" s="11"/>
      <c r="S28" s="11"/>
      <c r="T28" s="11"/>
      <c r="U28" s="11"/>
      <c r="V28" s="11"/>
      <c r="W28" s="11"/>
      <c r="X28" s="11"/>
      <c r="Y28" s="11"/>
      <c r="Z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2:52">
      <c r="C29" s="17"/>
      <c r="D29" s="10"/>
      <c r="E29" s="10"/>
      <c r="I29" s="140" t="s">
        <v>166</v>
      </c>
      <c r="J29" s="50">
        <f>60000000-50000000*$C$55</f>
        <v>58750000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151">
        <f>-SUM(J29:O29)</f>
        <v>-58750000</v>
      </c>
      <c r="Q29" s="11"/>
      <c r="S29" s="11"/>
      <c r="T29" s="11"/>
      <c r="U29" s="11"/>
      <c r="V29" s="11"/>
      <c r="W29" s="11"/>
      <c r="X29" s="11"/>
      <c r="Y29" s="11"/>
      <c r="Z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2:52">
      <c r="B30" s="11" t="s">
        <v>131</v>
      </c>
      <c r="C30" s="23">
        <v>2500</v>
      </c>
      <c r="D30" s="10"/>
      <c r="E30" s="10"/>
      <c r="I30" s="140" t="s">
        <v>167</v>
      </c>
      <c r="J30" s="50">
        <v>0</v>
      </c>
      <c r="K30" s="114">
        <v>0</v>
      </c>
      <c r="L30" s="82">
        <f>IF(K31=0,0,MAX(-(L24-L22),-L28))-50000000*$C$55</f>
        <v>-60000000</v>
      </c>
      <c r="M30" s="82">
        <f>IF(L31=0,0,MAX(-(M24-M22),-M28))</f>
        <v>0</v>
      </c>
      <c r="N30" s="82">
        <f>IF(M31=0,0,MAX(-(N24-N22),-N28))</f>
        <v>0</v>
      </c>
      <c r="O30" s="82">
        <f t="shared" ref="O30" si="3">IF(N31=0,0,MAX(-(O24-O22),-O28))</f>
        <v>0</v>
      </c>
      <c r="P30" s="151">
        <f>-SUM(J30:O30)</f>
        <v>60000000</v>
      </c>
      <c r="Q30" s="11"/>
      <c r="S30" s="11"/>
      <c r="T30" s="11"/>
      <c r="U30" s="11"/>
      <c r="V30" s="11"/>
      <c r="W30" s="11"/>
      <c r="X30" s="11"/>
      <c r="Y30" s="11"/>
      <c r="Z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2:52" outlineLevel="1">
      <c r="B31" s="127">
        <f>EOMONTH(C19,3)</f>
        <v>46295</v>
      </c>
      <c r="C31" s="128">
        <v>0.4</v>
      </c>
      <c r="D31" s="10"/>
      <c r="F31" s="11"/>
      <c r="I31" s="11" t="s">
        <v>168</v>
      </c>
      <c r="J31" s="23">
        <f>MAX(J28+J29+J30,0)</f>
        <v>58750000</v>
      </c>
      <c r="K31" s="23">
        <f>MAX(K28+K29+K30,0)</f>
        <v>58750000</v>
      </c>
      <c r="L31" s="23">
        <f>MAX(L28+L29+L30,0)</f>
        <v>0</v>
      </c>
      <c r="M31" s="23">
        <f>MAX(M28+M29+M30,0)</f>
        <v>0</v>
      </c>
      <c r="N31" s="23">
        <f>MAX(N28+N29+N30,0)</f>
        <v>0</v>
      </c>
      <c r="O31" s="23">
        <f t="shared" ref="O31" si="4">MAX(O28+O29+O30,0)</f>
        <v>0</v>
      </c>
      <c r="P31" s="151"/>
      <c r="Q31" s="11"/>
      <c r="S31" s="11"/>
      <c r="T31" s="11"/>
      <c r="U31" s="11"/>
      <c r="V31" s="11"/>
      <c r="W31" s="11"/>
      <c r="X31" s="11"/>
      <c r="Y31" s="11"/>
      <c r="Z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2:52" outlineLevel="1">
      <c r="B32" s="127">
        <f>EOMONTH(B31,3)</f>
        <v>46387</v>
      </c>
      <c r="C32" s="129">
        <v>0.56666666666666698</v>
      </c>
      <c r="D32" s="10"/>
      <c r="F32" s="11"/>
      <c r="P32" s="152"/>
      <c r="Q32" s="11"/>
      <c r="S32" s="11"/>
      <c r="T32" s="11"/>
      <c r="U32" s="11"/>
      <c r="V32" s="11"/>
      <c r="W32" s="11"/>
      <c r="X32" s="11"/>
      <c r="Y32" s="11"/>
      <c r="Z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2:52" outlineLevel="1">
      <c r="B33" s="127">
        <f t="shared" ref="B33:B34" si="5">EOMONTH(B32,3)</f>
        <v>46477</v>
      </c>
      <c r="C33" s="129">
        <v>0.7</v>
      </c>
      <c r="D33" s="10"/>
      <c r="F33" s="11"/>
      <c r="I33" s="11" t="s">
        <v>172</v>
      </c>
      <c r="J33" s="50">
        <v>0</v>
      </c>
      <c r="K33" s="82">
        <f>J36</f>
        <v>0</v>
      </c>
      <c r="L33" s="82">
        <f>K36</f>
        <v>1321875.0000000002</v>
      </c>
      <c r="M33" s="82">
        <f>L36</f>
        <v>0</v>
      </c>
      <c r="N33" s="82">
        <f>M36</f>
        <v>0</v>
      </c>
      <c r="O33" s="82">
        <f>N36</f>
        <v>0</v>
      </c>
      <c r="P33" s="153"/>
      <c r="Q33" s="11"/>
      <c r="S33" s="11"/>
      <c r="T33" s="11"/>
      <c r="U33" s="11"/>
      <c r="V33" s="11"/>
      <c r="W33" s="11"/>
      <c r="X33" s="11"/>
      <c r="Y33" s="11"/>
      <c r="Z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2:52" outlineLevel="1">
      <c r="B34" s="127">
        <f t="shared" si="5"/>
        <v>46568</v>
      </c>
      <c r="C34" s="129">
        <v>0.8</v>
      </c>
      <c r="D34" s="10"/>
      <c r="F34" s="11"/>
      <c r="I34" s="140" t="s">
        <v>171</v>
      </c>
      <c r="J34" s="50">
        <v>0</v>
      </c>
      <c r="K34" s="82">
        <f>K28*$J$26/12</f>
        <v>1321875.0000000002</v>
      </c>
      <c r="L34" s="82">
        <f>L28*$J$26/12</f>
        <v>1321875.0000000002</v>
      </c>
      <c r="M34" s="82">
        <f>M28*$J$26/12</f>
        <v>0</v>
      </c>
      <c r="N34" s="82">
        <f>N28*$J$26/12</f>
        <v>0</v>
      </c>
      <c r="O34" s="82">
        <f>O28*$J$26/12</f>
        <v>0</v>
      </c>
      <c r="P34" s="154"/>
      <c r="Q34" s="11"/>
      <c r="S34" s="11"/>
      <c r="T34" s="11"/>
      <c r="U34" s="11"/>
      <c r="V34" s="11"/>
      <c r="W34" s="11"/>
      <c r="X34" s="11"/>
      <c r="Y34" s="11"/>
      <c r="Z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2:52">
      <c r="B35" s="11" t="s">
        <v>145</v>
      </c>
      <c r="C35" s="126">
        <v>0.05</v>
      </c>
      <c r="D35" s="10"/>
      <c r="E35" s="10"/>
      <c r="I35" s="140" t="s">
        <v>167</v>
      </c>
      <c r="J35" s="50">
        <v>0</v>
      </c>
      <c r="K35" s="82">
        <f>IF(K31=0,-SUM(K33:K34),0)</f>
        <v>0</v>
      </c>
      <c r="L35" s="82">
        <f>IF(L31=0,-SUM(L33:L34),0)</f>
        <v>-2643750.0000000005</v>
      </c>
      <c r="M35" s="82">
        <f>IF(M31=0,-SUM(M33:M34),0)</f>
        <v>0</v>
      </c>
      <c r="N35" s="82">
        <f>IF(N31=0,-SUM(N33:N34),0)</f>
        <v>0</v>
      </c>
      <c r="O35" s="82">
        <f>IF(O31=0,-SUM(O33:O34),0)</f>
        <v>0</v>
      </c>
      <c r="P35" s="151">
        <f>-SUM(J35:O35)</f>
        <v>2643750.0000000005</v>
      </c>
      <c r="Q35" s="11"/>
      <c r="S35" s="11"/>
      <c r="T35" s="11"/>
      <c r="U35" s="11"/>
      <c r="V35" s="11"/>
      <c r="W35" s="11"/>
      <c r="X35" s="11"/>
      <c r="Y35" s="11"/>
      <c r="Z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2:52">
      <c r="D36" s="10"/>
      <c r="E36" s="10"/>
      <c r="I36" s="11" t="s">
        <v>173</v>
      </c>
      <c r="J36" s="50">
        <v>0</v>
      </c>
      <c r="K36" s="82">
        <f>K33+K34+K35</f>
        <v>1321875.0000000002</v>
      </c>
      <c r="L36" s="82">
        <f>L33+L34+L35</f>
        <v>0</v>
      </c>
      <c r="M36" s="82">
        <f>M33+M34+M35</f>
        <v>0</v>
      </c>
      <c r="N36" s="82">
        <f>N33+N34+N35</f>
        <v>0</v>
      </c>
      <c r="O36" s="82">
        <f>O33+O34+O35</f>
        <v>0</v>
      </c>
      <c r="P36" s="154"/>
      <c r="Q36" s="11"/>
      <c r="S36" s="11"/>
      <c r="T36" s="11"/>
      <c r="U36" s="11"/>
      <c r="V36" s="11"/>
      <c r="W36" s="11"/>
      <c r="X36" s="11"/>
      <c r="Y36" s="11"/>
      <c r="Z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2:52">
      <c r="B37" s="13" t="s">
        <v>10</v>
      </c>
      <c r="C37" s="14"/>
      <c r="E37" s="10"/>
      <c r="I37" s="11"/>
      <c r="J37" s="11"/>
      <c r="K37" s="11"/>
      <c r="L37" s="11"/>
      <c r="M37" s="11"/>
      <c r="N37" s="11"/>
      <c r="O37" s="11"/>
      <c r="P37" s="155"/>
      <c r="Q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44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2:52">
      <c r="B38" s="11" t="s">
        <v>107</v>
      </c>
      <c r="C38" s="45">
        <v>0</v>
      </c>
      <c r="E38" s="10"/>
      <c r="I38" s="142" t="s">
        <v>174</v>
      </c>
      <c r="J38" s="141"/>
      <c r="K38" s="141"/>
      <c r="L38" s="141"/>
      <c r="M38" s="141"/>
      <c r="N38" s="141"/>
      <c r="O38" s="141"/>
      <c r="P38" s="156"/>
      <c r="Q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44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2:52">
      <c r="B39" s="11" t="s">
        <v>89</v>
      </c>
      <c r="C39" s="23">
        <f>C12*$C$38</f>
        <v>0</v>
      </c>
      <c r="E39" s="10"/>
      <c r="I39" s="11" t="s">
        <v>175</v>
      </c>
      <c r="J39" s="143">
        <v>1</v>
      </c>
      <c r="K39" s="143">
        <v>2</v>
      </c>
      <c r="L39" s="143">
        <v>2</v>
      </c>
      <c r="M39" s="143">
        <v>2</v>
      </c>
      <c r="N39" s="143">
        <v>3</v>
      </c>
      <c r="O39" s="143">
        <v>3</v>
      </c>
      <c r="P39" s="154"/>
      <c r="Q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44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2:52">
      <c r="B40" s="11" t="s">
        <v>106</v>
      </c>
      <c r="C40" s="45">
        <v>0.02</v>
      </c>
      <c r="D40" s="10"/>
      <c r="E40" s="10"/>
      <c r="I40" s="11" t="s">
        <v>81</v>
      </c>
      <c r="J40" s="82">
        <f>$C$73</f>
        <v>10000</v>
      </c>
      <c r="K40" s="23">
        <f>$C$74</f>
        <v>10500</v>
      </c>
      <c r="L40" s="23">
        <f>$C$74</f>
        <v>10500</v>
      </c>
      <c r="M40" s="23">
        <f>$C$74</f>
        <v>10500</v>
      </c>
      <c r="N40" s="23">
        <f>$C$75</f>
        <v>11000</v>
      </c>
      <c r="O40" s="23">
        <f>$C$75</f>
        <v>11000</v>
      </c>
      <c r="P40" s="151">
        <f>P24/P41</f>
        <v>-10427.324706590431</v>
      </c>
      <c r="Q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44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2:52">
      <c r="B41" s="11" t="s">
        <v>91</v>
      </c>
      <c r="C41" s="23">
        <f>C10*$C$40</f>
        <v>1207000</v>
      </c>
      <c r="D41" s="10"/>
      <c r="E41" s="10"/>
      <c r="I41" s="11" t="s">
        <v>176</v>
      </c>
      <c r="J41" s="82">
        <f>J24/J40</f>
        <v>8200</v>
      </c>
      <c r="K41" s="82">
        <f t="shared" ref="K41:N41" si="6">K24/K40</f>
        <v>0</v>
      </c>
      <c r="L41" s="82">
        <f>L24/L40</f>
        <v>6666.666666666667</v>
      </c>
      <c r="M41" s="82">
        <f t="shared" si="6"/>
        <v>0</v>
      </c>
      <c r="N41" s="82">
        <f t="shared" si="6"/>
        <v>0</v>
      </c>
      <c r="O41" s="82">
        <f>O24/O40</f>
        <v>5272.727272727273</v>
      </c>
      <c r="P41" s="157">
        <f>SUM(J41:O41)</f>
        <v>20139.39393939394</v>
      </c>
      <c r="Q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44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2:52">
      <c r="B42" s="11" t="s">
        <v>50</v>
      </c>
      <c r="C42" s="23">
        <f>C43*C7*12</f>
        <v>426000</v>
      </c>
      <c r="D42" s="10"/>
      <c r="E42" s="10"/>
      <c r="Q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44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2:52">
      <c r="B43" s="26" t="s">
        <v>49</v>
      </c>
      <c r="C43" s="49">
        <v>50</v>
      </c>
      <c r="D43" s="10"/>
      <c r="E43" s="23"/>
      <c r="F43" s="23"/>
      <c r="G43" s="23"/>
      <c r="H43" s="23"/>
      <c r="Q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44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2:52">
      <c r="B44" s="32" t="s">
        <v>156</v>
      </c>
      <c r="C44" s="17">
        <v>1200000</v>
      </c>
      <c r="D44" s="10"/>
      <c r="E44" s="23"/>
      <c r="F44" s="23"/>
      <c r="G44" s="23"/>
      <c r="H44" s="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44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2:52">
      <c r="B45" s="46" t="s">
        <v>45</v>
      </c>
      <c r="C45" s="47">
        <f>C39+C41+C42+C44</f>
        <v>2833000</v>
      </c>
      <c r="E45" s="19"/>
      <c r="F45" s="19"/>
      <c r="G45" s="19"/>
      <c r="H45" s="19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44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2:52">
      <c r="B46" s="48" t="s">
        <v>95</v>
      </c>
      <c r="C46" s="17">
        <v>250000</v>
      </c>
      <c r="E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44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2:52">
      <c r="D47" s="10"/>
      <c r="E47" s="10"/>
      <c r="I47" s="203" t="s">
        <v>207</v>
      </c>
      <c r="J47" s="14" t="s">
        <v>209</v>
      </c>
      <c r="K47" s="14" t="s">
        <v>210</v>
      </c>
      <c r="L47" s="14" t="s">
        <v>208</v>
      </c>
      <c r="M47" s="14" t="s">
        <v>205</v>
      </c>
      <c r="N47" s="14" t="s">
        <v>206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2:52">
      <c r="B48" s="13" t="s">
        <v>8</v>
      </c>
      <c r="C48" s="14"/>
      <c r="D48" s="17"/>
      <c r="E48" s="23"/>
      <c r="F48" s="23"/>
      <c r="G48" s="23"/>
      <c r="H48" s="23"/>
      <c r="I48" s="32" t="s">
        <v>220</v>
      </c>
      <c r="J48" s="187">
        <f>$C$6/N48</f>
        <v>22500000</v>
      </c>
      <c r="K48" s="187">
        <f>J48/12</f>
        <v>1875000</v>
      </c>
      <c r="L48" s="187">
        <f>(E23*$C$28+$C$30*$C$27)*12 - C45</f>
        <v>19667000</v>
      </c>
      <c r="M48" s="51">
        <f>L48/$C$6</f>
        <v>0.10865745856353591</v>
      </c>
      <c r="N48" s="193">
        <f>$C$6/(L48+$C$45)</f>
        <v>8.0444444444444443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2:52">
      <c r="B49" s="11" t="s">
        <v>11</v>
      </c>
      <c r="C49" s="39">
        <v>0.05</v>
      </c>
      <c r="D49" s="17"/>
      <c r="E49" s="10"/>
      <c r="I49" s="32" t="s">
        <v>221</v>
      </c>
      <c r="J49" s="187">
        <f>$C$6/N49</f>
        <v>23700000</v>
      </c>
      <c r="K49" s="187">
        <f>J49/12</f>
        <v>1975000</v>
      </c>
      <c r="L49" s="187">
        <f>(F23*$C$28+$C$30*$C$27)*12 - $C$45</f>
        <v>20867000</v>
      </c>
      <c r="M49" s="51">
        <f>L49/$C$6</f>
        <v>0.11528729281767956</v>
      </c>
      <c r="N49" s="193">
        <f>$C$6/(L49+$C$45)</f>
        <v>7.6371308016877641</v>
      </c>
      <c r="R49" s="11"/>
      <c r="S49" s="11"/>
      <c r="T49" s="11"/>
      <c r="U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2:52">
      <c r="B50" s="11" t="s">
        <v>12</v>
      </c>
      <c r="C50" s="39">
        <v>0.01</v>
      </c>
      <c r="D50" s="17"/>
      <c r="E50" s="10"/>
      <c r="I50" s="32" t="s">
        <v>222</v>
      </c>
      <c r="J50" s="187">
        <f>$C$6/N50</f>
        <v>21300000</v>
      </c>
      <c r="K50" s="187">
        <f>J50/12</f>
        <v>1775000</v>
      </c>
      <c r="L50" s="187">
        <f>(G23*$C$28+$C$30*$C$27)*12 - $C$45</f>
        <v>18467000</v>
      </c>
      <c r="M50" s="51">
        <f>L50/$C$6</f>
        <v>0.10202762430939226</v>
      </c>
      <c r="N50" s="193">
        <f>$C$6/(L50+$C$45)</f>
        <v>8.497652582159624</v>
      </c>
      <c r="R50" s="11"/>
      <c r="S50" s="11"/>
      <c r="T50" s="11"/>
      <c r="U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2:52">
      <c r="B51" s="11" t="s">
        <v>109</v>
      </c>
      <c r="C51" s="39">
        <v>0.05</v>
      </c>
      <c r="D51" s="49"/>
      <c r="E51" s="10"/>
      <c r="I51" s="18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2:52">
      <c r="C52" s="45"/>
      <c r="D52" s="50"/>
      <c r="E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2:52">
      <c r="B53" s="13" t="s">
        <v>99</v>
      </c>
      <c r="C53" s="14"/>
      <c r="D53" s="17"/>
      <c r="E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23"/>
      <c r="U53" s="23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2:52">
      <c r="B54" s="11" t="s">
        <v>100</v>
      </c>
      <c r="C54" s="39">
        <v>0.27</v>
      </c>
      <c r="D54" s="17"/>
      <c r="E54" s="39"/>
      <c r="F54" s="39"/>
      <c r="G54" s="39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23"/>
      <c r="U54" s="23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2:52">
      <c r="B55" s="11" t="s">
        <v>101</v>
      </c>
      <c r="C55" s="39">
        <v>2.5000000000000001E-2</v>
      </c>
      <c r="D55" s="10"/>
      <c r="E55" s="39"/>
      <c r="F55" s="39"/>
      <c r="G55" s="39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5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2:52">
      <c r="B56" s="11" t="s">
        <v>103</v>
      </c>
      <c r="C56" s="23">
        <f>J29</f>
        <v>58750000</v>
      </c>
      <c r="D56" s="9"/>
      <c r="E56" s="17"/>
      <c r="F56" s="17"/>
      <c r="G56" s="17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5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2:52">
      <c r="D57" s="9"/>
      <c r="E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50"/>
      <c r="U57" s="50"/>
      <c r="V57" s="5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2:52">
      <c r="B58" s="13" t="s">
        <v>97</v>
      </c>
      <c r="C58" s="14"/>
      <c r="D58" s="10"/>
      <c r="E58" s="14" t="s">
        <v>2</v>
      </c>
      <c r="F58" s="14" t="s">
        <v>113</v>
      </c>
      <c r="G58" s="14" t="s">
        <v>114</v>
      </c>
      <c r="R58" s="23"/>
      <c r="S58" s="23"/>
      <c r="T58" s="23"/>
      <c r="U58" s="23"/>
      <c r="V58" s="23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2:52">
      <c r="B59" s="52" t="s">
        <v>13</v>
      </c>
      <c r="C59" s="53">
        <v>5.9999999999999995E-4</v>
      </c>
      <c r="D59" s="10"/>
      <c r="E59" s="10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2:52">
      <c r="B60" s="52" t="s">
        <v>14</v>
      </c>
      <c r="C60" s="17">
        <v>1000000</v>
      </c>
      <c r="D60" s="10"/>
      <c r="E60" s="10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2:52">
      <c r="B61" s="11" t="s">
        <v>155</v>
      </c>
      <c r="C61" s="164">
        <f>CHOOSE($C$1,E61,F61,G61)</f>
        <v>7.0000000000000007E-2</v>
      </c>
      <c r="D61" s="17"/>
      <c r="E61" s="39">
        <v>7.0000000000000007E-2</v>
      </c>
      <c r="F61" s="39">
        <v>0.1</v>
      </c>
      <c r="G61" s="39">
        <v>0.05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2:52">
      <c r="B62" s="11" t="s">
        <v>123</v>
      </c>
      <c r="C62" s="54">
        <v>0.15</v>
      </c>
      <c r="D62" s="10"/>
      <c r="E62" s="10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2:52">
      <c r="B63" s="11" t="s">
        <v>124</v>
      </c>
      <c r="C63" s="54">
        <v>0.01</v>
      </c>
      <c r="D63" s="10"/>
      <c r="E63" s="10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2:52">
      <c r="B64" s="52" t="s">
        <v>147</v>
      </c>
      <c r="C64" s="23">
        <f>CHOOSE($C$1,E64,F64,G64)</f>
        <v>7000</v>
      </c>
      <c r="D64" s="10"/>
      <c r="E64" s="17">
        <v>7000</v>
      </c>
      <c r="F64" s="17">
        <f>E64+1500</f>
        <v>8500</v>
      </c>
      <c r="G64" s="17">
        <v>6000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2:52">
      <c r="B65" s="11" t="s">
        <v>158</v>
      </c>
      <c r="C65" s="54">
        <v>0.05</v>
      </c>
      <c r="D65" s="10"/>
      <c r="E65" s="10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2:52" s="55" customFormat="1">
      <c r="B66" s="11"/>
      <c r="C66" s="11"/>
      <c r="D66" s="10"/>
      <c r="M66" s="10"/>
      <c r="N66" s="10"/>
      <c r="O66" s="10"/>
    </row>
    <row r="67" spans="2:52">
      <c r="B67" s="13" t="s">
        <v>62</v>
      </c>
      <c r="C67" s="14"/>
      <c r="E67" s="10"/>
      <c r="N67" s="56"/>
      <c r="O67" s="56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2:52">
      <c r="B68" s="57" t="s">
        <v>63</v>
      </c>
      <c r="C68" s="34">
        <v>45853</v>
      </c>
      <c r="D68" s="10"/>
      <c r="E68" s="10"/>
      <c r="N68" s="56"/>
      <c r="O68" s="56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2:52">
      <c r="B69" s="57" t="s">
        <v>64</v>
      </c>
      <c r="C69" s="34">
        <v>45915</v>
      </c>
      <c r="D69" s="33"/>
      <c r="E69" s="10"/>
      <c r="N69" s="56"/>
      <c r="O69" s="56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2:52">
      <c r="B70" s="57" t="s">
        <v>65</v>
      </c>
      <c r="C70" s="34">
        <v>46006</v>
      </c>
      <c r="E70" s="10"/>
      <c r="O70" s="56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2:52">
      <c r="C71" s="51"/>
      <c r="E71" s="10"/>
      <c r="O71" s="56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2:52">
      <c r="B72" s="13" t="s">
        <v>92</v>
      </c>
      <c r="C72" s="38"/>
      <c r="E72" s="10"/>
      <c r="O72" s="56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2:52">
      <c r="B73" s="57" t="s">
        <v>68</v>
      </c>
      <c r="C73" s="58">
        <v>10000</v>
      </c>
      <c r="E73" s="10"/>
      <c r="O73" s="56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2:52">
      <c r="B74" s="57" t="s">
        <v>67</v>
      </c>
      <c r="C74" s="58">
        <f>C73*105%</f>
        <v>10500</v>
      </c>
      <c r="E74" s="59"/>
      <c r="F74" s="59"/>
      <c r="G74" s="59"/>
      <c r="H74" s="59"/>
      <c r="O74" s="56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2:52">
      <c r="B75" s="57" t="s">
        <v>66</v>
      </c>
      <c r="C75" s="58">
        <v>11000</v>
      </c>
      <c r="E75" s="59"/>
      <c r="F75" s="59"/>
      <c r="G75" s="59"/>
      <c r="H75" s="59"/>
      <c r="O75" s="56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2:52">
      <c r="E76" s="59"/>
      <c r="F76" s="59"/>
      <c r="G76" s="59"/>
      <c r="H76" s="59"/>
      <c r="O76" s="56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2:52">
      <c r="B77" s="13" t="s">
        <v>69</v>
      </c>
      <c r="C77" s="38"/>
      <c r="E77" s="10"/>
      <c r="G77" s="59"/>
      <c r="H77" s="59"/>
      <c r="O77" s="56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2:52">
      <c r="B78" s="57" t="s">
        <v>70</v>
      </c>
      <c r="C78" s="59">
        <f>SUM(J41)</f>
        <v>8200</v>
      </c>
      <c r="D78" s="10"/>
      <c r="E78" s="10"/>
      <c r="G78" s="59"/>
      <c r="H78" s="59"/>
      <c r="O78" s="56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2:52">
      <c r="B79" s="57" t="s">
        <v>71</v>
      </c>
      <c r="C79" s="59">
        <f>SUM(K41:M41)</f>
        <v>6666.666666666667</v>
      </c>
      <c r="D79" s="33"/>
      <c r="E79" s="10"/>
      <c r="G79" s="59"/>
      <c r="H79" s="59"/>
      <c r="O79" s="56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2:52">
      <c r="B80" s="57" t="s">
        <v>72</v>
      </c>
      <c r="C80" s="59">
        <f>SUM(N41:O41)</f>
        <v>5272.727272727273</v>
      </c>
      <c r="E80" s="10"/>
      <c r="G80" s="59"/>
      <c r="H80" s="59"/>
      <c r="O80" s="56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>
      <c r="B81" s="46" t="s">
        <v>93</v>
      </c>
      <c r="C81" s="60">
        <f>SUM(C78:C80)</f>
        <v>20139.39393939394</v>
      </c>
      <c r="E81" s="10"/>
      <c r="G81" s="59"/>
      <c r="H81" s="59"/>
      <c r="O81" s="56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>
      <c r="A82" s="61"/>
      <c r="C82" s="51"/>
      <c r="E82" s="10"/>
      <c r="G82" s="59"/>
      <c r="H82" s="59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>
      <c r="B83" s="13" t="s">
        <v>73</v>
      </c>
      <c r="C83" s="38"/>
      <c r="D83" s="10"/>
      <c r="E83" s="10"/>
      <c r="G83" s="59"/>
      <c r="H83" s="59"/>
      <c r="L83" s="11"/>
      <c r="N83" s="56"/>
      <c r="O83" s="56"/>
      <c r="W83" s="11"/>
      <c r="X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>
      <c r="B84" s="57" t="s">
        <v>74</v>
      </c>
      <c r="C84" s="59">
        <f>C73*C78</f>
        <v>82000000</v>
      </c>
      <c r="D84" s="33"/>
      <c r="E84" s="10"/>
      <c r="F84" s="23"/>
      <c r="G84" s="59"/>
      <c r="H84" s="59"/>
      <c r="L84" s="11"/>
      <c r="N84" s="56"/>
      <c r="O84" s="56"/>
      <c r="W84" s="11"/>
      <c r="X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>
      <c r="B85" s="57" t="s">
        <v>75</v>
      </c>
      <c r="C85" s="59">
        <f>C74*C79</f>
        <v>70000000</v>
      </c>
      <c r="E85" s="10"/>
      <c r="G85" s="59"/>
      <c r="H85" s="59"/>
      <c r="L85" s="11"/>
      <c r="N85" s="56"/>
      <c r="O85" s="56"/>
      <c r="W85" s="11"/>
      <c r="X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>
      <c r="B86" s="57" t="s">
        <v>76</v>
      </c>
      <c r="C86" s="59">
        <f>C75*C80</f>
        <v>58000000</v>
      </c>
      <c r="E86" s="10"/>
      <c r="F86" s="23"/>
      <c r="G86" s="59"/>
      <c r="H86" s="59"/>
      <c r="L86" s="11"/>
      <c r="N86" s="56"/>
      <c r="O86" s="56"/>
      <c r="W86" s="11"/>
      <c r="X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>
      <c r="B87" s="46" t="s">
        <v>77</v>
      </c>
      <c r="C87" s="60">
        <f>SUM(C84:C86)</f>
        <v>210000000</v>
      </c>
      <c r="E87" s="10"/>
      <c r="G87" s="59"/>
      <c r="H87" s="59"/>
      <c r="L87" s="11"/>
      <c r="N87" s="56"/>
      <c r="O87" s="56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>
      <c r="E88" s="59"/>
      <c r="F88" s="59"/>
      <c r="G88" s="59"/>
      <c r="H88" s="59"/>
      <c r="O88" s="11"/>
      <c r="Q88" s="56"/>
      <c r="R88" s="56"/>
      <c r="S88" s="23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>
      <c r="A89" s="61"/>
      <c r="E89" s="10"/>
      <c r="G89" s="59"/>
      <c r="H89" s="59"/>
      <c r="O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>
      <c r="B90" s="62" t="s">
        <v>48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>
      <c r="B91" s="11" t="s">
        <v>16</v>
      </c>
      <c r="C91" s="45"/>
      <c r="D91" s="10"/>
      <c r="E91" s="45"/>
      <c r="F91" s="63">
        <f>YEAR(F93)</f>
        <v>2025</v>
      </c>
      <c r="G91" s="63">
        <f>YEAR(G93)</f>
        <v>2025</v>
      </c>
      <c r="H91" s="63">
        <f>YEAR(H93)</f>
        <v>2025</v>
      </c>
      <c r="I91" s="63">
        <f>YEAR(I93)</f>
        <v>2026</v>
      </c>
      <c r="J91" s="63">
        <f t="shared" ref="J91:AD91" si="7">YEAR(J93)</f>
        <v>2026</v>
      </c>
      <c r="K91" s="63">
        <f t="shared" si="7"/>
        <v>2026</v>
      </c>
      <c r="L91" s="63">
        <f t="shared" si="7"/>
        <v>2026</v>
      </c>
      <c r="M91" s="63">
        <f t="shared" si="7"/>
        <v>2027</v>
      </c>
      <c r="N91" s="63">
        <f t="shared" si="7"/>
        <v>2027</v>
      </c>
      <c r="O91" s="63">
        <f t="shared" si="7"/>
        <v>2027</v>
      </c>
      <c r="P91" s="63">
        <f t="shared" si="7"/>
        <v>2027</v>
      </c>
      <c r="Q91" s="63">
        <f t="shared" si="7"/>
        <v>2028</v>
      </c>
      <c r="R91" s="63">
        <f t="shared" si="7"/>
        <v>2028</v>
      </c>
      <c r="S91" s="63">
        <f t="shared" si="7"/>
        <v>2028</v>
      </c>
      <c r="T91" s="63">
        <f t="shared" si="7"/>
        <v>2028</v>
      </c>
      <c r="U91" s="63">
        <f t="shared" si="7"/>
        <v>2029</v>
      </c>
      <c r="V91" s="63">
        <f t="shared" si="7"/>
        <v>2029</v>
      </c>
      <c r="W91" s="63">
        <f t="shared" si="7"/>
        <v>2029</v>
      </c>
      <c r="X91" s="63">
        <f t="shared" si="7"/>
        <v>2029</v>
      </c>
      <c r="Y91" s="63">
        <f t="shared" si="7"/>
        <v>2030</v>
      </c>
      <c r="Z91" s="63">
        <f t="shared" si="7"/>
        <v>2030</v>
      </c>
      <c r="AA91" s="63">
        <f t="shared" si="7"/>
        <v>2030</v>
      </c>
      <c r="AB91" s="63">
        <f t="shared" si="7"/>
        <v>2030</v>
      </c>
      <c r="AC91" s="63">
        <f t="shared" si="7"/>
        <v>2031</v>
      </c>
      <c r="AD91" s="63">
        <f t="shared" si="7"/>
        <v>2031</v>
      </c>
      <c r="AE91" s="63">
        <f t="shared" ref="AE91:AT91" si="8">YEAR(AE93)</f>
        <v>2031</v>
      </c>
      <c r="AF91" s="63">
        <f t="shared" si="8"/>
        <v>2031</v>
      </c>
      <c r="AG91" s="63">
        <f t="shared" si="8"/>
        <v>2032</v>
      </c>
      <c r="AH91" s="63">
        <f t="shared" si="8"/>
        <v>2032</v>
      </c>
      <c r="AI91" s="63">
        <f t="shared" si="8"/>
        <v>2032</v>
      </c>
      <c r="AJ91" s="63">
        <f t="shared" si="8"/>
        <v>2032</v>
      </c>
      <c r="AK91" s="63">
        <f t="shared" si="8"/>
        <v>2033</v>
      </c>
      <c r="AL91" s="63">
        <f t="shared" si="8"/>
        <v>2033</v>
      </c>
      <c r="AM91" s="63">
        <f t="shared" si="8"/>
        <v>2033</v>
      </c>
      <c r="AN91" s="63">
        <f t="shared" si="8"/>
        <v>2033</v>
      </c>
      <c r="AO91" s="63">
        <f t="shared" si="8"/>
        <v>2034</v>
      </c>
      <c r="AP91" s="63">
        <f t="shared" si="8"/>
        <v>2034</v>
      </c>
      <c r="AQ91" s="63">
        <f t="shared" si="8"/>
        <v>2034</v>
      </c>
      <c r="AR91" s="63">
        <f t="shared" si="8"/>
        <v>2034</v>
      </c>
      <c r="AS91" s="63">
        <f t="shared" si="8"/>
        <v>2035</v>
      </c>
      <c r="AT91" s="63">
        <f t="shared" si="8"/>
        <v>2035</v>
      </c>
      <c r="AU91" s="63">
        <f t="shared" ref="AU91:AX91" si="9">YEAR(AU93)</f>
        <v>2035</v>
      </c>
      <c r="AV91" s="63">
        <f t="shared" si="9"/>
        <v>2035</v>
      </c>
      <c r="AW91" s="63">
        <f t="shared" si="9"/>
        <v>2036</v>
      </c>
      <c r="AX91" s="63">
        <f t="shared" si="9"/>
        <v>2036</v>
      </c>
      <c r="AY91" s="63">
        <f t="shared" ref="AY91:AZ91" si="10">YEAR(AY93)</f>
        <v>2036</v>
      </c>
      <c r="AZ91" s="63">
        <f t="shared" si="10"/>
        <v>2036</v>
      </c>
    </row>
    <row r="92" spans="1:52">
      <c r="B92" s="11" t="s">
        <v>17</v>
      </c>
      <c r="C92" s="45"/>
      <c r="D92" s="64"/>
      <c r="E92" s="45"/>
      <c r="F92" s="23" t="s">
        <v>46</v>
      </c>
      <c r="G92" s="23" t="s">
        <v>46</v>
      </c>
      <c r="H92" s="23" t="s">
        <v>18</v>
      </c>
      <c r="I92" s="23" t="s">
        <v>34</v>
      </c>
      <c r="J92" s="23" t="s">
        <v>42</v>
      </c>
      <c r="K92" s="23" t="str">
        <f>G92</f>
        <v>3 кв.</v>
      </c>
      <c r="L92" s="23" t="str">
        <f>H92</f>
        <v>4 кв.</v>
      </c>
      <c r="M92" s="23" t="str">
        <f>I92</f>
        <v>1 кв.</v>
      </c>
      <c r="N92" s="23" t="str">
        <f t="shared" ref="N92:AD92" si="11">J92</f>
        <v>2 кв.</v>
      </c>
      <c r="O92" s="23" t="str">
        <f>K92</f>
        <v>3 кв.</v>
      </c>
      <c r="P92" s="23" t="str">
        <f>L92</f>
        <v>4 кв.</v>
      </c>
      <c r="Q92" s="23" t="str">
        <f>M92</f>
        <v>1 кв.</v>
      </c>
      <c r="R92" s="23" t="str">
        <f>N92</f>
        <v>2 кв.</v>
      </c>
      <c r="S92" s="23" t="str">
        <f t="shared" si="11"/>
        <v>3 кв.</v>
      </c>
      <c r="T92" s="23" t="str">
        <f t="shared" si="11"/>
        <v>4 кв.</v>
      </c>
      <c r="U92" s="23" t="str">
        <f t="shared" si="11"/>
        <v>1 кв.</v>
      </c>
      <c r="V92" s="23" t="str">
        <f t="shared" si="11"/>
        <v>2 кв.</v>
      </c>
      <c r="W92" s="23" t="str">
        <f t="shared" si="11"/>
        <v>3 кв.</v>
      </c>
      <c r="X92" s="23" t="str">
        <f t="shared" si="11"/>
        <v>4 кв.</v>
      </c>
      <c r="Y92" s="23" t="str">
        <f t="shared" si="11"/>
        <v>1 кв.</v>
      </c>
      <c r="Z92" s="23" t="str">
        <f t="shared" si="11"/>
        <v>2 кв.</v>
      </c>
      <c r="AA92" s="23" t="str">
        <f t="shared" si="11"/>
        <v>3 кв.</v>
      </c>
      <c r="AB92" s="23" t="str">
        <f t="shared" si="11"/>
        <v>4 кв.</v>
      </c>
      <c r="AC92" s="23" t="str">
        <f t="shared" si="11"/>
        <v>1 кв.</v>
      </c>
      <c r="AD92" s="23" t="str">
        <f t="shared" si="11"/>
        <v>2 кв.</v>
      </c>
      <c r="AE92" s="23" t="str">
        <f t="shared" ref="AE92" si="12">AA92</f>
        <v>3 кв.</v>
      </c>
      <c r="AF92" s="23" t="str">
        <f t="shared" ref="AF92" si="13">AB92</f>
        <v>4 кв.</v>
      </c>
      <c r="AG92" s="23" t="str">
        <f t="shared" ref="AG92" si="14">AC92</f>
        <v>1 кв.</v>
      </c>
      <c r="AH92" s="23" t="str">
        <f t="shared" ref="AH92" si="15">AD92</f>
        <v>2 кв.</v>
      </c>
      <c r="AI92" s="23" t="str">
        <f t="shared" ref="AI92" si="16">AE92</f>
        <v>3 кв.</v>
      </c>
      <c r="AJ92" s="23" t="str">
        <f t="shared" ref="AJ92" si="17">AF92</f>
        <v>4 кв.</v>
      </c>
      <c r="AK92" s="23" t="str">
        <f t="shared" ref="AK92" si="18">AG92</f>
        <v>1 кв.</v>
      </c>
      <c r="AL92" s="23" t="str">
        <f t="shared" ref="AL92" si="19">AH92</f>
        <v>2 кв.</v>
      </c>
      <c r="AM92" s="23" t="str">
        <f t="shared" ref="AM92" si="20">AI92</f>
        <v>3 кв.</v>
      </c>
      <c r="AN92" s="23" t="str">
        <f t="shared" ref="AN92" si="21">AJ92</f>
        <v>4 кв.</v>
      </c>
      <c r="AO92" s="23" t="str">
        <f t="shared" ref="AO92" si="22">AK92</f>
        <v>1 кв.</v>
      </c>
      <c r="AP92" s="23" t="str">
        <f t="shared" ref="AP92" si="23">AL92</f>
        <v>2 кв.</v>
      </c>
      <c r="AQ92" s="23" t="str">
        <f t="shared" ref="AQ92" si="24">AM92</f>
        <v>3 кв.</v>
      </c>
      <c r="AR92" s="23" t="str">
        <f t="shared" ref="AR92" si="25">AN92</f>
        <v>4 кв.</v>
      </c>
      <c r="AS92" s="23" t="str">
        <f t="shared" ref="AS92" si="26">AO92</f>
        <v>1 кв.</v>
      </c>
      <c r="AT92" s="23" t="str">
        <f t="shared" ref="AT92" si="27">AP92</f>
        <v>2 кв.</v>
      </c>
      <c r="AU92" s="23" t="str">
        <f t="shared" ref="AU92" si="28">AQ92</f>
        <v>3 кв.</v>
      </c>
      <c r="AV92" s="23" t="str">
        <f t="shared" ref="AV92" si="29">AR92</f>
        <v>4 кв.</v>
      </c>
      <c r="AW92" s="23" t="str">
        <f t="shared" ref="AW92" si="30">AS92</f>
        <v>1 кв.</v>
      </c>
      <c r="AX92" s="23" t="str">
        <f t="shared" ref="AX92" si="31">AT92</f>
        <v>2 кв.</v>
      </c>
      <c r="AY92" s="23" t="str">
        <f t="shared" ref="AY92" si="32">AU92</f>
        <v>3 кв.</v>
      </c>
      <c r="AZ92" s="23" t="str">
        <f>AV92</f>
        <v>4 кв.</v>
      </c>
    </row>
    <row r="93" spans="1:52">
      <c r="B93" s="11" t="s">
        <v>35</v>
      </c>
      <c r="C93" s="45"/>
      <c r="E93" s="45"/>
      <c r="F93" s="44">
        <v>45869</v>
      </c>
      <c r="G93" s="44">
        <f>EOMONTH(F93,2)</f>
        <v>45930</v>
      </c>
      <c r="H93" s="44">
        <f>EOMONTH(G93,3)</f>
        <v>46022</v>
      </c>
      <c r="I93" s="44">
        <f>EOMONTH(H93,3)</f>
        <v>46112</v>
      </c>
      <c r="J93" s="44">
        <f>EOMONTH(I93,3)</f>
        <v>46203</v>
      </c>
      <c r="K93" s="44">
        <f t="shared" ref="K93:AD93" si="33">EOMONTH(J93,3)</f>
        <v>46295</v>
      </c>
      <c r="L93" s="44">
        <f t="shared" si="33"/>
        <v>46387</v>
      </c>
      <c r="M93" s="44">
        <f t="shared" si="33"/>
        <v>46477</v>
      </c>
      <c r="N93" s="44">
        <f t="shared" si="33"/>
        <v>46568</v>
      </c>
      <c r="O93" s="44">
        <f>EOMONTH(N93,3)</f>
        <v>46660</v>
      </c>
      <c r="P93" s="44">
        <f t="shared" si="33"/>
        <v>46752</v>
      </c>
      <c r="Q93" s="44">
        <f t="shared" si="33"/>
        <v>46843</v>
      </c>
      <c r="R93" s="44">
        <f t="shared" si="33"/>
        <v>46934</v>
      </c>
      <c r="S93" s="44">
        <f t="shared" si="33"/>
        <v>47026</v>
      </c>
      <c r="T93" s="44">
        <f t="shared" si="33"/>
        <v>47118</v>
      </c>
      <c r="U93" s="44">
        <f t="shared" si="33"/>
        <v>47208</v>
      </c>
      <c r="V93" s="44">
        <f t="shared" si="33"/>
        <v>47299</v>
      </c>
      <c r="W93" s="44">
        <f>EOMONTH(V93,3)</f>
        <v>47391</v>
      </c>
      <c r="X93" s="44">
        <f t="shared" si="33"/>
        <v>47483</v>
      </c>
      <c r="Y93" s="44">
        <f t="shared" si="33"/>
        <v>47573</v>
      </c>
      <c r="Z93" s="44">
        <f t="shared" si="33"/>
        <v>47664</v>
      </c>
      <c r="AA93" s="44">
        <f t="shared" si="33"/>
        <v>47756</v>
      </c>
      <c r="AB93" s="44">
        <f t="shared" si="33"/>
        <v>47848</v>
      </c>
      <c r="AC93" s="44">
        <f t="shared" si="33"/>
        <v>47938</v>
      </c>
      <c r="AD93" s="44">
        <f t="shared" si="33"/>
        <v>48029</v>
      </c>
      <c r="AE93" s="44">
        <f t="shared" ref="AE93" si="34">EOMONTH(AD93,3)</f>
        <v>48121</v>
      </c>
      <c r="AF93" s="44">
        <f t="shared" ref="AF93" si="35">EOMONTH(AE93,3)</f>
        <v>48213</v>
      </c>
      <c r="AG93" s="44">
        <f t="shared" ref="AG93" si="36">EOMONTH(AF93,3)</f>
        <v>48304</v>
      </c>
      <c r="AH93" s="44">
        <f t="shared" ref="AH93" si="37">EOMONTH(AG93,3)</f>
        <v>48395</v>
      </c>
      <c r="AI93" s="44">
        <f t="shared" ref="AI93" si="38">EOMONTH(AH93,3)</f>
        <v>48487</v>
      </c>
      <c r="AJ93" s="44">
        <f t="shared" ref="AJ93" si="39">EOMONTH(AI93,3)</f>
        <v>48579</v>
      </c>
      <c r="AK93" s="44">
        <f t="shared" ref="AK93" si="40">EOMONTH(AJ93,3)</f>
        <v>48669</v>
      </c>
      <c r="AL93" s="44">
        <f t="shared" ref="AL93" si="41">EOMONTH(AK93,3)</f>
        <v>48760</v>
      </c>
      <c r="AM93" s="44">
        <f t="shared" ref="AM93" si="42">EOMONTH(AL93,3)</f>
        <v>48852</v>
      </c>
      <c r="AN93" s="44">
        <f t="shared" ref="AN93" si="43">EOMONTH(AM93,3)</f>
        <v>48944</v>
      </c>
      <c r="AO93" s="44">
        <f t="shared" ref="AO93" si="44">EOMONTH(AN93,3)</f>
        <v>49034</v>
      </c>
      <c r="AP93" s="44">
        <f t="shared" ref="AP93" si="45">EOMONTH(AO93,3)</f>
        <v>49125</v>
      </c>
      <c r="AQ93" s="44">
        <f t="shared" ref="AQ93" si="46">EOMONTH(AP93,3)</f>
        <v>49217</v>
      </c>
      <c r="AR93" s="44">
        <f t="shared" ref="AR93" si="47">EOMONTH(AQ93,3)</f>
        <v>49309</v>
      </c>
      <c r="AS93" s="44">
        <f t="shared" ref="AS93" si="48">EOMONTH(AR93,3)</f>
        <v>49399</v>
      </c>
      <c r="AT93" s="44">
        <f t="shared" ref="AT93" si="49">EOMONTH(AS93,3)</f>
        <v>49490</v>
      </c>
      <c r="AU93" s="44">
        <f t="shared" ref="AU93" si="50">EOMONTH(AT93,3)</f>
        <v>49582</v>
      </c>
      <c r="AV93" s="44">
        <f t="shared" ref="AV93" si="51">EOMONTH(AU93,3)</f>
        <v>49674</v>
      </c>
      <c r="AW93" s="44">
        <f t="shared" ref="AW93" si="52">EOMONTH(AV93,3)</f>
        <v>49765</v>
      </c>
      <c r="AX93" s="44">
        <f t="shared" ref="AX93" si="53">EOMONTH(AW93,3)</f>
        <v>49856</v>
      </c>
      <c r="AY93" s="44">
        <f t="shared" ref="AY93" si="54">EOMONTH(AX93,3)</f>
        <v>49948</v>
      </c>
      <c r="AZ93" s="44">
        <f t="shared" ref="AZ93" si="55">EOMONTH(AY93,3)</f>
        <v>50040</v>
      </c>
    </row>
    <row r="94" spans="1:52">
      <c r="B94" s="11" t="s">
        <v>128</v>
      </c>
      <c r="C94" s="45"/>
      <c r="E94" s="45"/>
      <c r="F94" s="123">
        <f t="shared" ref="F94:AZ94" si="56">IF(F$93&lt;=$C$12,0,1)</f>
        <v>0</v>
      </c>
      <c r="G94" s="123">
        <f>IF(G$93&lt;=$C$12,0,1)</f>
        <v>0</v>
      </c>
      <c r="H94" s="123">
        <f>IF(H$93&lt;=$C$12,0,1)</f>
        <v>0</v>
      </c>
      <c r="I94" s="123">
        <f>IF(I$93&lt;=$C$12,0,1)</f>
        <v>1</v>
      </c>
      <c r="J94" s="123">
        <f t="shared" si="56"/>
        <v>1</v>
      </c>
      <c r="K94" s="123">
        <f t="shared" si="56"/>
        <v>1</v>
      </c>
      <c r="L94" s="123">
        <f t="shared" si="56"/>
        <v>1</v>
      </c>
      <c r="M94" s="123">
        <f t="shared" si="56"/>
        <v>1</v>
      </c>
      <c r="N94" s="123">
        <f t="shared" si="56"/>
        <v>1</v>
      </c>
      <c r="O94" s="123">
        <f t="shared" si="56"/>
        <v>1</v>
      </c>
      <c r="P94" s="123">
        <f t="shared" si="56"/>
        <v>1</v>
      </c>
      <c r="Q94" s="123">
        <f t="shared" si="56"/>
        <v>1</v>
      </c>
      <c r="R94" s="123">
        <f t="shared" si="56"/>
        <v>1</v>
      </c>
      <c r="S94" s="123">
        <f t="shared" si="56"/>
        <v>1</v>
      </c>
      <c r="T94" s="123">
        <f t="shared" si="56"/>
        <v>1</v>
      </c>
      <c r="U94" s="123">
        <f t="shared" si="56"/>
        <v>1</v>
      </c>
      <c r="V94" s="123">
        <f t="shared" si="56"/>
        <v>1</v>
      </c>
      <c r="W94" s="123">
        <f t="shared" si="56"/>
        <v>1</v>
      </c>
      <c r="X94" s="123">
        <f t="shared" si="56"/>
        <v>1</v>
      </c>
      <c r="Y94" s="123">
        <f t="shared" si="56"/>
        <v>1</v>
      </c>
      <c r="Z94" s="123">
        <f t="shared" si="56"/>
        <v>1</v>
      </c>
      <c r="AA94" s="123">
        <f t="shared" si="56"/>
        <v>1</v>
      </c>
      <c r="AB94" s="123">
        <f t="shared" si="56"/>
        <v>1</v>
      </c>
      <c r="AC94" s="123">
        <f t="shared" si="56"/>
        <v>1</v>
      </c>
      <c r="AD94" s="123">
        <f t="shared" si="56"/>
        <v>1</v>
      </c>
      <c r="AE94" s="123">
        <f t="shared" si="56"/>
        <v>1</v>
      </c>
      <c r="AF94" s="123">
        <f t="shared" si="56"/>
        <v>1</v>
      </c>
      <c r="AG94" s="123">
        <f t="shared" si="56"/>
        <v>1</v>
      </c>
      <c r="AH94" s="123">
        <f t="shared" si="56"/>
        <v>1</v>
      </c>
      <c r="AI94" s="123">
        <f t="shared" si="56"/>
        <v>1</v>
      </c>
      <c r="AJ94" s="123">
        <f t="shared" si="56"/>
        <v>1</v>
      </c>
      <c r="AK94" s="123">
        <f t="shared" si="56"/>
        <v>1</v>
      </c>
      <c r="AL94" s="123">
        <f t="shared" si="56"/>
        <v>1</v>
      </c>
      <c r="AM94" s="123">
        <f t="shared" si="56"/>
        <v>1</v>
      </c>
      <c r="AN94" s="123">
        <f t="shared" si="56"/>
        <v>1</v>
      </c>
      <c r="AO94" s="123">
        <f t="shared" si="56"/>
        <v>1</v>
      </c>
      <c r="AP94" s="123">
        <f t="shared" si="56"/>
        <v>1</v>
      </c>
      <c r="AQ94" s="123">
        <f t="shared" si="56"/>
        <v>1</v>
      </c>
      <c r="AR94" s="123">
        <f t="shared" si="56"/>
        <v>1</v>
      </c>
      <c r="AS94" s="123">
        <f t="shared" si="56"/>
        <v>1</v>
      </c>
      <c r="AT94" s="123">
        <f t="shared" si="56"/>
        <v>1</v>
      </c>
      <c r="AU94" s="123">
        <f t="shared" si="56"/>
        <v>1</v>
      </c>
      <c r="AV94" s="123">
        <f t="shared" si="56"/>
        <v>1</v>
      </c>
      <c r="AW94" s="123">
        <f t="shared" si="56"/>
        <v>1</v>
      </c>
      <c r="AX94" s="123">
        <f t="shared" si="56"/>
        <v>1</v>
      </c>
      <c r="AY94" s="123">
        <f t="shared" si="56"/>
        <v>1</v>
      </c>
      <c r="AZ94" s="123">
        <f t="shared" si="56"/>
        <v>1</v>
      </c>
    </row>
    <row r="95" spans="1:52">
      <c r="B95" s="11" t="s">
        <v>129</v>
      </c>
      <c r="C95" s="45"/>
      <c r="E95" s="45"/>
      <c r="F95" s="123">
        <f>IF(F$93&lt;=$C$14,0,1)</f>
        <v>0</v>
      </c>
      <c r="G95" s="123">
        <f t="shared" ref="G95:AZ95" si="57">IF(G$93&lt;=$C$14,0,1)</f>
        <v>0</v>
      </c>
      <c r="H95" s="123">
        <f t="shared" si="57"/>
        <v>0</v>
      </c>
      <c r="I95" s="123">
        <f>IF(I$93&lt;=$C$14,0,1)</f>
        <v>0</v>
      </c>
      <c r="J95" s="123">
        <f>IF(J$93&lt;=$C$14,0,1)</f>
        <v>1</v>
      </c>
      <c r="K95" s="123">
        <f>IF(K$93&lt;=$C$14,0,1)</f>
        <v>1</v>
      </c>
      <c r="L95" s="123">
        <f t="shared" si="57"/>
        <v>1</v>
      </c>
      <c r="M95" s="123">
        <f t="shared" si="57"/>
        <v>1</v>
      </c>
      <c r="N95" s="123">
        <f t="shared" si="57"/>
        <v>1</v>
      </c>
      <c r="O95" s="123">
        <f t="shared" si="57"/>
        <v>1</v>
      </c>
      <c r="P95" s="123">
        <f t="shared" si="57"/>
        <v>1</v>
      </c>
      <c r="Q95" s="123">
        <f t="shared" si="57"/>
        <v>1</v>
      </c>
      <c r="R95" s="123">
        <f t="shared" si="57"/>
        <v>1</v>
      </c>
      <c r="S95" s="123">
        <f t="shared" si="57"/>
        <v>1</v>
      </c>
      <c r="T95" s="123">
        <f t="shared" si="57"/>
        <v>1</v>
      </c>
      <c r="U95" s="123">
        <f t="shared" si="57"/>
        <v>1</v>
      </c>
      <c r="V95" s="123">
        <f t="shared" si="57"/>
        <v>1</v>
      </c>
      <c r="W95" s="123">
        <f t="shared" si="57"/>
        <v>1</v>
      </c>
      <c r="X95" s="123">
        <f t="shared" si="57"/>
        <v>1</v>
      </c>
      <c r="Y95" s="123">
        <f t="shared" si="57"/>
        <v>1</v>
      </c>
      <c r="Z95" s="123">
        <f t="shared" si="57"/>
        <v>1</v>
      </c>
      <c r="AA95" s="123">
        <f t="shared" si="57"/>
        <v>1</v>
      </c>
      <c r="AB95" s="123">
        <f t="shared" si="57"/>
        <v>1</v>
      </c>
      <c r="AC95" s="123">
        <f t="shared" si="57"/>
        <v>1</v>
      </c>
      <c r="AD95" s="123">
        <f t="shared" si="57"/>
        <v>1</v>
      </c>
      <c r="AE95" s="123">
        <f t="shared" si="57"/>
        <v>1</v>
      </c>
      <c r="AF95" s="123">
        <f t="shared" si="57"/>
        <v>1</v>
      </c>
      <c r="AG95" s="123">
        <f t="shared" si="57"/>
        <v>1</v>
      </c>
      <c r="AH95" s="123">
        <f t="shared" si="57"/>
        <v>1</v>
      </c>
      <c r="AI95" s="123">
        <f t="shared" si="57"/>
        <v>1</v>
      </c>
      <c r="AJ95" s="123">
        <f t="shared" si="57"/>
        <v>1</v>
      </c>
      <c r="AK95" s="123">
        <f t="shared" si="57"/>
        <v>1</v>
      </c>
      <c r="AL95" s="123">
        <f t="shared" si="57"/>
        <v>1</v>
      </c>
      <c r="AM95" s="123">
        <f t="shared" si="57"/>
        <v>1</v>
      </c>
      <c r="AN95" s="123">
        <f t="shared" si="57"/>
        <v>1</v>
      </c>
      <c r="AO95" s="123">
        <f t="shared" si="57"/>
        <v>1</v>
      </c>
      <c r="AP95" s="123">
        <f t="shared" si="57"/>
        <v>1</v>
      </c>
      <c r="AQ95" s="123">
        <f t="shared" si="57"/>
        <v>1</v>
      </c>
      <c r="AR95" s="123">
        <f t="shared" si="57"/>
        <v>1</v>
      </c>
      <c r="AS95" s="123">
        <f t="shared" si="57"/>
        <v>1</v>
      </c>
      <c r="AT95" s="123">
        <f t="shared" si="57"/>
        <v>1</v>
      </c>
      <c r="AU95" s="123">
        <f t="shared" si="57"/>
        <v>1</v>
      </c>
      <c r="AV95" s="123">
        <f t="shared" si="57"/>
        <v>1</v>
      </c>
      <c r="AW95" s="123">
        <f t="shared" si="57"/>
        <v>1</v>
      </c>
      <c r="AX95" s="123">
        <f t="shared" si="57"/>
        <v>1</v>
      </c>
      <c r="AY95" s="123">
        <f t="shared" si="57"/>
        <v>1</v>
      </c>
      <c r="AZ95" s="123">
        <f t="shared" si="57"/>
        <v>1</v>
      </c>
    </row>
    <row r="96" spans="1:52">
      <c r="B96" s="11" t="s">
        <v>130</v>
      </c>
      <c r="C96" s="45"/>
      <c r="E96" s="45"/>
      <c r="F96" s="123">
        <f t="shared" ref="F96:AZ96" si="58">IF(F$93&lt;=$C$19,0,1)</f>
        <v>0</v>
      </c>
      <c r="G96" s="123">
        <f t="shared" si="58"/>
        <v>0</v>
      </c>
      <c r="H96" s="123">
        <f t="shared" si="58"/>
        <v>0</v>
      </c>
      <c r="I96" s="123">
        <f>IF(I$93&lt;=$C$19,0,1)</f>
        <v>0</v>
      </c>
      <c r="J96" s="123">
        <f t="shared" si="58"/>
        <v>0</v>
      </c>
      <c r="K96" s="123">
        <f>IF(K$93&lt;=$C$19,0,1)</f>
        <v>1</v>
      </c>
      <c r="L96" s="123">
        <f t="shared" si="58"/>
        <v>1</v>
      </c>
      <c r="M96" s="123">
        <f t="shared" si="58"/>
        <v>1</v>
      </c>
      <c r="N96" s="123">
        <f t="shared" si="58"/>
        <v>1</v>
      </c>
      <c r="O96" s="123">
        <f t="shared" si="58"/>
        <v>1</v>
      </c>
      <c r="P96" s="123">
        <f t="shared" si="58"/>
        <v>1</v>
      </c>
      <c r="Q96" s="123">
        <f t="shared" si="58"/>
        <v>1</v>
      </c>
      <c r="R96" s="123">
        <f t="shared" si="58"/>
        <v>1</v>
      </c>
      <c r="S96" s="123">
        <f t="shared" si="58"/>
        <v>1</v>
      </c>
      <c r="T96" s="123">
        <f t="shared" si="58"/>
        <v>1</v>
      </c>
      <c r="U96" s="123">
        <f t="shared" si="58"/>
        <v>1</v>
      </c>
      <c r="V96" s="123">
        <f t="shared" si="58"/>
        <v>1</v>
      </c>
      <c r="W96" s="123">
        <f t="shared" si="58"/>
        <v>1</v>
      </c>
      <c r="X96" s="123">
        <f t="shared" si="58"/>
        <v>1</v>
      </c>
      <c r="Y96" s="123">
        <f t="shared" si="58"/>
        <v>1</v>
      </c>
      <c r="Z96" s="123">
        <f t="shared" si="58"/>
        <v>1</v>
      </c>
      <c r="AA96" s="123">
        <f t="shared" si="58"/>
        <v>1</v>
      </c>
      <c r="AB96" s="123">
        <f t="shared" si="58"/>
        <v>1</v>
      </c>
      <c r="AC96" s="123">
        <f t="shared" si="58"/>
        <v>1</v>
      </c>
      <c r="AD96" s="123">
        <f t="shared" si="58"/>
        <v>1</v>
      </c>
      <c r="AE96" s="123">
        <f t="shared" si="58"/>
        <v>1</v>
      </c>
      <c r="AF96" s="123">
        <f t="shared" si="58"/>
        <v>1</v>
      </c>
      <c r="AG96" s="123">
        <f t="shared" si="58"/>
        <v>1</v>
      </c>
      <c r="AH96" s="123">
        <f t="shared" si="58"/>
        <v>1</v>
      </c>
      <c r="AI96" s="123">
        <f t="shared" si="58"/>
        <v>1</v>
      </c>
      <c r="AJ96" s="123">
        <f t="shared" si="58"/>
        <v>1</v>
      </c>
      <c r="AK96" s="123">
        <f t="shared" si="58"/>
        <v>1</v>
      </c>
      <c r="AL96" s="123">
        <f t="shared" si="58"/>
        <v>1</v>
      </c>
      <c r="AM96" s="123">
        <f t="shared" si="58"/>
        <v>1</v>
      </c>
      <c r="AN96" s="123">
        <f t="shared" si="58"/>
        <v>1</v>
      </c>
      <c r="AO96" s="123">
        <f t="shared" si="58"/>
        <v>1</v>
      </c>
      <c r="AP96" s="123">
        <f t="shared" si="58"/>
        <v>1</v>
      </c>
      <c r="AQ96" s="123">
        <f t="shared" si="58"/>
        <v>1</v>
      </c>
      <c r="AR96" s="123">
        <f t="shared" si="58"/>
        <v>1</v>
      </c>
      <c r="AS96" s="123">
        <f t="shared" si="58"/>
        <v>1</v>
      </c>
      <c r="AT96" s="123">
        <f t="shared" si="58"/>
        <v>1</v>
      </c>
      <c r="AU96" s="123">
        <f t="shared" si="58"/>
        <v>1</v>
      </c>
      <c r="AV96" s="123">
        <f t="shared" si="58"/>
        <v>1</v>
      </c>
      <c r="AW96" s="123">
        <f t="shared" si="58"/>
        <v>1</v>
      </c>
      <c r="AX96" s="123">
        <f t="shared" si="58"/>
        <v>1</v>
      </c>
      <c r="AY96" s="123">
        <f t="shared" si="58"/>
        <v>1</v>
      </c>
      <c r="AZ96" s="123">
        <f t="shared" si="58"/>
        <v>1</v>
      </c>
    </row>
    <row r="97" spans="2:52">
      <c r="B97" s="11" t="s">
        <v>135</v>
      </c>
      <c r="C97" s="45"/>
      <c r="E97" s="45"/>
      <c r="F97" s="123">
        <f t="shared" ref="F97:AZ97" si="59">IF(F$93&lt;=$C$25,0,1)</f>
        <v>0</v>
      </c>
      <c r="G97" s="123">
        <f t="shared" si="59"/>
        <v>0</v>
      </c>
      <c r="H97" s="123">
        <f t="shared" si="59"/>
        <v>0</v>
      </c>
      <c r="I97" s="123">
        <f>IF(I$93&lt;=$C$25,0,1)</f>
        <v>0</v>
      </c>
      <c r="J97" s="123">
        <f t="shared" si="59"/>
        <v>0</v>
      </c>
      <c r="K97" s="123">
        <f>IF(K$93&lt;=$C$25,0,1)</f>
        <v>0</v>
      </c>
      <c r="L97" s="123">
        <f>IF(L$93&lt;=$C$25,0,1)</f>
        <v>0</v>
      </c>
      <c r="M97" s="123">
        <f t="shared" si="59"/>
        <v>0</v>
      </c>
      <c r="N97" s="123">
        <f t="shared" si="59"/>
        <v>0</v>
      </c>
      <c r="O97" s="123">
        <f t="shared" si="59"/>
        <v>0</v>
      </c>
      <c r="P97" s="123">
        <f>IF(P$93&lt;=$C$25,0,1)</f>
        <v>0</v>
      </c>
      <c r="Q97" s="123">
        <f t="shared" si="59"/>
        <v>0</v>
      </c>
      <c r="R97" s="123">
        <f t="shared" si="59"/>
        <v>0</v>
      </c>
      <c r="S97" s="123">
        <f>IF(S$93&lt;=$C$25,0,1)</f>
        <v>1</v>
      </c>
      <c r="T97" s="123">
        <f t="shared" si="59"/>
        <v>1</v>
      </c>
      <c r="U97" s="123">
        <f t="shared" si="59"/>
        <v>1</v>
      </c>
      <c r="V97" s="123">
        <f t="shared" si="59"/>
        <v>1</v>
      </c>
      <c r="W97" s="123">
        <f t="shared" si="59"/>
        <v>1</v>
      </c>
      <c r="X97" s="123">
        <f t="shared" si="59"/>
        <v>1</v>
      </c>
      <c r="Y97" s="123">
        <f t="shared" si="59"/>
        <v>1</v>
      </c>
      <c r="Z97" s="123">
        <f t="shared" si="59"/>
        <v>1</v>
      </c>
      <c r="AA97" s="123">
        <f t="shared" si="59"/>
        <v>1</v>
      </c>
      <c r="AB97" s="123">
        <f t="shared" si="59"/>
        <v>1</v>
      </c>
      <c r="AC97" s="123">
        <f t="shared" si="59"/>
        <v>1</v>
      </c>
      <c r="AD97" s="123">
        <f t="shared" si="59"/>
        <v>1</v>
      </c>
      <c r="AE97" s="123">
        <f t="shared" si="59"/>
        <v>1</v>
      </c>
      <c r="AF97" s="123">
        <f t="shared" si="59"/>
        <v>1</v>
      </c>
      <c r="AG97" s="123">
        <f t="shared" si="59"/>
        <v>1</v>
      </c>
      <c r="AH97" s="123">
        <f t="shared" si="59"/>
        <v>1</v>
      </c>
      <c r="AI97" s="123">
        <f t="shared" si="59"/>
        <v>1</v>
      </c>
      <c r="AJ97" s="123">
        <f t="shared" si="59"/>
        <v>1</v>
      </c>
      <c r="AK97" s="123">
        <f t="shared" si="59"/>
        <v>1</v>
      </c>
      <c r="AL97" s="123">
        <f t="shared" si="59"/>
        <v>1</v>
      </c>
      <c r="AM97" s="123">
        <f t="shared" si="59"/>
        <v>1</v>
      </c>
      <c r="AN97" s="123">
        <f t="shared" si="59"/>
        <v>1</v>
      </c>
      <c r="AO97" s="123">
        <f t="shared" si="59"/>
        <v>1</v>
      </c>
      <c r="AP97" s="123">
        <f t="shared" si="59"/>
        <v>1</v>
      </c>
      <c r="AQ97" s="123">
        <f t="shared" si="59"/>
        <v>1</v>
      </c>
      <c r="AR97" s="123">
        <f t="shared" si="59"/>
        <v>1</v>
      </c>
      <c r="AS97" s="123">
        <f t="shared" si="59"/>
        <v>1</v>
      </c>
      <c r="AT97" s="123">
        <f t="shared" si="59"/>
        <v>1</v>
      </c>
      <c r="AU97" s="123">
        <f t="shared" si="59"/>
        <v>1</v>
      </c>
      <c r="AV97" s="123">
        <f t="shared" si="59"/>
        <v>1</v>
      </c>
      <c r="AW97" s="123">
        <f t="shared" si="59"/>
        <v>1</v>
      </c>
      <c r="AX97" s="123">
        <f t="shared" si="59"/>
        <v>1</v>
      </c>
      <c r="AY97" s="123">
        <f t="shared" si="59"/>
        <v>1</v>
      </c>
      <c r="AZ97" s="123">
        <f t="shared" si="59"/>
        <v>1</v>
      </c>
    </row>
    <row r="98" spans="2:52" hidden="1">
      <c r="B98" s="11" t="s">
        <v>185</v>
      </c>
      <c r="C98" s="45"/>
      <c r="E98" s="45"/>
      <c r="F98" s="168">
        <v>1</v>
      </c>
      <c r="G98" s="168">
        <v>1</v>
      </c>
      <c r="H98" s="168">
        <v>1</v>
      </c>
      <c r="I98" s="168">
        <v>1</v>
      </c>
      <c r="J98" s="168">
        <v>1</v>
      </c>
      <c r="K98" s="123">
        <f t="shared" ref="K98:R98" si="60">G98+1</f>
        <v>2</v>
      </c>
      <c r="L98" s="123">
        <f t="shared" si="60"/>
        <v>2</v>
      </c>
      <c r="M98" s="123">
        <f t="shared" si="60"/>
        <v>2</v>
      </c>
      <c r="N98" s="123">
        <f t="shared" si="60"/>
        <v>2</v>
      </c>
      <c r="O98" s="123">
        <f t="shared" si="60"/>
        <v>3</v>
      </c>
      <c r="P98" s="123">
        <f t="shared" si="60"/>
        <v>3</v>
      </c>
      <c r="Q98" s="123">
        <f t="shared" si="60"/>
        <v>3</v>
      </c>
      <c r="R98" s="123">
        <f t="shared" si="60"/>
        <v>3</v>
      </c>
      <c r="S98" s="123">
        <f>O98+1</f>
        <v>4</v>
      </c>
      <c r="T98" s="123">
        <f t="shared" ref="T98" si="61">P98+1</f>
        <v>4</v>
      </c>
      <c r="U98" s="123">
        <f t="shared" ref="U98:AZ98" si="62">Q98+1</f>
        <v>4</v>
      </c>
      <c r="V98" s="123">
        <f t="shared" si="62"/>
        <v>4</v>
      </c>
      <c r="W98" s="123">
        <f t="shared" si="62"/>
        <v>5</v>
      </c>
      <c r="X98" s="123">
        <f t="shared" si="62"/>
        <v>5</v>
      </c>
      <c r="Y98" s="123">
        <f t="shared" si="62"/>
        <v>5</v>
      </c>
      <c r="Z98" s="123">
        <f t="shared" si="62"/>
        <v>5</v>
      </c>
      <c r="AA98" s="123">
        <f t="shared" si="62"/>
        <v>6</v>
      </c>
      <c r="AB98" s="123">
        <f t="shared" si="62"/>
        <v>6</v>
      </c>
      <c r="AC98" s="123">
        <f t="shared" si="62"/>
        <v>6</v>
      </c>
      <c r="AD98" s="123">
        <f t="shared" si="62"/>
        <v>6</v>
      </c>
      <c r="AE98" s="123">
        <f t="shared" si="62"/>
        <v>7</v>
      </c>
      <c r="AF98" s="123">
        <f t="shared" si="62"/>
        <v>7</v>
      </c>
      <c r="AG98" s="123">
        <f t="shared" si="62"/>
        <v>7</v>
      </c>
      <c r="AH98" s="123">
        <f t="shared" si="62"/>
        <v>7</v>
      </c>
      <c r="AI98" s="123">
        <f t="shared" si="62"/>
        <v>8</v>
      </c>
      <c r="AJ98" s="123">
        <f t="shared" si="62"/>
        <v>8</v>
      </c>
      <c r="AK98" s="123">
        <f t="shared" si="62"/>
        <v>8</v>
      </c>
      <c r="AL98" s="123">
        <f t="shared" si="62"/>
        <v>8</v>
      </c>
      <c r="AM98" s="123">
        <f t="shared" si="62"/>
        <v>9</v>
      </c>
      <c r="AN98" s="123">
        <f t="shared" si="62"/>
        <v>9</v>
      </c>
      <c r="AO98" s="123">
        <f t="shared" si="62"/>
        <v>9</v>
      </c>
      <c r="AP98" s="123">
        <f t="shared" si="62"/>
        <v>9</v>
      </c>
      <c r="AQ98" s="123">
        <f t="shared" si="62"/>
        <v>10</v>
      </c>
      <c r="AR98" s="123">
        <f t="shared" si="62"/>
        <v>10</v>
      </c>
      <c r="AS98" s="123">
        <f t="shared" si="62"/>
        <v>10</v>
      </c>
      <c r="AT98" s="123">
        <f t="shared" si="62"/>
        <v>10</v>
      </c>
      <c r="AU98" s="123">
        <f t="shared" si="62"/>
        <v>11</v>
      </c>
      <c r="AV98" s="123">
        <f t="shared" si="62"/>
        <v>11</v>
      </c>
      <c r="AW98" s="123">
        <f t="shared" si="62"/>
        <v>11</v>
      </c>
      <c r="AX98" s="123">
        <f t="shared" si="62"/>
        <v>11</v>
      </c>
      <c r="AY98" s="123">
        <f t="shared" si="62"/>
        <v>12</v>
      </c>
      <c r="AZ98" s="123">
        <f t="shared" si="62"/>
        <v>12</v>
      </c>
    </row>
    <row r="99" spans="2:52">
      <c r="C99" s="45"/>
      <c r="E99" s="45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2:52">
      <c r="B100" s="62" t="s">
        <v>140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2:52">
      <c r="B101" s="11" t="s">
        <v>141</v>
      </c>
      <c r="C101" s="45"/>
      <c r="E101" s="45"/>
      <c r="F101" s="124">
        <f t="shared" ref="F101:AZ101" si="63">IF(F$93&lt;=EOMONTH($C$19,12),$C$21,$C$22)*F96</f>
        <v>0</v>
      </c>
      <c r="G101" s="124">
        <f t="shared" si="63"/>
        <v>0</v>
      </c>
      <c r="H101" s="124">
        <f t="shared" si="63"/>
        <v>0</v>
      </c>
      <c r="I101" s="124">
        <f t="shared" si="63"/>
        <v>0</v>
      </c>
      <c r="J101" s="124">
        <f t="shared" si="63"/>
        <v>0</v>
      </c>
      <c r="K101" s="124">
        <f t="shared" si="63"/>
        <v>0.8</v>
      </c>
      <c r="L101" s="124">
        <f t="shared" si="63"/>
        <v>0.8</v>
      </c>
      <c r="M101" s="124">
        <f t="shared" si="63"/>
        <v>0.8</v>
      </c>
      <c r="N101" s="124">
        <f t="shared" si="63"/>
        <v>0.8</v>
      </c>
      <c r="O101" s="124">
        <f t="shared" si="63"/>
        <v>1</v>
      </c>
      <c r="P101" s="124">
        <f t="shared" si="63"/>
        <v>1</v>
      </c>
      <c r="Q101" s="124">
        <f t="shared" si="63"/>
        <v>1</v>
      </c>
      <c r="R101" s="124">
        <f t="shared" si="63"/>
        <v>1</v>
      </c>
      <c r="S101" s="124">
        <f t="shared" si="63"/>
        <v>1</v>
      </c>
      <c r="T101" s="124">
        <f t="shared" si="63"/>
        <v>1</v>
      </c>
      <c r="U101" s="124">
        <f t="shared" si="63"/>
        <v>1</v>
      </c>
      <c r="V101" s="124">
        <f t="shared" si="63"/>
        <v>1</v>
      </c>
      <c r="W101" s="124">
        <f t="shared" si="63"/>
        <v>1</v>
      </c>
      <c r="X101" s="124">
        <f t="shared" si="63"/>
        <v>1</v>
      </c>
      <c r="Y101" s="124">
        <f t="shared" si="63"/>
        <v>1</v>
      </c>
      <c r="Z101" s="124">
        <f t="shared" si="63"/>
        <v>1</v>
      </c>
      <c r="AA101" s="124">
        <f t="shared" si="63"/>
        <v>1</v>
      </c>
      <c r="AB101" s="124">
        <f t="shared" si="63"/>
        <v>1</v>
      </c>
      <c r="AC101" s="124">
        <f t="shared" si="63"/>
        <v>1</v>
      </c>
      <c r="AD101" s="124">
        <f t="shared" si="63"/>
        <v>1</v>
      </c>
      <c r="AE101" s="124">
        <f t="shared" si="63"/>
        <v>1</v>
      </c>
      <c r="AF101" s="124">
        <f t="shared" si="63"/>
        <v>1</v>
      </c>
      <c r="AG101" s="124">
        <f t="shared" si="63"/>
        <v>1</v>
      </c>
      <c r="AH101" s="124">
        <f t="shared" si="63"/>
        <v>1</v>
      </c>
      <c r="AI101" s="124">
        <f t="shared" si="63"/>
        <v>1</v>
      </c>
      <c r="AJ101" s="124">
        <f t="shared" si="63"/>
        <v>1</v>
      </c>
      <c r="AK101" s="124">
        <f t="shared" si="63"/>
        <v>1</v>
      </c>
      <c r="AL101" s="124">
        <f t="shared" si="63"/>
        <v>1</v>
      </c>
      <c r="AM101" s="124">
        <f t="shared" si="63"/>
        <v>1</v>
      </c>
      <c r="AN101" s="124">
        <f t="shared" si="63"/>
        <v>1</v>
      </c>
      <c r="AO101" s="124">
        <f t="shared" si="63"/>
        <v>1</v>
      </c>
      <c r="AP101" s="124">
        <f t="shared" si="63"/>
        <v>1</v>
      </c>
      <c r="AQ101" s="124">
        <f t="shared" si="63"/>
        <v>1</v>
      </c>
      <c r="AR101" s="124">
        <f t="shared" si="63"/>
        <v>1</v>
      </c>
      <c r="AS101" s="124">
        <f t="shared" si="63"/>
        <v>1</v>
      </c>
      <c r="AT101" s="124">
        <f t="shared" si="63"/>
        <v>1</v>
      </c>
      <c r="AU101" s="124">
        <f t="shared" si="63"/>
        <v>1</v>
      </c>
      <c r="AV101" s="124">
        <f t="shared" si="63"/>
        <v>1</v>
      </c>
      <c r="AW101" s="124">
        <f t="shared" si="63"/>
        <v>1</v>
      </c>
      <c r="AX101" s="124">
        <f t="shared" si="63"/>
        <v>1</v>
      </c>
      <c r="AY101" s="124">
        <f t="shared" si="63"/>
        <v>1</v>
      </c>
      <c r="AZ101" s="124">
        <f t="shared" si="63"/>
        <v>1</v>
      </c>
    </row>
    <row r="102" spans="2:52">
      <c r="B102" s="11" t="s">
        <v>133</v>
      </c>
      <c r="C102" s="45"/>
      <c r="E102" s="45"/>
      <c r="F102" s="323">
        <v>1</v>
      </c>
      <c r="G102" s="124">
        <f t="shared" ref="G102:L102" si="64">IF(G$97=1,C102*(1+$C$24),F102)</f>
        <v>1</v>
      </c>
      <c r="H102" s="124">
        <f>IF(H$97=1,D102*(1+$C$24),G102)</f>
        <v>1</v>
      </c>
      <c r="I102" s="124">
        <f t="shared" si="64"/>
        <v>1</v>
      </c>
      <c r="J102" s="124">
        <f t="shared" si="64"/>
        <v>1</v>
      </c>
      <c r="K102" s="124">
        <f t="shared" si="64"/>
        <v>1</v>
      </c>
      <c r="L102" s="124">
        <f t="shared" si="64"/>
        <v>1</v>
      </c>
      <c r="M102" s="124">
        <f t="shared" ref="M102:AZ102" si="65">IF(M$97=1,I102*(1+$C$24),L102)</f>
        <v>1</v>
      </c>
      <c r="N102" s="124">
        <f t="shared" si="65"/>
        <v>1</v>
      </c>
      <c r="O102" s="124">
        <f t="shared" si="65"/>
        <v>1</v>
      </c>
      <c r="P102" s="124">
        <f t="shared" si="65"/>
        <v>1</v>
      </c>
      <c r="Q102" s="124">
        <f t="shared" si="65"/>
        <v>1</v>
      </c>
      <c r="R102" s="124">
        <f t="shared" si="65"/>
        <v>1</v>
      </c>
      <c r="S102" s="124">
        <f t="shared" si="65"/>
        <v>1.07</v>
      </c>
      <c r="T102" s="124">
        <f t="shared" si="65"/>
        <v>1.07</v>
      </c>
      <c r="U102" s="124">
        <f t="shared" si="65"/>
        <v>1.07</v>
      </c>
      <c r="V102" s="124">
        <f t="shared" si="65"/>
        <v>1.07</v>
      </c>
      <c r="W102" s="124">
        <f t="shared" si="65"/>
        <v>1.1449</v>
      </c>
      <c r="X102" s="124">
        <f t="shared" si="65"/>
        <v>1.1449</v>
      </c>
      <c r="Y102" s="124">
        <f t="shared" si="65"/>
        <v>1.1449</v>
      </c>
      <c r="Z102" s="124">
        <f t="shared" si="65"/>
        <v>1.1449</v>
      </c>
      <c r="AA102" s="124">
        <f t="shared" si="65"/>
        <v>1.2250430000000001</v>
      </c>
      <c r="AB102" s="124">
        <f t="shared" si="65"/>
        <v>1.2250430000000001</v>
      </c>
      <c r="AC102" s="124">
        <f t="shared" si="65"/>
        <v>1.2250430000000001</v>
      </c>
      <c r="AD102" s="124">
        <f t="shared" si="65"/>
        <v>1.2250430000000001</v>
      </c>
      <c r="AE102" s="124">
        <f t="shared" si="65"/>
        <v>1.3107960100000002</v>
      </c>
      <c r="AF102" s="124">
        <f t="shared" si="65"/>
        <v>1.3107960100000002</v>
      </c>
      <c r="AG102" s="124">
        <f t="shared" si="65"/>
        <v>1.3107960100000002</v>
      </c>
      <c r="AH102" s="124">
        <f t="shared" si="65"/>
        <v>1.3107960100000002</v>
      </c>
      <c r="AI102" s="124">
        <f t="shared" si="65"/>
        <v>1.4025517307000004</v>
      </c>
      <c r="AJ102" s="124">
        <f t="shared" si="65"/>
        <v>1.4025517307000004</v>
      </c>
      <c r="AK102" s="124">
        <f t="shared" si="65"/>
        <v>1.4025517307000004</v>
      </c>
      <c r="AL102" s="124">
        <f t="shared" si="65"/>
        <v>1.4025517307000004</v>
      </c>
      <c r="AM102" s="124">
        <f t="shared" si="65"/>
        <v>1.5007303518490005</v>
      </c>
      <c r="AN102" s="124">
        <f t="shared" si="65"/>
        <v>1.5007303518490005</v>
      </c>
      <c r="AO102" s="124">
        <f t="shared" si="65"/>
        <v>1.5007303518490005</v>
      </c>
      <c r="AP102" s="124">
        <f t="shared" si="65"/>
        <v>1.5007303518490005</v>
      </c>
      <c r="AQ102" s="124">
        <f t="shared" si="65"/>
        <v>1.6057814764784306</v>
      </c>
      <c r="AR102" s="124">
        <f t="shared" si="65"/>
        <v>1.6057814764784306</v>
      </c>
      <c r="AS102" s="124">
        <f t="shared" si="65"/>
        <v>1.6057814764784306</v>
      </c>
      <c r="AT102" s="124">
        <f t="shared" si="65"/>
        <v>1.6057814764784306</v>
      </c>
      <c r="AU102" s="124">
        <f t="shared" si="65"/>
        <v>1.7181861798319209</v>
      </c>
      <c r="AV102" s="124">
        <f t="shared" si="65"/>
        <v>1.7181861798319209</v>
      </c>
      <c r="AW102" s="124">
        <f t="shared" si="65"/>
        <v>1.7181861798319209</v>
      </c>
      <c r="AX102" s="124">
        <f t="shared" si="65"/>
        <v>1.7181861798319209</v>
      </c>
      <c r="AY102" s="124">
        <f t="shared" si="65"/>
        <v>1.8384592124201555</v>
      </c>
      <c r="AZ102" s="124">
        <f t="shared" si="65"/>
        <v>1.8384592124201555</v>
      </c>
    </row>
    <row r="103" spans="2:52">
      <c r="B103" s="11" t="s">
        <v>139</v>
      </c>
      <c r="C103" s="45"/>
      <c r="E103" s="45"/>
      <c r="F103" s="23">
        <f t="shared" ref="F103:AT103" si="66">F101*$C$23*F102*$C$28</f>
        <v>0</v>
      </c>
      <c r="G103" s="23">
        <f t="shared" si="66"/>
        <v>0</v>
      </c>
      <c r="H103" s="23">
        <f>H101*$C$23*H102*$C$28</f>
        <v>0</v>
      </c>
      <c r="I103" s="23">
        <f t="shared" si="66"/>
        <v>0</v>
      </c>
      <c r="J103" s="23">
        <f t="shared" si="66"/>
        <v>0</v>
      </c>
      <c r="K103" s="23">
        <f>K101*$C$23*K102*$C$28</f>
        <v>480000</v>
      </c>
      <c r="L103" s="23">
        <f t="shared" si="66"/>
        <v>480000</v>
      </c>
      <c r="M103" s="23">
        <f t="shared" si="66"/>
        <v>480000</v>
      </c>
      <c r="N103" s="23">
        <f t="shared" si="66"/>
        <v>480000</v>
      </c>
      <c r="O103" s="23">
        <f>O101*$C$23*O102*$C$28</f>
        <v>600000</v>
      </c>
      <c r="P103" s="23">
        <f t="shared" si="66"/>
        <v>600000</v>
      </c>
      <c r="Q103" s="23">
        <f>Q101*$C$23*Q102*$C$28</f>
        <v>600000</v>
      </c>
      <c r="R103" s="23">
        <f t="shared" si="66"/>
        <v>600000</v>
      </c>
      <c r="S103" s="23">
        <f>S101*$C$23*S102*$C$28</f>
        <v>642000</v>
      </c>
      <c r="T103" s="23">
        <f t="shared" si="66"/>
        <v>642000</v>
      </c>
      <c r="U103" s="23">
        <f t="shared" si="66"/>
        <v>642000</v>
      </c>
      <c r="V103" s="23">
        <f t="shared" si="66"/>
        <v>642000</v>
      </c>
      <c r="W103" s="23">
        <f t="shared" si="66"/>
        <v>686940</v>
      </c>
      <c r="X103" s="23">
        <f t="shared" si="66"/>
        <v>686940</v>
      </c>
      <c r="Y103" s="23">
        <f t="shared" si="66"/>
        <v>686940</v>
      </c>
      <c r="Z103" s="23">
        <f t="shared" si="66"/>
        <v>686940</v>
      </c>
      <c r="AA103" s="23">
        <f t="shared" si="66"/>
        <v>735025.8</v>
      </c>
      <c r="AB103" s="23">
        <f t="shared" si="66"/>
        <v>735025.8</v>
      </c>
      <c r="AC103" s="23">
        <f t="shared" si="66"/>
        <v>735025.8</v>
      </c>
      <c r="AD103" s="23">
        <f t="shared" si="66"/>
        <v>735025.8</v>
      </c>
      <c r="AE103" s="23">
        <f t="shared" si="66"/>
        <v>786477.60600000015</v>
      </c>
      <c r="AF103" s="23">
        <f t="shared" si="66"/>
        <v>786477.60600000015</v>
      </c>
      <c r="AG103" s="23">
        <f t="shared" si="66"/>
        <v>786477.60600000015</v>
      </c>
      <c r="AH103" s="23">
        <f t="shared" si="66"/>
        <v>786477.60600000015</v>
      </c>
      <c r="AI103" s="23">
        <f t="shared" si="66"/>
        <v>841531.03842000023</v>
      </c>
      <c r="AJ103" s="23">
        <f t="shared" si="66"/>
        <v>841531.03842000023</v>
      </c>
      <c r="AK103" s="23">
        <f t="shared" si="66"/>
        <v>841531.03842000023</v>
      </c>
      <c r="AL103" s="23">
        <f t="shared" si="66"/>
        <v>841531.03842000023</v>
      </c>
      <c r="AM103" s="23">
        <f t="shared" si="66"/>
        <v>900438.21110940026</v>
      </c>
      <c r="AN103" s="23">
        <f t="shared" si="66"/>
        <v>900438.21110940026</v>
      </c>
      <c r="AO103" s="23">
        <f t="shared" si="66"/>
        <v>900438.21110940026</v>
      </c>
      <c r="AP103" s="23">
        <f t="shared" si="66"/>
        <v>900438.21110940026</v>
      </c>
      <c r="AQ103" s="23">
        <f t="shared" si="66"/>
        <v>963468.88588705845</v>
      </c>
      <c r="AR103" s="23">
        <f t="shared" si="66"/>
        <v>963468.88588705845</v>
      </c>
      <c r="AS103" s="23">
        <f t="shared" si="66"/>
        <v>963468.88588705845</v>
      </c>
      <c r="AT103" s="23">
        <f t="shared" si="66"/>
        <v>963468.88588705845</v>
      </c>
      <c r="AU103" s="23">
        <f t="shared" ref="AU103:AX103" si="67">AU101*$C$23*AU102*$C$28</f>
        <v>1030911.7078991525</v>
      </c>
      <c r="AV103" s="23">
        <f t="shared" si="67"/>
        <v>1030911.7078991525</v>
      </c>
      <c r="AW103" s="23">
        <f t="shared" si="67"/>
        <v>1030911.7078991525</v>
      </c>
      <c r="AX103" s="23">
        <f t="shared" si="67"/>
        <v>1030911.7078991525</v>
      </c>
      <c r="AY103" s="23">
        <f t="shared" ref="AY103" si="68">AY101*$C$23*AY102*$C$28</f>
        <v>1103075.5274520933</v>
      </c>
      <c r="AZ103" s="23">
        <f t="shared" ref="AZ103" si="69">AZ101*$C$23*AZ102*$C$28</f>
        <v>1103075.5274520933</v>
      </c>
    </row>
    <row r="104" spans="2:52">
      <c r="B104" s="11" t="s">
        <v>144</v>
      </c>
      <c r="C104" s="45"/>
      <c r="E104" s="45"/>
      <c r="F104" s="124">
        <f t="shared" ref="F104:AZ104" si="70">IFERROR(VLOOKUP(F$93,$B$31:$C$34,2,0),100%)*F$96</f>
        <v>0</v>
      </c>
      <c r="G104" s="124">
        <f t="shared" si="70"/>
        <v>0</v>
      </c>
      <c r="H104" s="124">
        <f>IFERROR(VLOOKUP(H$93,$B$31:$C$34,2,0),100%)*H$96</f>
        <v>0</v>
      </c>
      <c r="I104" s="124">
        <f t="shared" si="70"/>
        <v>0</v>
      </c>
      <c r="J104" s="124">
        <f t="shared" si="70"/>
        <v>0</v>
      </c>
      <c r="K104" s="124">
        <f>IFERROR(VLOOKUP(K$93,$B$31:$C$34,2,0),100%)*K$96</f>
        <v>0.4</v>
      </c>
      <c r="L104" s="124">
        <f>IFERROR(VLOOKUP(L$93,$B$31:$C$34,2,0),100%)*L$96</f>
        <v>0.56666666666666698</v>
      </c>
      <c r="M104" s="124">
        <f t="shared" si="70"/>
        <v>0.7</v>
      </c>
      <c r="N104" s="124">
        <f>IFERROR(VLOOKUP(N$93,$B$31:$C$34,2,0),100%)*N$96</f>
        <v>0.8</v>
      </c>
      <c r="O104" s="124">
        <f>IFERROR(VLOOKUP(O$93,$B$31:$C$34,2,0),100%)*O$96</f>
        <v>1</v>
      </c>
      <c r="P104" s="124">
        <f t="shared" si="70"/>
        <v>1</v>
      </c>
      <c r="Q104" s="124">
        <f>IFERROR(VLOOKUP(Q$93,$B$31:$C$34,2,0),100%)*Q$96</f>
        <v>1</v>
      </c>
      <c r="R104" s="124">
        <f t="shared" si="70"/>
        <v>1</v>
      </c>
      <c r="S104" s="124">
        <f t="shared" si="70"/>
        <v>1</v>
      </c>
      <c r="T104" s="124">
        <f t="shared" si="70"/>
        <v>1</v>
      </c>
      <c r="U104" s="124">
        <f t="shared" si="70"/>
        <v>1</v>
      </c>
      <c r="V104" s="124">
        <f t="shared" si="70"/>
        <v>1</v>
      </c>
      <c r="W104" s="124">
        <f t="shared" si="70"/>
        <v>1</v>
      </c>
      <c r="X104" s="124">
        <f t="shared" si="70"/>
        <v>1</v>
      </c>
      <c r="Y104" s="124">
        <f t="shared" si="70"/>
        <v>1</v>
      </c>
      <c r="Z104" s="124">
        <f t="shared" si="70"/>
        <v>1</v>
      </c>
      <c r="AA104" s="124">
        <f t="shared" si="70"/>
        <v>1</v>
      </c>
      <c r="AB104" s="124">
        <f t="shared" si="70"/>
        <v>1</v>
      </c>
      <c r="AC104" s="124">
        <f t="shared" si="70"/>
        <v>1</v>
      </c>
      <c r="AD104" s="124">
        <f t="shared" si="70"/>
        <v>1</v>
      </c>
      <c r="AE104" s="124">
        <f t="shared" si="70"/>
        <v>1</v>
      </c>
      <c r="AF104" s="124">
        <f t="shared" si="70"/>
        <v>1</v>
      </c>
      <c r="AG104" s="124">
        <f t="shared" si="70"/>
        <v>1</v>
      </c>
      <c r="AH104" s="124">
        <f t="shared" si="70"/>
        <v>1</v>
      </c>
      <c r="AI104" s="124">
        <f t="shared" si="70"/>
        <v>1</v>
      </c>
      <c r="AJ104" s="124">
        <f t="shared" si="70"/>
        <v>1</v>
      </c>
      <c r="AK104" s="124">
        <f t="shared" si="70"/>
        <v>1</v>
      </c>
      <c r="AL104" s="124">
        <f t="shared" si="70"/>
        <v>1</v>
      </c>
      <c r="AM104" s="124">
        <f t="shared" si="70"/>
        <v>1</v>
      </c>
      <c r="AN104" s="124">
        <f t="shared" si="70"/>
        <v>1</v>
      </c>
      <c r="AO104" s="124">
        <f t="shared" si="70"/>
        <v>1</v>
      </c>
      <c r="AP104" s="124">
        <f t="shared" si="70"/>
        <v>1</v>
      </c>
      <c r="AQ104" s="124">
        <f t="shared" si="70"/>
        <v>1</v>
      </c>
      <c r="AR104" s="124">
        <f t="shared" si="70"/>
        <v>1</v>
      </c>
      <c r="AS104" s="124">
        <f t="shared" si="70"/>
        <v>1</v>
      </c>
      <c r="AT104" s="124">
        <f t="shared" si="70"/>
        <v>1</v>
      </c>
      <c r="AU104" s="124">
        <f t="shared" si="70"/>
        <v>1</v>
      </c>
      <c r="AV104" s="124">
        <f t="shared" si="70"/>
        <v>1</v>
      </c>
      <c r="AW104" s="124">
        <f t="shared" si="70"/>
        <v>1</v>
      </c>
      <c r="AX104" s="124">
        <f t="shared" si="70"/>
        <v>1</v>
      </c>
      <c r="AY104" s="124">
        <f t="shared" si="70"/>
        <v>1</v>
      </c>
      <c r="AZ104" s="124">
        <f t="shared" si="70"/>
        <v>1</v>
      </c>
    </row>
    <row r="105" spans="2:52">
      <c r="B105" s="11" t="s">
        <v>138</v>
      </c>
      <c r="C105" s="45"/>
      <c r="E105" s="45"/>
      <c r="F105" s="23">
        <f t="shared" ref="F105:AT105" si="71">F104*$C$30*$C$27</f>
        <v>0</v>
      </c>
      <c r="G105" s="23">
        <f t="shared" si="71"/>
        <v>0</v>
      </c>
      <c r="H105" s="23">
        <f>H104*$C$30*$C$27</f>
        <v>0</v>
      </c>
      <c r="I105" s="23">
        <f t="shared" si="71"/>
        <v>0</v>
      </c>
      <c r="J105" s="23">
        <f t="shared" si="71"/>
        <v>0</v>
      </c>
      <c r="K105" s="23">
        <f>K104*$C$30*$C$27</f>
        <v>510000</v>
      </c>
      <c r="L105" s="23">
        <f>L104*$C$30*$C$27</f>
        <v>722500.00000000035</v>
      </c>
      <c r="M105" s="23">
        <f>M104*$C$30*$C$27</f>
        <v>892500</v>
      </c>
      <c r="N105" s="23">
        <f>N104*$C$30*$C$27</f>
        <v>1020000</v>
      </c>
      <c r="O105" s="23">
        <f t="shared" ref="O105:T105" si="72">O104*$C$30*$C$27</f>
        <v>1275000</v>
      </c>
      <c r="P105" s="23">
        <f t="shared" si="72"/>
        <v>1275000</v>
      </c>
      <c r="Q105" s="23">
        <f>Q104*$C$30*$C$27</f>
        <v>1275000</v>
      </c>
      <c r="R105" s="23">
        <f t="shared" si="72"/>
        <v>1275000</v>
      </c>
      <c r="S105" s="23">
        <f>S104*$C$30*$C$27</f>
        <v>1275000</v>
      </c>
      <c r="T105" s="23">
        <f t="shared" si="72"/>
        <v>1275000</v>
      </c>
      <c r="U105" s="23">
        <f t="shared" si="71"/>
        <v>1275000</v>
      </c>
      <c r="V105" s="23">
        <f t="shared" si="71"/>
        <v>1275000</v>
      </c>
      <c r="W105" s="23">
        <f t="shared" si="71"/>
        <v>1275000</v>
      </c>
      <c r="X105" s="23">
        <f t="shared" si="71"/>
        <v>1275000</v>
      </c>
      <c r="Y105" s="23">
        <f t="shared" si="71"/>
        <v>1275000</v>
      </c>
      <c r="Z105" s="23">
        <f t="shared" si="71"/>
        <v>1275000</v>
      </c>
      <c r="AA105" s="23">
        <f t="shared" si="71"/>
        <v>1275000</v>
      </c>
      <c r="AB105" s="23">
        <f t="shared" si="71"/>
        <v>1275000</v>
      </c>
      <c r="AC105" s="23">
        <f t="shared" si="71"/>
        <v>1275000</v>
      </c>
      <c r="AD105" s="23">
        <f t="shared" si="71"/>
        <v>1275000</v>
      </c>
      <c r="AE105" s="23">
        <f t="shared" si="71"/>
        <v>1275000</v>
      </c>
      <c r="AF105" s="23">
        <f t="shared" si="71"/>
        <v>1275000</v>
      </c>
      <c r="AG105" s="23">
        <f t="shared" si="71"/>
        <v>1275000</v>
      </c>
      <c r="AH105" s="23">
        <f t="shared" si="71"/>
        <v>1275000</v>
      </c>
      <c r="AI105" s="23">
        <f t="shared" si="71"/>
        <v>1275000</v>
      </c>
      <c r="AJ105" s="23">
        <f t="shared" si="71"/>
        <v>1275000</v>
      </c>
      <c r="AK105" s="23">
        <f t="shared" si="71"/>
        <v>1275000</v>
      </c>
      <c r="AL105" s="23">
        <f t="shared" si="71"/>
        <v>1275000</v>
      </c>
      <c r="AM105" s="23">
        <f t="shared" si="71"/>
        <v>1275000</v>
      </c>
      <c r="AN105" s="23">
        <f t="shared" si="71"/>
        <v>1275000</v>
      </c>
      <c r="AO105" s="23">
        <f t="shared" si="71"/>
        <v>1275000</v>
      </c>
      <c r="AP105" s="23">
        <f t="shared" si="71"/>
        <v>1275000</v>
      </c>
      <c r="AQ105" s="23">
        <f t="shared" si="71"/>
        <v>1275000</v>
      </c>
      <c r="AR105" s="23">
        <f t="shared" si="71"/>
        <v>1275000</v>
      </c>
      <c r="AS105" s="23">
        <f t="shared" si="71"/>
        <v>1275000</v>
      </c>
      <c r="AT105" s="23">
        <f t="shared" si="71"/>
        <v>1275000</v>
      </c>
      <c r="AU105" s="23">
        <f t="shared" ref="AU105:AX105" si="73">AU104*$C$30*$C$27</f>
        <v>1275000</v>
      </c>
      <c r="AV105" s="23">
        <f t="shared" si="73"/>
        <v>1275000</v>
      </c>
      <c r="AW105" s="23">
        <f t="shared" si="73"/>
        <v>1275000</v>
      </c>
      <c r="AX105" s="23">
        <f t="shared" si="73"/>
        <v>1275000</v>
      </c>
      <c r="AY105" s="23">
        <f t="shared" ref="AY105" si="74">AY104*$C$30*$C$27</f>
        <v>1275000</v>
      </c>
      <c r="AZ105" s="23">
        <f t="shared" ref="AZ105" si="75">AZ104*$C$30*$C$27</f>
        <v>1275000</v>
      </c>
    </row>
    <row r="106" spans="2:52">
      <c r="C106" s="45"/>
      <c r="E106" s="45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</row>
    <row r="107" spans="2:52">
      <c r="B107" s="62" t="s">
        <v>146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2:52">
      <c r="B108" s="11" t="s">
        <v>148</v>
      </c>
      <c r="C108" s="45"/>
      <c r="E108" s="45"/>
      <c r="F108" s="321">
        <f>$C$64</f>
        <v>7000</v>
      </c>
      <c r="G108" s="23">
        <f>F108*(1+(1+$C$61)^(1/4)-1)</f>
        <v>7119.4096750126801</v>
      </c>
      <c r="H108" s="23">
        <f>G108*(1+(1+$C$61)^(1/4)-1)</f>
        <v>7240.8563029520219</v>
      </c>
      <c r="I108" s="23">
        <f>H108*(1+(1+$C$61)^(1/4)-1)</f>
        <v>7364.3746312304529</v>
      </c>
      <c r="J108" s="23">
        <f>I108*(1+(1+$C$61)^(1/4)-1)</f>
        <v>7490.0000000000027</v>
      </c>
      <c r="K108" s="23">
        <f t="shared" ref="K108:S108" si="76">J108*(1+(1+$C$61)^(1/4)-1)</f>
        <v>7617.7683522635698</v>
      </c>
      <c r="L108" s="23">
        <f t="shared" si="76"/>
        <v>7747.7162441586652</v>
      </c>
      <c r="M108" s="23">
        <f t="shared" si="76"/>
        <v>7879.8808554165862</v>
      </c>
      <c r="N108" s="23">
        <f t="shared" si="76"/>
        <v>8014.3000000000047</v>
      </c>
      <c r="O108" s="23">
        <f t="shared" si="76"/>
        <v>8151.0121369220215</v>
      </c>
      <c r="P108" s="23">
        <f t="shared" si="76"/>
        <v>8290.056381249773</v>
      </c>
      <c r="Q108" s="23">
        <f t="shared" si="76"/>
        <v>8431.472515295749</v>
      </c>
      <c r="R108" s="23">
        <f t="shared" si="76"/>
        <v>8575.3010000000068</v>
      </c>
      <c r="S108" s="23">
        <f t="shared" si="76"/>
        <v>8721.5829865065643</v>
      </c>
      <c r="T108" s="23">
        <f t="shared" ref="T108:AZ108" si="77">S108*(1+(1+$C$61)^(1/4)-1)</f>
        <v>8870.3603279372601</v>
      </c>
      <c r="U108" s="23">
        <f t="shared" si="77"/>
        <v>9021.6755913664529</v>
      </c>
      <c r="V108" s="23">
        <f t="shared" si="77"/>
        <v>9175.5720700000093</v>
      </c>
      <c r="W108" s="23">
        <f t="shared" si="77"/>
        <v>9332.0937955620266</v>
      </c>
      <c r="X108" s="23">
        <f t="shared" si="77"/>
        <v>9491.2855508928697</v>
      </c>
      <c r="Y108" s="23">
        <f t="shared" si="77"/>
        <v>9653.1928827621068</v>
      </c>
      <c r="Z108" s="23">
        <f t="shared" si="77"/>
        <v>9817.8621149000119</v>
      </c>
      <c r="AA108" s="23">
        <f t="shared" si="77"/>
        <v>9985.3403612513703</v>
      </c>
      <c r="AB108" s="23">
        <f t="shared" si="77"/>
        <v>10155.675539455373</v>
      </c>
      <c r="AC108" s="23">
        <f t="shared" si="77"/>
        <v>10328.916384555456</v>
      </c>
      <c r="AD108" s="23">
        <f t="shared" si="77"/>
        <v>10505.112462943014</v>
      </c>
      <c r="AE108" s="23">
        <f t="shared" si="77"/>
        <v>10684.314186538968</v>
      </c>
      <c r="AF108" s="23">
        <f t="shared" si="77"/>
        <v>10866.572827217251</v>
      </c>
      <c r="AG108" s="23">
        <f t="shared" si="77"/>
        <v>11051.94053147434</v>
      </c>
      <c r="AH108" s="23">
        <f t="shared" si="77"/>
        <v>11240.470335349028</v>
      </c>
      <c r="AI108" s="23">
        <f t="shared" si="77"/>
        <v>11432.216179596699</v>
      </c>
      <c r="AJ108" s="23">
        <f t="shared" si="77"/>
        <v>11627.232925122462</v>
      </c>
      <c r="AK108" s="23">
        <f t="shared" si="77"/>
        <v>11825.576368677548</v>
      </c>
      <c r="AL108" s="23">
        <f t="shared" si="77"/>
        <v>12027.303258823464</v>
      </c>
      <c r="AM108" s="23">
        <f t="shared" si="77"/>
        <v>12232.471312168471</v>
      </c>
      <c r="AN108" s="23">
        <f t="shared" si="77"/>
        <v>12441.139229881037</v>
      </c>
      <c r="AO108" s="23">
        <f t="shared" si="77"/>
        <v>12653.366714484979</v>
      </c>
      <c r="AP108" s="23">
        <f t="shared" si="77"/>
        <v>12869.214486941109</v>
      </c>
      <c r="AQ108" s="23">
        <f t="shared" si="77"/>
        <v>13088.744304020267</v>
      </c>
      <c r="AR108" s="23">
        <f t="shared" si="77"/>
        <v>13312.018975972713</v>
      </c>
      <c r="AS108" s="23">
        <f t="shared" si="77"/>
        <v>13539.10238449893</v>
      </c>
      <c r="AT108" s="23">
        <f t="shared" si="77"/>
        <v>13770.05950102699</v>
      </c>
      <c r="AU108" s="23">
        <f t="shared" si="77"/>
        <v>14004.956405301689</v>
      </c>
      <c r="AV108" s="23">
        <f t="shared" si="77"/>
        <v>14243.860304290807</v>
      </c>
      <c r="AW108" s="23">
        <f t="shared" si="77"/>
        <v>14486.839551413861</v>
      </c>
      <c r="AX108" s="23">
        <f t="shared" si="77"/>
        <v>14733.963666098884</v>
      </c>
      <c r="AY108" s="23">
        <f t="shared" si="77"/>
        <v>14985.303353672813</v>
      </c>
      <c r="AZ108" s="23">
        <f t="shared" si="77"/>
        <v>15240.930525591168</v>
      </c>
    </row>
    <row r="109" spans="2:52">
      <c r="B109" s="11" t="s">
        <v>149</v>
      </c>
      <c r="C109" s="45"/>
      <c r="E109" s="45"/>
      <c r="F109" s="321">
        <v>2880</v>
      </c>
      <c r="G109" s="23">
        <f>F109</f>
        <v>2880</v>
      </c>
      <c r="H109" s="23">
        <f>G109</f>
        <v>2880</v>
      </c>
      <c r="I109" s="23">
        <f>H109</f>
        <v>2880</v>
      </c>
      <c r="J109" s="23">
        <f>I109</f>
        <v>2880</v>
      </c>
      <c r="K109" s="23">
        <f>J109</f>
        <v>2880</v>
      </c>
      <c r="L109" s="23">
        <f t="shared" ref="L109:AZ109" si="78">K109</f>
        <v>2880</v>
      </c>
      <c r="M109" s="23">
        <f t="shared" si="78"/>
        <v>2880</v>
      </c>
      <c r="N109" s="23">
        <f t="shared" si="78"/>
        <v>2880</v>
      </c>
      <c r="O109" s="23">
        <f t="shared" si="78"/>
        <v>2880</v>
      </c>
      <c r="P109" s="23">
        <f t="shared" si="78"/>
        <v>2880</v>
      </c>
      <c r="Q109" s="23">
        <f t="shared" si="78"/>
        <v>2880</v>
      </c>
      <c r="R109" s="23">
        <f t="shared" si="78"/>
        <v>2880</v>
      </c>
      <c r="S109" s="23">
        <f t="shared" si="78"/>
        <v>2880</v>
      </c>
      <c r="T109" s="23">
        <f t="shared" si="78"/>
        <v>2880</v>
      </c>
      <c r="U109" s="23">
        <f t="shared" si="78"/>
        <v>2880</v>
      </c>
      <c r="V109" s="23">
        <f t="shared" si="78"/>
        <v>2880</v>
      </c>
      <c r="W109" s="23">
        <f t="shared" si="78"/>
        <v>2880</v>
      </c>
      <c r="X109" s="23">
        <f t="shared" si="78"/>
        <v>2880</v>
      </c>
      <c r="Y109" s="23">
        <f t="shared" si="78"/>
        <v>2880</v>
      </c>
      <c r="Z109" s="23">
        <f t="shared" si="78"/>
        <v>2880</v>
      </c>
      <c r="AA109" s="23">
        <f t="shared" si="78"/>
        <v>2880</v>
      </c>
      <c r="AB109" s="23">
        <f t="shared" si="78"/>
        <v>2880</v>
      </c>
      <c r="AC109" s="23">
        <f t="shared" si="78"/>
        <v>2880</v>
      </c>
      <c r="AD109" s="23">
        <f t="shared" si="78"/>
        <v>2880</v>
      </c>
      <c r="AE109" s="23">
        <f t="shared" si="78"/>
        <v>2880</v>
      </c>
      <c r="AF109" s="23">
        <f t="shared" si="78"/>
        <v>2880</v>
      </c>
      <c r="AG109" s="23">
        <f t="shared" si="78"/>
        <v>2880</v>
      </c>
      <c r="AH109" s="23">
        <f t="shared" si="78"/>
        <v>2880</v>
      </c>
      <c r="AI109" s="23">
        <f t="shared" si="78"/>
        <v>2880</v>
      </c>
      <c r="AJ109" s="23">
        <f t="shared" si="78"/>
        <v>2880</v>
      </c>
      <c r="AK109" s="23">
        <f t="shared" si="78"/>
        <v>2880</v>
      </c>
      <c r="AL109" s="23">
        <f t="shared" si="78"/>
        <v>2880</v>
      </c>
      <c r="AM109" s="23">
        <f t="shared" si="78"/>
        <v>2880</v>
      </c>
      <c r="AN109" s="23">
        <f t="shared" si="78"/>
        <v>2880</v>
      </c>
      <c r="AO109" s="23">
        <f t="shared" si="78"/>
        <v>2880</v>
      </c>
      <c r="AP109" s="23">
        <f t="shared" si="78"/>
        <v>2880</v>
      </c>
      <c r="AQ109" s="23">
        <f t="shared" si="78"/>
        <v>2880</v>
      </c>
      <c r="AR109" s="23">
        <f t="shared" si="78"/>
        <v>2880</v>
      </c>
      <c r="AS109" s="23">
        <f t="shared" si="78"/>
        <v>2880</v>
      </c>
      <c r="AT109" s="23">
        <f t="shared" si="78"/>
        <v>2880</v>
      </c>
      <c r="AU109" s="23">
        <f t="shared" si="78"/>
        <v>2880</v>
      </c>
      <c r="AV109" s="23">
        <f t="shared" si="78"/>
        <v>2880</v>
      </c>
      <c r="AW109" s="23">
        <f t="shared" si="78"/>
        <v>2880</v>
      </c>
      <c r="AX109" s="23">
        <f t="shared" si="78"/>
        <v>2880</v>
      </c>
      <c r="AY109" s="23">
        <f t="shared" si="78"/>
        <v>2880</v>
      </c>
      <c r="AZ109" s="23">
        <f t="shared" si="78"/>
        <v>2880</v>
      </c>
    </row>
    <row r="110" spans="2:52" s="41" customFormat="1">
      <c r="B110" s="26" t="s">
        <v>150</v>
      </c>
      <c r="C110" s="130"/>
      <c r="E110" s="130"/>
      <c r="F110" s="322">
        <v>0</v>
      </c>
      <c r="G110" s="131">
        <v>0</v>
      </c>
      <c r="H110" s="131">
        <f>MIN(G110+12.5%*H95,100%)*$F$110</f>
        <v>0</v>
      </c>
      <c r="I110" s="131">
        <f t="shared" ref="I110:S110" si="79">MIN(H110+12.5%*I95,100%)</f>
        <v>0</v>
      </c>
      <c r="J110" s="131">
        <f t="shared" si="79"/>
        <v>0.125</v>
      </c>
      <c r="K110" s="131">
        <f t="shared" si="79"/>
        <v>0.25</v>
      </c>
      <c r="L110" s="131">
        <f t="shared" si="79"/>
        <v>0.375</v>
      </c>
      <c r="M110" s="131">
        <f t="shared" si="79"/>
        <v>0.5</v>
      </c>
      <c r="N110" s="131">
        <f t="shared" si="79"/>
        <v>0.625</v>
      </c>
      <c r="O110" s="131">
        <f t="shared" si="79"/>
        <v>0.75</v>
      </c>
      <c r="P110" s="131">
        <f t="shared" si="79"/>
        <v>0.875</v>
      </c>
      <c r="Q110" s="131">
        <f t="shared" si="79"/>
        <v>1</v>
      </c>
      <c r="R110" s="131">
        <f t="shared" si="79"/>
        <v>1</v>
      </c>
      <c r="S110" s="131">
        <f t="shared" si="79"/>
        <v>1</v>
      </c>
      <c r="T110" s="131">
        <f t="shared" ref="T110:AZ110" si="80">MIN(S110+12.5%*T95,100%)</f>
        <v>1</v>
      </c>
      <c r="U110" s="131">
        <f t="shared" si="80"/>
        <v>1</v>
      </c>
      <c r="V110" s="131">
        <f t="shared" si="80"/>
        <v>1</v>
      </c>
      <c r="W110" s="131">
        <f t="shared" si="80"/>
        <v>1</v>
      </c>
      <c r="X110" s="131">
        <f t="shared" si="80"/>
        <v>1</v>
      </c>
      <c r="Y110" s="131">
        <f t="shared" si="80"/>
        <v>1</v>
      </c>
      <c r="Z110" s="131">
        <f t="shared" si="80"/>
        <v>1</v>
      </c>
      <c r="AA110" s="131">
        <f t="shared" si="80"/>
        <v>1</v>
      </c>
      <c r="AB110" s="131">
        <f t="shared" si="80"/>
        <v>1</v>
      </c>
      <c r="AC110" s="131">
        <f t="shared" si="80"/>
        <v>1</v>
      </c>
      <c r="AD110" s="131">
        <f t="shared" si="80"/>
        <v>1</v>
      </c>
      <c r="AE110" s="131">
        <f t="shared" si="80"/>
        <v>1</v>
      </c>
      <c r="AF110" s="131">
        <f t="shared" si="80"/>
        <v>1</v>
      </c>
      <c r="AG110" s="131">
        <f t="shared" si="80"/>
        <v>1</v>
      </c>
      <c r="AH110" s="131">
        <f t="shared" si="80"/>
        <v>1</v>
      </c>
      <c r="AI110" s="131">
        <f t="shared" si="80"/>
        <v>1</v>
      </c>
      <c r="AJ110" s="131">
        <f t="shared" si="80"/>
        <v>1</v>
      </c>
      <c r="AK110" s="131">
        <f t="shared" si="80"/>
        <v>1</v>
      </c>
      <c r="AL110" s="131">
        <f t="shared" si="80"/>
        <v>1</v>
      </c>
      <c r="AM110" s="131">
        <f t="shared" si="80"/>
        <v>1</v>
      </c>
      <c r="AN110" s="131">
        <f t="shared" si="80"/>
        <v>1</v>
      </c>
      <c r="AO110" s="131">
        <f t="shared" si="80"/>
        <v>1</v>
      </c>
      <c r="AP110" s="131">
        <f t="shared" si="80"/>
        <v>1</v>
      </c>
      <c r="AQ110" s="131">
        <f t="shared" si="80"/>
        <v>1</v>
      </c>
      <c r="AR110" s="131">
        <f t="shared" si="80"/>
        <v>1</v>
      </c>
      <c r="AS110" s="131">
        <f t="shared" si="80"/>
        <v>1</v>
      </c>
      <c r="AT110" s="131">
        <f t="shared" si="80"/>
        <v>1</v>
      </c>
      <c r="AU110" s="131">
        <f t="shared" si="80"/>
        <v>1</v>
      </c>
      <c r="AV110" s="131">
        <f t="shared" si="80"/>
        <v>1</v>
      </c>
      <c r="AW110" s="131">
        <f t="shared" si="80"/>
        <v>1</v>
      </c>
      <c r="AX110" s="131">
        <f t="shared" si="80"/>
        <v>1</v>
      </c>
      <c r="AY110" s="131">
        <f t="shared" si="80"/>
        <v>1</v>
      </c>
      <c r="AZ110" s="131">
        <f t="shared" si="80"/>
        <v>1</v>
      </c>
    </row>
    <row r="111" spans="2:52">
      <c r="B111" s="11" t="s">
        <v>151</v>
      </c>
      <c r="C111" s="45"/>
      <c r="E111" s="45"/>
      <c r="F111" s="321">
        <v>752</v>
      </c>
      <c r="G111" s="23">
        <f>G110*$F$111</f>
        <v>0</v>
      </c>
      <c r="H111" s="23">
        <f>H110*$F$111</f>
        <v>0</v>
      </c>
      <c r="I111" s="23">
        <f t="shared" ref="I111" si="81">I110*$F$111</f>
        <v>0</v>
      </c>
      <c r="J111" s="23">
        <f>J110*$F$111</f>
        <v>94</v>
      </c>
      <c r="K111" s="23">
        <f t="shared" ref="K111:S111" si="82">K110*$F$111</f>
        <v>188</v>
      </c>
      <c r="L111" s="23">
        <f t="shared" si="82"/>
        <v>282</v>
      </c>
      <c r="M111" s="23">
        <f t="shared" si="82"/>
        <v>376</v>
      </c>
      <c r="N111" s="23">
        <f t="shared" si="82"/>
        <v>470</v>
      </c>
      <c r="O111" s="23">
        <f t="shared" si="82"/>
        <v>564</v>
      </c>
      <c r="P111" s="23">
        <f t="shared" si="82"/>
        <v>658</v>
      </c>
      <c r="Q111" s="23">
        <f t="shared" si="82"/>
        <v>752</v>
      </c>
      <c r="R111" s="23">
        <f t="shared" si="82"/>
        <v>752</v>
      </c>
      <c r="S111" s="23">
        <f t="shared" si="82"/>
        <v>752</v>
      </c>
      <c r="T111" s="23">
        <f t="shared" ref="T111" si="83">T110*$F$111</f>
        <v>752</v>
      </c>
      <c r="U111" s="23">
        <f t="shared" ref="U111" si="84">U110*$F$111</f>
        <v>752</v>
      </c>
      <c r="V111" s="23">
        <f t="shared" ref="V111" si="85">V110*$F$111</f>
        <v>752</v>
      </c>
      <c r="W111" s="23">
        <f t="shared" ref="W111" si="86">W110*$F$111</f>
        <v>752</v>
      </c>
      <c r="X111" s="23">
        <f t="shared" ref="X111" si="87">X110*$F$111</f>
        <v>752</v>
      </c>
      <c r="Y111" s="23">
        <f t="shared" ref="Y111" si="88">Y110*$F$111</f>
        <v>752</v>
      </c>
      <c r="Z111" s="23">
        <f t="shared" ref="Z111" si="89">Z110*$F$111</f>
        <v>752</v>
      </c>
      <c r="AA111" s="23">
        <f t="shared" ref="AA111" si="90">AA110*$F$111</f>
        <v>752</v>
      </c>
      <c r="AB111" s="23">
        <f t="shared" ref="AB111" si="91">AB110*$F$111</f>
        <v>752</v>
      </c>
      <c r="AC111" s="23">
        <f t="shared" ref="AC111" si="92">AC110*$F$111</f>
        <v>752</v>
      </c>
      <c r="AD111" s="23">
        <f t="shared" ref="AD111" si="93">AD110*$F$111</f>
        <v>752</v>
      </c>
      <c r="AE111" s="23">
        <f t="shared" ref="AE111" si="94">AE110*$F$111</f>
        <v>752</v>
      </c>
      <c r="AF111" s="23">
        <f t="shared" ref="AF111" si="95">AF110*$F$111</f>
        <v>752</v>
      </c>
      <c r="AG111" s="23">
        <f t="shared" ref="AG111" si="96">AG110*$F$111</f>
        <v>752</v>
      </c>
      <c r="AH111" s="23">
        <f t="shared" ref="AH111" si="97">AH110*$F$111</f>
        <v>752</v>
      </c>
      <c r="AI111" s="23">
        <f t="shared" ref="AI111" si="98">AI110*$F$111</f>
        <v>752</v>
      </c>
      <c r="AJ111" s="23">
        <f t="shared" ref="AJ111" si="99">AJ110*$F$111</f>
        <v>752</v>
      </c>
      <c r="AK111" s="23">
        <f t="shared" ref="AK111" si="100">AK110*$F$111</f>
        <v>752</v>
      </c>
      <c r="AL111" s="23">
        <f t="shared" ref="AL111" si="101">AL110*$F$111</f>
        <v>752</v>
      </c>
      <c r="AM111" s="23">
        <f t="shared" ref="AM111" si="102">AM110*$F$111</f>
        <v>752</v>
      </c>
      <c r="AN111" s="23">
        <f t="shared" ref="AN111" si="103">AN110*$F$111</f>
        <v>752</v>
      </c>
      <c r="AO111" s="23">
        <f t="shared" ref="AO111" si="104">AO110*$F$111</f>
        <v>752</v>
      </c>
      <c r="AP111" s="23">
        <f t="shared" ref="AP111" si="105">AP110*$F$111</f>
        <v>752</v>
      </c>
      <c r="AQ111" s="23">
        <f t="shared" ref="AQ111" si="106">AQ110*$F$111</f>
        <v>752</v>
      </c>
      <c r="AR111" s="23">
        <f t="shared" ref="AR111" si="107">AR110*$F$111</f>
        <v>752</v>
      </c>
      <c r="AS111" s="23">
        <f t="shared" ref="AS111" si="108">AS110*$F$111</f>
        <v>752</v>
      </c>
      <c r="AT111" s="23">
        <f t="shared" ref="AT111" si="109">AT110*$F$111</f>
        <v>752</v>
      </c>
      <c r="AU111" s="23">
        <f t="shared" ref="AU111" si="110">AU110*$F$111</f>
        <v>752</v>
      </c>
      <c r="AV111" s="23">
        <f t="shared" ref="AV111" si="111">AV110*$F$111</f>
        <v>752</v>
      </c>
      <c r="AW111" s="23">
        <f t="shared" ref="AW111" si="112">AW110*$F$111</f>
        <v>752</v>
      </c>
      <c r="AX111" s="23">
        <f t="shared" ref="AX111" si="113">AX110*$F$111</f>
        <v>752</v>
      </c>
      <c r="AY111" s="23">
        <f t="shared" ref="AY111" si="114">AY110*$F$111</f>
        <v>752</v>
      </c>
      <c r="AZ111" s="23">
        <f t="shared" ref="AZ111" si="115">AZ110*$F$111</f>
        <v>752</v>
      </c>
    </row>
    <row r="112" spans="2:52">
      <c r="C112" s="45"/>
      <c r="E112" s="45"/>
      <c r="F112" s="9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</row>
    <row r="113" spans="1:65">
      <c r="B113" s="11" t="s">
        <v>152</v>
      </c>
      <c r="C113" s="45"/>
      <c r="E113" s="45"/>
      <c r="F113" s="45"/>
      <c r="G113" s="23">
        <f>(G109+G111)*G108</f>
        <v>20503899.864036519</v>
      </c>
      <c r="H113" s="23">
        <f>(H109+H111)*H108</f>
        <v>20853666.152501822</v>
      </c>
      <c r="I113" s="23">
        <f t="shared" ref="I113:K113" si="116">(I109+I111)*I108</f>
        <v>21209398.937943704</v>
      </c>
      <c r="J113" s="23">
        <f t="shared" si="116"/>
        <v>22275260.000000007</v>
      </c>
      <c r="K113" s="23">
        <f t="shared" si="116"/>
        <v>23371313.304744631</v>
      </c>
      <c r="L113" s="23">
        <f t="shared" ref="L113:Q113" si="117">(L109+L111)*L108</f>
        <v>24498278.7640297</v>
      </c>
      <c r="M113" s="23">
        <f t="shared" si="117"/>
        <v>25656892.065236405</v>
      </c>
      <c r="N113" s="23">
        <f t="shared" si="117"/>
        <v>26847905.000000015</v>
      </c>
      <c r="O113" s="23">
        <f t="shared" si="117"/>
        <v>28072085.79955944</v>
      </c>
      <c r="P113" s="23">
        <f t="shared" si="117"/>
        <v>29330219.476861697</v>
      </c>
      <c r="Q113" s="23">
        <f t="shared" si="117"/>
        <v>30623108.17555416</v>
      </c>
      <c r="R113" s="23">
        <f t="shared" ref="R113:AZ113" si="118">(R109+R111)*R108</f>
        <v>31145493.232000023</v>
      </c>
      <c r="S113" s="23">
        <f t="shared" si="118"/>
        <v>31676789.406991843</v>
      </c>
      <c r="T113" s="23">
        <f t="shared" si="118"/>
        <v>32217148.711068127</v>
      </c>
      <c r="U113" s="23">
        <f t="shared" si="118"/>
        <v>32766725.747842956</v>
      </c>
      <c r="V113" s="23">
        <f t="shared" si="118"/>
        <v>33325677.758240033</v>
      </c>
      <c r="W113" s="23">
        <f t="shared" si="118"/>
        <v>33894164.665481277</v>
      </c>
      <c r="X113" s="23">
        <f t="shared" si="118"/>
        <v>34472349.120842904</v>
      </c>
      <c r="Y113" s="23">
        <f t="shared" si="118"/>
        <v>35060396.550191969</v>
      </c>
      <c r="Z113" s="23">
        <f t="shared" si="118"/>
        <v>35658475.201316841</v>
      </c>
      <c r="AA113" s="23">
        <f t="shared" si="118"/>
        <v>36266756.192064978</v>
      </c>
      <c r="AB113" s="23">
        <f t="shared" si="118"/>
        <v>36885413.559301913</v>
      </c>
      <c r="AC113" s="23">
        <f t="shared" si="118"/>
        <v>37514624.308705412</v>
      </c>
      <c r="AD113" s="23">
        <f t="shared" si="118"/>
        <v>38154568.465409026</v>
      </c>
      <c r="AE113" s="23">
        <f t="shared" si="118"/>
        <v>38805429.12550953</v>
      </c>
      <c r="AF113" s="23">
        <f t="shared" si="118"/>
        <v>39467392.508453056</v>
      </c>
      <c r="AG113" s="23">
        <f t="shared" si="118"/>
        <v>40140648.0103148</v>
      </c>
      <c r="AH113" s="23">
        <f t="shared" si="118"/>
        <v>40825388.257987671</v>
      </c>
      <c r="AI113" s="23">
        <f t="shared" si="118"/>
        <v>41521809.164295211</v>
      </c>
      <c r="AJ113" s="23">
        <f t="shared" si="118"/>
        <v>42230109.984044783</v>
      </c>
      <c r="AK113" s="23">
        <f t="shared" si="118"/>
        <v>42950493.371036857</v>
      </c>
      <c r="AL113" s="23">
        <f t="shared" si="118"/>
        <v>43683165.436046824</v>
      </c>
      <c r="AM113" s="23">
        <f t="shared" si="118"/>
        <v>44428335.805795886</v>
      </c>
      <c r="AN113" s="23">
        <f t="shared" si="118"/>
        <v>45186217.682927929</v>
      </c>
      <c r="AO113" s="23">
        <f t="shared" si="118"/>
        <v>45957027.907009445</v>
      </c>
      <c r="AP113" s="23">
        <f t="shared" si="118"/>
        <v>46740987.016570106</v>
      </c>
      <c r="AQ113" s="23">
        <f t="shared" si="118"/>
        <v>47538319.312201612</v>
      </c>
      <c r="AR113" s="23">
        <f t="shared" si="118"/>
        <v>48349252.920732893</v>
      </c>
      <c r="AS113" s="23">
        <f t="shared" si="118"/>
        <v>49174019.860500112</v>
      </c>
      <c r="AT113" s="23">
        <f t="shared" si="118"/>
        <v>50012856.107730031</v>
      </c>
      <c r="AU113" s="23">
        <f t="shared" si="118"/>
        <v>50866001.664055735</v>
      </c>
      <c r="AV113" s="23">
        <f t="shared" si="118"/>
        <v>51733700.625184208</v>
      </c>
      <c r="AW113" s="23">
        <f t="shared" si="118"/>
        <v>52616201.250735141</v>
      </c>
      <c r="AX113" s="23">
        <f t="shared" si="118"/>
        <v>53513756.035271145</v>
      </c>
      <c r="AY113" s="23">
        <f t="shared" si="118"/>
        <v>54426621.780539654</v>
      </c>
      <c r="AZ113" s="23">
        <f t="shared" si="118"/>
        <v>55355059.668947123</v>
      </c>
    </row>
    <row r="114" spans="1:65">
      <c r="B114" s="11" t="s">
        <v>154</v>
      </c>
      <c r="C114" s="45"/>
      <c r="E114" s="45"/>
      <c r="F114" s="44"/>
      <c r="G114" s="23">
        <f t="shared" ref="G114:O114" si="119">IF((G113*$C$35-($C$30*$C$27))&lt;0,0,G113*$C$35-($C$30*$C$27))*G$96</f>
        <v>0</v>
      </c>
      <c r="H114" s="23">
        <f t="shared" si="119"/>
        <v>0</v>
      </c>
      <c r="I114" s="23">
        <f t="shared" si="119"/>
        <v>0</v>
      </c>
      <c r="J114" s="23">
        <f t="shared" si="119"/>
        <v>0</v>
      </c>
      <c r="K114" s="23">
        <f t="shared" si="119"/>
        <v>0</v>
      </c>
      <c r="L114" s="23">
        <f t="shared" si="119"/>
        <v>0</v>
      </c>
      <c r="M114" s="23">
        <f>IF((M113*$C$35-($C$30*$C$27))&lt;0,0,M113*$C$35-($C$30*$C$27))*M$96</f>
        <v>7844.6032618202735</v>
      </c>
      <c r="N114" s="23">
        <f t="shared" si="119"/>
        <v>67395.250000000931</v>
      </c>
      <c r="O114" s="23">
        <f t="shared" si="119"/>
        <v>128604.28997797216</v>
      </c>
      <c r="P114" s="23">
        <f t="shared" ref="P114:AZ114" si="120">IF((P113*$C$35-($C$30*$C$27))&lt;0,0,P113*$C$35-($C$30*$C$27))*P$96</f>
        <v>191510.97384308488</v>
      </c>
      <c r="Q114" s="23">
        <f>IF((Q113*$C$35-($C$30*$C$27))&lt;0,0,Q113*$C$35-($C$30*$C$27))*Q$96</f>
        <v>256155.40877770819</v>
      </c>
      <c r="R114" s="23">
        <f t="shared" si="120"/>
        <v>282274.66160000116</v>
      </c>
      <c r="S114" s="23">
        <f t="shared" si="120"/>
        <v>308839.47034959216</v>
      </c>
      <c r="T114" s="23">
        <f t="shared" si="120"/>
        <v>335857.43555340637</v>
      </c>
      <c r="U114" s="23">
        <f t="shared" si="120"/>
        <v>363336.28739214782</v>
      </c>
      <c r="V114" s="23">
        <f t="shared" si="120"/>
        <v>391283.88791200169</v>
      </c>
      <c r="W114" s="23">
        <f t="shared" si="120"/>
        <v>419708.23327406403</v>
      </c>
      <c r="X114" s="23">
        <f t="shared" si="120"/>
        <v>448617.45604214538</v>
      </c>
      <c r="Y114" s="23">
        <f t="shared" si="120"/>
        <v>478019.82750959857</v>
      </c>
      <c r="Z114" s="23">
        <f t="shared" si="120"/>
        <v>507923.76006584219</v>
      </c>
      <c r="AA114" s="23">
        <f t="shared" si="120"/>
        <v>538337.80960324896</v>
      </c>
      <c r="AB114" s="23">
        <f t="shared" si="120"/>
        <v>569270.67796509573</v>
      </c>
      <c r="AC114" s="23">
        <f t="shared" si="120"/>
        <v>600731.21543527069</v>
      </c>
      <c r="AD114" s="23">
        <f t="shared" si="120"/>
        <v>632728.42327045137</v>
      </c>
      <c r="AE114" s="23">
        <f t="shared" si="120"/>
        <v>665271.45627547661</v>
      </c>
      <c r="AF114" s="23">
        <f t="shared" si="120"/>
        <v>698369.62542265281</v>
      </c>
      <c r="AG114" s="23">
        <f t="shared" si="120"/>
        <v>732032.40051574004</v>
      </c>
      <c r="AH114" s="23">
        <f t="shared" si="120"/>
        <v>766269.41289938358</v>
      </c>
      <c r="AI114" s="23">
        <f t="shared" si="120"/>
        <v>801090.45821476076</v>
      </c>
      <c r="AJ114" s="23">
        <f t="shared" si="120"/>
        <v>836505.49920223933</v>
      </c>
      <c r="AK114" s="23">
        <f t="shared" si="120"/>
        <v>872524.66855184315</v>
      </c>
      <c r="AL114" s="23">
        <f t="shared" si="120"/>
        <v>909158.2718023411</v>
      </c>
      <c r="AM114" s="23">
        <f t="shared" si="120"/>
        <v>946416.79028979456</v>
      </c>
      <c r="AN114" s="23">
        <f t="shared" si="120"/>
        <v>984310.88414639654</v>
      </c>
      <c r="AO114" s="23">
        <f t="shared" si="120"/>
        <v>1022851.3953504725</v>
      </c>
      <c r="AP114" s="23">
        <f t="shared" si="120"/>
        <v>1062049.3508285056</v>
      </c>
      <c r="AQ114" s="23">
        <f t="shared" si="120"/>
        <v>1101915.9656100809</v>
      </c>
      <c r="AR114" s="23">
        <f t="shared" si="120"/>
        <v>1142462.6460366449</v>
      </c>
      <c r="AS114" s="23">
        <f t="shared" si="120"/>
        <v>1183700.9930250058</v>
      </c>
      <c r="AT114" s="23">
        <f t="shared" si="120"/>
        <v>1225642.8053865018</v>
      </c>
      <c r="AU114" s="23">
        <f t="shared" si="120"/>
        <v>1268300.0832027867</v>
      </c>
      <c r="AV114" s="23">
        <f t="shared" si="120"/>
        <v>1311685.0312592108</v>
      </c>
      <c r="AW114" s="23">
        <f t="shared" si="120"/>
        <v>1355810.0625367574</v>
      </c>
      <c r="AX114" s="23">
        <f t="shared" si="120"/>
        <v>1400687.8017635574</v>
      </c>
      <c r="AY114" s="23">
        <f t="shared" si="120"/>
        <v>1446331.0890269829</v>
      </c>
      <c r="AZ114" s="23">
        <f t="shared" si="120"/>
        <v>1492752.9834473561</v>
      </c>
      <c r="BD114" s="19"/>
      <c r="BE114" s="19"/>
      <c r="BF114" s="19"/>
      <c r="BG114" s="19"/>
      <c r="BH114" s="19"/>
      <c r="BI114" s="19"/>
      <c r="BJ114" s="19"/>
    </row>
    <row r="115" spans="1:65">
      <c r="D115" s="65"/>
      <c r="E115" s="66"/>
      <c r="F115" s="50" t="s">
        <v>3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C115" s="186">
        <v>1</v>
      </c>
      <c r="BD115" s="186">
        <f t="shared" ref="BD115:BL115" si="121">BC115+1</f>
        <v>2</v>
      </c>
      <c r="BE115" s="186">
        <f t="shared" si="121"/>
        <v>3</v>
      </c>
      <c r="BF115" s="186">
        <f t="shared" si="121"/>
        <v>4</v>
      </c>
      <c r="BG115" s="186">
        <f t="shared" si="121"/>
        <v>5</v>
      </c>
      <c r="BH115" s="186">
        <f t="shared" si="121"/>
        <v>6</v>
      </c>
      <c r="BI115" s="186">
        <f t="shared" si="121"/>
        <v>7</v>
      </c>
      <c r="BJ115" s="186">
        <f t="shared" si="121"/>
        <v>8</v>
      </c>
      <c r="BK115" s="186">
        <f t="shared" si="121"/>
        <v>9</v>
      </c>
      <c r="BL115" s="186">
        <f t="shared" si="121"/>
        <v>10</v>
      </c>
    </row>
    <row r="116" spans="1:65" s="29" customFormat="1">
      <c r="A116" s="18"/>
      <c r="B116" s="169" t="s">
        <v>96</v>
      </c>
      <c r="C116" s="170"/>
      <c r="D116" s="171"/>
      <c r="E116" s="172" t="s">
        <v>2</v>
      </c>
      <c r="F116" s="173" t="str">
        <f t="shared" ref="F116:K116" si="122">F92&amp;F91</f>
        <v>3 кв.2025</v>
      </c>
      <c r="G116" s="170" t="str">
        <f t="shared" si="122"/>
        <v>3 кв.2025</v>
      </c>
      <c r="H116" s="170" t="str">
        <f t="shared" si="122"/>
        <v>4 кв.2025</v>
      </c>
      <c r="I116" s="170" t="str">
        <f t="shared" si="122"/>
        <v>1 кв.2026</v>
      </c>
      <c r="J116" s="170" t="str">
        <f t="shared" si="122"/>
        <v>2 кв.2026</v>
      </c>
      <c r="K116" s="170" t="str">
        <f t="shared" si="122"/>
        <v>3 кв.2026</v>
      </c>
      <c r="L116" s="170" t="str">
        <f t="shared" ref="L116:AD116" si="123">L92&amp;L91</f>
        <v>4 кв.2026</v>
      </c>
      <c r="M116" s="170" t="str">
        <f t="shared" si="123"/>
        <v>1 кв.2027</v>
      </c>
      <c r="N116" s="170" t="str">
        <f t="shared" si="123"/>
        <v>2 кв.2027</v>
      </c>
      <c r="O116" s="170" t="str">
        <f t="shared" si="123"/>
        <v>3 кв.2027</v>
      </c>
      <c r="P116" s="170" t="str">
        <f t="shared" si="123"/>
        <v>4 кв.2027</v>
      </c>
      <c r="Q116" s="170" t="str">
        <f t="shared" si="123"/>
        <v>1 кв.2028</v>
      </c>
      <c r="R116" s="170" t="str">
        <f t="shared" si="123"/>
        <v>2 кв.2028</v>
      </c>
      <c r="S116" s="170" t="str">
        <f t="shared" si="123"/>
        <v>3 кв.2028</v>
      </c>
      <c r="T116" s="170" t="str">
        <f t="shared" si="123"/>
        <v>4 кв.2028</v>
      </c>
      <c r="U116" s="170" t="str">
        <f t="shared" si="123"/>
        <v>1 кв.2029</v>
      </c>
      <c r="V116" s="170" t="str">
        <f t="shared" si="123"/>
        <v>2 кв.2029</v>
      </c>
      <c r="W116" s="170" t="str">
        <f t="shared" si="123"/>
        <v>3 кв.2029</v>
      </c>
      <c r="X116" s="170" t="str">
        <f t="shared" si="123"/>
        <v>4 кв.2029</v>
      </c>
      <c r="Y116" s="170" t="str">
        <f t="shared" si="123"/>
        <v>1 кв.2030</v>
      </c>
      <c r="Z116" s="170" t="str">
        <f t="shared" si="123"/>
        <v>2 кв.2030</v>
      </c>
      <c r="AA116" s="170" t="str">
        <f t="shared" si="123"/>
        <v>3 кв.2030</v>
      </c>
      <c r="AB116" s="170" t="str">
        <f t="shared" si="123"/>
        <v>4 кв.2030</v>
      </c>
      <c r="AC116" s="170" t="str">
        <f t="shared" si="123"/>
        <v>1 кв.2031</v>
      </c>
      <c r="AD116" s="170" t="str">
        <f t="shared" si="123"/>
        <v>2 кв.2031</v>
      </c>
      <c r="AE116" s="170" t="str">
        <f t="shared" ref="AE116:AT116" si="124">AE92&amp;AE91</f>
        <v>3 кв.2031</v>
      </c>
      <c r="AF116" s="170" t="str">
        <f t="shared" si="124"/>
        <v>4 кв.2031</v>
      </c>
      <c r="AG116" s="170" t="str">
        <f t="shared" si="124"/>
        <v>1 кв.2032</v>
      </c>
      <c r="AH116" s="170" t="str">
        <f t="shared" si="124"/>
        <v>2 кв.2032</v>
      </c>
      <c r="AI116" s="170" t="str">
        <f t="shared" si="124"/>
        <v>3 кв.2032</v>
      </c>
      <c r="AJ116" s="170" t="str">
        <f t="shared" si="124"/>
        <v>4 кв.2032</v>
      </c>
      <c r="AK116" s="170" t="str">
        <f t="shared" si="124"/>
        <v>1 кв.2033</v>
      </c>
      <c r="AL116" s="170" t="str">
        <f t="shared" si="124"/>
        <v>2 кв.2033</v>
      </c>
      <c r="AM116" s="170" t="str">
        <f t="shared" si="124"/>
        <v>3 кв.2033</v>
      </c>
      <c r="AN116" s="170" t="str">
        <f t="shared" si="124"/>
        <v>4 кв.2033</v>
      </c>
      <c r="AO116" s="170" t="str">
        <f t="shared" si="124"/>
        <v>1 кв.2034</v>
      </c>
      <c r="AP116" s="170" t="str">
        <f t="shared" si="124"/>
        <v>2 кв.2034</v>
      </c>
      <c r="AQ116" s="170" t="str">
        <f t="shared" si="124"/>
        <v>3 кв.2034</v>
      </c>
      <c r="AR116" s="170" t="str">
        <f t="shared" si="124"/>
        <v>4 кв.2034</v>
      </c>
      <c r="AS116" s="170" t="str">
        <f t="shared" si="124"/>
        <v>1 кв.2035</v>
      </c>
      <c r="AT116" s="170" t="str">
        <f t="shared" si="124"/>
        <v>2 кв.2035</v>
      </c>
      <c r="AU116" s="170" t="str">
        <f t="shared" ref="AU116:AX116" si="125">AU92&amp;AU91</f>
        <v>3 кв.2035</v>
      </c>
      <c r="AV116" s="170" t="str">
        <f t="shared" si="125"/>
        <v>4 кв.2035</v>
      </c>
      <c r="AW116" s="170" t="str">
        <f t="shared" si="125"/>
        <v>1 кв.2036</v>
      </c>
      <c r="AX116" s="170" t="str">
        <f t="shared" si="125"/>
        <v>2 кв.2036</v>
      </c>
      <c r="AY116" s="170" t="str">
        <f t="shared" ref="AY116:AZ116" si="126">AY92&amp;AY91</f>
        <v>3 кв.2036</v>
      </c>
      <c r="AZ116" s="170" t="str">
        <f t="shared" si="126"/>
        <v>4 кв.2036</v>
      </c>
      <c r="BB116" s="169" t="s">
        <v>96</v>
      </c>
      <c r="BC116" s="16" t="s">
        <v>186</v>
      </c>
      <c r="BD116" s="16" t="s">
        <v>187</v>
      </c>
      <c r="BE116" s="16" t="s">
        <v>188</v>
      </c>
      <c r="BF116" s="16" t="s">
        <v>189</v>
      </c>
      <c r="BG116" s="16" t="s">
        <v>190</v>
      </c>
      <c r="BH116" s="16" t="s">
        <v>191</v>
      </c>
      <c r="BI116" s="16" t="s">
        <v>192</v>
      </c>
      <c r="BJ116" s="16" t="s">
        <v>193</v>
      </c>
      <c r="BK116" s="16" t="s">
        <v>194</v>
      </c>
      <c r="BL116" s="16" t="s">
        <v>195</v>
      </c>
      <c r="BM116" s="18"/>
    </row>
    <row r="117" spans="1:65" outlineLevel="1">
      <c r="C117" s="45"/>
      <c r="E117" s="66"/>
      <c r="F117" s="13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</row>
    <row r="118" spans="1:65" s="41" customFormat="1" outlineLevel="1" collapsed="1">
      <c r="B118" s="11" t="s">
        <v>153</v>
      </c>
      <c r="C118" s="68"/>
      <c r="D118" s="68"/>
      <c r="E118" s="69"/>
      <c r="F118" s="293">
        <v>0</v>
      </c>
      <c r="G118" s="294">
        <f t="shared" ref="G118:I118" si="127">(G114+G105)*3</f>
        <v>0</v>
      </c>
      <c r="H118" s="295">
        <f t="shared" si="127"/>
        <v>0</v>
      </c>
      <c r="I118" s="295">
        <f t="shared" si="127"/>
        <v>0</v>
      </c>
      <c r="J118" s="295">
        <f t="shared" ref="J118:O118" si="128">(J114+J105)*3</f>
        <v>0</v>
      </c>
      <c r="K118" s="295">
        <f t="shared" si="128"/>
        <v>1530000</v>
      </c>
      <c r="L118" s="295">
        <f t="shared" si="128"/>
        <v>2167500.0000000009</v>
      </c>
      <c r="M118" s="295">
        <f t="shared" si="128"/>
        <v>2701033.8097854611</v>
      </c>
      <c r="N118" s="295">
        <f t="shared" si="128"/>
        <v>3262185.7500000028</v>
      </c>
      <c r="O118" s="295">
        <f t="shared" si="128"/>
        <v>4210812.8699339163</v>
      </c>
      <c r="P118" s="295">
        <f t="shared" ref="P118:AZ118" si="129">(P114+P105)*3</f>
        <v>4399532.9215292549</v>
      </c>
      <c r="Q118" s="295">
        <f>(Q114+Q105)*3</f>
        <v>4593466.2263331246</v>
      </c>
      <c r="R118" s="295">
        <f t="shared" si="129"/>
        <v>4671823.9848000035</v>
      </c>
      <c r="S118" s="295">
        <f t="shared" si="129"/>
        <v>4751518.4110487765</v>
      </c>
      <c r="T118" s="295">
        <f t="shared" si="129"/>
        <v>4832572.3066602191</v>
      </c>
      <c r="U118" s="295">
        <f t="shared" si="129"/>
        <v>4915008.8621764435</v>
      </c>
      <c r="V118" s="295">
        <f t="shared" si="129"/>
        <v>4998851.6637360053</v>
      </c>
      <c r="W118" s="295">
        <f t="shared" si="129"/>
        <v>5084124.6998221921</v>
      </c>
      <c r="X118" s="295">
        <f t="shared" si="129"/>
        <v>5170852.3681264361</v>
      </c>
      <c r="Y118" s="295">
        <f t="shared" si="129"/>
        <v>5259059.4825287955</v>
      </c>
      <c r="Z118" s="295">
        <f t="shared" si="129"/>
        <v>5348771.2801975263</v>
      </c>
      <c r="AA118" s="295">
        <f t="shared" si="129"/>
        <v>5440013.4288097471</v>
      </c>
      <c r="AB118" s="295">
        <f t="shared" si="129"/>
        <v>5532812.0338952877</v>
      </c>
      <c r="AC118" s="295">
        <f t="shared" si="129"/>
        <v>5627193.6463058125</v>
      </c>
      <c r="AD118" s="295">
        <f t="shared" si="129"/>
        <v>5723185.2698113546</v>
      </c>
      <c r="AE118" s="295">
        <f t="shared" si="129"/>
        <v>5820814.3688264303</v>
      </c>
      <c r="AF118" s="295">
        <f t="shared" si="129"/>
        <v>5920108.8762679584</v>
      </c>
      <c r="AG118" s="295">
        <f t="shared" si="129"/>
        <v>6021097.2015472203</v>
      </c>
      <c r="AH118" s="295">
        <f t="shared" si="129"/>
        <v>6123808.238698151</v>
      </c>
      <c r="AI118" s="295">
        <f t="shared" si="129"/>
        <v>6228271.3746442823</v>
      </c>
      <c r="AJ118" s="295">
        <f t="shared" si="129"/>
        <v>6334516.497606718</v>
      </c>
      <c r="AK118" s="295">
        <f t="shared" si="129"/>
        <v>6442574.005655529</v>
      </c>
      <c r="AL118" s="295">
        <f t="shared" si="129"/>
        <v>6552474.8154070228</v>
      </c>
      <c r="AM118" s="295">
        <f t="shared" si="129"/>
        <v>6664250.3708693832</v>
      </c>
      <c r="AN118" s="295">
        <f t="shared" si="129"/>
        <v>6777932.6524391901</v>
      </c>
      <c r="AO118" s="295">
        <f t="shared" si="129"/>
        <v>6893554.1860514171</v>
      </c>
      <c r="AP118" s="295">
        <f t="shared" si="129"/>
        <v>7011148.0524855163</v>
      </c>
      <c r="AQ118" s="295">
        <f t="shared" si="129"/>
        <v>7130747.8968302421</v>
      </c>
      <c r="AR118" s="295">
        <f t="shared" si="129"/>
        <v>7252387.9381099343</v>
      </c>
      <c r="AS118" s="295">
        <f t="shared" si="129"/>
        <v>7376102.9790750174</v>
      </c>
      <c r="AT118" s="295">
        <f t="shared" si="129"/>
        <v>7501928.416159505</v>
      </c>
      <c r="AU118" s="135">
        <f>(AU114+AU105)*3</f>
        <v>7629900.2496083602</v>
      </c>
      <c r="AV118" s="135">
        <f t="shared" si="129"/>
        <v>7760055.0937776323</v>
      </c>
      <c r="AW118" s="135">
        <f t="shared" si="129"/>
        <v>7892430.1876102723</v>
      </c>
      <c r="AX118" s="135">
        <f t="shared" si="129"/>
        <v>8027063.4052906726</v>
      </c>
      <c r="AY118" s="135">
        <f t="shared" si="129"/>
        <v>8163993.2670809487</v>
      </c>
      <c r="AZ118" s="135">
        <f t="shared" si="129"/>
        <v>8303258.9503420684</v>
      </c>
      <c r="BB118" s="18" t="str">
        <f>B118</f>
        <v>Арендная выручка "Магнит"</v>
      </c>
      <c r="BC118" s="19">
        <f>SUMIF($F$98:$AZ$98,BC$115,$F118:$AZ118)</f>
        <v>0</v>
      </c>
      <c r="BD118" s="19">
        <f t="shared" ref="BD118:BK119" si="130">SUMIF($F$98:$AZ$98,BD$115,$F118:$AZ118)</f>
        <v>9660719.5597854648</v>
      </c>
      <c r="BE118" s="19">
        <f t="shared" si="130"/>
        <v>17875636.002596296</v>
      </c>
      <c r="BF118" s="19">
        <f t="shared" si="130"/>
        <v>19497951.243621442</v>
      </c>
      <c r="BG118" s="19">
        <f t="shared" si="130"/>
        <v>20862807.83067495</v>
      </c>
      <c r="BH118" s="19">
        <f t="shared" si="130"/>
        <v>22323204.3788222</v>
      </c>
      <c r="BI118" s="19">
        <f t="shared" si="130"/>
        <v>23885828.68533976</v>
      </c>
      <c r="BJ118" s="19">
        <f t="shared" si="130"/>
        <v>25557836.693313554</v>
      </c>
      <c r="BK118" s="19">
        <f t="shared" si="130"/>
        <v>27346885.261845507</v>
      </c>
      <c r="BL118" s="19">
        <f>SUMIF($F$98:$AZ$98,BL$115,$F118:$AZ118)</f>
        <v>29261167.230174698</v>
      </c>
    </row>
    <row r="119" spans="1:65" s="125" customFormat="1" outlineLevel="1">
      <c r="A119" s="11"/>
      <c r="B119" s="11" t="s">
        <v>197</v>
      </c>
      <c r="C119" s="72"/>
      <c r="D119" s="73"/>
      <c r="E119" s="74"/>
      <c r="F119" s="293">
        <v>0</v>
      </c>
      <c r="G119" s="294">
        <f>G103*3</f>
        <v>0</v>
      </c>
      <c r="H119" s="296">
        <f t="shared" ref="H119:AZ119" si="131">H103*3</f>
        <v>0</v>
      </c>
      <c r="I119" s="295">
        <f t="shared" si="131"/>
        <v>0</v>
      </c>
      <c r="J119" s="295">
        <f t="shared" ref="J119:O119" si="132">J103*3</f>
        <v>0</v>
      </c>
      <c r="K119" s="295">
        <f t="shared" si="132"/>
        <v>1440000</v>
      </c>
      <c r="L119" s="295">
        <f t="shared" si="132"/>
        <v>1440000</v>
      </c>
      <c r="M119" s="295">
        <f t="shared" si="132"/>
        <v>1440000</v>
      </c>
      <c r="N119" s="295">
        <f t="shared" si="132"/>
        <v>1440000</v>
      </c>
      <c r="O119" s="295">
        <f t="shared" si="132"/>
        <v>1800000</v>
      </c>
      <c r="P119" s="295">
        <f t="shared" ref="P119" si="133">P103*3</f>
        <v>1800000</v>
      </c>
      <c r="Q119" s="295">
        <f t="shared" si="131"/>
        <v>1800000</v>
      </c>
      <c r="R119" s="295">
        <f t="shared" si="131"/>
        <v>1800000</v>
      </c>
      <c r="S119" s="295">
        <f t="shared" si="131"/>
        <v>1926000</v>
      </c>
      <c r="T119" s="295">
        <f t="shared" si="131"/>
        <v>1926000</v>
      </c>
      <c r="U119" s="295">
        <f t="shared" si="131"/>
        <v>1926000</v>
      </c>
      <c r="V119" s="295">
        <f t="shared" si="131"/>
        <v>1926000</v>
      </c>
      <c r="W119" s="295">
        <f t="shared" si="131"/>
        <v>2060820</v>
      </c>
      <c r="X119" s="295">
        <f t="shared" si="131"/>
        <v>2060820</v>
      </c>
      <c r="Y119" s="295">
        <f t="shared" si="131"/>
        <v>2060820</v>
      </c>
      <c r="Z119" s="295">
        <f t="shared" si="131"/>
        <v>2060820</v>
      </c>
      <c r="AA119" s="295">
        <f t="shared" si="131"/>
        <v>2205077.4000000004</v>
      </c>
      <c r="AB119" s="295">
        <f t="shared" si="131"/>
        <v>2205077.4000000004</v>
      </c>
      <c r="AC119" s="295">
        <f t="shared" si="131"/>
        <v>2205077.4000000004</v>
      </c>
      <c r="AD119" s="295">
        <f t="shared" si="131"/>
        <v>2205077.4000000004</v>
      </c>
      <c r="AE119" s="295">
        <f t="shared" si="131"/>
        <v>2359432.8180000004</v>
      </c>
      <c r="AF119" s="295">
        <f t="shared" si="131"/>
        <v>2359432.8180000004</v>
      </c>
      <c r="AG119" s="295">
        <f t="shared" si="131"/>
        <v>2359432.8180000004</v>
      </c>
      <c r="AH119" s="295">
        <f t="shared" si="131"/>
        <v>2359432.8180000004</v>
      </c>
      <c r="AI119" s="295">
        <f t="shared" si="131"/>
        <v>2524593.1152600008</v>
      </c>
      <c r="AJ119" s="295">
        <f t="shared" si="131"/>
        <v>2524593.1152600008</v>
      </c>
      <c r="AK119" s="295">
        <f t="shared" si="131"/>
        <v>2524593.1152600008</v>
      </c>
      <c r="AL119" s="295">
        <f t="shared" si="131"/>
        <v>2524593.1152600008</v>
      </c>
      <c r="AM119" s="295">
        <f t="shared" si="131"/>
        <v>2701314.6333282008</v>
      </c>
      <c r="AN119" s="295">
        <f t="shared" si="131"/>
        <v>2701314.6333282008</v>
      </c>
      <c r="AO119" s="295">
        <f t="shared" si="131"/>
        <v>2701314.6333282008</v>
      </c>
      <c r="AP119" s="295">
        <f t="shared" si="131"/>
        <v>2701314.6333282008</v>
      </c>
      <c r="AQ119" s="295">
        <f t="shared" si="131"/>
        <v>2890406.6576611754</v>
      </c>
      <c r="AR119" s="295">
        <f t="shared" si="131"/>
        <v>2890406.6576611754</v>
      </c>
      <c r="AS119" s="295">
        <f t="shared" si="131"/>
        <v>2890406.6576611754</v>
      </c>
      <c r="AT119" s="295">
        <f t="shared" si="131"/>
        <v>2890406.6576611754</v>
      </c>
      <c r="AU119" s="135">
        <f>AU103*3</f>
        <v>3092735.1236974578</v>
      </c>
      <c r="AV119" s="135">
        <f t="shared" si="131"/>
        <v>3092735.1236974578</v>
      </c>
      <c r="AW119" s="135">
        <f t="shared" si="131"/>
        <v>3092735.1236974578</v>
      </c>
      <c r="AX119" s="135">
        <f t="shared" si="131"/>
        <v>3092735.1236974578</v>
      </c>
      <c r="AY119" s="135">
        <f t="shared" si="131"/>
        <v>3309226.5823562797</v>
      </c>
      <c r="AZ119" s="135">
        <f t="shared" si="131"/>
        <v>3309226.5823562797</v>
      </c>
      <c r="BB119" s="18" t="str">
        <f>B119</f>
        <v xml:space="preserve">Арендная выручка маленьких арендаторы </v>
      </c>
      <c r="BC119" s="19">
        <f>SUMIF($F$98:$AZ$98,BC$115,$F119:$AZ119)</f>
        <v>0</v>
      </c>
      <c r="BD119" s="19">
        <f>SUMIF($F$98:$AZ$98,BD$115,$F119:$AZ119)</f>
        <v>5760000</v>
      </c>
      <c r="BE119" s="19">
        <f>SUMIF($F$98:$AZ$98,BE$115,$F119:$AZ119)</f>
        <v>7200000</v>
      </c>
      <c r="BF119" s="19">
        <f>SUMIF($F$98:$AZ$98,BF$115,$F119:$AZ119)</f>
        <v>7704000</v>
      </c>
      <c r="BG119" s="19">
        <f>SUMIF($F$98:$AZ$98,BG$115,$F119:$AZ119)</f>
        <v>8243280</v>
      </c>
      <c r="BH119" s="19">
        <f>SUMIF($F$98:$AZ$98,BH$115,$F119:$AZ119)</f>
        <v>8820309.6000000015</v>
      </c>
      <c r="BI119" s="19">
        <f t="shared" si="130"/>
        <v>9437731.2720000017</v>
      </c>
      <c r="BJ119" s="19">
        <f t="shared" si="130"/>
        <v>10098372.461040003</v>
      </c>
      <c r="BK119" s="19">
        <f t="shared" si="130"/>
        <v>10805258.533312803</v>
      </c>
      <c r="BL119" s="19">
        <f>SUMIF($F$98:$AZ$98,BL$115,$F119:$AZ119)</f>
        <v>11561626.630644701</v>
      </c>
    </row>
    <row r="120" spans="1:65">
      <c r="C120" s="45"/>
      <c r="E120" s="75"/>
      <c r="F120" s="297"/>
      <c r="G120" s="298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9"/>
      <c r="AM120" s="296"/>
      <c r="AN120" s="296"/>
      <c r="AO120" s="296"/>
      <c r="AP120" s="296"/>
      <c r="AQ120" s="296"/>
      <c r="AR120" s="296"/>
      <c r="AS120" s="296"/>
      <c r="AT120" s="296"/>
      <c r="AU120" s="134"/>
      <c r="AV120" s="134"/>
      <c r="AW120" s="134"/>
      <c r="AX120" s="134"/>
      <c r="AY120" s="134"/>
      <c r="AZ120" s="134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</row>
    <row r="121" spans="1:65">
      <c r="B121" s="76" t="s">
        <v>19</v>
      </c>
      <c r="C121" s="60"/>
      <c r="D121" s="77"/>
      <c r="E121" s="47"/>
      <c r="F121" s="300">
        <f>SUM(F118:F119)</f>
        <v>0</v>
      </c>
      <c r="G121" s="320">
        <f t="shared" ref="G121:L121" si="134">SUM(G118:G119)</f>
        <v>0</v>
      </c>
      <c r="H121" s="320">
        <f t="shared" si="134"/>
        <v>0</v>
      </c>
      <c r="I121" s="320">
        <f t="shared" si="134"/>
        <v>0</v>
      </c>
      <c r="J121" s="320">
        <f t="shared" si="134"/>
        <v>0</v>
      </c>
      <c r="K121" s="320">
        <f>SUM(K118:K119)</f>
        <v>2970000</v>
      </c>
      <c r="L121" s="320">
        <f t="shared" si="134"/>
        <v>3607500.0000000009</v>
      </c>
      <c r="M121" s="320">
        <f t="shared" ref="M121:Q121" si="135">SUM(M118:M119)</f>
        <v>4141033.8097854611</v>
      </c>
      <c r="N121" s="320">
        <f t="shared" si="135"/>
        <v>4702185.7500000028</v>
      </c>
      <c r="O121" s="320">
        <f t="shared" si="135"/>
        <v>6010812.8699339163</v>
      </c>
      <c r="P121" s="320">
        <f t="shared" si="135"/>
        <v>6199532.9215292549</v>
      </c>
      <c r="Q121" s="320">
        <f t="shared" si="135"/>
        <v>6393466.2263331246</v>
      </c>
      <c r="R121" s="320">
        <f t="shared" ref="R121:AZ121" si="136">SUM(R118:R119)</f>
        <v>6471823.9848000035</v>
      </c>
      <c r="S121" s="320">
        <f t="shared" si="136"/>
        <v>6677518.4110487765</v>
      </c>
      <c r="T121" s="320">
        <f t="shared" si="136"/>
        <v>6758572.3066602191</v>
      </c>
      <c r="U121" s="320">
        <f t="shared" si="136"/>
        <v>6841008.8621764435</v>
      </c>
      <c r="V121" s="320">
        <f t="shared" si="136"/>
        <v>6924851.6637360053</v>
      </c>
      <c r="W121" s="320">
        <f t="shared" si="136"/>
        <v>7144944.6998221921</v>
      </c>
      <c r="X121" s="320">
        <f t="shared" si="136"/>
        <v>7231672.3681264361</v>
      </c>
      <c r="Y121" s="320">
        <f t="shared" si="136"/>
        <v>7319879.4825287955</v>
      </c>
      <c r="Z121" s="320">
        <f t="shared" si="136"/>
        <v>7409591.2801975263</v>
      </c>
      <c r="AA121" s="320">
        <f t="shared" si="136"/>
        <v>7645090.8288097475</v>
      </c>
      <c r="AB121" s="320">
        <f t="shared" si="136"/>
        <v>7737889.433895288</v>
      </c>
      <c r="AC121" s="320">
        <f t="shared" si="136"/>
        <v>7832271.0463058129</v>
      </c>
      <c r="AD121" s="320">
        <f t="shared" si="136"/>
        <v>7928262.669811355</v>
      </c>
      <c r="AE121" s="320">
        <f t="shared" si="136"/>
        <v>8180247.1868264303</v>
      </c>
      <c r="AF121" s="320">
        <f t="shared" si="136"/>
        <v>8279541.6942679584</v>
      </c>
      <c r="AG121" s="320">
        <f t="shared" si="136"/>
        <v>8380530.0195472203</v>
      </c>
      <c r="AH121" s="320">
        <f t="shared" si="136"/>
        <v>8483241.0566981509</v>
      </c>
      <c r="AI121" s="320">
        <f t="shared" si="136"/>
        <v>8752864.4899042826</v>
      </c>
      <c r="AJ121" s="320">
        <f t="shared" si="136"/>
        <v>8859109.6128667183</v>
      </c>
      <c r="AK121" s="320">
        <f t="shared" si="136"/>
        <v>8967167.1209155302</v>
      </c>
      <c r="AL121" s="320">
        <f t="shared" si="136"/>
        <v>9077067.9306670241</v>
      </c>
      <c r="AM121" s="320">
        <f t="shared" si="136"/>
        <v>9365565.0041975845</v>
      </c>
      <c r="AN121" s="320">
        <f t="shared" si="136"/>
        <v>9479247.2857673913</v>
      </c>
      <c r="AO121" s="320">
        <f t="shared" si="136"/>
        <v>9594868.8193796184</v>
      </c>
      <c r="AP121" s="320">
        <f t="shared" si="136"/>
        <v>9712462.6858137175</v>
      </c>
      <c r="AQ121" s="320">
        <f t="shared" si="136"/>
        <v>10021154.554491417</v>
      </c>
      <c r="AR121" s="320">
        <f t="shared" si="136"/>
        <v>10142794.59577111</v>
      </c>
      <c r="AS121" s="320">
        <f t="shared" si="136"/>
        <v>10266509.636736192</v>
      </c>
      <c r="AT121" s="320">
        <f t="shared" si="136"/>
        <v>10392335.07382068</v>
      </c>
      <c r="AU121" s="60">
        <f t="shared" si="136"/>
        <v>10722635.373305818</v>
      </c>
      <c r="AV121" s="60">
        <f t="shared" si="136"/>
        <v>10852790.21747509</v>
      </c>
      <c r="AW121" s="60">
        <f t="shared" si="136"/>
        <v>10985165.31130773</v>
      </c>
      <c r="AX121" s="60">
        <f t="shared" si="136"/>
        <v>11119798.52898813</v>
      </c>
      <c r="AY121" s="60">
        <f t="shared" si="136"/>
        <v>11473219.849437229</v>
      </c>
      <c r="AZ121" s="60">
        <f t="shared" si="136"/>
        <v>11612485.532698348</v>
      </c>
      <c r="BB121" s="35" t="str">
        <f>B121</f>
        <v>Арендная выручка</v>
      </c>
      <c r="BC121" s="36">
        <f t="shared" ref="BC121:BL121" si="137">SUM(BC118:BC119)</f>
        <v>0</v>
      </c>
      <c r="BD121" s="36">
        <f t="shared" si="137"/>
        <v>15420719.559785465</v>
      </c>
      <c r="BE121" s="36">
        <f t="shared" si="137"/>
        <v>25075636.002596296</v>
      </c>
      <c r="BF121" s="36">
        <f t="shared" si="137"/>
        <v>27201951.243621442</v>
      </c>
      <c r="BG121" s="36">
        <f t="shared" si="137"/>
        <v>29106087.83067495</v>
      </c>
      <c r="BH121" s="36">
        <f t="shared" si="137"/>
        <v>31143513.978822201</v>
      </c>
      <c r="BI121" s="36">
        <f t="shared" si="137"/>
        <v>33323559.957339764</v>
      </c>
      <c r="BJ121" s="36">
        <f t="shared" si="137"/>
        <v>35656209.154353559</v>
      </c>
      <c r="BK121" s="36">
        <f t="shared" si="137"/>
        <v>38152143.795158312</v>
      </c>
      <c r="BL121" s="36">
        <f t="shared" si="137"/>
        <v>40822793.860819399</v>
      </c>
    </row>
    <row r="122" spans="1:65" s="41" customFormat="1">
      <c r="B122" s="78" t="s">
        <v>51</v>
      </c>
      <c r="C122" s="68"/>
      <c r="D122" s="68"/>
      <c r="E122" s="69"/>
      <c r="F122" s="301">
        <f>IFERROR(F121/B121-1,0%)</f>
        <v>0</v>
      </c>
      <c r="G122" s="302">
        <f>IFERROR(G121/C121-1,0%)</f>
        <v>0</v>
      </c>
      <c r="H122" s="302">
        <f>IFERROR(H121/D121-1,0%)</f>
        <v>0</v>
      </c>
      <c r="I122" s="302">
        <f>IFERROR(I121/E121-1,0%)</f>
        <v>0</v>
      </c>
      <c r="J122" s="302">
        <f t="shared" ref="J122:N122" si="138">IFERROR(J121/F121-1,0%)</f>
        <v>0</v>
      </c>
      <c r="K122" s="302">
        <f>IFERROR(K121/G121-1,0%)</f>
        <v>0</v>
      </c>
      <c r="L122" s="302">
        <f t="shared" si="138"/>
        <v>0</v>
      </c>
      <c r="M122" s="302">
        <f t="shared" si="138"/>
        <v>0</v>
      </c>
      <c r="N122" s="302">
        <f t="shared" si="138"/>
        <v>0</v>
      </c>
      <c r="O122" s="302">
        <f t="shared" ref="O122:Z122" si="139">IFERROR(O121/K121-1,0%)</f>
        <v>1.0238427171494666</v>
      </c>
      <c r="P122" s="302">
        <f t="shared" si="139"/>
        <v>0.71851224436015326</v>
      </c>
      <c r="Q122" s="302">
        <f t="shared" si="139"/>
        <v>0.54392997497993334</v>
      </c>
      <c r="R122" s="302">
        <f t="shared" si="139"/>
        <v>0.37634375349804072</v>
      </c>
      <c r="S122" s="302">
        <f t="shared" si="139"/>
        <v>0.11091770040783011</v>
      </c>
      <c r="T122" s="302">
        <f t="shared" si="139"/>
        <v>9.0174436075591391E-2</v>
      </c>
      <c r="U122" s="302">
        <f t="shared" si="139"/>
        <v>7.0000000000000062E-2</v>
      </c>
      <c r="V122" s="302">
        <f t="shared" si="139"/>
        <v>7.0000000000000284E-2</v>
      </c>
      <c r="W122" s="302">
        <f t="shared" si="139"/>
        <v>7.0000000000000284E-2</v>
      </c>
      <c r="X122" s="302">
        <f t="shared" si="139"/>
        <v>7.0000000000000284E-2</v>
      </c>
      <c r="Y122" s="302">
        <f t="shared" si="139"/>
        <v>7.0000000000000062E-2</v>
      </c>
      <c r="Z122" s="302">
        <f t="shared" si="139"/>
        <v>7.0000000000000062E-2</v>
      </c>
      <c r="AA122" s="302">
        <f t="shared" ref="AA122:AZ122" si="140">IFERROR(AA121/W121-1,0%)</f>
        <v>7.0000000000000284E-2</v>
      </c>
      <c r="AB122" s="302">
        <f t="shared" si="140"/>
        <v>7.0000000000000284E-2</v>
      </c>
      <c r="AC122" s="302">
        <f t="shared" si="140"/>
        <v>7.0000000000000284E-2</v>
      </c>
      <c r="AD122" s="302">
        <f t="shared" si="140"/>
        <v>7.0000000000000284E-2</v>
      </c>
      <c r="AE122" s="302">
        <f t="shared" si="140"/>
        <v>7.0000000000000062E-2</v>
      </c>
      <c r="AF122" s="302">
        <f t="shared" si="140"/>
        <v>7.0000000000000062E-2</v>
      </c>
      <c r="AG122" s="302">
        <f>IFERROR(AG121/AC121-1,0%)</f>
        <v>7.0000000000000062E-2</v>
      </c>
      <c r="AH122" s="302">
        <f>IFERROR(AH121/AD121-1,0%)</f>
        <v>7.0000000000000062E-2</v>
      </c>
      <c r="AI122" s="302">
        <f t="shared" si="140"/>
        <v>7.0000000000000284E-2</v>
      </c>
      <c r="AJ122" s="302">
        <f t="shared" si="140"/>
        <v>7.0000000000000284E-2</v>
      </c>
      <c r="AK122" s="302">
        <f t="shared" si="140"/>
        <v>7.0000000000000506E-2</v>
      </c>
      <c r="AL122" s="302">
        <f t="shared" si="140"/>
        <v>7.0000000000000284E-2</v>
      </c>
      <c r="AM122" s="302">
        <f t="shared" si="140"/>
        <v>7.0000000000000284E-2</v>
      </c>
      <c r="AN122" s="302">
        <f t="shared" si="140"/>
        <v>7.0000000000000284E-2</v>
      </c>
      <c r="AO122" s="302">
        <f t="shared" si="140"/>
        <v>7.0000000000000062E-2</v>
      </c>
      <c r="AP122" s="302">
        <f t="shared" si="140"/>
        <v>7.0000000000000284E-2</v>
      </c>
      <c r="AQ122" s="302">
        <f t="shared" si="140"/>
        <v>7.0000000000000284E-2</v>
      </c>
      <c r="AR122" s="302">
        <f t="shared" si="140"/>
        <v>7.0000000000000062E-2</v>
      </c>
      <c r="AS122" s="302">
        <f t="shared" si="140"/>
        <v>7.0000000000000062E-2</v>
      </c>
      <c r="AT122" s="302">
        <f t="shared" si="140"/>
        <v>7.0000000000000284E-2</v>
      </c>
      <c r="AU122" s="70">
        <f t="shared" si="140"/>
        <v>7.0000000000000062E-2</v>
      </c>
      <c r="AV122" s="70">
        <f t="shared" si="140"/>
        <v>7.0000000000000284E-2</v>
      </c>
      <c r="AW122" s="70">
        <f t="shared" si="140"/>
        <v>7.0000000000000506E-2</v>
      </c>
      <c r="AX122" s="70">
        <f t="shared" si="140"/>
        <v>7.0000000000000284E-2</v>
      </c>
      <c r="AY122" s="70">
        <f t="shared" si="140"/>
        <v>7.0000000000000284E-2</v>
      </c>
      <c r="AZ122" s="70">
        <f t="shared" si="140"/>
        <v>7.0000000000000062E-2</v>
      </c>
      <c r="BB122" s="174" t="str">
        <f>B122</f>
        <v>Рост выручки (г/г) , %</v>
      </c>
      <c r="BC122" s="175" t="s">
        <v>196</v>
      </c>
      <c r="BD122" s="175" t="s">
        <v>196</v>
      </c>
      <c r="BE122" s="70">
        <f t="shared" ref="BE122:BL122" si="141">BE121/BD121-1</f>
        <v>0.62610025462035912</v>
      </c>
      <c r="BF122" s="70">
        <f t="shared" si="141"/>
        <v>8.4796064227642631E-2</v>
      </c>
      <c r="BG122" s="70">
        <f t="shared" si="141"/>
        <v>7.0000000000000284E-2</v>
      </c>
      <c r="BH122" s="70">
        <f t="shared" si="141"/>
        <v>7.0000000000000062E-2</v>
      </c>
      <c r="BI122" s="70">
        <f t="shared" si="141"/>
        <v>7.0000000000000284E-2</v>
      </c>
      <c r="BJ122" s="70">
        <f t="shared" si="141"/>
        <v>7.0000000000000284E-2</v>
      </c>
      <c r="BK122" s="70">
        <f t="shared" si="141"/>
        <v>7.0000000000000062E-2</v>
      </c>
      <c r="BL122" s="70">
        <f t="shared" si="141"/>
        <v>7.0000000000000062E-2</v>
      </c>
    </row>
    <row r="123" spans="1:65" s="41" customFormat="1">
      <c r="B123" s="78" t="s">
        <v>110</v>
      </c>
      <c r="C123" s="68"/>
      <c r="D123" s="68"/>
      <c r="E123" s="69"/>
      <c r="F123" s="301">
        <f>IFERROR((F118/3)/(F113),0%)</f>
        <v>0</v>
      </c>
      <c r="G123" s="302">
        <f t="shared" ref="G123:J123" si="142">IFERROR((G118/3)/(G113),0%)</f>
        <v>0</v>
      </c>
      <c r="H123" s="302">
        <f>IFERROR((H118/3)/(H113),0%)</f>
        <v>0</v>
      </c>
      <c r="I123" s="302">
        <f t="shared" si="142"/>
        <v>0</v>
      </c>
      <c r="J123" s="302">
        <f t="shared" si="142"/>
        <v>0</v>
      </c>
      <c r="K123" s="302">
        <f>IFERROR((K118/3)/(K113),0%)</f>
        <v>2.1821623515545636E-2</v>
      </c>
      <c r="L123" s="302">
        <f>IFERROR((L118/3)/(L113),0%)</f>
        <v>2.9491867855664686E-2</v>
      </c>
      <c r="M123" s="302">
        <f>IFERROR((M118/3)/(M113),0%)</f>
        <v>3.5091725099539041E-2</v>
      </c>
      <c r="N123" s="302">
        <f>IFERROR((N118/3)/(N113),0%)</f>
        <v>4.0502052208542916E-2</v>
      </c>
      <c r="O123" s="302">
        <f t="shared" ref="O123:Q123" si="143">IFERROR((O118/3)/(O113),0%)</f>
        <v>0.05</v>
      </c>
      <c r="P123" s="302">
        <f t="shared" si="143"/>
        <v>0.05</v>
      </c>
      <c r="Q123" s="302">
        <f t="shared" si="143"/>
        <v>0.05</v>
      </c>
      <c r="R123" s="302">
        <f t="shared" ref="R123:AZ123" si="144">IFERROR((R118/3)/(R113),0%)</f>
        <v>0.05</v>
      </c>
      <c r="S123" s="302">
        <f t="shared" si="144"/>
        <v>0.05</v>
      </c>
      <c r="T123" s="302">
        <f t="shared" si="144"/>
        <v>0.05</v>
      </c>
      <c r="U123" s="302">
        <f t="shared" si="144"/>
        <v>0.05</v>
      </c>
      <c r="V123" s="302">
        <f t="shared" si="144"/>
        <v>0.05</v>
      </c>
      <c r="W123" s="302">
        <f t="shared" si="144"/>
        <v>0.05</v>
      </c>
      <c r="X123" s="302">
        <f t="shared" si="144"/>
        <v>0.05</v>
      </c>
      <c r="Y123" s="302">
        <f t="shared" si="144"/>
        <v>0.05</v>
      </c>
      <c r="Z123" s="302">
        <f t="shared" si="144"/>
        <v>0.05</v>
      </c>
      <c r="AA123" s="302">
        <f t="shared" si="144"/>
        <v>0.05</v>
      </c>
      <c r="AB123" s="302">
        <f t="shared" si="144"/>
        <v>5.000000000000001E-2</v>
      </c>
      <c r="AC123" s="302">
        <f t="shared" si="144"/>
        <v>5.000000000000001E-2</v>
      </c>
      <c r="AD123" s="302">
        <f t="shared" si="144"/>
        <v>5.000000000000001E-2</v>
      </c>
      <c r="AE123" s="302">
        <f t="shared" si="144"/>
        <v>5.000000000000001E-2</v>
      </c>
      <c r="AF123" s="302">
        <f t="shared" si="144"/>
        <v>0.05</v>
      </c>
      <c r="AG123" s="302">
        <f t="shared" si="144"/>
        <v>0.05</v>
      </c>
      <c r="AH123" s="302">
        <f>IFERROR((AH118/3)/(AH113),0%)</f>
        <v>0.05</v>
      </c>
      <c r="AI123" s="302">
        <f t="shared" si="144"/>
        <v>0.05</v>
      </c>
      <c r="AJ123" s="302">
        <f t="shared" si="144"/>
        <v>0.05</v>
      </c>
      <c r="AK123" s="302">
        <f t="shared" si="144"/>
        <v>5.000000000000001E-2</v>
      </c>
      <c r="AL123" s="302">
        <f t="shared" si="144"/>
        <v>4.9999999999999996E-2</v>
      </c>
      <c r="AM123" s="302">
        <f t="shared" si="144"/>
        <v>5.000000000000001E-2</v>
      </c>
      <c r="AN123" s="302">
        <f t="shared" si="144"/>
        <v>0.05</v>
      </c>
      <c r="AO123" s="302">
        <f t="shared" si="144"/>
        <v>0.05</v>
      </c>
      <c r="AP123" s="302">
        <f t="shared" si="144"/>
        <v>0.05</v>
      </c>
      <c r="AQ123" s="302">
        <f t="shared" si="144"/>
        <v>0.05</v>
      </c>
      <c r="AR123" s="302">
        <f t="shared" si="144"/>
        <v>0.05</v>
      </c>
      <c r="AS123" s="302">
        <f t="shared" si="144"/>
        <v>0.05</v>
      </c>
      <c r="AT123" s="302">
        <f t="shared" si="144"/>
        <v>0.05</v>
      </c>
      <c r="AU123" s="70">
        <f t="shared" si="144"/>
        <v>0.05</v>
      </c>
      <c r="AV123" s="70">
        <f t="shared" si="144"/>
        <v>5.000000000000001E-2</v>
      </c>
      <c r="AW123" s="70">
        <f t="shared" si="144"/>
        <v>5.000000000000001E-2</v>
      </c>
      <c r="AX123" s="70">
        <f t="shared" si="144"/>
        <v>0.05</v>
      </c>
      <c r="AY123" s="70">
        <f t="shared" si="144"/>
        <v>0.05</v>
      </c>
      <c r="AZ123" s="70">
        <f t="shared" si="144"/>
        <v>0.05</v>
      </c>
      <c r="BB123" s="174" t="str">
        <f>B123</f>
        <v>OCR (арендная нагрузка), %</v>
      </c>
      <c r="BC123" s="175" t="s">
        <v>196</v>
      </c>
      <c r="BD123" s="70">
        <f>AVERAGEIF($F$98:$AZ$98,BD$115,$F$123:$AZ$123)</f>
        <v>3.172681716982307E-2</v>
      </c>
      <c r="BE123" s="70">
        <f>AVERAGEIF($F$98:$AZ$98,BE$115,$F$123:$AZ$123)</f>
        <v>0.05</v>
      </c>
      <c r="BF123" s="70">
        <f>AVERAGEIF($F$98:$AZ$98,BF$115,$F$123:$AZ$123)</f>
        <v>0.05</v>
      </c>
      <c r="BG123" s="70">
        <f>AVERAGEIF($F$98:$AZ$98,BG$115,$F$123:$AZ$123)</f>
        <v>0.05</v>
      </c>
      <c r="BH123" s="70">
        <f t="shared" ref="BH123:BK123" si="145">AVERAGEIF($F$98:$AZ$98,BH$115,$F$123:$AZ$123)</f>
        <v>5.000000000000001E-2</v>
      </c>
      <c r="BI123" s="70">
        <f t="shared" si="145"/>
        <v>0.05</v>
      </c>
      <c r="BJ123" s="70">
        <f t="shared" si="145"/>
        <v>0.05</v>
      </c>
      <c r="BK123" s="70">
        <f t="shared" si="145"/>
        <v>0.05</v>
      </c>
      <c r="BL123" s="70">
        <f>AVERAGEIF($F$98:$AZ$98,BL$115,$F$123:$AZ$123)</f>
        <v>0.05</v>
      </c>
    </row>
    <row r="124" spans="1:65" s="72" customFormat="1" hidden="1" outlineLevel="1">
      <c r="A124" s="11"/>
      <c r="B124" s="71"/>
      <c r="D124" s="73"/>
      <c r="E124" s="74"/>
      <c r="F124" s="303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70"/>
      <c r="AV124" s="70"/>
      <c r="AW124" s="70"/>
      <c r="AX124" s="70"/>
      <c r="AY124" s="70"/>
      <c r="AZ124" s="70"/>
    </row>
    <row r="125" spans="1:65" hidden="1" outlineLevel="2">
      <c r="B125" s="67" t="s">
        <v>117</v>
      </c>
      <c r="C125" s="68"/>
      <c r="D125" s="68"/>
      <c r="E125" s="146">
        <f>$C$10</f>
        <v>60350000</v>
      </c>
      <c r="F125" s="304">
        <f>E125</f>
        <v>60350000</v>
      </c>
      <c r="G125" s="305">
        <f>IF(AND(MONTH(G$93)=3,G94=1),F125*(1+$C$65/2),F125)</f>
        <v>60350000</v>
      </c>
      <c r="H125" s="305">
        <f>IF(AND(MONTH(H$93)=3,H94=1),G125*(1+$C$65/2),G125)</f>
        <v>60350000</v>
      </c>
      <c r="I125" s="305">
        <f>IF(AND(MONTH(I$93)=3,I94=1),H125*(1+$C$65/2),H125)</f>
        <v>61858749.999999993</v>
      </c>
      <c r="J125" s="305">
        <f>IF(AND(MONTH(J$93)=3,J94=1),I125*(1+$C$65/2),I125)</f>
        <v>61858749.999999993</v>
      </c>
      <c r="K125" s="305">
        <f>IF(AND(MONTH(K$93)=3,K94=1),J125*(1+$C$65/2),J125)</f>
        <v>61858749.999999993</v>
      </c>
      <c r="L125" s="305">
        <f t="shared" ref="L125:AZ125" si="146">IF(AND(MONTH(L$93)=3,L94=1),K125*(1+$C$65/2),K125)</f>
        <v>61858749.999999993</v>
      </c>
      <c r="M125" s="305">
        <f t="shared" si="146"/>
        <v>63405218.749999985</v>
      </c>
      <c r="N125" s="305">
        <f t="shared" si="146"/>
        <v>63405218.749999985</v>
      </c>
      <c r="O125" s="305">
        <f t="shared" si="146"/>
        <v>63405218.749999985</v>
      </c>
      <c r="P125" s="305">
        <f t="shared" si="146"/>
        <v>63405218.749999985</v>
      </c>
      <c r="Q125" s="305">
        <f t="shared" si="146"/>
        <v>64990349.218749978</v>
      </c>
      <c r="R125" s="305">
        <f t="shared" si="146"/>
        <v>64990349.218749978</v>
      </c>
      <c r="S125" s="305">
        <f t="shared" si="146"/>
        <v>64990349.218749978</v>
      </c>
      <c r="T125" s="305">
        <f t="shared" si="146"/>
        <v>64990349.218749978</v>
      </c>
      <c r="U125" s="305">
        <f t="shared" si="146"/>
        <v>66615107.94921872</v>
      </c>
      <c r="V125" s="305">
        <f t="shared" si="146"/>
        <v>66615107.94921872</v>
      </c>
      <c r="W125" s="305">
        <f t="shared" si="146"/>
        <v>66615107.94921872</v>
      </c>
      <c r="X125" s="305">
        <f t="shared" si="146"/>
        <v>66615107.94921872</v>
      </c>
      <c r="Y125" s="305">
        <f t="shared" si="146"/>
        <v>68280485.647949189</v>
      </c>
      <c r="Z125" s="305">
        <f t="shared" si="146"/>
        <v>68280485.647949189</v>
      </c>
      <c r="AA125" s="305">
        <f t="shared" si="146"/>
        <v>68280485.647949189</v>
      </c>
      <c r="AB125" s="305">
        <f t="shared" si="146"/>
        <v>68280485.647949189</v>
      </c>
      <c r="AC125" s="305">
        <f t="shared" si="146"/>
        <v>69987497.789147913</v>
      </c>
      <c r="AD125" s="305">
        <f t="shared" si="146"/>
        <v>69987497.789147913</v>
      </c>
      <c r="AE125" s="305">
        <f t="shared" si="146"/>
        <v>69987497.789147913</v>
      </c>
      <c r="AF125" s="305">
        <f t="shared" si="146"/>
        <v>69987497.789147913</v>
      </c>
      <c r="AG125" s="305">
        <f t="shared" si="146"/>
        <v>71737185.233876601</v>
      </c>
      <c r="AH125" s="305">
        <f t="shared" si="146"/>
        <v>71737185.233876601</v>
      </c>
      <c r="AI125" s="305">
        <f t="shared" si="146"/>
        <v>71737185.233876601</v>
      </c>
      <c r="AJ125" s="305">
        <f t="shared" si="146"/>
        <v>71737185.233876601</v>
      </c>
      <c r="AK125" s="305">
        <f t="shared" si="146"/>
        <v>73530614.864723504</v>
      </c>
      <c r="AL125" s="305">
        <f t="shared" si="146"/>
        <v>73530614.864723504</v>
      </c>
      <c r="AM125" s="305">
        <f t="shared" si="146"/>
        <v>73530614.864723504</v>
      </c>
      <c r="AN125" s="305">
        <f t="shared" si="146"/>
        <v>73530614.864723504</v>
      </c>
      <c r="AO125" s="305">
        <f t="shared" si="146"/>
        <v>75368880.236341581</v>
      </c>
      <c r="AP125" s="305">
        <f t="shared" si="146"/>
        <v>75368880.236341581</v>
      </c>
      <c r="AQ125" s="305">
        <f t="shared" si="146"/>
        <v>75368880.236341581</v>
      </c>
      <c r="AR125" s="305">
        <f t="shared" si="146"/>
        <v>75368880.236341581</v>
      </c>
      <c r="AS125" s="305">
        <f t="shared" si="146"/>
        <v>77253102.242250115</v>
      </c>
      <c r="AT125" s="305">
        <f t="shared" si="146"/>
        <v>77253102.242250115</v>
      </c>
      <c r="AU125" s="79">
        <f t="shared" si="146"/>
        <v>77253102.242250115</v>
      </c>
      <c r="AV125" s="79">
        <f t="shared" si="146"/>
        <v>77253102.242250115</v>
      </c>
      <c r="AW125" s="79">
        <f t="shared" si="146"/>
        <v>79184429.798306361</v>
      </c>
      <c r="AX125" s="79">
        <f t="shared" si="146"/>
        <v>79184429.798306361</v>
      </c>
      <c r="AY125" s="79">
        <f t="shared" si="146"/>
        <v>79184429.798306361</v>
      </c>
      <c r="AZ125" s="79">
        <f t="shared" si="146"/>
        <v>79184429.798306361</v>
      </c>
    </row>
    <row r="126" spans="1:65" s="72" customFormat="1" collapsed="1">
      <c r="A126" s="11"/>
      <c r="B126" s="71"/>
      <c r="D126" s="73"/>
      <c r="E126" s="74"/>
      <c r="F126" s="303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302"/>
      <c r="AT126" s="302"/>
      <c r="AU126" s="70"/>
      <c r="AV126" s="70"/>
      <c r="AW126" s="70"/>
      <c r="AX126" s="70"/>
      <c r="AY126" s="70"/>
      <c r="AZ126" s="70"/>
    </row>
    <row r="127" spans="1:65">
      <c r="B127" s="80" t="s">
        <v>20</v>
      </c>
      <c r="C127" s="57"/>
      <c r="D127" s="57"/>
      <c r="E127" s="23"/>
      <c r="F127" s="306">
        <f>F128</f>
        <v>0</v>
      </c>
      <c r="G127" s="307">
        <f t="shared" ref="G127:H127" si="147">-G125/4*$C$40*G95</f>
        <v>0</v>
      </c>
      <c r="H127" s="307">
        <f t="shared" si="147"/>
        <v>0</v>
      </c>
      <c r="I127" s="307">
        <f>-I125/4*$C$40*I95</f>
        <v>0</v>
      </c>
      <c r="J127" s="307">
        <f>-J125/4*$C$40*J95</f>
        <v>-309293.74999999994</v>
      </c>
      <c r="K127" s="307">
        <f>-K125/4*$C$40*K95</f>
        <v>-309293.74999999994</v>
      </c>
      <c r="L127" s="307">
        <f t="shared" ref="L127:AZ127" si="148">-L125/4*$C$40*L95</f>
        <v>-309293.74999999994</v>
      </c>
      <c r="M127" s="307">
        <f t="shared" si="148"/>
        <v>-317026.09374999994</v>
      </c>
      <c r="N127" s="307">
        <f t="shared" si="148"/>
        <v>-317026.09374999994</v>
      </c>
      <c r="O127" s="307">
        <f t="shared" si="148"/>
        <v>-317026.09374999994</v>
      </c>
      <c r="P127" s="307">
        <f t="shared" si="148"/>
        <v>-317026.09374999994</v>
      </c>
      <c r="Q127" s="307">
        <f t="shared" si="148"/>
        <v>-324951.74609374988</v>
      </c>
      <c r="R127" s="307">
        <f t="shared" si="148"/>
        <v>-324951.74609374988</v>
      </c>
      <c r="S127" s="307">
        <f t="shared" si="148"/>
        <v>-324951.74609374988</v>
      </c>
      <c r="T127" s="307">
        <f t="shared" si="148"/>
        <v>-324951.74609374988</v>
      </c>
      <c r="U127" s="307">
        <f t="shared" si="148"/>
        <v>-333075.53974609362</v>
      </c>
      <c r="V127" s="307">
        <f t="shared" si="148"/>
        <v>-333075.53974609362</v>
      </c>
      <c r="W127" s="307">
        <f t="shared" si="148"/>
        <v>-333075.53974609362</v>
      </c>
      <c r="X127" s="307">
        <f t="shared" si="148"/>
        <v>-333075.53974609362</v>
      </c>
      <c r="Y127" s="307">
        <f t="shared" si="148"/>
        <v>-341402.42823974596</v>
      </c>
      <c r="Z127" s="307">
        <f t="shared" si="148"/>
        <v>-341402.42823974596</v>
      </c>
      <c r="AA127" s="307">
        <f t="shared" si="148"/>
        <v>-341402.42823974596</v>
      </c>
      <c r="AB127" s="307">
        <f t="shared" si="148"/>
        <v>-341402.42823974596</v>
      </c>
      <c r="AC127" s="307">
        <f t="shared" si="148"/>
        <v>-349937.48894573958</v>
      </c>
      <c r="AD127" s="307">
        <f t="shared" si="148"/>
        <v>-349937.48894573958</v>
      </c>
      <c r="AE127" s="307">
        <f t="shared" si="148"/>
        <v>-349937.48894573958</v>
      </c>
      <c r="AF127" s="307">
        <f t="shared" si="148"/>
        <v>-349937.48894573958</v>
      </c>
      <c r="AG127" s="307">
        <f t="shared" si="148"/>
        <v>-358685.92616938299</v>
      </c>
      <c r="AH127" s="307">
        <f t="shared" si="148"/>
        <v>-358685.92616938299</v>
      </c>
      <c r="AI127" s="307">
        <f t="shared" si="148"/>
        <v>-358685.92616938299</v>
      </c>
      <c r="AJ127" s="307">
        <f t="shared" si="148"/>
        <v>-358685.92616938299</v>
      </c>
      <c r="AK127" s="307">
        <f t="shared" si="148"/>
        <v>-367653.0743236175</v>
      </c>
      <c r="AL127" s="307">
        <f t="shared" si="148"/>
        <v>-367653.0743236175</v>
      </c>
      <c r="AM127" s="307">
        <f t="shared" si="148"/>
        <v>-367653.0743236175</v>
      </c>
      <c r="AN127" s="307">
        <f t="shared" si="148"/>
        <v>-367653.0743236175</v>
      </c>
      <c r="AO127" s="307">
        <f t="shared" si="148"/>
        <v>-376844.40118170792</v>
      </c>
      <c r="AP127" s="307">
        <f t="shared" si="148"/>
        <v>-376844.40118170792</v>
      </c>
      <c r="AQ127" s="307">
        <f t="shared" si="148"/>
        <v>-376844.40118170792</v>
      </c>
      <c r="AR127" s="307">
        <f t="shared" si="148"/>
        <v>-376844.40118170792</v>
      </c>
      <c r="AS127" s="307">
        <f t="shared" si="148"/>
        <v>-386265.51121125056</v>
      </c>
      <c r="AT127" s="307">
        <f t="shared" si="148"/>
        <v>-386265.51121125056</v>
      </c>
      <c r="AU127" s="82">
        <f t="shared" si="148"/>
        <v>-386265.51121125056</v>
      </c>
      <c r="AV127" s="82">
        <f t="shared" si="148"/>
        <v>-386265.51121125056</v>
      </c>
      <c r="AW127" s="82">
        <f t="shared" si="148"/>
        <v>-395922.14899153181</v>
      </c>
      <c r="AX127" s="82">
        <f t="shared" si="148"/>
        <v>-395922.14899153181</v>
      </c>
      <c r="AY127" s="82">
        <f t="shared" si="148"/>
        <v>-395922.14899153181</v>
      </c>
      <c r="AZ127" s="82">
        <f t="shared" si="148"/>
        <v>-395922.14899153181</v>
      </c>
      <c r="BB127" s="48" t="str">
        <f>B127</f>
        <v>Налог на недвижимость</v>
      </c>
      <c r="BC127" s="82">
        <f t="shared" ref="BC127:BL130" si="149">SUMIF($F$98:$AZ$98,BC$115,$F127:$AZ127)</f>
        <v>-309293.74999999994</v>
      </c>
      <c r="BD127" s="82">
        <f t="shared" si="149"/>
        <v>-1252639.6874999998</v>
      </c>
      <c r="BE127" s="82">
        <f t="shared" si="149"/>
        <v>-1283955.6796874995</v>
      </c>
      <c r="BF127" s="82">
        <f t="shared" si="149"/>
        <v>-1316054.5716796869</v>
      </c>
      <c r="BG127" s="82">
        <f t="shared" si="149"/>
        <v>-1348955.9359716792</v>
      </c>
      <c r="BH127" s="82">
        <f t="shared" si="149"/>
        <v>-1382679.8343709712</v>
      </c>
      <c r="BI127" s="82">
        <f t="shared" si="149"/>
        <v>-1417246.8302302449</v>
      </c>
      <c r="BJ127" s="82">
        <f t="shared" si="149"/>
        <v>-1452678.000986001</v>
      </c>
      <c r="BK127" s="82">
        <f t="shared" si="149"/>
        <v>-1488994.9510106507</v>
      </c>
      <c r="BL127" s="82">
        <f t="shared" si="149"/>
        <v>-1526219.8247859171</v>
      </c>
    </row>
    <row r="128" spans="1:65">
      <c r="B128" s="80" t="s">
        <v>89</v>
      </c>
      <c r="C128" s="57"/>
      <c r="D128" s="136"/>
      <c r="E128" s="17"/>
      <c r="F128" s="306">
        <v>0</v>
      </c>
      <c r="G128" s="307">
        <v>0</v>
      </c>
      <c r="H128" s="307">
        <f>G128</f>
        <v>0</v>
      </c>
      <c r="I128" s="307">
        <f t="shared" ref="I128:AZ128" si="150">H128</f>
        <v>0</v>
      </c>
      <c r="J128" s="307">
        <f>I128</f>
        <v>0</v>
      </c>
      <c r="K128" s="307">
        <f>J128</f>
        <v>0</v>
      </c>
      <c r="L128" s="307">
        <f t="shared" si="150"/>
        <v>0</v>
      </c>
      <c r="M128" s="307">
        <f t="shared" si="150"/>
        <v>0</v>
      </c>
      <c r="N128" s="307">
        <f t="shared" si="150"/>
        <v>0</v>
      </c>
      <c r="O128" s="307">
        <f t="shared" si="150"/>
        <v>0</v>
      </c>
      <c r="P128" s="307">
        <f t="shared" si="150"/>
        <v>0</v>
      </c>
      <c r="Q128" s="307">
        <f t="shared" si="150"/>
        <v>0</v>
      </c>
      <c r="R128" s="307">
        <f t="shared" si="150"/>
        <v>0</v>
      </c>
      <c r="S128" s="307">
        <f t="shared" si="150"/>
        <v>0</v>
      </c>
      <c r="T128" s="307">
        <f t="shared" si="150"/>
        <v>0</v>
      </c>
      <c r="U128" s="307">
        <f t="shared" si="150"/>
        <v>0</v>
      </c>
      <c r="V128" s="307">
        <f t="shared" si="150"/>
        <v>0</v>
      </c>
      <c r="W128" s="307">
        <f t="shared" si="150"/>
        <v>0</v>
      </c>
      <c r="X128" s="307">
        <f t="shared" si="150"/>
        <v>0</v>
      </c>
      <c r="Y128" s="307">
        <f t="shared" si="150"/>
        <v>0</v>
      </c>
      <c r="Z128" s="307">
        <f t="shared" si="150"/>
        <v>0</v>
      </c>
      <c r="AA128" s="307">
        <f t="shared" si="150"/>
        <v>0</v>
      </c>
      <c r="AB128" s="307">
        <f t="shared" si="150"/>
        <v>0</v>
      </c>
      <c r="AC128" s="307">
        <f t="shared" si="150"/>
        <v>0</v>
      </c>
      <c r="AD128" s="307">
        <f t="shared" si="150"/>
        <v>0</v>
      </c>
      <c r="AE128" s="307">
        <f t="shared" si="150"/>
        <v>0</v>
      </c>
      <c r="AF128" s="307">
        <f t="shared" si="150"/>
        <v>0</v>
      </c>
      <c r="AG128" s="307">
        <f t="shared" si="150"/>
        <v>0</v>
      </c>
      <c r="AH128" s="307">
        <f t="shared" si="150"/>
        <v>0</v>
      </c>
      <c r="AI128" s="307">
        <f t="shared" si="150"/>
        <v>0</v>
      </c>
      <c r="AJ128" s="307">
        <f t="shared" si="150"/>
        <v>0</v>
      </c>
      <c r="AK128" s="307">
        <f t="shared" si="150"/>
        <v>0</v>
      </c>
      <c r="AL128" s="307">
        <f t="shared" si="150"/>
        <v>0</v>
      </c>
      <c r="AM128" s="307">
        <f t="shared" si="150"/>
        <v>0</v>
      </c>
      <c r="AN128" s="307">
        <f t="shared" si="150"/>
        <v>0</v>
      </c>
      <c r="AO128" s="307">
        <f t="shared" si="150"/>
        <v>0</v>
      </c>
      <c r="AP128" s="307">
        <f t="shared" si="150"/>
        <v>0</v>
      </c>
      <c r="AQ128" s="307">
        <f t="shared" si="150"/>
        <v>0</v>
      </c>
      <c r="AR128" s="307">
        <f t="shared" si="150"/>
        <v>0</v>
      </c>
      <c r="AS128" s="307">
        <f t="shared" si="150"/>
        <v>0</v>
      </c>
      <c r="AT128" s="307">
        <f t="shared" si="150"/>
        <v>0</v>
      </c>
      <c r="AU128" s="137">
        <f t="shared" si="150"/>
        <v>0</v>
      </c>
      <c r="AV128" s="137">
        <f t="shared" si="150"/>
        <v>0</v>
      </c>
      <c r="AW128" s="137">
        <f t="shared" si="150"/>
        <v>0</v>
      </c>
      <c r="AX128" s="137">
        <f t="shared" si="150"/>
        <v>0</v>
      </c>
      <c r="AY128" s="137">
        <f t="shared" si="150"/>
        <v>0</v>
      </c>
      <c r="AZ128" s="137">
        <f t="shared" si="150"/>
        <v>0</v>
      </c>
      <c r="BB128" s="48" t="str">
        <f t="shared" ref="BB128:BB130" si="151">B128</f>
        <v>Налог на землю</v>
      </c>
      <c r="BC128" s="82">
        <f t="shared" si="149"/>
        <v>0</v>
      </c>
      <c r="BD128" s="82">
        <f t="shared" si="149"/>
        <v>0</v>
      </c>
      <c r="BE128" s="82">
        <f t="shared" si="149"/>
        <v>0</v>
      </c>
      <c r="BF128" s="82">
        <f t="shared" si="149"/>
        <v>0</v>
      </c>
      <c r="BG128" s="82">
        <f t="shared" si="149"/>
        <v>0</v>
      </c>
      <c r="BH128" s="82">
        <f t="shared" si="149"/>
        <v>0</v>
      </c>
      <c r="BI128" s="82">
        <f t="shared" si="149"/>
        <v>0</v>
      </c>
      <c r="BJ128" s="82">
        <f t="shared" si="149"/>
        <v>0</v>
      </c>
      <c r="BK128" s="82">
        <f t="shared" si="149"/>
        <v>0</v>
      </c>
      <c r="BL128" s="82">
        <f t="shared" si="149"/>
        <v>0</v>
      </c>
    </row>
    <row r="129" spans="1:64" s="68" customFormat="1" hidden="1" outlineLevel="1">
      <c r="B129" s="78" t="s">
        <v>159</v>
      </c>
      <c r="E129" s="138">
        <f>-(C42+C44)/4</f>
        <v>-406500</v>
      </c>
      <c r="F129" s="308">
        <f>E129</f>
        <v>-406500</v>
      </c>
      <c r="G129" s="309">
        <f t="shared" ref="G129:Q129" si="152">IF(AND(MONTH(G$93)=3,G95=1),F129*(1+$C$65),F129)</f>
        <v>-406500</v>
      </c>
      <c r="H129" s="309">
        <f t="shared" si="152"/>
        <v>-406500</v>
      </c>
      <c r="I129" s="309">
        <f t="shared" si="152"/>
        <v>-406500</v>
      </c>
      <c r="J129" s="309">
        <f t="shared" si="152"/>
        <v>-406500</v>
      </c>
      <c r="K129" s="309">
        <f>IF(AND(MONTH(K$93)=3,K95=1),J129*(1+$C$65),J129)</f>
        <v>-406500</v>
      </c>
      <c r="L129" s="309">
        <f t="shared" si="152"/>
        <v>-406500</v>
      </c>
      <c r="M129" s="309">
        <f t="shared" si="152"/>
        <v>-426825</v>
      </c>
      <c r="N129" s="309">
        <f t="shared" si="152"/>
        <v>-426825</v>
      </c>
      <c r="O129" s="309">
        <f t="shared" si="152"/>
        <v>-426825</v>
      </c>
      <c r="P129" s="309">
        <f t="shared" si="152"/>
        <v>-426825</v>
      </c>
      <c r="Q129" s="309">
        <f t="shared" si="152"/>
        <v>-448166.25</v>
      </c>
      <c r="R129" s="309">
        <f t="shared" ref="R129:AZ129" si="153">IF(AND(MONTH(R$93)=3,R95=1),Q129*(1+$C$65),Q129)</f>
        <v>-448166.25</v>
      </c>
      <c r="S129" s="309">
        <f t="shared" si="153"/>
        <v>-448166.25</v>
      </c>
      <c r="T129" s="309">
        <f t="shared" si="153"/>
        <v>-448166.25</v>
      </c>
      <c r="U129" s="309">
        <f t="shared" si="153"/>
        <v>-470574.5625</v>
      </c>
      <c r="V129" s="309">
        <f t="shared" si="153"/>
        <v>-470574.5625</v>
      </c>
      <c r="W129" s="309">
        <f t="shared" si="153"/>
        <v>-470574.5625</v>
      </c>
      <c r="X129" s="309">
        <f t="shared" si="153"/>
        <v>-470574.5625</v>
      </c>
      <c r="Y129" s="309">
        <f t="shared" si="153"/>
        <v>-494103.29062500002</v>
      </c>
      <c r="Z129" s="309">
        <f t="shared" si="153"/>
        <v>-494103.29062500002</v>
      </c>
      <c r="AA129" s="309">
        <f t="shared" si="153"/>
        <v>-494103.29062500002</v>
      </c>
      <c r="AB129" s="309">
        <f t="shared" si="153"/>
        <v>-494103.29062500002</v>
      </c>
      <c r="AC129" s="309">
        <f t="shared" si="153"/>
        <v>-518808.45515625004</v>
      </c>
      <c r="AD129" s="309">
        <f t="shared" si="153"/>
        <v>-518808.45515625004</v>
      </c>
      <c r="AE129" s="309">
        <f t="shared" si="153"/>
        <v>-518808.45515625004</v>
      </c>
      <c r="AF129" s="309">
        <f t="shared" si="153"/>
        <v>-518808.45515625004</v>
      </c>
      <c r="AG129" s="309">
        <f t="shared" si="153"/>
        <v>-544748.87791406258</v>
      </c>
      <c r="AH129" s="309">
        <f t="shared" si="153"/>
        <v>-544748.87791406258</v>
      </c>
      <c r="AI129" s="309">
        <f t="shared" si="153"/>
        <v>-544748.87791406258</v>
      </c>
      <c r="AJ129" s="309">
        <f t="shared" si="153"/>
        <v>-544748.87791406258</v>
      </c>
      <c r="AK129" s="309">
        <f t="shared" si="153"/>
        <v>-571986.32180976577</v>
      </c>
      <c r="AL129" s="309">
        <f t="shared" si="153"/>
        <v>-571986.32180976577</v>
      </c>
      <c r="AM129" s="309">
        <f t="shared" si="153"/>
        <v>-571986.32180976577</v>
      </c>
      <c r="AN129" s="309">
        <f t="shared" si="153"/>
        <v>-571986.32180976577</v>
      </c>
      <c r="AO129" s="309">
        <f t="shared" si="153"/>
        <v>-600585.63790025411</v>
      </c>
      <c r="AP129" s="309">
        <f t="shared" si="153"/>
        <v>-600585.63790025411</v>
      </c>
      <c r="AQ129" s="309">
        <f t="shared" si="153"/>
        <v>-600585.63790025411</v>
      </c>
      <c r="AR129" s="309">
        <f t="shared" si="153"/>
        <v>-600585.63790025411</v>
      </c>
      <c r="AS129" s="309">
        <f t="shared" si="153"/>
        <v>-630614.91979526682</v>
      </c>
      <c r="AT129" s="309">
        <f t="shared" si="153"/>
        <v>-630614.91979526682</v>
      </c>
      <c r="AU129" s="91">
        <f t="shared" si="153"/>
        <v>-630614.91979526682</v>
      </c>
      <c r="AV129" s="91">
        <f t="shared" si="153"/>
        <v>-630614.91979526682</v>
      </c>
      <c r="AW129" s="91">
        <f t="shared" si="153"/>
        <v>-662145.66578503023</v>
      </c>
      <c r="AX129" s="91">
        <f t="shared" si="153"/>
        <v>-662145.66578503023</v>
      </c>
      <c r="AY129" s="91">
        <f t="shared" si="153"/>
        <v>-662145.66578503023</v>
      </c>
      <c r="AZ129" s="91">
        <f t="shared" si="153"/>
        <v>-662145.66578503023</v>
      </c>
      <c r="BB129" s="48" t="str">
        <f t="shared" si="151"/>
        <v>Эксплуатация (для расчета)</v>
      </c>
      <c r="BC129" s="82">
        <f t="shared" si="149"/>
        <v>-2032500</v>
      </c>
      <c r="BD129" s="82">
        <f t="shared" si="149"/>
        <v>-1666650</v>
      </c>
      <c r="BE129" s="82">
        <f t="shared" si="149"/>
        <v>-1749982.5</v>
      </c>
      <c r="BF129" s="82">
        <f t="shared" si="149"/>
        <v>-1837481.625</v>
      </c>
      <c r="BG129" s="82">
        <f t="shared" si="149"/>
        <v>-1929355.7062499998</v>
      </c>
      <c r="BH129" s="82">
        <f t="shared" si="149"/>
        <v>-2025823.4915625001</v>
      </c>
      <c r="BI129" s="82">
        <f t="shared" si="149"/>
        <v>-2127114.6661406253</v>
      </c>
      <c r="BJ129" s="82">
        <f t="shared" si="149"/>
        <v>-2233470.3994476567</v>
      </c>
      <c r="BK129" s="82">
        <f t="shared" si="149"/>
        <v>-2345143.9194200397</v>
      </c>
      <c r="BL129" s="82">
        <f t="shared" si="149"/>
        <v>-2462401.1153910421</v>
      </c>
    </row>
    <row r="130" spans="1:64" collapsed="1">
      <c r="B130" s="80" t="s">
        <v>41</v>
      </c>
      <c r="C130" s="57"/>
      <c r="D130" s="57"/>
      <c r="E130" s="57"/>
      <c r="F130" s="310">
        <v>0</v>
      </c>
      <c r="G130" s="307">
        <f t="shared" ref="G130:N130" si="154">G129*G95</f>
        <v>0</v>
      </c>
      <c r="H130" s="307">
        <f t="shared" si="154"/>
        <v>0</v>
      </c>
      <c r="I130" s="307">
        <f t="shared" si="154"/>
        <v>0</v>
      </c>
      <c r="J130" s="307">
        <f>J129*J95</f>
        <v>-406500</v>
      </c>
      <c r="K130" s="307">
        <f>K129*K95</f>
        <v>-406500</v>
      </c>
      <c r="L130" s="307">
        <f>L129*L95</f>
        <v>-406500</v>
      </c>
      <c r="M130" s="307">
        <f>M129*M95</f>
        <v>-426825</v>
      </c>
      <c r="N130" s="307">
        <f t="shared" si="154"/>
        <v>-426825</v>
      </c>
      <c r="O130" s="307">
        <f t="shared" ref="O130:AZ130" si="155">O129*O95</f>
        <v>-426825</v>
      </c>
      <c r="P130" s="307">
        <f t="shared" si="155"/>
        <v>-426825</v>
      </c>
      <c r="Q130" s="307">
        <f t="shared" si="155"/>
        <v>-448166.25</v>
      </c>
      <c r="R130" s="307">
        <f t="shared" si="155"/>
        <v>-448166.25</v>
      </c>
      <c r="S130" s="307">
        <f t="shared" si="155"/>
        <v>-448166.25</v>
      </c>
      <c r="T130" s="307">
        <f t="shared" si="155"/>
        <v>-448166.25</v>
      </c>
      <c r="U130" s="307">
        <f t="shared" si="155"/>
        <v>-470574.5625</v>
      </c>
      <c r="V130" s="307">
        <f t="shared" si="155"/>
        <v>-470574.5625</v>
      </c>
      <c r="W130" s="307">
        <f t="shared" si="155"/>
        <v>-470574.5625</v>
      </c>
      <c r="X130" s="307">
        <f t="shared" si="155"/>
        <v>-470574.5625</v>
      </c>
      <c r="Y130" s="307">
        <f t="shared" si="155"/>
        <v>-494103.29062500002</v>
      </c>
      <c r="Z130" s="307">
        <f t="shared" si="155"/>
        <v>-494103.29062500002</v>
      </c>
      <c r="AA130" s="307">
        <f t="shared" si="155"/>
        <v>-494103.29062500002</v>
      </c>
      <c r="AB130" s="307">
        <f t="shared" si="155"/>
        <v>-494103.29062500002</v>
      </c>
      <c r="AC130" s="307">
        <f t="shared" si="155"/>
        <v>-518808.45515625004</v>
      </c>
      <c r="AD130" s="307">
        <f t="shared" si="155"/>
        <v>-518808.45515625004</v>
      </c>
      <c r="AE130" s="307">
        <f t="shared" si="155"/>
        <v>-518808.45515625004</v>
      </c>
      <c r="AF130" s="307">
        <f t="shared" si="155"/>
        <v>-518808.45515625004</v>
      </c>
      <c r="AG130" s="307">
        <f t="shared" si="155"/>
        <v>-544748.87791406258</v>
      </c>
      <c r="AH130" s="307">
        <f t="shared" si="155"/>
        <v>-544748.87791406258</v>
      </c>
      <c r="AI130" s="307">
        <f t="shared" si="155"/>
        <v>-544748.87791406258</v>
      </c>
      <c r="AJ130" s="307">
        <f t="shared" si="155"/>
        <v>-544748.87791406258</v>
      </c>
      <c r="AK130" s="307">
        <f t="shared" si="155"/>
        <v>-571986.32180976577</v>
      </c>
      <c r="AL130" s="307">
        <f t="shared" si="155"/>
        <v>-571986.32180976577</v>
      </c>
      <c r="AM130" s="307">
        <f t="shared" si="155"/>
        <v>-571986.32180976577</v>
      </c>
      <c r="AN130" s="307">
        <f t="shared" si="155"/>
        <v>-571986.32180976577</v>
      </c>
      <c r="AO130" s="307">
        <f t="shared" si="155"/>
        <v>-600585.63790025411</v>
      </c>
      <c r="AP130" s="307">
        <f t="shared" si="155"/>
        <v>-600585.63790025411</v>
      </c>
      <c r="AQ130" s="307">
        <f t="shared" si="155"/>
        <v>-600585.63790025411</v>
      </c>
      <c r="AR130" s="307">
        <f t="shared" si="155"/>
        <v>-600585.63790025411</v>
      </c>
      <c r="AS130" s="307">
        <f t="shared" si="155"/>
        <v>-630614.91979526682</v>
      </c>
      <c r="AT130" s="307">
        <f t="shared" si="155"/>
        <v>-630614.91979526682</v>
      </c>
      <c r="AU130" s="82">
        <f t="shared" si="155"/>
        <v>-630614.91979526682</v>
      </c>
      <c r="AV130" s="82">
        <f t="shared" si="155"/>
        <v>-630614.91979526682</v>
      </c>
      <c r="AW130" s="82">
        <f t="shared" si="155"/>
        <v>-662145.66578503023</v>
      </c>
      <c r="AX130" s="82">
        <f t="shared" si="155"/>
        <v>-662145.66578503023</v>
      </c>
      <c r="AY130" s="82">
        <f t="shared" si="155"/>
        <v>-662145.66578503023</v>
      </c>
      <c r="AZ130" s="82">
        <f t="shared" si="155"/>
        <v>-662145.66578503023</v>
      </c>
      <c r="BB130" s="48" t="str">
        <f t="shared" si="151"/>
        <v xml:space="preserve">Эксплуатация </v>
      </c>
      <c r="BC130" s="82">
        <f t="shared" si="149"/>
        <v>-406500</v>
      </c>
      <c r="BD130" s="82">
        <f t="shared" si="149"/>
        <v>-1666650</v>
      </c>
      <c r="BE130" s="82">
        <f t="shared" si="149"/>
        <v>-1749982.5</v>
      </c>
      <c r="BF130" s="82">
        <f t="shared" si="149"/>
        <v>-1837481.625</v>
      </c>
      <c r="BG130" s="82">
        <f t="shared" si="149"/>
        <v>-1929355.7062499998</v>
      </c>
      <c r="BH130" s="82">
        <f t="shared" si="149"/>
        <v>-2025823.4915625001</v>
      </c>
      <c r="BI130" s="82">
        <f t="shared" si="149"/>
        <v>-2127114.6661406253</v>
      </c>
      <c r="BJ130" s="82">
        <f t="shared" si="149"/>
        <v>-2233470.3994476567</v>
      </c>
      <c r="BK130" s="82">
        <f t="shared" si="149"/>
        <v>-2345143.9194200397</v>
      </c>
      <c r="BL130" s="82">
        <f t="shared" si="149"/>
        <v>-2462401.1153910421</v>
      </c>
    </row>
    <row r="131" spans="1:64">
      <c r="B131" s="76" t="s">
        <v>21</v>
      </c>
      <c r="C131" s="60"/>
      <c r="D131" s="77"/>
      <c r="E131" s="60"/>
      <c r="F131" s="300">
        <v>0</v>
      </c>
      <c r="G131" s="311">
        <f>G127+G128+G130+G121</f>
        <v>0</v>
      </c>
      <c r="H131" s="311">
        <f t="shared" ref="H131:AZ131" si="156">H127+H128+H130+H121</f>
        <v>0</v>
      </c>
      <c r="I131" s="311">
        <f t="shared" si="156"/>
        <v>0</v>
      </c>
      <c r="J131" s="311">
        <f>J127+J128+J130+J121</f>
        <v>-715793.75</v>
      </c>
      <c r="K131" s="311">
        <f>K127+K128+K130+K121</f>
        <v>2254206.25</v>
      </c>
      <c r="L131" s="311">
        <f>L127+L128+L130+L121</f>
        <v>2891706.2500000009</v>
      </c>
      <c r="M131" s="311">
        <f>M127+M128+M130+M121</f>
        <v>3397182.7160354611</v>
      </c>
      <c r="N131" s="311">
        <f>N127+N128+N130+N121</f>
        <v>3958334.6562500028</v>
      </c>
      <c r="O131" s="311">
        <f t="shared" si="156"/>
        <v>5266961.7761839163</v>
      </c>
      <c r="P131" s="311">
        <f t="shared" si="156"/>
        <v>5455681.8277792549</v>
      </c>
      <c r="Q131" s="311">
        <f t="shared" si="156"/>
        <v>5620348.2302393746</v>
      </c>
      <c r="R131" s="311">
        <f t="shared" si="156"/>
        <v>5698705.9887062535</v>
      </c>
      <c r="S131" s="311">
        <f t="shared" si="156"/>
        <v>5904400.4149550265</v>
      </c>
      <c r="T131" s="311">
        <f t="shared" si="156"/>
        <v>5985454.3105664691</v>
      </c>
      <c r="U131" s="311">
        <f t="shared" si="156"/>
        <v>6037358.7599303499</v>
      </c>
      <c r="V131" s="311">
        <f t="shared" si="156"/>
        <v>6121201.5614899117</v>
      </c>
      <c r="W131" s="311">
        <f t="shared" si="156"/>
        <v>6341294.5975760985</v>
      </c>
      <c r="X131" s="311">
        <f t="shared" si="156"/>
        <v>6428022.2658803426</v>
      </c>
      <c r="Y131" s="311">
        <f t="shared" si="156"/>
        <v>6484373.76366405</v>
      </c>
      <c r="Z131" s="311">
        <f t="shared" si="156"/>
        <v>6574085.5613327809</v>
      </c>
      <c r="AA131" s="311">
        <f t="shared" si="156"/>
        <v>6809585.1099450011</v>
      </c>
      <c r="AB131" s="311">
        <f t="shared" si="156"/>
        <v>6902383.7150305416</v>
      </c>
      <c r="AC131" s="311">
        <f t="shared" si="156"/>
        <v>6963525.1022038236</v>
      </c>
      <c r="AD131" s="311">
        <f t="shared" si="156"/>
        <v>7059516.7257093657</v>
      </c>
      <c r="AE131" s="311">
        <f t="shared" si="156"/>
        <v>7311501.242724441</v>
      </c>
      <c r="AF131" s="311">
        <f t="shared" si="156"/>
        <v>7410795.7501659691</v>
      </c>
      <c r="AG131" s="311">
        <f t="shared" si="156"/>
        <v>7477095.2154637743</v>
      </c>
      <c r="AH131" s="311">
        <f t="shared" si="156"/>
        <v>7579806.2526147049</v>
      </c>
      <c r="AI131" s="311">
        <f t="shared" si="156"/>
        <v>7849429.6858208366</v>
      </c>
      <c r="AJ131" s="311">
        <f t="shared" si="156"/>
        <v>7955674.8087832723</v>
      </c>
      <c r="AK131" s="311">
        <f t="shared" si="156"/>
        <v>8027527.7247821465</v>
      </c>
      <c r="AL131" s="311">
        <f t="shared" si="156"/>
        <v>8137428.5345336404</v>
      </c>
      <c r="AM131" s="311">
        <f t="shared" si="156"/>
        <v>8425925.6080642007</v>
      </c>
      <c r="AN131" s="311">
        <f t="shared" si="156"/>
        <v>8539607.8896340076</v>
      </c>
      <c r="AO131" s="311">
        <f t="shared" si="156"/>
        <v>8617438.7802976556</v>
      </c>
      <c r="AP131" s="311">
        <f t="shared" si="156"/>
        <v>8735032.6467317548</v>
      </c>
      <c r="AQ131" s="311">
        <f t="shared" si="156"/>
        <v>9043724.5154094547</v>
      </c>
      <c r="AR131" s="311">
        <f t="shared" si="156"/>
        <v>9165364.5566891469</v>
      </c>
      <c r="AS131" s="311">
        <f t="shared" si="156"/>
        <v>9249629.2057296745</v>
      </c>
      <c r="AT131" s="311">
        <f t="shared" si="156"/>
        <v>9375454.6428141631</v>
      </c>
      <c r="AU131" s="83">
        <f t="shared" si="156"/>
        <v>9705754.9422993008</v>
      </c>
      <c r="AV131" s="83">
        <f t="shared" si="156"/>
        <v>9835909.7864685729</v>
      </c>
      <c r="AW131" s="83">
        <f t="shared" si="156"/>
        <v>9927097.496531168</v>
      </c>
      <c r="AX131" s="83">
        <f t="shared" si="156"/>
        <v>10061730.714211568</v>
      </c>
      <c r="AY131" s="83">
        <f t="shared" si="156"/>
        <v>10415152.034660667</v>
      </c>
      <c r="AZ131" s="83">
        <f t="shared" si="156"/>
        <v>10554417.717921786</v>
      </c>
      <c r="BB131" s="35" t="str">
        <f>B131</f>
        <v>NOI</v>
      </c>
      <c r="BC131" s="176">
        <f>BC127+BC128+BC130+BC121</f>
        <v>-715793.75</v>
      </c>
      <c r="BD131" s="176">
        <f t="shared" ref="BD131:BL131" si="157">BD127+BD128+BD130+BD121</f>
        <v>12501429.872285465</v>
      </c>
      <c r="BE131" s="176">
        <f t="shared" si="157"/>
        <v>22041697.822908796</v>
      </c>
      <c r="BF131" s="176">
        <f t="shared" si="157"/>
        <v>24048415.046941757</v>
      </c>
      <c r="BG131" s="176">
        <f t="shared" si="157"/>
        <v>25827776.188453272</v>
      </c>
      <c r="BH131" s="176">
        <f t="shared" si="157"/>
        <v>27735010.65288873</v>
      </c>
      <c r="BI131" s="176">
        <f t="shared" si="157"/>
        <v>29779198.460968893</v>
      </c>
      <c r="BJ131" s="176">
        <f t="shared" si="157"/>
        <v>31970060.753919899</v>
      </c>
      <c r="BK131" s="176">
        <f>BK127+BK128+BK130+BK121</f>
        <v>34318004.924727619</v>
      </c>
      <c r="BL131" s="176">
        <f t="shared" si="157"/>
        <v>36834172.920642443</v>
      </c>
    </row>
    <row r="132" spans="1:64" s="68" customFormat="1">
      <c r="A132" s="41"/>
      <c r="B132" s="67" t="s">
        <v>22</v>
      </c>
      <c r="E132" s="69"/>
      <c r="F132" s="312">
        <f t="shared" ref="F132:O132" si="158">IFERROR(F131/F121,0%)</f>
        <v>0</v>
      </c>
      <c r="G132" s="302">
        <f t="shared" si="158"/>
        <v>0</v>
      </c>
      <c r="H132" s="302">
        <f t="shared" si="158"/>
        <v>0</v>
      </c>
      <c r="I132" s="302">
        <f t="shared" si="158"/>
        <v>0</v>
      </c>
      <c r="J132" s="302">
        <f>IFERROR(J131/J121,0%)</f>
        <v>0</v>
      </c>
      <c r="K132" s="302">
        <f>IFERROR(K131/K121,0%)</f>
        <v>0.75899200336700334</v>
      </c>
      <c r="L132" s="302">
        <f>IFERROR(L131/L121,0%)</f>
        <v>0.80158177408177411</v>
      </c>
      <c r="M132" s="302">
        <f t="shared" si="158"/>
        <v>0.82037067845419565</v>
      </c>
      <c r="N132" s="302">
        <f t="shared" si="158"/>
        <v>0.84180737782423853</v>
      </c>
      <c r="O132" s="302">
        <f t="shared" si="158"/>
        <v>0.87624783704867226</v>
      </c>
      <c r="P132" s="302">
        <f t="shared" ref="P132:U132" si="159">IFERROR(P131/P121,0%)</f>
        <v>0.88001497803700468</v>
      </c>
      <c r="Q132" s="302">
        <f t="shared" si="159"/>
        <v>0.87907686242097194</v>
      </c>
      <c r="R132" s="302">
        <f t="shared" si="159"/>
        <v>0.88054094210387557</v>
      </c>
      <c r="S132" s="302">
        <f t="shared" si="159"/>
        <v>0.8842207615909331</v>
      </c>
      <c r="T132" s="302">
        <f t="shared" si="159"/>
        <v>0.88560927352484153</v>
      </c>
      <c r="U132" s="302">
        <f t="shared" si="159"/>
        <v>0.88252462196191117</v>
      </c>
      <c r="V132" s="302">
        <f t="shared" ref="V132:AZ132" si="160">IFERROR(V131/V121,0%)</f>
        <v>0.88394695781649146</v>
      </c>
      <c r="W132" s="302">
        <f t="shared" si="160"/>
        <v>0.88752185831947827</v>
      </c>
      <c r="X132" s="302">
        <f t="shared" si="160"/>
        <v>0.88887078101212413</v>
      </c>
      <c r="Y132" s="302">
        <f t="shared" si="160"/>
        <v>0.88585799522260666</v>
      </c>
      <c r="Z132" s="302">
        <f t="shared" si="160"/>
        <v>0.88723997218339523</v>
      </c>
      <c r="AA132" s="302">
        <f t="shared" si="160"/>
        <v>0.89071343459828778</v>
      </c>
      <c r="AB132" s="302">
        <f t="shared" si="160"/>
        <v>0.89202408150149171</v>
      </c>
      <c r="AC132" s="302">
        <f t="shared" si="160"/>
        <v>0.88908122063628736</v>
      </c>
      <c r="AD132" s="302">
        <f t="shared" si="160"/>
        <v>0.89042417232088755</v>
      </c>
      <c r="AE132" s="302">
        <f t="shared" si="160"/>
        <v>0.89379954856363897</v>
      </c>
      <c r="AF132" s="302">
        <f t="shared" si="160"/>
        <v>0.89507318446099082</v>
      </c>
      <c r="AG132" s="302">
        <f t="shared" si="160"/>
        <v>0.89219836907973316</v>
      </c>
      <c r="AH132" s="302">
        <f t="shared" si="160"/>
        <v>0.8935035798175136</v>
      </c>
      <c r="AI132" s="302">
        <f t="shared" si="160"/>
        <v>0.8967840979229732</v>
      </c>
      <c r="AJ132" s="302">
        <f t="shared" si="160"/>
        <v>0.89802194085381637</v>
      </c>
      <c r="AK132" s="302">
        <f t="shared" si="160"/>
        <v>0.89521335072012709</v>
      </c>
      <c r="AL132" s="302">
        <f t="shared" si="160"/>
        <v>0.8964820574980169</v>
      </c>
      <c r="AM132" s="302">
        <f t="shared" si="160"/>
        <v>0.89967082651049424</v>
      </c>
      <c r="AN132" s="302">
        <f t="shared" si="160"/>
        <v>0.90087404961528916</v>
      </c>
      <c r="AO132" s="302">
        <f t="shared" si="160"/>
        <v>0.89812992157769167</v>
      </c>
      <c r="AP132" s="302">
        <f t="shared" si="160"/>
        <v>0.89936331590651841</v>
      </c>
      <c r="AQ132" s="302">
        <f t="shared" si="160"/>
        <v>0.90246333057063921</v>
      </c>
      <c r="AR132" s="302">
        <f t="shared" si="160"/>
        <v>0.90363306386097098</v>
      </c>
      <c r="AS132" s="302">
        <f t="shared" si="160"/>
        <v>0.90095168981599549</v>
      </c>
      <c r="AT132" s="302">
        <f t="shared" si="160"/>
        <v>0.90215091952066295</v>
      </c>
      <c r="AU132" s="70">
        <f t="shared" si="160"/>
        <v>0.90516506478080394</v>
      </c>
      <c r="AV132" s="70">
        <f t="shared" si="160"/>
        <v>0.90630239683716141</v>
      </c>
      <c r="AW132" s="70">
        <f t="shared" si="160"/>
        <v>0.90368212177131046</v>
      </c>
      <c r="AX132" s="70">
        <f t="shared" si="160"/>
        <v>0.90484829270797562</v>
      </c>
      <c r="AY132" s="70">
        <f t="shared" si="160"/>
        <v>0.90777934802422</v>
      </c>
      <c r="AZ132" s="70">
        <f t="shared" si="160"/>
        <v>0.90888532762454144</v>
      </c>
      <c r="BB132" s="177" t="str">
        <f>B132</f>
        <v>NOI margin,%</v>
      </c>
      <c r="BC132" s="178" t="str">
        <f>BC122</f>
        <v>n/a</v>
      </c>
      <c r="BD132" s="175">
        <f t="shared" ref="BD132:BL132" si="161">BD131/BD121</f>
        <v>0.81069043657904294</v>
      </c>
      <c r="BE132" s="175">
        <f t="shared" si="161"/>
        <v>0.87900852527236517</v>
      </c>
      <c r="BF132" s="175">
        <f t="shared" si="161"/>
        <v>0.88406948573517663</v>
      </c>
      <c r="BG132" s="175">
        <f t="shared" si="161"/>
        <v>0.88736680582793193</v>
      </c>
      <c r="BH132" s="175">
        <f t="shared" si="161"/>
        <v>0.89055495380992411</v>
      </c>
      <c r="BI132" s="175">
        <f t="shared" si="161"/>
        <v>0.89363796962544517</v>
      </c>
      <c r="BJ132" s="175">
        <f t="shared" si="161"/>
        <v>0.89661973362124536</v>
      </c>
      <c r="BK132" s="175">
        <f t="shared" si="161"/>
        <v>0.89950397306593122</v>
      </c>
      <c r="BL132" s="175">
        <f t="shared" si="161"/>
        <v>0.90229426839878479</v>
      </c>
    </row>
    <row r="133" spans="1:64" s="72" customFormat="1" ht="5.5" customHeight="1">
      <c r="A133" s="11"/>
      <c r="B133" s="71"/>
      <c r="D133" s="73"/>
      <c r="E133" s="74"/>
      <c r="F133" s="303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70"/>
      <c r="AV133" s="70"/>
      <c r="AW133" s="70"/>
      <c r="AX133" s="70"/>
      <c r="AY133" s="70"/>
      <c r="AZ133" s="70"/>
    </row>
    <row r="134" spans="1:64">
      <c r="B134" s="80" t="s">
        <v>24</v>
      </c>
      <c r="C134" s="57"/>
      <c r="D134" s="57"/>
      <c r="E134" s="84"/>
      <c r="F134" s="306"/>
      <c r="G134" s="307">
        <f>-IF(MONTH(G93)=6,$C$59*F152,0)*G$95</f>
        <v>0</v>
      </c>
      <c r="H134" s="307">
        <f>-IF(MONTH(H93)=6,$C$59*G152,0)*H$95</f>
        <v>0</v>
      </c>
      <c r="I134" s="307">
        <f>-IF(MONTH(I93)=6,$C$59*H152,0)*I$95</f>
        <v>0</v>
      </c>
      <c r="J134" s="307">
        <f>-IF(MONTH(J93)=6,$C$59*I152,0)*J$95</f>
        <v>-133660.06266353693</v>
      </c>
      <c r="K134" s="307">
        <f>-IF(MONTH(K93)=6,$C$59*J152,0)*K$95</f>
        <v>0</v>
      </c>
      <c r="L134" s="307">
        <f t="shared" ref="L134:AZ134" si="162">-IF(MONTH(L93)=6,$C$59*K152,0)*L$95</f>
        <v>0</v>
      </c>
      <c r="M134" s="307">
        <f t="shared" si="162"/>
        <v>0</v>
      </c>
      <c r="N134" s="307">
        <f t="shared" si="162"/>
        <v>-159884.71497874716</v>
      </c>
      <c r="O134" s="307">
        <f t="shared" si="162"/>
        <v>0</v>
      </c>
      <c r="P134" s="307">
        <f t="shared" si="162"/>
        <v>0</v>
      </c>
      <c r="Q134" s="307">
        <f t="shared" si="162"/>
        <v>0</v>
      </c>
      <c r="R134" s="307">
        <f t="shared" si="162"/>
        <v>-177194.39605618574</v>
      </c>
      <c r="S134" s="307">
        <f t="shared" si="162"/>
        <v>0</v>
      </c>
      <c r="T134" s="307">
        <f t="shared" si="162"/>
        <v>0</v>
      </c>
      <c r="U134" s="307">
        <f t="shared" si="162"/>
        <v>0</v>
      </c>
      <c r="V134" s="307">
        <f t="shared" si="162"/>
        <v>-190311.69141457803</v>
      </c>
      <c r="W134" s="307">
        <f t="shared" si="162"/>
        <v>0</v>
      </c>
      <c r="X134" s="307">
        <f t="shared" si="162"/>
        <v>0</v>
      </c>
      <c r="Y134" s="307">
        <f t="shared" si="162"/>
        <v>0</v>
      </c>
      <c r="Z134" s="307">
        <f t="shared" si="162"/>
        <v>-204371.84616384111</v>
      </c>
      <c r="AA134" s="307">
        <f t="shared" si="162"/>
        <v>0</v>
      </c>
      <c r="AB134" s="307">
        <f t="shared" si="162"/>
        <v>0</v>
      </c>
      <c r="AC134" s="307">
        <f t="shared" si="162"/>
        <v>0</v>
      </c>
      <c r="AD134" s="307">
        <f t="shared" si="162"/>
        <v>-219441.81700547657</v>
      </c>
      <c r="AE134" s="307">
        <f t="shared" si="162"/>
        <v>0</v>
      </c>
      <c r="AF134" s="307">
        <f t="shared" si="162"/>
        <v>0</v>
      </c>
      <c r="AG134" s="307">
        <f t="shared" si="162"/>
        <v>0</v>
      </c>
      <c r="AH134" s="307">
        <f t="shared" si="162"/>
        <v>-235593.2885400072</v>
      </c>
      <c r="AI134" s="307">
        <f t="shared" si="162"/>
        <v>0</v>
      </c>
      <c r="AJ134" s="307">
        <f t="shared" si="162"/>
        <v>0</v>
      </c>
      <c r="AK134" s="307">
        <f t="shared" si="162"/>
        <v>0</v>
      </c>
      <c r="AL134" s="307">
        <f t="shared" si="162"/>
        <v>-252903.00609397126</v>
      </c>
      <c r="AM134" s="307">
        <f t="shared" si="162"/>
        <v>0</v>
      </c>
      <c r="AN134" s="307">
        <f t="shared" si="162"/>
        <v>0</v>
      </c>
      <c r="AO134" s="307">
        <f t="shared" si="162"/>
        <v>0</v>
      </c>
      <c r="AP134" s="307">
        <f t="shared" si="162"/>
        <v>-271453.13193420024</v>
      </c>
      <c r="AQ134" s="307">
        <f t="shared" si="162"/>
        <v>0</v>
      </c>
      <c r="AR134" s="307">
        <f t="shared" si="162"/>
        <v>0</v>
      </c>
      <c r="AS134" s="307">
        <f t="shared" si="162"/>
        <v>0</v>
      </c>
      <c r="AT134" s="307">
        <f t="shared" si="162"/>
        <v>-291331.62651084899</v>
      </c>
      <c r="AU134" s="82">
        <f t="shared" si="162"/>
        <v>0</v>
      </c>
      <c r="AV134" s="82">
        <f t="shared" si="162"/>
        <v>0</v>
      </c>
      <c r="AW134" s="82">
        <f t="shared" si="162"/>
        <v>0</v>
      </c>
      <c r="AX134" s="82">
        <f t="shared" si="162"/>
        <v>-312673.01471128274</v>
      </c>
      <c r="AY134" s="82">
        <f t="shared" si="162"/>
        <v>0</v>
      </c>
      <c r="AZ134" s="82">
        <f t="shared" si="162"/>
        <v>0</v>
      </c>
      <c r="BB134" s="48" t="str">
        <f t="shared" ref="BB134:BB138" si="163">B134</f>
        <v>Страхование недвижимости</v>
      </c>
      <c r="BC134" s="82">
        <f t="shared" ref="BC134:BL138" si="164">SUMIF($F$98:$AZ$98,BC$115,$F134:$AZ134)</f>
        <v>-133660.06266353693</v>
      </c>
      <c r="BD134" s="82">
        <f t="shared" si="164"/>
        <v>-159884.71497874716</v>
      </c>
      <c r="BE134" s="82">
        <f t="shared" si="164"/>
        <v>-177194.39605618574</v>
      </c>
      <c r="BF134" s="82">
        <f t="shared" si="164"/>
        <v>-190311.69141457803</v>
      </c>
      <c r="BG134" s="82">
        <f t="shared" si="164"/>
        <v>-204371.84616384111</v>
      </c>
      <c r="BH134" s="82">
        <f t="shared" si="164"/>
        <v>-219441.81700547657</v>
      </c>
      <c r="BI134" s="82">
        <f t="shared" si="164"/>
        <v>-235593.2885400072</v>
      </c>
      <c r="BJ134" s="82">
        <f t="shared" si="164"/>
        <v>-252903.00609397126</v>
      </c>
      <c r="BK134" s="82">
        <f t="shared" si="164"/>
        <v>-271453.13193420024</v>
      </c>
      <c r="BL134" s="82">
        <f t="shared" si="164"/>
        <v>-291331.62651084899</v>
      </c>
    </row>
    <row r="135" spans="1:64">
      <c r="B135" s="80" t="s">
        <v>8</v>
      </c>
      <c r="C135" s="57"/>
      <c r="D135" s="57"/>
      <c r="E135" s="75"/>
      <c r="F135" s="306">
        <f>-N13</f>
        <v>-9050000</v>
      </c>
      <c r="G135" s="307">
        <f>-$C$50/4*F152</f>
        <v>-488875</v>
      </c>
      <c r="H135" s="307">
        <f t="shared" ref="H135:L135" si="165">-$C$50/4*G152</f>
        <v>-510237.8125</v>
      </c>
      <c r="I135" s="307">
        <f t="shared" si="165"/>
        <v>-530252.99036458333</v>
      </c>
      <c r="J135" s="307">
        <f t="shared" si="165"/>
        <v>-556916.92776473728</v>
      </c>
      <c r="K135" s="307">
        <f>-$C$50/4*J152</f>
        <v>-585771.15954005031</v>
      </c>
      <c r="L135" s="307">
        <f t="shared" si="165"/>
        <v>-617806.18734420359</v>
      </c>
      <c r="M135" s="307">
        <f t="shared" ref="M135:AZ135" si="166">-$C$50/4*L152</f>
        <v>-643843.49021786696</v>
      </c>
      <c r="N135" s="307">
        <f t="shared" si="166"/>
        <v>-666186.31241144647</v>
      </c>
      <c r="O135" s="307">
        <f t="shared" si="166"/>
        <v>-685078.42815350147</v>
      </c>
      <c r="P135" s="307">
        <f t="shared" si="166"/>
        <v>-702378.78787878796</v>
      </c>
      <c r="Q135" s="307">
        <f t="shared" si="166"/>
        <v>-714965.90909090906</v>
      </c>
      <c r="R135" s="307">
        <f t="shared" si="166"/>
        <v>-738309.98356744065</v>
      </c>
      <c r="S135" s="307">
        <f t="shared" si="166"/>
        <v>-751512.97021692991</v>
      </c>
      <c r="T135" s="307">
        <f t="shared" si="166"/>
        <v>-765165.91342383833</v>
      </c>
      <c r="U135" s="307">
        <f t="shared" si="166"/>
        <v>-778996.16202739708</v>
      </c>
      <c r="V135" s="307">
        <f t="shared" si="166"/>
        <v>-792965.38089407515</v>
      </c>
      <c r="W135" s="307">
        <f t="shared" si="166"/>
        <v>-807118.00588916487</v>
      </c>
      <c r="X135" s="307">
        <f t="shared" si="166"/>
        <v>-821752.08440069295</v>
      </c>
      <c r="Y135" s="307">
        <f t="shared" si="166"/>
        <v>-836575.87968663662</v>
      </c>
      <c r="Z135" s="307">
        <f t="shared" si="166"/>
        <v>-851549.35901600472</v>
      </c>
      <c r="AA135" s="307">
        <f t="shared" si="166"/>
        <v>-866719.08290277293</v>
      </c>
      <c r="AB135" s="307">
        <f t="shared" si="166"/>
        <v>-882403.96205213037</v>
      </c>
      <c r="AC135" s="307">
        <f t="shared" si="166"/>
        <v>-898291.83815011231</v>
      </c>
      <c r="AD135" s="307">
        <f t="shared" si="166"/>
        <v>-914340.90418948582</v>
      </c>
      <c r="AE135" s="307">
        <f t="shared" si="166"/>
        <v>-930599.95190527779</v>
      </c>
      <c r="AF135" s="307">
        <f t="shared" si="166"/>
        <v>-947410.21575204015</v>
      </c>
      <c r="AG135" s="307">
        <f t="shared" si="166"/>
        <v>-964437.68633383093</v>
      </c>
      <c r="AH135" s="307">
        <f t="shared" si="166"/>
        <v>-981638.70225003001</v>
      </c>
      <c r="AI135" s="307">
        <f t="shared" si="166"/>
        <v>-999064.39855999686</v>
      </c>
      <c r="AJ135" s="307">
        <f t="shared" si="166"/>
        <v>-1017079.8961301019</v>
      </c>
      <c r="AK135" s="307">
        <f t="shared" si="166"/>
        <v>-1035327.8049066871</v>
      </c>
      <c r="AL135" s="307">
        <f t="shared" si="166"/>
        <v>-1053762.525391547</v>
      </c>
      <c r="AM135" s="307">
        <f t="shared" si="166"/>
        <v>-1072437.6538977381</v>
      </c>
      <c r="AN135" s="307">
        <f t="shared" si="166"/>
        <v>-1091743.8697522774</v>
      </c>
      <c r="AO135" s="307">
        <f t="shared" si="166"/>
        <v>-1111298.7655977504</v>
      </c>
      <c r="AP135" s="307">
        <f t="shared" si="166"/>
        <v>-1131054.716392501</v>
      </c>
      <c r="AQ135" s="307">
        <f t="shared" si="166"/>
        <v>-1151067.9037700761</v>
      </c>
      <c r="AR135" s="307">
        <f t="shared" si="166"/>
        <v>-1171756.354610384</v>
      </c>
      <c r="AS135" s="307">
        <f t="shared" si="166"/>
        <v>-1192710.8930409909</v>
      </c>
      <c r="AT135" s="307">
        <f t="shared" si="166"/>
        <v>-1213881.7771285377</v>
      </c>
      <c r="AU135" s="82">
        <f t="shared" si="166"/>
        <v>-1235327.9043597064</v>
      </c>
      <c r="AV135" s="82">
        <f t="shared" si="166"/>
        <v>-1257496.5634959992</v>
      </c>
      <c r="AW135" s="82">
        <f t="shared" si="166"/>
        <v>-1279949.9363539121</v>
      </c>
      <c r="AX135" s="82">
        <f t="shared" si="166"/>
        <v>-1302804.2279636781</v>
      </c>
      <c r="AY135" s="82">
        <f t="shared" si="166"/>
        <v>-1326066.5969756527</v>
      </c>
      <c r="AZ135" s="82">
        <f t="shared" si="166"/>
        <v>-1349744.3298622866</v>
      </c>
      <c r="BB135" s="48" t="str">
        <f t="shared" si="163"/>
        <v>Комиссия SimpleEstate</v>
      </c>
      <c r="BC135" s="82">
        <f t="shared" si="164"/>
        <v>-11136282.730629321</v>
      </c>
      <c r="BD135" s="82">
        <f>SUMIF($F$98:$AZ$98,BD$115,$F135:$AZ135)</f>
        <v>-2513607.1495135673</v>
      </c>
      <c r="BE135" s="82">
        <f t="shared" si="164"/>
        <v>-2840733.108690639</v>
      </c>
      <c r="BF135" s="82">
        <f t="shared" si="164"/>
        <v>-3088640.4265622403</v>
      </c>
      <c r="BG135" s="82">
        <f t="shared" si="164"/>
        <v>-3316995.328992499</v>
      </c>
      <c r="BH135" s="82">
        <f t="shared" si="164"/>
        <v>-3561755.7872945014</v>
      </c>
      <c r="BI135" s="82">
        <f t="shared" si="164"/>
        <v>-3824086.5562411789</v>
      </c>
      <c r="BJ135" s="82">
        <f t="shared" si="164"/>
        <v>-4105234.6249883329</v>
      </c>
      <c r="BK135" s="82">
        <f t="shared" si="164"/>
        <v>-4406535.0056402674</v>
      </c>
      <c r="BL135" s="82">
        <f t="shared" si="164"/>
        <v>-4729416.9285499882</v>
      </c>
    </row>
    <row r="136" spans="1:64">
      <c r="B136" s="80" t="s">
        <v>95</v>
      </c>
      <c r="C136" s="57"/>
      <c r="D136" s="57"/>
      <c r="E136" s="286">
        <f>-C46/4</f>
        <v>-62500</v>
      </c>
      <c r="F136" s="306">
        <f>-SUM(N7:N12)</f>
        <v>-5500000</v>
      </c>
      <c r="G136" s="307">
        <f>$E$136</f>
        <v>-62500</v>
      </c>
      <c r="H136" s="307">
        <f>IF(MONTH(H$93)=3,G136*(1+$C$65),G136)</f>
        <v>-62500</v>
      </c>
      <c r="I136" s="307">
        <f>IF(MONTH(I$93)=3,H136*(1+$C$65),H136)</f>
        <v>-65625</v>
      </c>
      <c r="J136" s="307">
        <f>IF(MONTH(J$93)=3,I136*(1+$C$65),I136)</f>
        <v>-65625</v>
      </c>
      <c r="K136" s="307">
        <f>IF(MONTH(K$93)=3,J136*(1+$C$65),J136)</f>
        <v>-65625</v>
      </c>
      <c r="L136" s="307">
        <f t="shared" ref="L136:P136" si="167">IF(MONTH(L$93)=3,K136*(1+$C$65),K136)</f>
        <v>-65625</v>
      </c>
      <c r="M136" s="307">
        <f t="shared" si="167"/>
        <v>-68906.25</v>
      </c>
      <c r="N136" s="307">
        <f t="shared" si="167"/>
        <v>-68906.25</v>
      </c>
      <c r="O136" s="307">
        <f t="shared" si="167"/>
        <v>-68906.25</v>
      </c>
      <c r="P136" s="307">
        <f t="shared" si="167"/>
        <v>-68906.25</v>
      </c>
      <c r="Q136" s="307">
        <f t="shared" ref="Q136:AZ136" si="168">IF(MONTH(Q$93)=3,P136*(1+$C$65),P136)</f>
        <v>-72351.5625</v>
      </c>
      <c r="R136" s="307">
        <f t="shared" si="168"/>
        <v>-72351.5625</v>
      </c>
      <c r="S136" s="307">
        <f t="shared" si="168"/>
        <v>-72351.5625</v>
      </c>
      <c r="T136" s="307">
        <f t="shared" si="168"/>
        <v>-72351.5625</v>
      </c>
      <c r="U136" s="307">
        <f t="shared" si="168"/>
        <v>-75969.140625</v>
      </c>
      <c r="V136" s="307">
        <f t="shared" si="168"/>
        <v>-75969.140625</v>
      </c>
      <c r="W136" s="307">
        <f t="shared" si="168"/>
        <v>-75969.140625</v>
      </c>
      <c r="X136" s="307">
        <f t="shared" si="168"/>
        <v>-75969.140625</v>
      </c>
      <c r="Y136" s="307">
        <f t="shared" si="168"/>
        <v>-79767.59765625</v>
      </c>
      <c r="Z136" s="307">
        <f t="shared" si="168"/>
        <v>-79767.59765625</v>
      </c>
      <c r="AA136" s="307">
        <f t="shared" si="168"/>
        <v>-79767.59765625</v>
      </c>
      <c r="AB136" s="307">
        <f t="shared" si="168"/>
        <v>-79767.59765625</v>
      </c>
      <c r="AC136" s="307">
        <f t="shared" si="168"/>
        <v>-83755.9775390625</v>
      </c>
      <c r="AD136" s="307">
        <f t="shared" si="168"/>
        <v>-83755.9775390625</v>
      </c>
      <c r="AE136" s="307">
        <f t="shared" si="168"/>
        <v>-83755.9775390625</v>
      </c>
      <c r="AF136" s="307">
        <f t="shared" si="168"/>
        <v>-83755.9775390625</v>
      </c>
      <c r="AG136" s="307">
        <f t="shared" si="168"/>
        <v>-87943.776416015622</v>
      </c>
      <c r="AH136" s="307">
        <f t="shared" si="168"/>
        <v>-87943.776416015622</v>
      </c>
      <c r="AI136" s="307">
        <f t="shared" si="168"/>
        <v>-87943.776416015622</v>
      </c>
      <c r="AJ136" s="307">
        <f t="shared" si="168"/>
        <v>-87943.776416015622</v>
      </c>
      <c r="AK136" s="307">
        <f t="shared" si="168"/>
        <v>-92340.96523681641</v>
      </c>
      <c r="AL136" s="307">
        <f t="shared" si="168"/>
        <v>-92340.96523681641</v>
      </c>
      <c r="AM136" s="307">
        <f t="shared" si="168"/>
        <v>-92340.96523681641</v>
      </c>
      <c r="AN136" s="307">
        <f t="shared" si="168"/>
        <v>-92340.96523681641</v>
      </c>
      <c r="AO136" s="307">
        <f t="shared" si="168"/>
        <v>-96958.013498657238</v>
      </c>
      <c r="AP136" s="307">
        <f t="shared" si="168"/>
        <v>-96958.013498657238</v>
      </c>
      <c r="AQ136" s="307">
        <f t="shared" si="168"/>
        <v>-96958.013498657238</v>
      </c>
      <c r="AR136" s="307">
        <f t="shared" si="168"/>
        <v>-96958.013498657238</v>
      </c>
      <c r="AS136" s="307">
        <f t="shared" si="168"/>
        <v>-101805.91417359011</v>
      </c>
      <c r="AT136" s="307">
        <f t="shared" si="168"/>
        <v>-101805.91417359011</v>
      </c>
      <c r="AU136" s="82">
        <f t="shared" si="168"/>
        <v>-101805.91417359011</v>
      </c>
      <c r="AV136" s="82">
        <f t="shared" si="168"/>
        <v>-101805.91417359011</v>
      </c>
      <c r="AW136" s="82">
        <f t="shared" si="168"/>
        <v>-106896.20988226961</v>
      </c>
      <c r="AX136" s="82">
        <f t="shared" si="168"/>
        <v>-106896.20988226961</v>
      </c>
      <c r="AY136" s="82">
        <f t="shared" si="168"/>
        <v>-106896.20988226961</v>
      </c>
      <c r="AZ136" s="82">
        <f t="shared" si="168"/>
        <v>-106896.20988226961</v>
      </c>
      <c r="BB136" s="48" t="str">
        <f t="shared" si="163"/>
        <v>Юридические и прочие расходы</v>
      </c>
      <c r="BC136" s="82">
        <f>SUMIF($F$98:$AZ$98,BC$115,$F136:$AZ136)</f>
        <v>-5756250</v>
      </c>
      <c r="BD136" s="82">
        <f>SUMIF($F$98:$AZ$98,BD$115,$F136:$AZ136)</f>
        <v>-269062.5</v>
      </c>
      <c r="BE136" s="82">
        <f t="shared" si="164"/>
        <v>-282515.625</v>
      </c>
      <c r="BF136" s="82">
        <f t="shared" si="164"/>
        <v>-296641.40625</v>
      </c>
      <c r="BG136" s="82">
        <f t="shared" si="164"/>
        <v>-311473.4765625</v>
      </c>
      <c r="BH136" s="82">
        <f t="shared" si="164"/>
        <v>-327047.150390625</v>
      </c>
      <c r="BI136" s="82">
        <f t="shared" si="164"/>
        <v>-343399.50791015627</v>
      </c>
      <c r="BJ136" s="82">
        <f t="shared" si="164"/>
        <v>-360569.48330566403</v>
      </c>
      <c r="BK136" s="82">
        <f t="shared" si="164"/>
        <v>-378597.95747094729</v>
      </c>
      <c r="BL136" s="82">
        <f t="shared" si="164"/>
        <v>-397527.85534449469</v>
      </c>
    </row>
    <row r="137" spans="1:64" s="72" customFormat="1">
      <c r="A137" s="11"/>
      <c r="B137" s="80" t="s">
        <v>212</v>
      </c>
      <c r="D137" s="73"/>
      <c r="E137" s="74"/>
      <c r="F137" s="303"/>
      <c r="G137" s="307">
        <v>0</v>
      </c>
      <c r="H137" s="307">
        <v>0</v>
      </c>
      <c r="I137" s="307">
        <v>0</v>
      </c>
      <c r="J137" s="307">
        <v>0</v>
      </c>
      <c r="K137" s="307">
        <f>-3*(K93=EOMONTH($C$19,3))*($C$23*$C$28)</f>
        <v>-1800000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07">
        <v>0</v>
      </c>
      <c r="T137" s="307">
        <v>0</v>
      </c>
      <c r="U137" s="307">
        <v>0</v>
      </c>
      <c r="V137" s="307">
        <v>0</v>
      </c>
      <c r="W137" s="307">
        <v>0</v>
      </c>
      <c r="X137" s="307">
        <v>0</v>
      </c>
      <c r="Y137" s="307">
        <v>0</v>
      </c>
      <c r="Z137" s="307">
        <v>0</v>
      </c>
      <c r="AA137" s="307">
        <v>0</v>
      </c>
      <c r="AB137" s="307">
        <v>0</v>
      </c>
      <c r="AC137" s="307">
        <v>0</v>
      </c>
      <c r="AD137" s="307">
        <v>0</v>
      </c>
      <c r="AE137" s="307">
        <v>0</v>
      </c>
      <c r="AF137" s="307">
        <v>0</v>
      </c>
      <c r="AG137" s="307">
        <v>0</v>
      </c>
      <c r="AH137" s="307">
        <v>0</v>
      </c>
      <c r="AI137" s="307">
        <v>0</v>
      </c>
      <c r="AJ137" s="307">
        <v>0</v>
      </c>
      <c r="AK137" s="307">
        <v>0</v>
      </c>
      <c r="AL137" s="307">
        <v>0</v>
      </c>
      <c r="AM137" s="307">
        <v>0</v>
      </c>
      <c r="AN137" s="307">
        <v>0</v>
      </c>
      <c r="AO137" s="307">
        <v>0</v>
      </c>
      <c r="AP137" s="307">
        <v>0</v>
      </c>
      <c r="AQ137" s="307">
        <v>0</v>
      </c>
      <c r="AR137" s="307">
        <v>0</v>
      </c>
      <c r="AS137" s="307">
        <v>0</v>
      </c>
      <c r="AT137" s="307">
        <v>0</v>
      </c>
      <c r="AU137" s="137">
        <v>0</v>
      </c>
      <c r="AV137" s="137">
        <v>0</v>
      </c>
      <c r="AW137" s="137">
        <v>0</v>
      </c>
      <c r="AX137" s="137">
        <v>0</v>
      </c>
      <c r="AY137" s="137">
        <v>0</v>
      </c>
      <c r="AZ137" s="137">
        <v>0</v>
      </c>
      <c r="BB137" s="125" t="str">
        <f t="shared" si="163"/>
        <v xml:space="preserve">Комиссия брокерам за поиск арендаторов </v>
      </c>
      <c r="BC137" s="82">
        <f t="shared" si="164"/>
        <v>0</v>
      </c>
      <c r="BD137" s="82">
        <f>SUMIF($F$98:$AZ$98,BD$115,$F137:$AZ137)</f>
        <v>-1800000</v>
      </c>
      <c r="BE137" s="82">
        <f t="shared" si="164"/>
        <v>0</v>
      </c>
      <c r="BF137" s="82">
        <f t="shared" si="164"/>
        <v>0</v>
      </c>
      <c r="BG137" s="82">
        <f t="shared" si="164"/>
        <v>0</v>
      </c>
      <c r="BH137" s="82">
        <f t="shared" si="164"/>
        <v>0</v>
      </c>
      <c r="BI137" s="82">
        <f t="shared" si="164"/>
        <v>0</v>
      </c>
      <c r="BJ137" s="82">
        <f t="shared" si="164"/>
        <v>0</v>
      </c>
      <c r="BK137" s="82">
        <f t="shared" si="164"/>
        <v>0</v>
      </c>
      <c r="BL137" s="82">
        <f t="shared" si="164"/>
        <v>0</v>
      </c>
    </row>
    <row r="138" spans="1:64">
      <c r="B138" s="80" t="s">
        <v>214</v>
      </c>
      <c r="C138" s="86"/>
      <c r="D138" s="87"/>
      <c r="E138" s="88"/>
      <c r="F138" s="310">
        <f>J35</f>
        <v>0</v>
      </c>
      <c r="G138" s="307">
        <f>SUM(L35:N35)</f>
        <v>-2643750.0000000005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07">
        <v>0</v>
      </c>
      <c r="T138" s="307">
        <v>0</v>
      </c>
      <c r="U138" s="307">
        <v>0</v>
      </c>
      <c r="V138" s="307">
        <v>0</v>
      </c>
      <c r="W138" s="307">
        <v>0</v>
      </c>
      <c r="X138" s="307">
        <v>0</v>
      </c>
      <c r="Y138" s="307">
        <v>0</v>
      </c>
      <c r="Z138" s="307">
        <v>0</v>
      </c>
      <c r="AA138" s="307">
        <v>0</v>
      </c>
      <c r="AB138" s="307">
        <v>0</v>
      </c>
      <c r="AC138" s="307">
        <v>0</v>
      </c>
      <c r="AD138" s="307">
        <v>0</v>
      </c>
      <c r="AE138" s="307">
        <v>0</v>
      </c>
      <c r="AF138" s="307">
        <v>0</v>
      </c>
      <c r="AG138" s="307">
        <v>0</v>
      </c>
      <c r="AH138" s="307">
        <v>0</v>
      </c>
      <c r="AI138" s="307">
        <v>0</v>
      </c>
      <c r="AJ138" s="307">
        <v>0</v>
      </c>
      <c r="AK138" s="307">
        <v>0</v>
      </c>
      <c r="AL138" s="307">
        <v>0</v>
      </c>
      <c r="AM138" s="307">
        <v>0</v>
      </c>
      <c r="AN138" s="307">
        <v>0</v>
      </c>
      <c r="AO138" s="307">
        <v>0</v>
      </c>
      <c r="AP138" s="307">
        <v>0</v>
      </c>
      <c r="AQ138" s="307">
        <v>0</v>
      </c>
      <c r="AR138" s="307">
        <v>0</v>
      </c>
      <c r="AS138" s="307">
        <v>0</v>
      </c>
      <c r="AT138" s="307">
        <v>0</v>
      </c>
      <c r="AU138" s="137">
        <v>0</v>
      </c>
      <c r="AV138" s="137">
        <v>0</v>
      </c>
      <c r="AW138" s="137">
        <v>0</v>
      </c>
      <c r="AX138" s="137">
        <v>0</v>
      </c>
      <c r="AY138" s="137">
        <v>0</v>
      </c>
      <c r="AZ138" s="137">
        <v>0</v>
      </c>
      <c r="BB138" s="48" t="str">
        <f t="shared" si="163"/>
        <v>Проценты по долгу</v>
      </c>
      <c r="BC138" s="82">
        <f>SUMIF($F$98:$AZ$98,BC$115,$F138:$AZ138)</f>
        <v>-2643750.0000000005</v>
      </c>
      <c r="BD138" s="82">
        <f>SUMIF($F$98:$AZ$98,BD$115,$F138:$AZ138)</f>
        <v>0</v>
      </c>
      <c r="BE138" s="82">
        <f t="shared" si="164"/>
        <v>0</v>
      </c>
      <c r="BF138" s="82">
        <f t="shared" si="164"/>
        <v>0</v>
      </c>
      <c r="BG138" s="82">
        <f t="shared" si="164"/>
        <v>0</v>
      </c>
      <c r="BH138" s="82">
        <f t="shared" si="164"/>
        <v>0</v>
      </c>
      <c r="BI138" s="82">
        <f t="shared" si="164"/>
        <v>0</v>
      </c>
      <c r="BJ138" s="82">
        <f t="shared" si="164"/>
        <v>0</v>
      </c>
      <c r="BK138" s="82">
        <f t="shared" si="164"/>
        <v>0</v>
      </c>
      <c r="BL138" s="82">
        <f t="shared" si="164"/>
        <v>0</v>
      </c>
    </row>
    <row r="139" spans="1:64" s="55" customFormat="1">
      <c r="A139" s="11"/>
      <c r="B139" s="76" t="s">
        <v>25</v>
      </c>
      <c r="C139" s="60"/>
      <c r="D139" s="77"/>
      <c r="E139" s="60"/>
      <c r="F139" s="313">
        <f>SUM(F131,F134:F138)</f>
        <v>-14550000</v>
      </c>
      <c r="G139" s="311">
        <f>SUM(G131,G134:G138)</f>
        <v>-3195125.0000000005</v>
      </c>
      <c r="H139" s="311">
        <f>SUM(H131,H134:H138)</f>
        <v>-572737.8125</v>
      </c>
      <c r="I139" s="311">
        <f t="shared" ref="I139" si="169">SUM(I131,I134:I138)</f>
        <v>-595877.99036458333</v>
      </c>
      <c r="J139" s="311">
        <f>SUM(J131,J134:J138)</f>
        <v>-1471995.7404282743</v>
      </c>
      <c r="K139" s="311">
        <f>SUM(K131,K134:K138)</f>
        <v>-197189.9095400502</v>
      </c>
      <c r="L139" s="311">
        <f>SUM(L131,L134:L138)</f>
        <v>2208275.0626557972</v>
      </c>
      <c r="M139" s="311">
        <f t="shared" ref="M139:AZ139" si="170">SUM(M131,M134:M138)</f>
        <v>2684432.9758175942</v>
      </c>
      <c r="N139" s="311">
        <f t="shared" si="170"/>
        <v>3063357.3788598091</v>
      </c>
      <c r="O139" s="311">
        <f t="shared" si="170"/>
        <v>4512977.0980304144</v>
      </c>
      <c r="P139" s="311">
        <f t="shared" si="170"/>
        <v>4684396.7899004668</v>
      </c>
      <c r="Q139" s="311">
        <f t="shared" si="170"/>
        <v>4833030.7586484654</v>
      </c>
      <c r="R139" s="311">
        <f t="shared" si="170"/>
        <v>4710850.0465826271</v>
      </c>
      <c r="S139" s="311">
        <f t="shared" si="170"/>
        <v>5080535.8822380966</v>
      </c>
      <c r="T139" s="311">
        <f t="shared" si="170"/>
        <v>5147936.834642631</v>
      </c>
      <c r="U139" s="311">
        <f t="shared" si="170"/>
        <v>5182393.4572779527</v>
      </c>
      <c r="V139" s="311">
        <f t="shared" si="170"/>
        <v>5061955.3485562587</v>
      </c>
      <c r="W139" s="311">
        <f t="shared" si="170"/>
        <v>5458207.4510619333</v>
      </c>
      <c r="X139" s="311">
        <f t="shared" si="170"/>
        <v>5530301.0408546496</v>
      </c>
      <c r="Y139" s="311">
        <f t="shared" si="170"/>
        <v>5568030.2863211632</v>
      </c>
      <c r="Z139" s="311">
        <f t="shared" si="170"/>
        <v>5438396.758496685</v>
      </c>
      <c r="AA139" s="311">
        <f t="shared" si="170"/>
        <v>5863098.4293859778</v>
      </c>
      <c r="AB139" s="311">
        <f t="shared" si="170"/>
        <v>5940212.1553221615</v>
      </c>
      <c r="AC139" s="311">
        <f t="shared" si="170"/>
        <v>5981477.2865146492</v>
      </c>
      <c r="AD139" s="311">
        <f t="shared" si="170"/>
        <v>5841978.0269753402</v>
      </c>
      <c r="AE139" s="311">
        <f t="shared" si="170"/>
        <v>6297145.3132801009</v>
      </c>
      <c r="AF139" s="311">
        <f t="shared" si="170"/>
        <v>6379629.5568748666</v>
      </c>
      <c r="AG139" s="311">
        <f t="shared" si="170"/>
        <v>6424713.7527139271</v>
      </c>
      <c r="AH139" s="311">
        <f t="shared" si="170"/>
        <v>6274630.4854086516</v>
      </c>
      <c r="AI139" s="311">
        <f t="shared" si="170"/>
        <v>6762421.5108448239</v>
      </c>
      <c r="AJ139" s="311">
        <f t="shared" si="170"/>
        <v>6850651.1362371547</v>
      </c>
      <c r="AK139" s="311">
        <f t="shared" si="170"/>
        <v>6899858.9546386432</v>
      </c>
      <c r="AL139" s="311">
        <f t="shared" si="170"/>
        <v>6738422.0378113054</v>
      </c>
      <c r="AM139" s="311">
        <f t="shared" si="170"/>
        <v>7261146.9889296461</v>
      </c>
      <c r="AN139" s="311">
        <f t="shared" si="170"/>
        <v>7355523.0546449134</v>
      </c>
      <c r="AO139" s="311">
        <f t="shared" si="170"/>
        <v>7409182.0012012478</v>
      </c>
      <c r="AP139" s="311">
        <f t="shared" si="170"/>
        <v>7235566.7849063966</v>
      </c>
      <c r="AQ139" s="311">
        <f t="shared" si="170"/>
        <v>7795698.5981407212</v>
      </c>
      <c r="AR139" s="311">
        <f t="shared" si="170"/>
        <v>7896650.188580106</v>
      </c>
      <c r="AS139" s="311">
        <f t="shared" si="170"/>
        <v>7955112.3985150941</v>
      </c>
      <c r="AT139" s="311">
        <f t="shared" si="170"/>
        <v>7768435.3250011858</v>
      </c>
      <c r="AU139" s="83">
        <f t="shared" si="170"/>
        <v>8368621.123766005</v>
      </c>
      <c r="AV139" s="83">
        <f t="shared" si="170"/>
        <v>8476607.3087989837</v>
      </c>
      <c r="AW139" s="83">
        <f t="shared" si="170"/>
        <v>8540251.3502949849</v>
      </c>
      <c r="AX139" s="83">
        <f t="shared" si="170"/>
        <v>8339357.2616543369</v>
      </c>
      <c r="AY139" s="83">
        <f t="shared" si="170"/>
        <v>8982189.227802746</v>
      </c>
      <c r="AZ139" s="83">
        <f t="shared" si="170"/>
        <v>9097777.1781772301</v>
      </c>
      <c r="BB139" s="35" t="str">
        <f>B139</f>
        <v>EBT</v>
      </c>
      <c r="BC139" s="176">
        <f>BC131+BC134+BC135+BC136+BC138+BC137</f>
        <v>-20385736.543292858</v>
      </c>
      <c r="BD139" s="176">
        <f>BD131+BD134+BD135+BD136+BD138+BD137</f>
        <v>7758875.5077931508</v>
      </c>
      <c r="BE139" s="176">
        <f t="shared" ref="BE139:BL139" si="171">BE131+BE134+BE135+BE136+BE138+BE137</f>
        <v>18741254.693161972</v>
      </c>
      <c r="BF139" s="176">
        <f t="shared" si="171"/>
        <v>20472821.522714935</v>
      </c>
      <c r="BG139" s="176">
        <f t="shared" si="171"/>
        <v>21994935.536734432</v>
      </c>
      <c r="BH139" s="176">
        <f t="shared" si="171"/>
        <v>23626765.898198128</v>
      </c>
      <c r="BI139" s="176">
        <f t="shared" si="171"/>
        <v>25376119.108277552</v>
      </c>
      <c r="BJ139" s="176">
        <f t="shared" si="171"/>
        <v>27251353.639531933</v>
      </c>
      <c r="BK139" s="176">
        <f t="shared" si="171"/>
        <v>29261418.829682201</v>
      </c>
      <c r="BL139" s="176">
        <f t="shared" si="171"/>
        <v>31415896.510237109</v>
      </c>
    </row>
    <row r="140" spans="1:64" s="72" customFormat="1" ht="5.5" customHeight="1">
      <c r="A140" s="11"/>
      <c r="B140" s="71"/>
      <c r="D140" s="73"/>
      <c r="E140" s="74"/>
      <c r="F140" s="303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  <c r="AS140" s="302"/>
      <c r="AT140" s="302"/>
      <c r="AU140" s="70"/>
      <c r="AV140" s="70"/>
      <c r="AW140" s="70"/>
      <c r="AX140" s="70"/>
      <c r="AY140" s="70"/>
      <c r="AZ140" s="70"/>
    </row>
    <row r="141" spans="1:64" hidden="1" outlineLevel="2">
      <c r="B141" s="67" t="s">
        <v>104</v>
      </c>
      <c r="C141" s="68"/>
      <c r="D141" s="68"/>
      <c r="E141" s="90"/>
      <c r="F141" s="314">
        <f>E141+E142</f>
        <v>0</v>
      </c>
      <c r="G141" s="315">
        <f>F141+F142+(G$93=$C$14)*-$C$6</f>
        <v>-14550000</v>
      </c>
      <c r="H141" s="315">
        <f t="shared" ref="H141:M141" si="172">G141+G142+(H$93=$C$14)*-$C$6</f>
        <v>-17745125</v>
      </c>
      <c r="I141" s="315">
        <f>H141+H142+(I$93=$C$14)*-$C$6</f>
        <v>-199317862.8125</v>
      </c>
      <c r="J141" s="315">
        <f>I141+I142+(J$93=$C$14)*-$C$6</f>
        <v>-199913740.80286458</v>
      </c>
      <c r="K141" s="315">
        <f>J141+J142+(K$93=$C$14)*-$C$6</f>
        <v>-201385736.54329285</v>
      </c>
      <c r="L141" s="315">
        <f>K141+K142+(L$93=$C$14)*-$C$6</f>
        <v>-201582926.45283291</v>
      </c>
      <c r="M141" s="315">
        <f t="shared" si="172"/>
        <v>-199374651.3901771</v>
      </c>
      <c r="N141" s="315">
        <f t="shared" ref="N141:AZ141" si="173">M141+M142+(N$93=$C$14)*-$C$6</f>
        <v>-196690218.41435951</v>
      </c>
      <c r="O141" s="315">
        <f t="shared" si="173"/>
        <v>-193626861.03549969</v>
      </c>
      <c r="P141" s="315">
        <f t="shared" si="173"/>
        <v>-189113883.93746927</v>
      </c>
      <c r="Q141" s="315">
        <f t="shared" si="173"/>
        <v>-184429487.14756882</v>
      </c>
      <c r="R141" s="315">
        <f t="shared" si="173"/>
        <v>-179596456.38892037</v>
      </c>
      <c r="S141" s="315">
        <f t="shared" si="173"/>
        <v>-174885606.34233773</v>
      </c>
      <c r="T141" s="315">
        <f t="shared" si="173"/>
        <v>-169805070.46009964</v>
      </c>
      <c r="U141" s="315">
        <f t="shared" si="173"/>
        <v>-164657133.62545702</v>
      </c>
      <c r="V141" s="315">
        <f t="shared" si="173"/>
        <v>-159474740.16817906</v>
      </c>
      <c r="W141" s="315">
        <f t="shared" si="173"/>
        <v>-154412784.81962281</v>
      </c>
      <c r="X141" s="315">
        <f t="shared" si="173"/>
        <v>-148954577.36856088</v>
      </c>
      <c r="Y141" s="315">
        <f t="shared" si="173"/>
        <v>-143424276.32770622</v>
      </c>
      <c r="Z141" s="315">
        <f t="shared" si="173"/>
        <v>-137856246.04138505</v>
      </c>
      <c r="AA141" s="315">
        <f t="shared" si="173"/>
        <v>-132417849.28288837</v>
      </c>
      <c r="AB141" s="315">
        <f t="shared" si="173"/>
        <v>-126554750.85350239</v>
      </c>
      <c r="AC141" s="315">
        <f t="shared" si="173"/>
        <v>-120614538.69818023</v>
      </c>
      <c r="AD141" s="315">
        <f t="shared" si="173"/>
        <v>-114633061.41166557</v>
      </c>
      <c r="AE141" s="315">
        <f t="shared" si="173"/>
        <v>-108791083.38469024</v>
      </c>
      <c r="AF141" s="315">
        <f t="shared" si="173"/>
        <v>-102493938.07141013</v>
      </c>
      <c r="AG141" s="315">
        <f t="shared" si="173"/>
        <v>-96114308.514535263</v>
      </c>
      <c r="AH141" s="315">
        <f t="shared" si="173"/>
        <v>-89689594.76182133</v>
      </c>
      <c r="AI141" s="315">
        <f t="shared" si="173"/>
        <v>-83414964.276412681</v>
      </c>
      <c r="AJ141" s="315">
        <f t="shared" si="173"/>
        <v>-76652542.765567854</v>
      </c>
      <c r="AK141" s="315">
        <f t="shared" si="173"/>
        <v>-69801891.629330695</v>
      </c>
      <c r="AL141" s="315">
        <f t="shared" si="173"/>
        <v>-62902032.67469205</v>
      </c>
      <c r="AM141" s="315">
        <f t="shared" si="173"/>
        <v>-56163610.636880741</v>
      </c>
      <c r="AN141" s="315">
        <f t="shared" si="173"/>
        <v>-48902463.647951096</v>
      </c>
      <c r="AO141" s="315">
        <f t="shared" si="173"/>
        <v>-41546940.593306184</v>
      </c>
      <c r="AP141" s="315">
        <f t="shared" si="173"/>
        <v>-34137758.592104934</v>
      </c>
      <c r="AQ141" s="315">
        <f t="shared" si="173"/>
        <v>-26902191.807198539</v>
      </c>
      <c r="AR141" s="315">
        <f t="shared" si="173"/>
        <v>-19106493.209057819</v>
      </c>
      <c r="AS141" s="315">
        <f t="shared" si="173"/>
        <v>-11209843.020477712</v>
      </c>
      <c r="AT141" s="315">
        <f t="shared" si="173"/>
        <v>-3254730.6219626181</v>
      </c>
      <c r="AU141" s="165">
        <f t="shared" si="173"/>
        <v>0</v>
      </c>
      <c r="AV141" s="165">
        <f t="shared" si="173"/>
        <v>0</v>
      </c>
      <c r="AW141" s="165">
        <f t="shared" si="173"/>
        <v>0</v>
      </c>
      <c r="AX141" s="165">
        <f t="shared" si="173"/>
        <v>0</v>
      </c>
      <c r="AY141" s="165">
        <f t="shared" si="173"/>
        <v>0</v>
      </c>
      <c r="AZ141" s="165">
        <f t="shared" si="173"/>
        <v>0</v>
      </c>
    </row>
    <row r="142" spans="1:64" hidden="1" outlineLevel="2">
      <c r="B142" s="67" t="s">
        <v>108</v>
      </c>
      <c r="C142" s="68"/>
      <c r="D142" s="68"/>
      <c r="E142" s="90"/>
      <c r="F142" s="314">
        <f>MIN(-F141,F139)</f>
        <v>-14550000</v>
      </c>
      <c r="G142" s="315">
        <f>MIN(-G141,G139)</f>
        <v>-3195125.0000000005</v>
      </c>
      <c r="H142" s="315">
        <f t="shared" ref="H142:M142" si="174">MIN(-H141,H139)</f>
        <v>-572737.8125</v>
      </c>
      <c r="I142" s="315">
        <f>MIN(-I141,I139)</f>
        <v>-595877.99036458333</v>
      </c>
      <c r="J142" s="315">
        <f t="shared" si="174"/>
        <v>-1471995.7404282743</v>
      </c>
      <c r="K142" s="315">
        <f>MIN(-K141,K139)</f>
        <v>-197189.9095400502</v>
      </c>
      <c r="L142" s="315">
        <f>MIN(-L141,L139)</f>
        <v>2208275.0626557972</v>
      </c>
      <c r="M142" s="315">
        <f t="shared" si="174"/>
        <v>2684432.9758175942</v>
      </c>
      <c r="N142" s="315">
        <f t="shared" ref="N142" si="175">MIN(-N141,N139)</f>
        <v>3063357.3788598091</v>
      </c>
      <c r="O142" s="315">
        <f t="shared" ref="O142" si="176">MIN(-O141,O139)</f>
        <v>4512977.0980304144</v>
      </c>
      <c r="P142" s="315">
        <f t="shared" ref="P142" si="177">MIN(-P141,P139)</f>
        <v>4684396.7899004668</v>
      </c>
      <c r="Q142" s="315">
        <f t="shared" ref="Q142" si="178">MIN(-Q141,Q139)</f>
        <v>4833030.7586484654</v>
      </c>
      <c r="R142" s="315">
        <f t="shared" ref="R142" si="179">MIN(-R141,R139)</f>
        <v>4710850.0465826271</v>
      </c>
      <c r="S142" s="315">
        <f t="shared" ref="S142" si="180">MIN(-S141,S139)</f>
        <v>5080535.8822380966</v>
      </c>
      <c r="T142" s="315">
        <f t="shared" ref="T142" si="181">MIN(-T141,T139)</f>
        <v>5147936.834642631</v>
      </c>
      <c r="U142" s="315">
        <f t="shared" ref="U142" si="182">MIN(-U141,U139)</f>
        <v>5182393.4572779527</v>
      </c>
      <c r="V142" s="315">
        <f t="shared" ref="V142" si="183">MIN(-V141,V139)</f>
        <v>5061955.3485562587</v>
      </c>
      <c r="W142" s="315">
        <f t="shared" ref="W142" si="184">MIN(-W141,W139)</f>
        <v>5458207.4510619333</v>
      </c>
      <c r="X142" s="315">
        <f t="shared" ref="X142" si="185">MIN(-X141,X139)</f>
        <v>5530301.0408546496</v>
      </c>
      <c r="Y142" s="315">
        <f t="shared" ref="Y142" si="186">MIN(-Y141,Y139)</f>
        <v>5568030.2863211632</v>
      </c>
      <c r="Z142" s="315">
        <f t="shared" ref="Z142" si="187">MIN(-Z141,Z139)</f>
        <v>5438396.758496685</v>
      </c>
      <c r="AA142" s="315">
        <f t="shared" ref="AA142" si="188">MIN(-AA141,AA139)</f>
        <v>5863098.4293859778</v>
      </c>
      <c r="AB142" s="315">
        <f t="shared" ref="AB142" si="189">MIN(-AB141,AB139)</f>
        <v>5940212.1553221615</v>
      </c>
      <c r="AC142" s="315">
        <f t="shared" ref="AC142" si="190">MIN(-AC141,AC139)</f>
        <v>5981477.2865146492</v>
      </c>
      <c r="AD142" s="315">
        <f t="shared" ref="AD142" si="191">MIN(-AD141,AD139)</f>
        <v>5841978.0269753402</v>
      </c>
      <c r="AE142" s="315">
        <f t="shared" ref="AE142" si="192">MIN(-AE141,AE139)</f>
        <v>6297145.3132801009</v>
      </c>
      <c r="AF142" s="315">
        <f t="shared" ref="AF142" si="193">MIN(-AF141,AF139)</f>
        <v>6379629.5568748666</v>
      </c>
      <c r="AG142" s="315">
        <f t="shared" ref="AG142" si="194">MIN(-AG141,AG139)</f>
        <v>6424713.7527139271</v>
      </c>
      <c r="AH142" s="315">
        <f t="shared" ref="AH142" si="195">MIN(-AH141,AH139)</f>
        <v>6274630.4854086516</v>
      </c>
      <c r="AI142" s="315">
        <f t="shared" ref="AI142" si="196">MIN(-AI141,AI139)</f>
        <v>6762421.5108448239</v>
      </c>
      <c r="AJ142" s="315">
        <f t="shared" ref="AJ142" si="197">MIN(-AJ141,AJ139)</f>
        <v>6850651.1362371547</v>
      </c>
      <c r="AK142" s="315">
        <f t="shared" ref="AK142" si="198">MIN(-AK141,AK139)</f>
        <v>6899858.9546386432</v>
      </c>
      <c r="AL142" s="315">
        <f t="shared" ref="AL142" si="199">MIN(-AL141,AL139)</f>
        <v>6738422.0378113054</v>
      </c>
      <c r="AM142" s="315">
        <f t="shared" ref="AM142" si="200">MIN(-AM141,AM139)</f>
        <v>7261146.9889296461</v>
      </c>
      <c r="AN142" s="315">
        <f t="shared" ref="AN142" si="201">MIN(-AN141,AN139)</f>
        <v>7355523.0546449134</v>
      </c>
      <c r="AO142" s="315">
        <f t="shared" ref="AO142" si="202">MIN(-AO141,AO139)</f>
        <v>7409182.0012012478</v>
      </c>
      <c r="AP142" s="315">
        <f t="shared" ref="AP142" si="203">MIN(-AP141,AP139)</f>
        <v>7235566.7849063966</v>
      </c>
      <c r="AQ142" s="315">
        <f t="shared" ref="AQ142" si="204">MIN(-AQ141,AQ139)</f>
        <v>7795698.5981407212</v>
      </c>
      <c r="AR142" s="315">
        <f t="shared" ref="AR142" si="205">MIN(-AR141,AR139)</f>
        <v>7896650.188580106</v>
      </c>
      <c r="AS142" s="315">
        <f t="shared" ref="AS142" si="206">MIN(-AS141,AS139)</f>
        <v>7955112.3985150941</v>
      </c>
      <c r="AT142" s="315">
        <f t="shared" ref="AT142" si="207">MIN(-AT141,AT139)</f>
        <v>3254730.6219626181</v>
      </c>
      <c r="AU142" s="165">
        <f t="shared" ref="AU142" si="208">MIN(-AU141,AU139)</f>
        <v>0</v>
      </c>
      <c r="AV142" s="165">
        <f t="shared" ref="AV142" si="209">MIN(-AV141,AV139)</f>
        <v>0</v>
      </c>
      <c r="AW142" s="165">
        <f t="shared" ref="AW142" si="210">MIN(-AW141,AW139)</f>
        <v>0</v>
      </c>
      <c r="AX142" s="165">
        <f t="shared" ref="AX142" si="211">MIN(-AX141,AX139)</f>
        <v>0</v>
      </c>
      <c r="AY142" s="165">
        <f t="shared" ref="AY142" si="212">MIN(-AY141,AY139)</f>
        <v>0</v>
      </c>
      <c r="AZ142" s="165">
        <f t="shared" ref="AZ142" si="213">MIN(-AZ141,AZ139)</f>
        <v>0</v>
      </c>
    </row>
    <row r="143" spans="1:64" hidden="1" outlineLevel="2">
      <c r="B143" s="67" t="s">
        <v>105</v>
      </c>
      <c r="C143" s="68"/>
      <c r="D143" s="68"/>
      <c r="E143" s="90"/>
      <c r="F143" s="316">
        <f t="shared" ref="F143:L143" si="214">F139-F142</f>
        <v>0</v>
      </c>
      <c r="G143" s="315">
        <f t="shared" si="214"/>
        <v>0</v>
      </c>
      <c r="H143" s="315">
        <f t="shared" si="214"/>
        <v>0</v>
      </c>
      <c r="I143" s="315">
        <f t="shared" si="214"/>
        <v>0</v>
      </c>
      <c r="J143" s="315">
        <f t="shared" si="214"/>
        <v>0</v>
      </c>
      <c r="K143" s="315">
        <f t="shared" si="214"/>
        <v>0</v>
      </c>
      <c r="L143" s="315">
        <f t="shared" si="214"/>
        <v>0</v>
      </c>
      <c r="M143" s="315">
        <f t="shared" ref="M143" si="215">M139-M142</f>
        <v>0</v>
      </c>
      <c r="N143" s="315">
        <f t="shared" ref="N143" si="216">N139-N142</f>
        <v>0</v>
      </c>
      <c r="O143" s="315">
        <f t="shared" ref="O143" si="217">O139-O142</f>
        <v>0</v>
      </c>
      <c r="P143" s="315">
        <f t="shared" ref="P143" si="218">P139-P142</f>
        <v>0</v>
      </c>
      <c r="Q143" s="315">
        <f t="shared" ref="Q143" si="219">Q139-Q142</f>
        <v>0</v>
      </c>
      <c r="R143" s="315">
        <f t="shared" ref="R143" si="220">R139-R142</f>
        <v>0</v>
      </c>
      <c r="S143" s="315">
        <f t="shared" ref="S143" si="221">S139-S142</f>
        <v>0</v>
      </c>
      <c r="T143" s="315">
        <f t="shared" ref="T143" si="222">T139-T142</f>
        <v>0</v>
      </c>
      <c r="U143" s="315">
        <f t="shared" ref="U143" si="223">U139-U142</f>
        <v>0</v>
      </c>
      <c r="V143" s="315">
        <f t="shared" ref="V143" si="224">V139-V142</f>
        <v>0</v>
      </c>
      <c r="W143" s="315">
        <f t="shared" ref="W143" si="225">W139-W142</f>
        <v>0</v>
      </c>
      <c r="X143" s="315">
        <f t="shared" ref="X143" si="226">X139-X142</f>
        <v>0</v>
      </c>
      <c r="Y143" s="315">
        <f t="shared" ref="Y143" si="227">Y139-Y142</f>
        <v>0</v>
      </c>
      <c r="Z143" s="315">
        <f t="shared" ref="Z143" si="228">Z139-Z142</f>
        <v>0</v>
      </c>
      <c r="AA143" s="315">
        <f t="shared" ref="AA143" si="229">AA139-AA142</f>
        <v>0</v>
      </c>
      <c r="AB143" s="315">
        <f t="shared" ref="AB143" si="230">AB139-AB142</f>
        <v>0</v>
      </c>
      <c r="AC143" s="315">
        <f t="shared" ref="AC143" si="231">AC139-AC142</f>
        <v>0</v>
      </c>
      <c r="AD143" s="315">
        <f t="shared" ref="AD143" si="232">AD139-AD142</f>
        <v>0</v>
      </c>
      <c r="AE143" s="315">
        <f t="shared" ref="AE143" si="233">AE139-AE142</f>
        <v>0</v>
      </c>
      <c r="AF143" s="315">
        <f t="shared" ref="AF143" si="234">AF139-AF142</f>
        <v>0</v>
      </c>
      <c r="AG143" s="315">
        <f t="shared" ref="AG143" si="235">AG139-AG142</f>
        <v>0</v>
      </c>
      <c r="AH143" s="315">
        <f t="shared" ref="AH143" si="236">AH139-AH142</f>
        <v>0</v>
      </c>
      <c r="AI143" s="315">
        <f t="shared" ref="AI143" si="237">AI139-AI142</f>
        <v>0</v>
      </c>
      <c r="AJ143" s="315">
        <f t="shared" ref="AJ143" si="238">AJ139-AJ142</f>
        <v>0</v>
      </c>
      <c r="AK143" s="315">
        <f t="shared" ref="AK143" si="239">AK139-AK142</f>
        <v>0</v>
      </c>
      <c r="AL143" s="315">
        <f t="shared" ref="AL143" si="240">AL139-AL142</f>
        <v>0</v>
      </c>
      <c r="AM143" s="315">
        <f t="shared" ref="AM143" si="241">AM139-AM142</f>
        <v>0</v>
      </c>
      <c r="AN143" s="315">
        <f t="shared" ref="AN143" si="242">AN139-AN142</f>
        <v>0</v>
      </c>
      <c r="AO143" s="315">
        <f t="shared" ref="AO143" si="243">AO139-AO142</f>
        <v>0</v>
      </c>
      <c r="AP143" s="315">
        <f t="shared" ref="AP143" si="244">AP139-AP142</f>
        <v>0</v>
      </c>
      <c r="AQ143" s="315">
        <f t="shared" ref="AQ143" si="245">AQ139-AQ142</f>
        <v>0</v>
      </c>
      <c r="AR143" s="315">
        <f t="shared" ref="AR143" si="246">AR139-AR142</f>
        <v>0</v>
      </c>
      <c r="AS143" s="315">
        <f t="shared" ref="AS143" si="247">AS139-AS142</f>
        <v>0</v>
      </c>
      <c r="AT143" s="315">
        <f t="shared" ref="AT143" si="248">AT139-AT142</f>
        <v>4513704.7030385677</v>
      </c>
      <c r="AU143" s="165">
        <f t="shared" ref="AU143" si="249">AU139-AU142</f>
        <v>8368621.123766005</v>
      </c>
      <c r="AV143" s="165">
        <f t="shared" ref="AV143" si="250">AV139-AV142</f>
        <v>8476607.3087989837</v>
      </c>
      <c r="AW143" s="165">
        <f t="shared" ref="AW143" si="251">AW139-AW142</f>
        <v>8540251.3502949849</v>
      </c>
      <c r="AX143" s="165">
        <f t="shared" ref="AX143" si="252">AX139-AX142</f>
        <v>8339357.2616543369</v>
      </c>
      <c r="AY143" s="165">
        <f>AY139-AY142</f>
        <v>8982189.227802746</v>
      </c>
      <c r="AZ143" s="165">
        <f t="shared" ref="AZ143" si="253">AZ139-AZ142</f>
        <v>9097777.1781772301</v>
      </c>
    </row>
    <row r="144" spans="1:64" s="89" customFormat="1" collapsed="1">
      <c r="A144" s="11"/>
      <c r="B144" s="80" t="s">
        <v>94</v>
      </c>
      <c r="C144" s="57"/>
      <c r="D144" s="57"/>
      <c r="E144" s="82"/>
      <c r="F144" s="317">
        <v>0</v>
      </c>
      <c r="G144" s="307">
        <f>IF(AND(G121&gt;G143,G141&lt;&gt;0),G121*-$C$63,G143*-$C$62)</f>
        <v>0</v>
      </c>
      <c r="H144" s="307">
        <f>IF(AND(H121&gt;H143,H141&lt;&gt;0),H121*-$C$63,H143*-$C$62)</f>
        <v>0</v>
      </c>
      <c r="I144" s="307">
        <f t="shared" ref="I144:AZ144" si="254">IF(AND(I121&gt;I143,I141&lt;&gt;0),I121*-$C$63,I143*-$C$62)</f>
        <v>0</v>
      </c>
      <c r="J144" s="307">
        <f t="shared" ref="J144:O144" si="255">IF(AND(J121&gt;J143,J141&lt;&gt;0),J121*-$C$63,J143*-$C$62)</f>
        <v>0</v>
      </c>
      <c r="K144" s="307">
        <f t="shared" si="255"/>
        <v>-29700</v>
      </c>
      <c r="L144" s="307">
        <f t="shared" si="255"/>
        <v>-36075.000000000007</v>
      </c>
      <c r="M144" s="307">
        <f t="shared" si="255"/>
        <v>-41410.338097854612</v>
      </c>
      <c r="N144" s="307">
        <f t="shared" si="255"/>
        <v>-47021.857500000027</v>
      </c>
      <c r="O144" s="307">
        <f t="shared" si="255"/>
        <v>-60108.128699339162</v>
      </c>
      <c r="P144" s="307">
        <f t="shared" si="254"/>
        <v>-61995.32921529255</v>
      </c>
      <c r="Q144" s="307">
        <f t="shared" si="254"/>
        <v>-63934.662263331244</v>
      </c>
      <c r="R144" s="307">
        <f t="shared" si="254"/>
        <v>-64718.239848000034</v>
      </c>
      <c r="S144" s="307">
        <f t="shared" si="254"/>
        <v>-66775.184110487768</v>
      </c>
      <c r="T144" s="307">
        <f t="shared" si="254"/>
        <v>-67585.723066602193</v>
      </c>
      <c r="U144" s="307">
        <f t="shared" si="254"/>
        <v>-68410.088621764429</v>
      </c>
      <c r="V144" s="307">
        <f t="shared" si="254"/>
        <v>-69248.516637360051</v>
      </c>
      <c r="W144" s="307">
        <f t="shared" si="254"/>
        <v>-71449.446998221916</v>
      </c>
      <c r="X144" s="307">
        <f t="shared" si="254"/>
        <v>-72316.723681264368</v>
      </c>
      <c r="Y144" s="307">
        <f t="shared" si="254"/>
        <v>-73198.794825287958</v>
      </c>
      <c r="Z144" s="307">
        <f t="shared" si="254"/>
        <v>-74095.912801975268</v>
      </c>
      <c r="AA144" s="307">
        <f t="shared" si="254"/>
        <v>-76450.908288097475</v>
      </c>
      <c r="AB144" s="307">
        <f t="shared" si="254"/>
        <v>-77378.894338952887</v>
      </c>
      <c r="AC144" s="307">
        <f t="shared" si="254"/>
        <v>-78322.710463058131</v>
      </c>
      <c r="AD144" s="307">
        <f t="shared" si="254"/>
        <v>-79282.626698113556</v>
      </c>
      <c r="AE144" s="307">
        <f t="shared" si="254"/>
        <v>-81802.4718682643</v>
      </c>
      <c r="AF144" s="307">
        <f t="shared" si="254"/>
        <v>-82795.416942679585</v>
      </c>
      <c r="AG144" s="307">
        <f t="shared" si="254"/>
        <v>-83805.300195472199</v>
      </c>
      <c r="AH144" s="307">
        <f t="shared" si="254"/>
        <v>-84832.410566981518</v>
      </c>
      <c r="AI144" s="307">
        <f t="shared" si="254"/>
        <v>-87528.644899042833</v>
      </c>
      <c r="AJ144" s="307">
        <f t="shared" si="254"/>
        <v>-88591.096128667181</v>
      </c>
      <c r="AK144" s="307">
        <f t="shared" si="254"/>
        <v>-89671.671209155305</v>
      </c>
      <c r="AL144" s="307">
        <f t="shared" si="254"/>
        <v>-90770.679306670238</v>
      </c>
      <c r="AM144" s="307">
        <f t="shared" si="254"/>
        <v>-93655.650041975852</v>
      </c>
      <c r="AN144" s="307">
        <f t="shared" si="254"/>
        <v>-94792.472857673914</v>
      </c>
      <c r="AO144" s="307">
        <f t="shared" si="254"/>
        <v>-95948.688193796188</v>
      </c>
      <c r="AP144" s="307">
        <f t="shared" si="254"/>
        <v>-97124.626858137184</v>
      </c>
      <c r="AQ144" s="307">
        <f t="shared" si="254"/>
        <v>-100211.54554491417</v>
      </c>
      <c r="AR144" s="307">
        <f t="shared" si="254"/>
        <v>-101427.9459577111</v>
      </c>
      <c r="AS144" s="307">
        <f t="shared" si="254"/>
        <v>-102665.09636736193</v>
      </c>
      <c r="AT144" s="307">
        <f t="shared" si="254"/>
        <v>-103923.35073820681</v>
      </c>
      <c r="AU144" s="82">
        <f t="shared" si="254"/>
        <v>-1255293.1685649008</v>
      </c>
      <c r="AV144" s="82">
        <f t="shared" si="254"/>
        <v>-1271491.0963198475</v>
      </c>
      <c r="AW144" s="82">
        <f t="shared" si="254"/>
        <v>-1281037.7025442477</v>
      </c>
      <c r="AX144" s="82">
        <f>IF(AND(AX121&gt;AX143,AX141&lt;&gt;0),AX121*-$C$63,AX143*-$C$62)</f>
        <v>-1250903.5892481506</v>
      </c>
      <c r="AY144" s="82">
        <f>IF(AND(AY121&gt;AY143,AY141&lt;&gt;0),AY121*-$C$63,AY143*-$C$62)</f>
        <v>-1347328.3841704119</v>
      </c>
      <c r="AZ144" s="82">
        <f t="shared" si="254"/>
        <v>-1364666.5767265845</v>
      </c>
      <c r="BB144" s="48" t="str">
        <f t="shared" ref="BB144:BB148" si="256">B144</f>
        <v>Налог на прибыль</v>
      </c>
      <c r="BC144" s="82">
        <f t="shared" ref="BC144:BL148" si="257">SUMIF($F$98:$AZ$98,BC$115,$F144:$AZ144)</f>
        <v>0</v>
      </c>
      <c r="BD144" s="82">
        <f t="shared" si="257"/>
        <v>-154207.19559785462</v>
      </c>
      <c r="BE144" s="82">
        <f t="shared" si="257"/>
        <v>-250756.36002596299</v>
      </c>
      <c r="BF144" s="82">
        <f t="shared" si="257"/>
        <v>-272019.51243621443</v>
      </c>
      <c r="BG144" s="82">
        <f t="shared" si="257"/>
        <v>-291060.87830674951</v>
      </c>
      <c r="BH144" s="82">
        <f t="shared" si="257"/>
        <v>-311435.13978822209</v>
      </c>
      <c r="BI144" s="82">
        <f t="shared" si="257"/>
        <v>-333235.5995733976</v>
      </c>
      <c r="BJ144" s="82">
        <f t="shared" si="257"/>
        <v>-356562.09154353559</v>
      </c>
      <c r="BK144" s="82">
        <f t="shared" si="257"/>
        <v>-381521.43795158318</v>
      </c>
      <c r="BL144" s="82">
        <f t="shared" si="257"/>
        <v>-408227.93860819406</v>
      </c>
    </row>
    <row r="145" spans="1:64">
      <c r="B145" s="80" t="s">
        <v>61</v>
      </c>
      <c r="C145" s="57"/>
      <c r="D145" s="57"/>
      <c r="E145" s="318">
        <f>SUM(F145:H145)</f>
        <v>210000000</v>
      </c>
      <c r="F145" s="306">
        <f>J24</f>
        <v>82000000</v>
      </c>
      <c r="G145" s="307">
        <f>SUM(K24:L24)</f>
        <v>70000000</v>
      </c>
      <c r="H145" s="307">
        <f>SUM(M24:O24)</f>
        <v>58000000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07">
        <v>0</v>
      </c>
      <c r="T145" s="307">
        <v>0</v>
      </c>
      <c r="U145" s="307">
        <v>0</v>
      </c>
      <c r="V145" s="307">
        <v>0</v>
      </c>
      <c r="W145" s="307">
        <v>0</v>
      </c>
      <c r="X145" s="307">
        <v>0</v>
      </c>
      <c r="Y145" s="307">
        <v>0</v>
      </c>
      <c r="Z145" s="307">
        <v>0</v>
      </c>
      <c r="AA145" s="307">
        <v>0</v>
      </c>
      <c r="AB145" s="307">
        <v>0</v>
      </c>
      <c r="AC145" s="307">
        <v>0</v>
      </c>
      <c r="AD145" s="307">
        <v>0</v>
      </c>
      <c r="AE145" s="307">
        <v>0</v>
      </c>
      <c r="AF145" s="307">
        <v>0</v>
      </c>
      <c r="AG145" s="307">
        <v>0</v>
      </c>
      <c r="AH145" s="307">
        <v>0</v>
      </c>
      <c r="AI145" s="307">
        <v>0</v>
      </c>
      <c r="AJ145" s="307">
        <v>0</v>
      </c>
      <c r="AK145" s="307">
        <v>0</v>
      </c>
      <c r="AL145" s="307">
        <v>0</v>
      </c>
      <c r="AM145" s="307">
        <v>0</v>
      </c>
      <c r="AN145" s="307">
        <v>0</v>
      </c>
      <c r="AO145" s="307">
        <v>0</v>
      </c>
      <c r="AP145" s="307">
        <v>0</v>
      </c>
      <c r="AQ145" s="307">
        <v>0</v>
      </c>
      <c r="AR145" s="307">
        <v>0</v>
      </c>
      <c r="AS145" s="307">
        <v>0</v>
      </c>
      <c r="AT145" s="307">
        <v>0</v>
      </c>
      <c r="AU145" s="137">
        <v>0</v>
      </c>
      <c r="AV145" s="137">
        <v>0</v>
      </c>
      <c r="AW145" s="137">
        <v>0</v>
      </c>
      <c r="AX145" s="137">
        <v>0</v>
      </c>
      <c r="AY145" s="137">
        <v>0</v>
      </c>
      <c r="AZ145" s="137">
        <v>0</v>
      </c>
      <c r="BB145" s="48" t="str">
        <f t="shared" si="256"/>
        <v>Привлечение капитала</v>
      </c>
      <c r="BC145" s="82">
        <f t="shared" ref="BC145:BD148" si="258">SUMIF($F$98:$AZ$98,BC$115,$F145:$AZ145)</f>
        <v>210000000</v>
      </c>
      <c r="BD145" s="82">
        <f t="shared" si="258"/>
        <v>0</v>
      </c>
      <c r="BE145" s="82">
        <f t="shared" si="257"/>
        <v>0</v>
      </c>
      <c r="BF145" s="82">
        <f t="shared" si="257"/>
        <v>0</v>
      </c>
      <c r="BG145" s="82">
        <f t="shared" si="257"/>
        <v>0</v>
      </c>
      <c r="BH145" s="82">
        <f t="shared" si="257"/>
        <v>0</v>
      </c>
      <c r="BI145" s="82">
        <f t="shared" si="257"/>
        <v>0</v>
      </c>
      <c r="BJ145" s="82">
        <f t="shared" si="257"/>
        <v>0</v>
      </c>
      <c r="BK145" s="82">
        <f t="shared" si="257"/>
        <v>0</v>
      </c>
      <c r="BL145" s="82">
        <f t="shared" si="257"/>
        <v>0</v>
      </c>
    </row>
    <row r="146" spans="1:64">
      <c r="B146" s="80" t="s">
        <v>102</v>
      </c>
      <c r="C146" s="57"/>
      <c r="D146" s="57"/>
      <c r="E146" s="318">
        <f>SUM(F146:H146)</f>
        <v>58750000</v>
      </c>
      <c r="F146" s="306">
        <f>J29</f>
        <v>58750000</v>
      </c>
      <c r="G146" s="307">
        <f>SUM(K29:L29)</f>
        <v>0</v>
      </c>
      <c r="H146" s="307">
        <f>SUM(M29:O29)</f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07">
        <v>0</v>
      </c>
      <c r="T146" s="307">
        <v>0</v>
      </c>
      <c r="U146" s="307">
        <v>0</v>
      </c>
      <c r="V146" s="307">
        <v>0</v>
      </c>
      <c r="W146" s="307">
        <v>0</v>
      </c>
      <c r="X146" s="307">
        <v>0</v>
      </c>
      <c r="Y146" s="307">
        <v>0</v>
      </c>
      <c r="Z146" s="307">
        <v>0</v>
      </c>
      <c r="AA146" s="307">
        <v>0</v>
      </c>
      <c r="AB146" s="307">
        <v>0</v>
      </c>
      <c r="AC146" s="307">
        <v>0</v>
      </c>
      <c r="AD146" s="307">
        <v>0</v>
      </c>
      <c r="AE146" s="307">
        <v>0</v>
      </c>
      <c r="AF146" s="307">
        <v>0</v>
      </c>
      <c r="AG146" s="307">
        <v>0</v>
      </c>
      <c r="AH146" s="307">
        <v>0</v>
      </c>
      <c r="AI146" s="307">
        <v>0</v>
      </c>
      <c r="AJ146" s="307">
        <v>0</v>
      </c>
      <c r="AK146" s="307">
        <v>0</v>
      </c>
      <c r="AL146" s="307">
        <v>0</v>
      </c>
      <c r="AM146" s="307">
        <v>0</v>
      </c>
      <c r="AN146" s="307">
        <v>0</v>
      </c>
      <c r="AO146" s="307">
        <v>0</v>
      </c>
      <c r="AP146" s="307">
        <v>0</v>
      </c>
      <c r="AQ146" s="307">
        <v>0</v>
      </c>
      <c r="AR146" s="307">
        <v>0</v>
      </c>
      <c r="AS146" s="307">
        <v>0</v>
      </c>
      <c r="AT146" s="307">
        <v>0</v>
      </c>
      <c r="AU146" s="137">
        <v>0</v>
      </c>
      <c r="AV146" s="137">
        <v>0</v>
      </c>
      <c r="AW146" s="137">
        <v>0</v>
      </c>
      <c r="AX146" s="137">
        <v>0</v>
      </c>
      <c r="AY146" s="137">
        <v>0</v>
      </c>
      <c r="AZ146" s="137">
        <v>0</v>
      </c>
      <c r="BB146" s="48" t="str">
        <f t="shared" si="256"/>
        <v>Привлечение долга</v>
      </c>
      <c r="BC146" s="82">
        <f t="shared" si="258"/>
        <v>58750000</v>
      </c>
      <c r="BD146" s="82">
        <f t="shared" si="258"/>
        <v>0</v>
      </c>
      <c r="BE146" s="82">
        <f t="shared" si="257"/>
        <v>0</v>
      </c>
      <c r="BF146" s="82">
        <f t="shared" si="257"/>
        <v>0</v>
      </c>
      <c r="BG146" s="82">
        <f t="shared" si="257"/>
        <v>0</v>
      </c>
      <c r="BH146" s="82">
        <f t="shared" si="257"/>
        <v>0</v>
      </c>
      <c r="BI146" s="82">
        <f t="shared" si="257"/>
        <v>0</v>
      </c>
      <c r="BJ146" s="82">
        <f t="shared" si="257"/>
        <v>0</v>
      </c>
      <c r="BK146" s="82">
        <f t="shared" si="257"/>
        <v>0</v>
      </c>
      <c r="BL146" s="82">
        <f t="shared" si="257"/>
        <v>0</v>
      </c>
    </row>
    <row r="147" spans="1:64">
      <c r="B147" s="80" t="s">
        <v>215</v>
      </c>
      <c r="C147" s="57"/>
      <c r="D147" s="57"/>
      <c r="E147" s="318">
        <f>SUM(F147:H147)</f>
        <v>-60000000</v>
      </c>
      <c r="F147" s="306">
        <f>J30</f>
        <v>0</v>
      </c>
      <c r="G147" s="307">
        <f>SUM(K30:L30)</f>
        <v>-60000000</v>
      </c>
      <c r="H147" s="307">
        <f>SUM(M30:O30)</f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07">
        <v>0</v>
      </c>
      <c r="T147" s="307">
        <v>0</v>
      </c>
      <c r="U147" s="307">
        <v>0</v>
      </c>
      <c r="V147" s="307">
        <v>0</v>
      </c>
      <c r="W147" s="307">
        <v>0</v>
      </c>
      <c r="X147" s="307">
        <v>0</v>
      </c>
      <c r="Y147" s="307">
        <v>0</v>
      </c>
      <c r="Z147" s="307">
        <v>0</v>
      </c>
      <c r="AA147" s="307">
        <v>0</v>
      </c>
      <c r="AB147" s="307">
        <v>0</v>
      </c>
      <c r="AC147" s="307">
        <v>0</v>
      </c>
      <c r="AD147" s="307">
        <v>0</v>
      </c>
      <c r="AE147" s="307">
        <v>0</v>
      </c>
      <c r="AF147" s="307">
        <v>0</v>
      </c>
      <c r="AG147" s="307">
        <v>0</v>
      </c>
      <c r="AH147" s="307">
        <v>0</v>
      </c>
      <c r="AI147" s="307">
        <v>0</v>
      </c>
      <c r="AJ147" s="307">
        <v>0</v>
      </c>
      <c r="AK147" s="307">
        <v>0</v>
      </c>
      <c r="AL147" s="307">
        <v>0</v>
      </c>
      <c r="AM147" s="307">
        <v>0</v>
      </c>
      <c r="AN147" s="307">
        <v>0</v>
      </c>
      <c r="AO147" s="307">
        <v>0</v>
      </c>
      <c r="AP147" s="307">
        <v>0</v>
      </c>
      <c r="AQ147" s="307">
        <v>0</v>
      </c>
      <c r="AR147" s="307">
        <v>0</v>
      </c>
      <c r="AS147" s="307">
        <v>0</v>
      </c>
      <c r="AT147" s="307">
        <v>0</v>
      </c>
      <c r="AU147" s="137">
        <v>0</v>
      </c>
      <c r="AV147" s="137">
        <v>0</v>
      </c>
      <c r="AW147" s="137">
        <v>0</v>
      </c>
      <c r="AX147" s="137">
        <v>0</v>
      </c>
      <c r="AY147" s="137">
        <v>0</v>
      </c>
      <c r="AZ147" s="137">
        <v>0</v>
      </c>
      <c r="BB147" s="48" t="str">
        <f t="shared" si="256"/>
        <v>Выплата долга и комиссии</v>
      </c>
      <c r="BC147" s="82">
        <f t="shared" si="258"/>
        <v>-60000000</v>
      </c>
      <c r="BD147" s="82">
        <f t="shared" si="258"/>
        <v>0</v>
      </c>
      <c r="BE147" s="82">
        <f t="shared" si="257"/>
        <v>0</v>
      </c>
      <c r="BF147" s="82">
        <f t="shared" si="257"/>
        <v>0</v>
      </c>
      <c r="BG147" s="82">
        <f t="shared" si="257"/>
        <v>0</v>
      </c>
      <c r="BH147" s="82">
        <f t="shared" si="257"/>
        <v>0</v>
      </c>
      <c r="BI147" s="82">
        <f t="shared" si="257"/>
        <v>0</v>
      </c>
      <c r="BJ147" s="82">
        <f t="shared" si="257"/>
        <v>0</v>
      </c>
      <c r="BK147" s="82">
        <f t="shared" si="257"/>
        <v>0</v>
      </c>
      <c r="BL147" s="82">
        <f t="shared" si="257"/>
        <v>0</v>
      </c>
    </row>
    <row r="148" spans="1:64">
      <c r="B148" s="80" t="s">
        <v>98</v>
      </c>
      <c r="C148" s="57"/>
      <c r="D148" s="57"/>
      <c r="E148" s="318">
        <f>SUM(F148:H148)</f>
        <v>-181000000</v>
      </c>
      <c r="F148" s="306">
        <f>-J22</f>
        <v>-122050000</v>
      </c>
      <c r="G148" s="307">
        <f>-SUM(K22:L22)</f>
        <v>-6610000</v>
      </c>
      <c r="H148" s="307">
        <f>-SUM(M22:O22)</f>
        <v>-52340000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07">
        <v>0</v>
      </c>
      <c r="T148" s="307">
        <v>0</v>
      </c>
      <c r="U148" s="307">
        <v>0</v>
      </c>
      <c r="V148" s="307">
        <v>0</v>
      </c>
      <c r="W148" s="307">
        <v>0</v>
      </c>
      <c r="X148" s="307">
        <v>0</v>
      </c>
      <c r="Y148" s="307">
        <v>0</v>
      </c>
      <c r="Z148" s="307">
        <v>0</v>
      </c>
      <c r="AA148" s="307">
        <v>0</v>
      </c>
      <c r="AB148" s="307">
        <v>0</v>
      </c>
      <c r="AC148" s="307">
        <v>0</v>
      </c>
      <c r="AD148" s="307">
        <v>0</v>
      </c>
      <c r="AE148" s="307">
        <v>0</v>
      </c>
      <c r="AF148" s="307">
        <v>0</v>
      </c>
      <c r="AG148" s="307">
        <v>0</v>
      </c>
      <c r="AH148" s="307">
        <v>0</v>
      </c>
      <c r="AI148" s="307">
        <v>0</v>
      </c>
      <c r="AJ148" s="307">
        <v>0</v>
      </c>
      <c r="AK148" s="307">
        <v>0</v>
      </c>
      <c r="AL148" s="307">
        <v>0</v>
      </c>
      <c r="AM148" s="307">
        <v>0</v>
      </c>
      <c r="AN148" s="307">
        <v>0</v>
      </c>
      <c r="AO148" s="307">
        <v>0</v>
      </c>
      <c r="AP148" s="307">
        <v>0</v>
      </c>
      <c r="AQ148" s="307">
        <v>0</v>
      </c>
      <c r="AR148" s="307">
        <v>0</v>
      </c>
      <c r="AS148" s="307">
        <v>0</v>
      </c>
      <c r="AT148" s="307">
        <v>0</v>
      </c>
      <c r="AU148" s="137">
        <v>0</v>
      </c>
      <c r="AV148" s="137">
        <v>0</v>
      </c>
      <c r="AW148" s="137">
        <v>0</v>
      </c>
      <c r="AX148" s="137">
        <v>0</v>
      </c>
      <c r="AY148" s="137">
        <v>0</v>
      </c>
      <c r="AZ148" s="137">
        <v>0</v>
      </c>
      <c r="BB148" s="48" t="str">
        <f t="shared" si="256"/>
        <v>Покупка объекта</v>
      </c>
      <c r="BC148" s="82">
        <f t="shared" si="258"/>
        <v>-181000000</v>
      </c>
      <c r="BD148" s="82">
        <f t="shared" si="258"/>
        <v>0</v>
      </c>
      <c r="BE148" s="82">
        <f t="shared" si="257"/>
        <v>0</v>
      </c>
      <c r="BF148" s="82">
        <f t="shared" si="257"/>
        <v>0</v>
      </c>
      <c r="BG148" s="82">
        <f t="shared" si="257"/>
        <v>0</v>
      </c>
      <c r="BH148" s="82">
        <f t="shared" si="257"/>
        <v>0</v>
      </c>
      <c r="BI148" s="82">
        <f t="shared" si="257"/>
        <v>0</v>
      </c>
      <c r="BJ148" s="82">
        <f t="shared" si="257"/>
        <v>0</v>
      </c>
      <c r="BK148" s="82">
        <f t="shared" si="257"/>
        <v>0</v>
      </c>
      <c r="BL148" s="82">
        <f t="shared" si="257"/>
        <v>0</v>
      </c>
    </row>
    <row r="149" spans="1:64" s="55" customFormat="1">
      <c r="A149" s="11"/>
      <c r="B149" s="76" t="s">
        <v>26</v>
      </c>
      <c r="C149" s="60"/>
      <c r="D149" s="77"/>
      <c r="E149" s="60"/>
      <c r="F149" s="85">
        <f t="shared" ref="F149:M149" si="259">SUM(F139,F144:F148)</f>
        <v>4150000</v>
      </c>
      <c r="G149" s="83">
        <f t="shared" si="259"/>
        <v>194875</v>
      </c>
      <c r="H149" s="83">
        <f t="shared" si="259"/>
        <v>5087262.1875</v>
      </c>
      <c r="I149" s="83">
        <f t="shared" si="259"/>
        <v>-595877.99036458333</v>
      </c>
      <c r="J149" s="83">
        <f t="shared" si="259"/>
        <v>-1471995.7404282743</v>
      </c>
      <c r="K149" s="83">
        <f t="shared" si="259"/>
        <v>-226889.9095400502</v>
      </c>
      <c r="L149" s="83">
        <f t="shared" si="259"/>
        <v>2172200.0626557972</v>
      </c>
      <c r="M149" s="83">
        <f t="shared" si="259"/>
        <v>2643022.6377197397</v>
      </c>
      <c r="N149" s="83">
        <f t="shared" ref="N149:O149" si="260">SUM(N139,N144:N148)</f>
        <v>3016335.5213598092</v>
      </c>
      <c r="O149" s="83">
        <f t="shared" si="260"/>
        <v>4452868.9693310754</v>
      </c>
      <c r="P149" s="83">
        <f t="shared" ref="P149:AZ149" si="261">SUM(P139,P144:P148)</f>
        <v>4622401.460685174</v>
      </c>
      <c r="Q149" s="83">
        <f t="shared" si="261"/>
        <v>4769096.0963851344</v>
      </c>
      <c r="R149" s="83">
        <f t="shared" si="261"/>
        <v>4646131.8067346271</v>
      </c>
      <c r="S149" s="83">
        <f t="shared" si="261"/>
        <v>5013760.6981276087</v>
      </c>
      <c r="T149" s="83">
        <f t="shared" si="261"/>
        <v>5080351.1115760291</v>
      </c>
      <c r="U149" s="83">
        <f t="shared" si="261"/>
        <v>5113983.3686561882</v>
      </c>
      <c r="V149" s="83">
        <f t="shared" si="261"/>
        <v>4992706.831918899</v>
      </c>
      <c r="W149" s="83">
        <f t="shared" si="261"/>
        <v>5386758.0040637115</v>
      </c>
      <c r="X149" s="83">
        <f t="shared" si="261"/>
        <v>5457984.3171733851</v>
      </c>
      <c r="Y149" s="83">
        <f t="shared" si="261"/>
        <v>5494831.4914958756</v>
      </c>
      <c r="Z149" s="83">
        <f t="shared" si="261"/>
        <v>5364300.8456947096</v>
      </c>
      <c r="AA149" s="83">
        <f t="shared" si="261"/>
        <v>5786647.5210978799</v>
      </c>
      <c r="AB149" s="83">
        <f t="shared" si="261"/>
        <v>5862833.2609832082</v>
      </c>
      <c r="AC149" s="83">
        <f t="shared" si="261"/>
        <v>5903154.576051591</v>
      </c>
      <c r="AD149" s="83">
        <f t="shared" si="261"/>
        <v>5762695.4002772262</v>
      </c>
      <c r="AE149" s="83">
        <f t="shared" si="261"/>
        <v>6215342.8414118364</v>
      </c>
      <c r="AF149" s="83">
        <f t="shared" si="261"/>
        <v>6296834.1399321873</v>
      </c>
      <c r="AG149" s="83">
        <f t="shared" si="261"/>
        <v>6340908.4525184548</v>
      </c>
      <c r="AH149" s="83">
        <f t="shared" si="261"/>
        <v>6189798.0748416698</v>
      </c>
      <c r="AI149" s="83">
        <f t="shared" si="261"/>
        <v>6674892.8659457806</v>
      </c>
      <c r="AJ149" s="83">
        <f t="shared" si="261"/>
        <v>6762060.0401084879</v>
      </c>
      <c r="AK149" s="83">
        <f t="shared" si="261"/>
        <v>6810187.2834294876</v>
      </c>
      <c r="AL149" s="83">
        <f t="shared" si="261"/>
        <v>6647651.3585046353</v>
      </c>
      <c r="AM149" s="83">
        <f t="shared" si="261"/>
        <v>7167491.3388876701</v>
      </c>
      <c r="AN149" s="83">
        <f t="shared" si="261"/>
        <v>7260730.5817872398</v>
      </c>
      <c r="AO149" s="83">
        <f t="shared" si="261"/>
        <v>7313233.3130074516</v>
      </c>
      <c r="AP149" s="83">
        <f t="shared" si="261"/>
        <v>7138442.1580482591</v>
      </c>
      <c r="AQ149" s="83">
        <f t="shared" si="261"/>
        <v>7695487.0525958072</v>
      </c>
      <c r="AR149" s="83">
        <f t="shared" si="261"/>
        <v>7795222.242622395</v>
      </c>
      <c r="AS149" s="83">
        <f t="shared" si="261"/>
        <v>7852447.3021477321</v>
      </c>
      <c r="AT149" s="83">
        <f t="shared" si="261"/>
        <v>7664511.9742629789</v>
      </c>
      <c r="AU149" s="83">
        <f t="shared" si="261"/>
        <v>7113327.9552011043</v>
      </c>
      <c r="AV149" s="83">
        <f t="shared" si="261"/>
        <v>7205116.212479136</v>
      </c>
      <c r="AW149" s="83">
        <f t="shared" si="261"/>
        <v>7259213.6477507371</v>
      </c>
      <c r="AX149" s="83">
        <f t="shared" si="261"/>
        <v>7088453.6724061863</v>
      </c>
      <c r="AY149" s="83">
        <f t="shared" si="261"/>
        <v>7634860.8436323339</v>
      </c>
      <c r="AZ149" s="83">
        <f t="shared" si="261"/>
        <v>7733110.6014506454</v>
      </c>
      <c r="BB149" s="35" t="str">
        <f>B149</f>
        <v>FCF</v>
      </c>
      <c r="BC149" s="176">
        <f>SUM(BC144:BC148)+BC139</f>
        <v>7364263.4567071423</v>
      </c>
      <c r="BD149" s="176">
        <f>SUM(BD144:BD148)+BD139</f>
        <v>7604668.3121952964</v>
      </c>
      <c r="BE149" s="176">
        <f t="shared" ref="BE149:BL149" si="262">SUM(BE144:BE148)+BE139</f>
        <v>18490498.333136007</v>
      </c>
      <c r="BF149" s="176">
        <f t="shared" si="262"/>
        <v>20200802.01027872</v>
      </c>
      <c r="BG149" s="176">
        <f t="shared" si="262"/>
        <v>21703874.658427682</v>
      </c>
      <c r="BH149" s="176">
        <f t="shared" si="262"/>
        <v>23315330.758409906</v>
      </c>
      <c r="BI149" s="176">
        <f t="shared" si="262"/>
        <v>25042883.508704156</v>
      </c>
      <c r="BJ149" s="176">
        <f t="shared" si="262"/>
        <v>26894791.547988396</v>
      </c>
      <c r="BK149" s="176">
        <f t="shared" si="262"/>
        <v>28879897.391730618</v>
      </c>
      <c r="BL149" s="176">
        <f t="shared" si="262"/>
        <v>31007668.571628913</v>
      </c>
    </row>
    <row r="150" spans="1:64" s="72" customFormat="1">
      <c r="A150" s="11"/>
      <c r="B150" s="71"/>
      <c r="D150" s="73"/>
      <c r="E150" s="74"/>
      <c r="F150" s="107"/>
      <c r="G150" s="97"/>
      <c r="H150" s="190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</row>
    <row r="151" spans="1:64" s="57" customFormat="1" outlineLevel="1">
      <c r="B151" s="57" t="s">
        <v>27</v>
      </c>
      <c r="E151" s="167">
        <f>SUM($O$131:$R$131)/E152</f>
        <v>0.12177733603817015</v>
      </c>
      <c r="F151" s="199">
        <f t="shared" ref="F151:P151" si="263">SUM($O$131:$R$131)/F$152</f>
        <v>0.11271642967480847</v>
      </c>
      <c r="G151" s="148">
        <f t="shared" si="263"/>
        <v>0.10799717936873209</v>
      </c>
      <c r="H151" s="148">
        <f t="shared" si="263"/>
        <v>0.10392066722600517</v>
      </c>
      <c r="I151" s="148">
        <f t="shared" si="263"/>
        <v>9.8945178015041602E-2</v>
      </c>
      <c r="J151" s="148">
        <f t="shared" si="263"/>
        <v>9.4071283059650887E-2</v>
      </c>
      <c r="K151" s="148">
        <f t="shared" si="263"/>
        <v>8.9193416456626234E-2</v>
      </c>
      <c r="L151" s="148">
        <f t="shared" si="263"/>
        <v>8.5586396996303465E-2</v>
      </c>
      <c r="M151" s="148">
        <f t="shared" si="263"/>
        <v>8.2715966285477796E-2</v>
      </c>
      <c r="N151" s="148">
        <f t="shared" si="263"/>
        <v>8.0434943347720056E-2</v>
      </c>
      <c r="O151" s="148">
        <f t="shared" si="263"/>
        <v>7.8453742493689221E-2</v>
      </c>
      <c r="P151" s="148">
        <f t="shared" si="263"/>
        <v>7.7072548294418605E-2</v>
      </c>
      <c r="Q151" s="132">
        <v>0.08</v>
      </c>
      <c r="R151" s="148">
        <f>Q151</f>
        <v>0.08</v>
      </c>
      <c r="S151" s="148">
        <f t="shared" ref="S151:AZ151" si="264">R151</f>
        <v>0.08</v>
      </c>
      <c r="T151" s="148">
        <f t="shared" si="264"/>
        <v>0.08</v>
      </c>
      <c r="U151" s="148">
        <f t="shared" si="264"/>
        <v>0.08</v>
      </c>
      <c r="V151" s="148">
        <f t="shared" si="264"/>
        <v>0.08</v>
      </c>
      <c r="W151" s="148">
        <f t="shared" si="264"/>
        <v>0.08</v>
      </c>
      <c r="X151" s="148">
        <f t="shared" si="264"/>
        <v>0.08</v>
      </c>
      <c r="Y151" s="148">
        <f t="shared" si="264"/>
        <v>0.08</v>
      </c>
      <c r="Z151" s="148">
        <f t="shared" si="264"/>
        <v>0.08</v>
      </c>
      <c r="AA151" s="148">
        <f t="shared" si="264"/>
        <v>0.08</v>
      </c>
      <c r="AB151" s="148">
        <f t="shared" si="264"/>
        <v>0.08</v>
      </c>
      <c r="AC151" s="148">
        <f t="shared" si="264"/>
        <v>0.08</v>
      </c>
      <c r="AD151" s="148">
        <f t="shared" si="264"/>
        <v>0.08</v>
      </c>
      <c r="AE151" s="148">
        <f t="shared" si="264"/>
        <v>0.08</v>
      </c>
      <c r="AF151" s="148">
        <f t="shared" si="264"/>
        <v>0.08</v>
      </c>
      <c r="AG151" s="148">
        <f t="shared" si="264"/>
        <v>0.08</v>
      </c>
      <c r="AH151" s="148">
        <f t="shared" si="264"/>
        <v>0.08</v>
      </c>
      <c r="AI151" s="148">
        <f t="shared" si="264"/>
        <v>0.08</v>
      </c>
      <c r="AJ151" s="148">
        <f t="shared" si="264"/>
        <v>0.08</v>
      </c>
      <c r="AK151" s="148">
        <f t="shared" si="264"/>
        <v>0.08</v>
      </c>
      <c r="AL151" s="148">
        <f t="shared" si="264"/>
        <v>0.08</v>
      </c>
      <c r="AM151" s="148">
        <f t="shared" si="264"/>
        <v>0.08</v>
      </c>
      <c r="AN151" s="148">
        <f t="shared" si="264"/>
        <v>0.08</v>
      </c>
      <c r="AO151" s="148">
        <f t="shared" si="264"/>
        <v>0.08</v>
      </c>
      <c r="AP151" s="148">
        <f t="shared" si="264"/>
        <v>0.08</v>
      </c>
      <c r="AQ151" s="148">
        <f t="shared" si="264"/>
        <v>0.08</v>
      </c>
      <c r="AR151" s="148">
        <f t="shared" si="264"/>
        <v>0.08</v>
      </c>
      <c r="AS151" s="148">
        <f t="shared" si="264"/>
        <v>0.08</v>
      </c>
      <c r="AT151" s="148">
        <f t="shared" si="264"/>
        <v>0.08</v>
      </c>
      <c r="AU151" s="148">
        <f t="shared" si="264"/>
        <v>0.08</v>
      </c>
      <c r="AV151" s="148">
        <f t="shared" si="264"/>
        <v>0.08</v>
      </c>
      <c r="AW151" s="148">
        <f t="shared" si="264"/>
        <v>0.08</v>
      </c>
      <c r="AX151" s="148">
        <f t="shared" si="264"/>
        <v>0.08</v>
      </c>
      <c r="AY151" s="148">
        <f t="shared" si="264"/>
        <v>0.08</v>
      </c>
      <c r="AZ151" s="148">
        <f t="shared" si="264"/>
        <v>0.08</v>
      </c>
      <c r="BB151" s="48" t="str">
        <f>B151</f>
        <v>Cap Rate</v>
      </c>
      <c r="BC151" s="51">
        <f>AVERAGEIF($F$98:$AZ$98,BC$115,$F$151:$AZ$151)</f>
        <v>0.10353014746884763</v>
      </c>
      <c r="BD151" s="51">
        <f>AVERAGEIF($F$98:$AZ$98,BD$115,$F$151:$AZ$151)</f>
        <v>8.4482680771531884E-2</v>
      </c>
      <c r="BE151" s="51">
        <f>BF151</f>
        <v>0.08</v>
      </c>
      <c r="BF151" s="51">
        <f>AVERAGEIF($F$98:$AZ$98,BF$115,$F$151:$AZ$151)</f>
        <v>0.08</v>
      </c>
      <c r="BG151" s="51">
        <f t="shared" ref="BG151:BL151" si="265">AVERAGEIF($F$98:$AZ$98,BG$115,$F$151:$AZ$151)</f>
        <v>0.08</v>
      </c>
      <c r="BH151" s="51">
        <f t="shared" si="265"/>
        <v>0.08</v>
      </c>
      <c r="BI151" s="51">
        <f t="shared" si="265"/>
        <v>0.08</v>
      </c>
      <c r="BJ151" s="51">
        <f t="shared" si="265"/>
        <v>0.08</v>
      </c>
      <c r="BK151" s="51">
        <f t="shared" si="265"/>
        <v>0.08</v>
      </c>
      <c r="BL151" s="51">
        <f t="shared" si="265"/>
        <v>0.08</v>
      </c>
    </row>
    <row r="152" spans="1:64" s="93" customFormat="1" outlineLevel="1">
      <c r="B152" s="93" t="s">
        <v>36</v>
      </c>
      <c r="E152" s="319">
        <f>C6</f>
        <v>181000000</v>
      </c>
      <c r="F152" s="291">
        <f>F155+F156-F173+F157</f>
        <v>195550000</v>
      </c>
      <c r="G152" s="288">
        <f>G155+G156-G173+G157</f>
        <v>204095125</v>
      </c>
      <c r="H152" s="288">
        <f>H155+H156-H173+H157</f>
        <v>212101196.14583334</v>
      </c>
      <c r="I152" s="288">
        <f t="shared" ref="I152:N152" si="266">I155+I156-I173+I157</f>
        <v>222766771.10589489</v>
      </c>
      <c r="J152" s="288">
        <f t="shared" si="266"/>
        <v>234308463.81602013</v>
      </c>
      <c r="K152" s="288">
        <f t="shared" si="266"/>
        <v>247122474.93768141</v>
      </c>
      <c r="L152" s="288">
        <f t="shared" si="266"/>
        <v>257537396.08714679</v>
      </c>
      <c r="M152" s="288">
        <f t="shared" si="266"/>
        <v>266474524.9645786</v>
      </c>
      <c r="N152" s="288">
        <f t="shared" si="266"/>
        <v>274031371.26140058</v>
      </c>
      <c r="O152" s="288">
        <f>O155+O156-O173+O157</f>
        <v>280951515.15151519</v>
      </c>
      <c r="P152" s="288">
        <f>P155+P156-P173+P157</f>
        <v>285986363.63636363</v>
      </c>
      <c r="Q152" s="108">
        <f>SUM(R131:U131)/Q151</f>
        <v>295323993.42697626</v>
      </c>
      <c r="R152" s="108">
        <f t="shared" ref="R152:AU152" si="267">SUM(S131:V131)/R151</f>
        <v>300605188.08677197</v>
      </c>
      <c r="S152" s="108">
        <f t="shared" si="267"/>
        <v>306066365.36953533</v>
      </c>
      <c r="T152" s="108">
        <f t="shared" si="267"/>
        <v>311598464.8109588</v>
      </c>
      <c r="U152" s="108">
        <f t="shared" si="267"/>
        <v>317186152.35763007</v>
      </c>
      <c r="V152" s="108">
        <f t="shared" si="267"/>
        <v>322847202.35566592</v>
      </c>
      <c r="W152" s="108">
        <f t="shared" si="267"/>
        <v>328700833.76027715</v>
      </c>
      <c r="X152" s="108">
        <f t="shared" si="267"/>
        <v>334630351.87465465</v>
      </c>
      <c r="Y152" s="108">
        <f t="shared" si="267"/>
        <v>340619743.60640186</v>
      </c>
      <c r="Z152" s="108">
        <f t="shared" si="267"/>
        <v>346687633.16110915</v>
      </c>
      <c r="AA152" s="108">
        <f t="shared" si="267"/>
        <v>352961584.82085216</v>
      </c>
      <c r="AB152" s="108">
        <f t="shared" si="267"/>
        <v>359316735.26004493</v>
      </c>
      <c r="AC152" s="108">
        <f t="shared" si="267"/>
        <v>365736361.6757943</v>
      </c>
      <c r="AD152" s="108">
        <f t="shared" si="267"/>
        <v>372239980.76211113</v>
      </c>
      <c r="AE152" s="108">
        <f t="shared" si="267"/>
        <v>378964086.30081606</v>
      </c>
      <c r="AF152" s="108">
        <f t="shared" si="267"/>
        <v>385775074.53353238</v>
      </c>
      <c r="AG152" s="108">
        <f t="shared" si="267"/>
        <v>392655480.90001202</v>
      </c>
      <c r="AH152" s="108">
        <f t="shared" si="267"/>
        <v>399625759.42399871</v>
      </c>
      <c r="AI152" s="108">
        <f t="shared" si="267"/>
        <v>406831958.45204073</v>
      </c>
      <c r="AJ152" s="108">
        <f t="shared" si="267"/>
        <v>414131121.96267486</v>
      </c>
      <c r="AK152" s="108">
        <f t="shared" si="267"/>
        <v>421505010.15661877</v>
      </c>
      <c r="AL152" s="108">
        <f t="shared" si="267"/>
        <v>428975061.5590952</v>
      </c>
      <c r="AM152" s="108">
        <f t="shared" si="267"/>
        <v>436697547.90091097</v>
      </c>
      <c r="AN152" s="108">
        <f t="shared" si="267"/>
        <v>444519506.23910016</v>
      </c>
      <c r="AO152" s="108">
        <f t="shared" si="267"/>
        <v>452421886.5570004</v>
      </c>
      <c r="AP152" s="108">
        <f t="shared" si="267"/>
        <v>460427161.50803041</v>
      </c>
      <c r="AQ152" s="108">
        <f t="shared" si="267"/>
        <v>468702541.84415358</v>
      </c>
      <c r="AR152" s="108">
        <f t="shared" si="267"/>
        <v>477084357.21639633</v>
      </c>
      <c r="AS152" s="108">
        <f t="shared" si="267"/>
        <v>485552710.85141504</v>
      </c>
      <c r="AT152" s="108">
        <f t="shared" si="267"/>
        <v>494131161.7438826</v>
      </c>
      <c r="AU152" s="108">
        <f t="shared" si="267"/>
        <v>502998625.39839965</v>
      </c>
      <c r="AV152" s="108">
        <f>SUM(AW131:AZ131)/AV151</f>
        <v>511979974.54156482</v>
      </c>
      <c r="AW152" s="149">
        <f>AV152*(1+AV153)</f>
        <v>521121691.18547124</v>
      </c>
      <c r="AX152" s="149">
        <f t="shared" ref="AX152:AY152" si="268">AW152*(1+AW153)</f>
        <v>530426638.79026109</v>
      </c>
      <c r="AY152" s="149">
        <f t="shared" si="268"/>
        <v>539897731.94491458</v>
      </c>
      <c r="AZ152" s="149">
        <f>AY152*(1+AY153)</f>
        <v>549537937.28018689</v>
      </c>
      <c r="BB152" s="179" t="str">
        <f>B152</f>
        <v>Рыночная стоимость объекта (EV)</v>
      </c>
      <c r="BC152" s="111">
        <f>_xlfn.MAXIFS($F$152:$AZ$152,$F$98:$AZ$98,BC$115)</f>
        <v>234308463.81602013</v>
      </c>
      <c r="BD152" s="111">
        <f>_xlfn.MAXIFS($F$152:$AZ$152,$F$98:$AZ$98,BD$115)</f>
        <v>274031371.26140058</v>
      </c>
      <c r="BE152" s="111">
        <f>_xlfn.MAXIFS($F$152:$AZ$152,$F$98:$AZ$98,BE$115)</f>
        <v>300605188.08677197</v>
      </c>
      <c r="BF152" s="111">
        <f t="shared" ref="BF152:BL152" si="269">_xlfn.MAXIFS($F$152:$AZ$152,$F$98:$AZ$98,BF$115)</f>
        <v>322847202.35566592</v>
      </c>
      <c r="BG152" s="111">
        <f>_xlfn.MAXIFS($F$152:$AZ$152,$F$98:$AZ$98,BG$115)</f>
        <v>346687633.16110915</v>
      </c>
      <c r="BH152" s="111">
        <f t="shared" si="269"/>
        <v>372239980.76211113</v>
      </c>
      <c r="BI152" s="111">
        <f t="shared" si="269"/>
        <v>399625759.42399871</v>
      </c>
      <c r="BJ152" s="111">
        <f t="shared" si="269"/>
        <v>428975061.5590952</v>
      </c>
      <c r="BK152" s="111">
        <f t="shared" si="269"/>
        <v>460427161.50803041</v>
      </c>
      <c r="BL152" s="111">
        <f t="shared" si="269"/>
        <v>494131161.7438826</v>
      </c>
    </row>
    <row r="153" spans="1:64" s="95" customFormat="1">
      <c r="A153" s="41"/>
      <c r="B153" s="67" t="s">
        <v>38</v>
      </c>
      <c r="D153" s="68"/>
      <c r="E153" s="74"/>
      <c r="F153" s="109"/>
      <c r="G153" s="289">
        <f>G152/F152-1</f>
        <v>4.3697903349527056E-2</v>
      </c>
      <c r="H153" s="289">
        <f t="shared" ref="H153:L153" si="270">H152/G152-1</f>
        <v>3.9227155209284659E-2</v>
      </c>
      <c r="I153" s="289">
        <f>I152/H152-1</f>
        <v>5.0285312642594837E-2</v>
      </c>
      <c r="J153" s="289">
        <f t="shared" si="270"/>
        <v>5.1810656736765992E-2</v>
      </c>
      <c r="K153" s="289">
        <f t="shared" si="270"/>
        <v>5.4688639552188389E-2</v>
      </c>
      <c r="L153" s="289">
        <f t="shared" si="270"/>
        <v>4.2144775185226635E-2</v>
      </c>
      <c r="M153" s="289">
        <f>M152/L152-1</f>
        <v>3.4702256888578642E-2</v>
      </c>
      <c r="N153" s="289">
        <f>N152/M152-1</f>
        <v>2.8358606879312243E-2</v>
      </c>
      <c r="O153" s="289">
        <f>O152/N152-1</f>
        <v>2.5253108278297853E-2</v>
      </c>
      <c r="P153" s="289">
        <f>P152/O152-1</f>
        <v>1.7920702375045616E-2</v>
      </c>
      <c r="Q153" s="289">
        <f t="shared" ref="Q153:AZ153" si="271">Q152/P152-1</f>
        <v>3.2650611979827104E-2</v>
      </c>
      <c r="R153" s="97">
        <f t="shared" si="271"/>
        <v>1.7882714501155306E-2</v>
      </c>
      <c r="S153" s="97">
        <f t="shared" si="271"/>
        <v>1.8167275546777883E-2</v>
      </c>
      <c r="T153" s="97">
        <f t="shared" si="271"/>
        <v>1.8074836268742622E-2</v>
      </c>
      <c r="U153" s="97">
        <f t="shared" si="271"/>
        <v>1.7932333363905428E-2</v>
      </c>
      <c r="V153" s="97">
        <f t="shared" si="271"/>
        <v>1.7847721144058637E-2</v>
      </c>
      <c r="W153" s="97">
        <f t="shared" si="271"/>
        <v>1.8131274986743051E-2</v>
      </c>
      <c r="X153" s="97">
        <f t="shared" si="271"/>
        <v>1.8039254864506749E-2</v>
      </c>
      <c r="Y153" s="97">
        <f t="shared" si="271"/>
        <v>1.7898531015473118E-2</v>
      </c>
      <c r="Z153" s="97">
        <f t="shared" si="271"/>
        <v>1.781426258637242E-2</v>
      </c>
      <c r="AA153" s="97">
        <f t="shared" si="271"/>
        <v>1.8096842978034378E-2</v>
      </c>
      <c r="AB153" s="97">
        <f t="shared" si="271"/>
        <v>1.8005218450099614E-2</v>
      </c>
      <c r="AC153" s="97">
        <f t="shared" si="271"/>
        <v>1.7866204898871141E-2</v>
      </c>
      <c r="AD153" s="97">
        <f t="shared" si="271"/>
        <v>1.7782260031563135E-2</v>
      </c>
      <c r="AE153" s="97">
        <f t="shared" si="271"/>
        <v>1.8063899328971234E-2</v>
      </c>
      <c r="AF153" s="97">
        <f t="shared" si="271"/>
        <v>1.7972648277045034E-2</v>
      </c>
      <c r="AG153" s="97">
        <f t="shared" si="271"/>
        <v>1.7835279728217746E-2</v>
      </c>
      <c r="AH153" s="97">
        <f t="shared" si="271"/>
        <v>1.7751639447410872E-2</v>
      </c>
      <c r="AI153" s="97">
        <f t="shared" si="271"/>
        <v>1.8032368680208855E-2</v>
      </c>
      <c r="AJ153" s="97">
        <f t="shared" si="271"/>
        <v>1.7941470326979125E-2</v>
      </c>
      <c r="AK153" s="97">
        <f t="shared" si="271"/>
        <v>1.7805684728539939E-2</v>
      </c>
      <c r="AL153" s="97">
        <f t="shared" si="271"/>
        <v>1.7722331223775534E-2</v>
      </c>
      <c r="AM153" s="97">
        <f t="shared" si="271"/>
        <v>1.800218015879218E-2</v>
      </c>
      <c r="AN153" s="97">
        <f t="shared" si="271"/>
        <v>1.7911614974224666E-2</v>
      </c>
      <c r="AO153" s="97">
        <f t="shared" si="271"/>
        <v>1.7777353315176381E-2</v>
      </c>
      <c r="AP153" s="97">
        <f t="shared" si="271"/>
        <v>1.7694269859381384E-2</v>
      </c>
      <c r="AQ153" s="97">
        <f t="shared" si="271"/>
        <v>1.7973267061436982E-2</v>
      </c>
      <c r="AR153" s="97">
        <f t="shared" si="271"/>
        <v>1.7883016676768504E-2</v>
      </c>
      <c r="AS153" s="97">
        <f t="shared" si="271"/>
        <v>1.7750222800068993E-2</v>
      </c>
      <c r="AT153" s="97">
        <f t="shared" si="271"/>
        <v>1.7667393674777987E-2</v>
      </c>
      <c r="AU153" s="97">
        <f t="shared" si="271"/>
        <v>1.7945566564193438E-2</v>
      </c>
      <c r="AV153" s="97">
        <f t="shared" si="271"/>
        <v>1.7855613692883354E-2</v>
      </c>
      <c r="AW153" s="97">
        <f t="shared" si="271"/>
        <v>1.7855613692883354E-2</v>
      </c>
      <c r="AX153" s="97">
        <f t="shared" si="271"/>
        <v>1.7855613692883354E-2</v>
      </c>
      <c r="AY153" s="97">
        <f t="shared" si="271"/>
        <v>1.7855613692883354E-2</v>
      </c>
      <c r="AZ153" s="97">
        <f t="shared" si="271"/>
        <v>1.7855613692883354E-2</v>
      </c>
      <c r="BB153" s="180" t="s">
        <v>199</v>
      </c>
      <c r="BC153" s="70">
        <f>BC152/E152-1</f>
        <v>0.29452189953602281</v>
      </c>
      <c r="BD153" s="70">
        <f t="shared" ref="BD153:BI153" si="272">BD152/BC152-1</f>
        <v>0.16953253330434981</v>
      </c>
      <c r="BE153" s="70">
        <f t="shared" si="272"/>
        <v>9.6973630073990513E-2</v>
      </c>
      <c r="BF153" s="70">
        <f t="shared" si="272"/>
        <v>7.3990786421402888E-2</v>
      </c>
      <c r="BG153" s="70">
        <f t="shared" si="272"/>
        <v>7.3844315922487969E-2</v>
      </c>
      <c r="BH153" s="70">
        <f t="shared" si="272"/>
        <v>7.3704237350536106E-2</v>
      </c>
      <c r="BI153" s="70">
        <f t="shared" si="272"/>
        <v>7.3570223719168659E-2</v>
      </c>
      <c r="BJ153" s="70">
        <f t="shared" ref="BJ153:BK153" si="273">BJ152/BI152-1</f>
        <v>7.3441967748523407E-2</v>
      </c>
      <c r="BK153" s="70">
        <f t="shared" si="273"/>
        <v>7.3319180454508581E-2</v>
      </c>
      <c r="BL153" s="70">
        <f>BL152/BK152-1</f>
        <v>7.3201589857257776E-2</v>
      </c>
    </row>
    <row r="154" spans="1:64" s="72" customFormat="1" ht="5.5" customHeight="1">
      <c r="A154" s="11"/>
      <c r="B154" s="71"/>
      <c r="D154" s="73"/>
      <c r="E154" s="74"/>
      <c r="F154" s="107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</row>
    <row r="155" spans="1:64" hidden="1" outlineLevel="1">
      <c r="B155" s="57" t="s">
        <v>177</v>
      </c>
      <c r="C155" s="57"/>
      <c r="D155" s="57"/>
      <c r="E155" s="74"/>
      <c r="F155" s="116">
        <f>J31+J36+F147+F138</f>
        <v>58750000</v>
      </c>
      <c r="G155" s="82">
        <v>0</v>
      </c>
      <c r="H155" s="82">
        <v>0</v>
      </c>
      <c r="I155" s="82">
        <f>H155</f>
        <v>0</v>
      </c>
      <c r="J155" s="82">
        <f>I155</f>
        <v>0</v>
      </c>
      <c r="K155" s="82">
        <f>J155</f>
        <v>0</v>
      </c>
      <c r="L155" s="82">
        <f>K155</f>
        <v>0</v>
      </c>
      <c r="M155" s="82">
        <f t="shared" ref="M155:AZ155" si="274">L155</f>
        <v>0</v>
      </c>
      <c r="N155" s="82">
        <f t="shared" si="274"/>
        <v>0</v>
      </c>
      <c r="O155" s="82">
        <f>N155</f>
        <v>0</v>
      </c>
      <c r="P155" s="82">
        <f t="shared" si="274"/>
        <v>0</v>
      </c>
      <c r="Q155" s="82">
        <f t="shared" si="274"/>
        <v>0</v>
      </c>
      <c r="R155" s="82">
        <f t="shared" si="274"/>
        <v>0</v>
      </c>
      <c r="S155" s="82">
        <f t="shared" si="274"/>
        <v>0</v>
      </c>
      <c r="T155" s="82">
        <f t="shared" si="274"/>
        <v>0</v>
      </c>
      <c r="U155" s="82">
        <f t="shared" si="274"/>
        <v>0</v>
      </c>
      <c r="V155" s="82">
        <f t="shared" si="274"/>
        <v>0</v>
      </c>
      <c r="W155" s="82">
        <f t="shared" si="274"/>
        <v>0</v>
      </c>
      <c r="X155" s="82">
        <f t="shared" si="274"/>
        <v>0</v>
      </c>
      <c r="Y155" s="82">
        <f t="shared" si="274"/>
        <v>0</v>
      </c>
      <c r="Z155" s="82">
        <f t="shared" si="274"/>
        <v>0</v>
      </c>
      <c r="AA155" s="82">
        <f t="shared" si="274"/>
        <v>0</v>
      </c>
      <c r="AB155" s="82">
        <f t="shared" si="274"/>
        <v>0</v>
      </c>
      <c r="AC155" s="82">
        <f t="shared" si="274"/>
        <v>0</v>
      </c>
      <c r="AD155" s="82">
        <f t="shared" si="274"/>
        <v>0</v>
      </c>
      <c r="AE155" s="82">
        <f t="shared" si="274"/>
        <v>0</v>
      </c>
      <c r="AF155" s="82">
        <f t="shared" si="274"/>
        <v>0</v>
      </c>
      <c r="AG155" s="82">
        <f t="shared" si="274"/>
        <v>0</v>
      </c>
      <c r="AH155" s="82">
        <f t="shared" si="274"/>
        <v>0</v>
      </c>
      <c r="AI155" s="82">
        <f t="shared" si="274"/>
        <v>0</v>
      </c>
      <c r="AJ155" s="82">
        <f t="shared" si="274"/>
        <v>0</v>
      </c>
      <c r="AK155" s="82">
        <f t="shared" si="274"/>
        <v>0</v>
      </c>
      <c r="AL155" s="82">
        <f t="shared" si="274"/>
        <v>0</v>
      </c>
      <c r="AM155" s="82">
        <f t="shared" si="274"/>
        <v>0</v>
      </c>
      <c r="AN155" s="82">
        <f t="shared" si="274"/>
        <v>0</v>
      </c>
      <c r="AO155" s="82">
        <f t="shared" si="274"/>
        <v>0</v>
      </c>
      <c r="AP155" s="82">
        <f t="shared" si="274"/>
        <v>0</v>
      </c>
      <c r="AQ155" s="82">
        <f t="shared" si="274"/>
        <v>0</v>
      </c>
      <c r="AR155" s="82">
        <f t="shared" si="274"/>
        <v>0</v>
      </c>
      <c r="AS155" s="82">
        <f t="shared" si="274"/>
        <v>0</v>
      </c>
      <c r="AT155" s="82">
        <f t="shared" si="274"/>
        <v>0</v>
      </c>
      <c r="AU155" s="82">
        <f t="shared" si="274"/>
        <v>0</v>
      </c>
      <c r="AV155" s="82">
        <f t="shared" si="274"/>
        <v>0</v>
      </c>
      <c r="AW155" s="82">
        <f t="shared" si="274"/>
        <v>0</v>
      </c>
      <c r="AX155" s="82">
        <f t="shared" si="274"/>
        <v>0</v>
      </c>
      <c r="AY155" s="82">
        <f t="shared" si="274"/>
        <v>0</v>
      </c>
      <c r="AZ155" s="82">
        <f t="shared" si="274"/>
        <v>0</v>
      </c>
    </row>
    <row r="156" spans="1:64" hidden="1" outlineLevel="1">
      <c r="B156" s="57" t="s">
        <v>178</v>
      </c>
      <c r="C156" s="57"/>
      <c r="D156" s="57"/>
      <c r="E156" s="74"/>
      <c r="F156" s="116">
        <f>SUM(K22:O22)</f>
        <v>58950000</v>
      </c>
      <c r="G156" s="82">
        <f>F156+G148</f>
        <v>52340000</v>
      </c>
      <c r="H156" s="82">
        <f>G156+H148</f>
        <v>0</v>
      </c>
      <c r="I156" s="82">
        <f>H156</f>
        <v>0</v>
      </c>
      <c r="J156" s="82">
        <f t="shared" ref="J156:AZ156" si="275">I156</f>
        <v>0</v>
      </c>
      <c r="K156" s="82">
        <f t="shared" si="275"/>
        <v>0</v>
      </c>
      <c r="L156" s="82">
        <f>K156</f>
        <v>0</v>
      </c>
      <c r="M156" s="82">
        <f t="shared" si="275"/>
        <v>0</v>
      </c>
      <c r="N156" s="82">
        <f t="shared" si="275"/>
        <v>0</v>
      </c>
      <c r="O156" s="82">
        <f>N156</f>
        <v>0</v>
      </c>
      <c r="P156" s="82">
        <f t="shared" si="275"/>
        <v>0</v>
      </c>
      <c r="Q156" s="82">
        <f t="shared" si="275"/>
        <v>0</v>
      </c>
      <c r="R156" s="82">
        <f t="shared" si="275"/>
        <v>0</v>
      </c>
      <c r="S156" s="82">
        <f t="shared" si="275"/>
        <v>0</v>
      </c>
      <c r="T156" s="82">
        <f t="shared" si="275"/>
        <v>0</v>
      </c>
      <c r="U156" s="82">
        <f t="shared" si="275"/>
        <v>0</v>
      </c>
      <c r="V156" s="82">
        <f t="shared" si="275"/>
        <v>0</v>
      </c>
      <c r="W156" s="82">
        <f t="shared" si="275"/>
        <v>0</v>
      </c>
      <c r="X156" s="82">
        <f t="shared" si="275"/>
        <v>0</v>
      </c>
      <c r="Y156" s="82">
        <f t="shared" si="275"/>
        <v>0</v>
      </c>
      <c r="Z156" s="82">
        <f t="shared" si="275"/>
        <v>0</v>
      </c>
      <c r="AA156" s="82">
        <f t="shared" si="275"/>
        <v>0</v>
      </c>
      <c r="AB156" s="82">
        <f t="shared" si="275"/>
        <v>0</v>
      </c>
      <c r="AC156" s="82">
        <f t="shared" si="275"/>
        <v>0</v>
      </c>
      <c r="AD156" s="82">
        <f t="shared" si="275"/>
        <v>0</v>
      </c>
      <c r="AE156" s="82">
        <f t="shared" si="275"/>
        <v>0</v>
      </c>
      <c r="AF156" s="82">
        <f t="shared" si="275"/>
        <v>0</v>
      </c>
      <c r="AG156" s="82">
        <f t="shared" si="275"/>
        <v>0</v>
      </c>
      <c r="AH156" s="82">
        <f t="shared" si="275"/>
        <v>0</v>
      </c>
      <c r="AI156" s="82">
        <f t="shared" si="275"/>
        <v>0</v>
      </c>
      <c r="AJ156" s="82">
        <f t="shared" si="275"/>
        <v>0</v>
      </c>
      <c r="AK156" s="82">
        <f t="shared" si="275"/>
        <v>0</v>
      </c>
      <c r="AL156" s="82">
        <f t="shared" si="275"/>
        <v>0</v>
      </c>
      <c r="AM156" s="82">
        <f t="shared" si="275"/>
        <v>0</v>
      </c>
      <c r="AN156" s="82">
        <f t="shared" si="275"/>
        <v>0</v>
      </c>
      <c r="AO156" s="82">
        <f t="shared" si="275"/>
        <v>0</v>
      </c>
      <c r="AP156" s="82">
        <f t="shared" si="275"/>
        <v>0</v>
      </c>
      <c r="AQ156" s="82">
        <f t="shared" si="275"/>
        <v>0</v>
      </c>
      <c r="AR156" s="82">
        <f t="shared" si="275"/>
        <v>0</v>
      </c>
      <c r="AS156" s="82">
        <f t="shared" si="275"/>
        <v>0</v>
      </c>
      <c r="AT156" s="82">
        <f t="shared" si="275"/>
        <v>0</v>
      </c>
      <c r="AU156" s="82">
        <f t="shared" si="275"/>
        <v>0</v>
      </c>
      <c r="AV156" s="82">
        <f t="shared" si="275"/>
        <v>0</v>
      </c>
      <c r="AW156" s="82">
        <f t="shared" si="275"/>
        <v>0</v>
      </c>
      <c r="AX156" s="82">
        <f t="shared" si="275"/>
        <v>0</v>
      </c>
      <c r="AY156" s="82">
        <f t="shared" si="275"/>
        <v>0</v>
      </c>
      <c r="AZ156" s="82">
        <f t="shared" si="275"/>
        <v>0</v>
      </c>
    </row>
    <row r="157" spans="1:64" s="93" customFormat="1" collapsed="1">
      <c r="B157" s="93" t="s">
        <v>37</v>
      </c>
      <c r="E157" s="112"/>
      <c r="F157" s="110">
        <f t="shared" ref="F157:P157" si="276">F158*F159</f>
        <v>82000000</v>
      </c>
      <c r="G157" s="112">
        <f t="shared" si="276"/>
        <v>156100000</v>
      </c>
      <c r="H157" s="112">
        <f t="shared" si="276"/>
        <v>221533333.33333334</v>
      </c>
      <c r="I157" s="112">
        <f t="shared" si="276"/>
        <v>231603030.30303031</v>
      </c>
      <c r="J157" s="112">
        <f t="shared" si="276"/>
        <v>241672727.27272728</v>
      </c>
      <c r="K157" s="112">
        <f t="shared" si="276"/>
        <v>250735454.54545456</v>
      </c>
      <c r="L157" s="112">
        <f t="shared" si="276"/>
        <v>259798181.81818181</v>
      </c>
      <c r="M157" s="112">
        <f t="shared" si="276"/>
        <v>267853939.39393941</v>
      </c>
      <c r="N157" s="112">
        <f t="shared" si="276"/>
        <v>274902727.27272725</v>
      </c>
      <c r="O157" s="112">
        <f t="shared" si="276"/>
        <v>281951515.15151519</v>
      </c>
      <c r="P157" s="112">
        <f t="shared" si="276"/>
        <v>286986363.63636363</v>
      </c>
      <c r="Q157" s="111">
        <f>Q152-Q155-Q156+Q173</f>
        <v>296323993.42697626</v>
      </c>
      <c r="R157" s="111">
        <f t="shared" ref="R157:AU157" si="277">R152-R155-R156+R173</f>
        <v>301605188.08677197</v>
      </c>
      <c r="S157" s="111">
        <f t="shared" si="277"/>
        <v>307066365.36953533</v>
      </c>
      <c r="T157" s="111">
        <f t="shared" si="277"/>
        <v>312598464.8109588</v>
      </c>
      <c r="U157" s="111">
        <f t="shared" si="277"/>
        <v>318186152.35763007</v>
      </c>
      <c r="V157" s="111">
        <f t="shared" si="277"/>
        <v>323847202.35566592</v>
      </c>
      <c r="W157" s="111">
        <f t="shared" si="277"/>
        <v>329700833.76027715</v>
      </c>
      <c r="X157" s="111">
        <f t="shared" si="277"/>
        <v>335630351.87465465</v>
      </c>
      <c r="Y157" s="111">
        <f t="shared" si="277"/>
        <v>341619743.60640186</v>
      </c>
      <c r="Z157" s="111">
        <f t="shared" si="277"/>
        <v>347687633.16110915</v>
      </c>
      <c r="AA157" s="111">
        <f t="shared" si="277"/>
        <v>353961584.82085216</v>
      </c>
      <c r="AB157" s="111">
        <f t="shared" si="277"/>
        <v>360316735.26004493</v>
      </c>
      <c r="AC157" s="111">
        <f t="shared" si="277"/>
        <v>366736361.6757943</v>
      </c>
      <c r="AD157" s="111">
        <f t="shared" si="277"/>
        <v>373239980.76211113</v>
      </c>
      <c r="AE157" s="111">
        <f t="shared" si="277"/>
        <v>379964086.30081606</v>
      </c>
      <c r="AF157" s="111">
        <f t="shared" si="277"/>
        <v>386775074.53353238</v>
      </c>
      <c r="AG157" s="111">
        <f t="shared" si="277"/>
        <v>393655480.90001202</v>
      </c>
      <c r="AH157" s="111">
        <f t="shared" si="277"/>
        <v>400625759.42399871</v>
      </c>
      <c r="AI157" s="111">
        <f t="shared" si="277"/>
        <v>407831958.45204073</v>
      </c>
      <c r="AJ157" s="111">
        <f t="shared" si="277"/>
        <v>415131121.96267486</v>
      </c>
      <c r="AK157" s="111">
        <f t="shared" si="277"/>
        <v>422505010.15661877</v>
      </c>
      <c r="AL157" s="111">
        <f t="shared" si="277"/>
        <v>429975061.5590952</v>
      </c>
      <c r="AM157" s="111">
        <f t="shared" si="277"/>
        <v>437697547.90091097</v>
      </c>
      <c r="AN157" s="111">
        <f t="shared" si="277"/>
        <v>445519506.23910016</v>
      </c>
      <c r="AO157" s="111">
        <f t="shared" si="277"/>
        <v>453421886.5570004</v>
      </c>
      <c r="AP157" s="111">
        <f t="shared" si="277"/>
        <v>461427161.50803041</v>
      </c>
      <c r="AQ157" s="111">
        <f t="shared" si="277"/>
        <v>469702541.84415358</v>
      </c>
      <c r="AR157" s="111">
        <f t="shared" si="277"/>
        <v>478084357.21639633</v>
      </c>
      <c r="AS157" s="111">
        <f t="shared" si="277"/>
        <v>486552710.85141504</v>
      </c>
      <c r="AT157" s="111">
        <f t="shared" si="277"/>
        <v>495131161.7438826</v>
      </c>
      <c r="AU157" s="111">
        <f t="shared" si="277"/>
        <v>503998625.39839965</v>
      </c>
      <c r="AV157" s="111">
        <f>AV152-AV155-AV156+AV173</f>
        <v>512979974.54156482</v>
      </c>
      <c r="AW157" s="111">
        <f>AW152-AW155-AW156+AW173</f>
        <v>522121691.18547124</v>
      </c>
      <c r="AX157" s="111">
        <f>AX152-AX155-AX156+AX173</f>
        <v>531426638.79026109</v>
      </c>
      <c r="AY157" s="111">
        <f>AY152-AY155-AY156+AY173</f>
        <v>540897731.94491458</v>
      </c>
      <c r="AZ157" s="111">
        <f>AZ152-AZ155-AZ156+AZ173</f>
        <v>550537937.28018689</v>
      </c>
      <c r="BB157" s="179" t="str">
        <f>B157</f>
        <v>Акционерный капитал (Equity)</v>
      </c>
      <c r="BC157" s="111">
        <f>_xlfn.MAXIFS($F$157:$AZ$157,$F$98:$AZ$98,BC$115)</f>
        <v>241672727.27272728</v>
      </c>
      <c r="BD157" s="111">
        <f>_xlfn.MAXIFS($F$157:$AZ$157,$F$98:$AZ$98,BD$115)</f>
        <v>274902727.27272725</v>
      </c>
      <c r="BE157" s="111">
        <f t="shared" ref="BE157:BL157" si="278">_xlfn.MAXIFS($F$157:$AZ$157,$F$98:$AZ$98,BE$115)</f>
        <v>301605188.08677197</v>
      </c>
      <c r="BF157" s="111">
        <f t="shared" si="278"/>
        <v>323847202.35566592</v>
      </c>
      <c r="BG157" s="111">
        <f t="shared" si="278"/>
        <v>347687633.16110915</v>
      </c>
      <c r="BH157" s="111">
        <f t="shared" si="278"/>
        <v>373239980.76211113</v>
      </c>
      <c r="BI157" s="111">
        <f t="shared" si="278"/>
        <v>400625759.42399871</v>
      </c>
      <c r="BJ157" s="111">
        <f t="shared" si="278"/>
        <v>429975061.5590952</v>
      </c>
      <c r="BK157" s="111">
        <f t="shared" si="278"/>
        <v>461427161.50803041</v>
      </c>
      <c r="BL157" s="111">
        <f t="shared" si="278"/>
        <v>495131161.7438826</v>
      </c>
    </row>
    <row r="158" spans="1:64" s="93" customFormat="1">
      <c r="B158" s="57" t="s">
        <v>69</v>
      </c>
      <c r="E158" s="112"/>
      <c r="F158" s="116">
        <f>J41</f>
        <v>8200</v>
      </c>
      <c r="G158" s="82">
        <f>L41+M41+N41+F158</f>
        <v>14866.666666666668</v>
      </c>
      <c r="H158" s="82">
        <f>$P$41</f>
        <v>20139.39393939394</v>
      </c>
      <c r="I158" s="82">
        <f t="shared" ref="I158:P158" si="279">H158</f>
        <v>20139.39393939394</v>
      </c>
      <c r="J158" s="82">
        <f t="shared" si="279"/>
        <v>20139.39393939394</v>
      </c>
      <c r="K158" s="82">
        <f>J158</f>
        <v>20139.39393939394</v>
      </c>
      <c r="L158" s="82">
        <f>K158</f>
        <v>20139.39393939394</v>
      </c>
      <c r="M158" s="82">
        <f t="shared" si="279"/>
        <v>20139.39393939394</v>
      </c>
      <c r="N158" s="82">
        <f t="shared" si="279"/>
        <v>20139.39393939394</v>
      </c>
      <c r="O158" s="82">
        <f t="shared" si="279"/>
        <v>20139.39393939394</v>
      </c>
      <c r="P158" s="82">
        <f t="shared" si="279"/>
        <v>20139.39393939394</v>
      </c>
      <c r="Q158" s="82">
        <f>P158</f>
        <v>20139.39393939394</v>
      </c>
      <c r="R158" s="82">
        <f t="shared" ref="R158:AZ158" si="280">Q158</f>
        <v>20139.39393939394</v>
      </c>
      <c r="S158" s="82">
        <f t="shared" si="280"/>
        <v>20139.39393939394</v>
      </c>
      <c r="T158" s="82">
        <f t="shared" si="280"/>
        <v>20139.39393939394</v>
      </c>
      <c r="U158" s="82">
        <f t="shared" si="280"/>
        <v>20139.39393939394</v>
      </c>
      <c r="V158" s="82">
        <f t="shared" si="280"/>
        <v>20139.39393939394</v>
      </c>
      <c r="W158" s="82">
        <f t="shared" si="280"/>
        <v>20139.39393939394</v>
      </c>
      <c r="X158" s="82">
        <f t="shared" si="280"/>
        <v>20139.39393939394</v>
      </c>
      <c r="Y158" s="82">
        <f t="shared" si="280"/>
        <v>20139.39393939394</v>
      </c>
      <c r="Z158" s="82">
        <f t="shared" si="280"/>
        <v>20139.39393939394</v>
      </c>
      <c r="AA158" s="82">
        <f t="shared" si="280"/>
        <v>20139.39393939394</v>
      </c>
      <c r="AB158" s="82">
        <f t="shared" si="280"/>
        <v>20139.39393939394</v>
      </c>
      <c r="AC158" s="82">
        <f t="shared" si="280"/>
        <v>20139.39393939394</v>
      </c>
      <c r="AD158" s="82">
        <f t="shared" si="280"/>
        <v>20139.39393939394</v>
      </c>
      <c r="AE158" s="82">
        <f t="shared" si="280"/>
        <v>20139.39393939394</v>
      </c>
      <c r="AF158" s="82">
        <f t="shared" si="280"/>
        <v>20139.39393939394</v>
      </c>
      <c r="AG158" s="82">
        <f t="shared" si="280"/>
        <v>20139.39393939394</v>
      </c>
      <c r="AH158" s="82">
        <f t="shared" si="280"/>
        <v>20139.39393939394</v>
      </c>
      <c r="AI158" s="82">
        <f t="shared" si="280"/>
        <v>20139.39393939394</v>
      </c>
      <c r="AJ158" s="82">
        <f t="shared" si="280"/>
        <v>20139.39393939394</v>
      </c>
      <c r="AK158" s="82">
        <f t="shared" si="280"/>
        <v>20139.39393939394</v>
      </c>
      <c r="AL158" s="82">
        <f t="shared" si="280"/>
        <v>20139.39393939394</v>
      </c>
      <c r="AM158" s="82">
        <f t="shared" si="280"/>
        <v>20139.39393939394</v>
      </c>
      <c r="AN158" s="82">
        <f t="shared" si="280"/>
        <v>20139.39393939394</v>
      </c>
      <c r="AO158" s="82">
        <f t="shared" si="280"/>
        <v>20139.39393939394</v>
      </c>
      <c r="AP158" s="82">
        <f t="shared" si="280"/>
        <v>20139.39393939394</v>
      </c>
      <c r="AQ158" s="82">
        <f t="shared" si="280"/>
        <v>20139.39393939394</v>
      </c>
      <c r="AR158" s="82">
        <f t="shared" si="280"/>
        <v>20139.39393939394</v>
      </c>
      <c r="AS158" s="82">
        <f t="shared" si="280"/>
        <v>20139.39393939394</v>
      </c>
      <c r="AT158" s="82">
        <f t="shared" si="280"/>
        <v>20139.39393939394</v>
      </c>
      <c r="AU158" s="82">
        <f t="shared" si="280"/>
        <v>20139.39393939394</v>
      </c>
      <c r="AV158" s="82">
        <f t="shared" si="280"/>
        <v>20139.39393939394</v>
      </c>
      <c r="AW158" s="82">
        <f t="shared" si="280"/>
        <v>20139.39393939394</v>
      </c>
      <c r="AX158" s="82">
        <f t="shared" si="280"/>
        <v>20139.39393939394</v>
      </c>
      <c r="AY158" s="82">
        <f t="shared" si="280"/>
        <v>20139.39393939394</v>
      </c>
      <c r="AZ158" s="82">
        <f t="shared" si="280"/>
        <v>20139.39393939394</v>
      </c>
      <c r="BB158" s="180"/>
      <c r="BC158" s="175"/>
      <c r="BD158" s="70"/>
      <c r="BE158" s="70"/>
      <c r="BF158" s="70"/>
      <c r="BG158" s="70"/>
      <c r="BH158" s="70"/>
      <c r="BI158" s="70"/>
      <c r="BJ158" s="70"/>
      <c r="BK158" s="70"/>
      <c r="BL158" s="70"/>
    </row>
    <row r="159" spans="1:64" s="93" customFormat="1">
      <c r="B159" s="93" t="s">
        <v>81</v>
      </c>
      <c r="E159" s="94"/>
      <c r="F159" s="291">
        <f>CHOOSE($C$1,F$160,F$160,F$161)</f>
        <v>10000</v>
      </c>
      <c r="G159" s="288">
        <f>CHOOSE($C$1,G$160,G$160,G$161)</f>
        <v>10500</v>
      </c>
      <c r="H159" s="288">
        <f t="shared" ref="H159" si="281">CHOOSE($C$1,H$160,H$160,H$161)</f>
        <v>11000</v>
      </c>
      <c r="I159" s="288">
        <f t="shared" ref="I159:P159" si="282">CHOOSE($C$1,I$160,I$160,I$161)</f>
        <v>11500</v>
      </c>
      <c r="J159" s="288">
        <f t="shared" si="282"/>
        <v>12000</v>
      </c>
      <c r="K159" s="288">
        <f t="shared" si="282"/>
        <v>12450</v>
      </c>
      <c r="L159" s="288">
        <f t="shared" si="282"/>
        <v>12900</v>
      </c>
      <c r="M159" s="288">
        <f t="shared" si="282"/>
        <v>13300</v>
      </c>
      <c r="N159" s="288">
        <f t="shared" si="282"/>
        <v>13650</v>
      </c>
      <c r="O159" s="288">
        <f t="shared" si="282"/>
        <v>14000</v>
      </c>
      <c r="P159" s="288">
        <f t="shared" si="282"/>
        <v>14250</v>
      </c>
      <c r="Q159" s="108">
        <f>Q157/Q158</f>
        <v>14713.649989603095</v>
      </c>
      <c r="R159" s="108">
        <f>R157/R158</f>
        <v>14975.882044633576</v>
      </c>
      <c r="S159" s="108">
        <f t="shared" ref="S159:AZ159" si="283">S157/S158</f>
        <v>15247.050943717522</v>
      </c>
      <c r="T159" s="108">
        <f t="shared" si="283"/>
        <v>15521.741406502619</v>
      </c>
      <c r="U159" s="108">
        <f t="shared" si="283"/>
        <v>15799.192037017443</v>
      </c>
      <c r="V159" s="108">
        <f t="shared" si="283"/>
        <v>16080.285401349647</v>
      </c>
      <c r="W159" s="108">
        <f t="shared" si="283"/>
        <v>16370.941188819057</v>
      </c>
      <c r="X159" s="108">
        <f t="shared" si="283"/>
        <v>16665.365049448697</v>
      </c>
      <c r="Y159" s="108">
        <f t="shared" si="283"/>
        <v>16962.761870314869</v>
      </c>
      <c r="Z159" s="108">
        <f t="shared" si="283"/>
        <v>17264.056416365635</v>
      </c>
      <c r="AA159" s="108">
        <f t="shared" si="283"/>
        <v>17575.582755173218</v>
      </c>
      <c r="AB159" s="108">
        <f t="shared" si="283"/>
        <v>17891.140932262235</v>
      </c>
      <c r="AC159" s="108">
        <f t="shared" si="283"/>
        <v>18209.900594795683</v>
      </c>
      <c r="AD159" s="108">
        <f t="shared" si="283"/>
        <v>18532.830823276658</v>
      </c>
      <c r="AE159" s="108">
        <f t="shared" si="283"/>
        <v>18866.709070007419</v>
      </c>
      <c r="AF159" s="108">
        <f t="shared" si="283"/>
        <v>19204.901383699322</v>
      </c>
      <c r="AG159" s="108">
        <f t="shared" si="283"/>
        <v>19546.54058034968</v>
      </c>
      <c r="AH159" s="108">
        <f t="shared" si="283"/>
        <v>19892.642282563884</v>
      </c>
      <c r="AI159" s="108">
        <f t="shared" si="283"/>
        <v>20250.458364305363</v>
      </c>
      <c r="AJ159" s="108">
        <f t="shared" si="283"/>
        <v>20612.890497695262</v>
      </c>
      <c r="AK159" s="108">
        <f t="shared" si="283"/>
        <v>20979.033005068341</v>
      </c>
      <c r="AL159" s="108">
        <f t="shared" si="283"/>
        <v>21349.950393394734</v>
      </c>
      <c r="AM159" s="108">
        <f t="shared" si="283"/>
        <v>21733.402167815319</v>
      </c>
      <c r="AN159" s="108">
        <f t="shared" si="283"/>
        <v>22121.793117499707</v>
      </c>
      <c r="AO159" s="108">
        <f t="shared" si="283"/>
        <v>22514.177334307875</v>
      </c>
      <c r="AP159" s="108">
        <f t="shared" si="283"/>
        <v>22911.670673736087</v>
      </c>
      <c r="AQ159" s="108">
        <f t="shared" si="283"/>
        <v>23322.575806285084</v>
      </c>
      <c r="AR159" s="108">
        <f t="shared" si="283"/>
        <v>23738.765856366354</v>
      </c>
      <c r="AS159" s="108">
        <f t="shared" si="283"/>
        <v>24159.252871045283</v>
      </c>
      <c r="AT159" s="108">
        <f t="shared" si="283"/>
        <v>24585.206646927665</v>
      </c>
      <c r="AU159" s="108">
        <f t="shared" si="283"/>
        <v>25025.511041449274</v>
      </c>
      <c r="AV159" s="108">
        <f t="shared" si="283"/>
        <v>25471.470297730422</v>
      </c>
      <c r="AW159" s="108">
        <f t="shared" si="283"/>
        <v>25925.392430214491</v>
      </c>
      <c r="AX159" s="108">
        <f t="shared" si="283"/>
        <v>26387.419620942845</v>
      </c>
      <c r="AY159" s="108">
        <f t="shared" si="283"/>
        <v>26857.696590704454</v>
      </c>
      <c r="AZ159" s="108">
        <f t="shared" si="283"/>
        <v>27336.370644366787</v>
      </c>
      <c r="BB159" s="179" t="str">
        <f>B159</f>
        <v xml:space="preserve">Цена акции </v>
      </c>
      <c r="BC159" s="111">
        <f>_xlfn.MAXIFS($F$159:$AZ$159,$F$98:$AZ$98,BC$115)</f>
        <v>12000</v>
      </c>
      <c r="BD159" s="111">
        <f>_xlfn.MAXIFS($F$159:$AZ$159,$F$98:$AZ$98,BD$115)</f>
        <v>13650</v>
      </c>
      <c r="BE159" s="111">
        <f>_xlfn.MAXIFS($F$159:$AZ$159,$F$98:$AZ$98,BE$115)</f>
        <v>14975.882044633576</v>
      </c>
      <c r="BF159" s="111">
        <f>_xlfn.MAXIFS($F$159:$AZ$159,$F$98:$AZ$98,BF$115)</f>
        <v>16080.285401349647</v>
      </c>
      <c r="BG159" s="111">
        <f t="shared" ref="BG159:BL159" si="284">_xlfn.MAXIFS($F$159:$AZ$159,$F$98:$AZ$98,BG$115)</f>
        <v>17264.056416365635</v>
      </c>
      <c r="BH159" s="111">
        <f t="shared" si="284"/>
        <v>18532.830823276658</v>
      </c>
      <c r="BI159" s="111">
        <f t="shared" si="284"/>
        <v>19892.642282563884</v>
      </c>
      <c r="BJ159" s="111">
        <f t="shared" si="284"/>
        <v>21349.950393394734</v>
      </c>
      <c r="BK159" s="111">
        <f t="shared" si="284"/>
        <v>22911.670673736087</v>
      </c>
      <c r="BL159" s="111">
        <f t="shared" si="284"/>
        <v>24585.206646927665</v>
      </c>
    </row>
    <row r="160" spans="1:64" s="93" customFormat="1" hidden="1" outlineLevel="1">
      <c r="E160" s="202" t="s">
        <v>216</v>
      </c>
      <c r="F160" s="290">
        <v>10000</v>
      </c>
      <c r="G160" s="287">
        <v>10500</v>
      </c>
      <c r="H160" s="287">
        <v>11000</v>
      </c>
      <c r="I160" s="287">
        <v>11500</v>
      </c>
      <c r="J160" s="287">
        <v>12000</v>
      </c>
      <c r="K160" s="287">
        <v>12450</v>
      </c>
      <c r="L160" s="287">
        <v>12900</v>
      </c>
      <c r="M160" s="287">
        <v>13300</v>
      </c>
      <c r="N160" s="287">
        <v>13650</v>
      </c>
      <c r="O160" s="287">
        <v>14000</v>
      </c>
      <c r="P160" s="287">
        <v>14250</v>
      </c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B160" s="179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</row>
    <row r="161" spans="1:64 16384:16384" s="93" customFormat="1" hidden="1" outlineLevel="1">
      <c r="E161" s="202" t="s">
        <v>217</v>
      </c>
      <c r="F161" s="200">
        <v>10000</v>
      </c>
      <c r="G161" s="201">
        <v>10500</v>
      </c>
      <c r="H161" s="201">
        <v>11000</v>
      </c>
      <c r="I161" s="201">
        <v>11000</v>
      </c>
      <c r="J161" s="201">
        <v>11000</v>
      </c>
      <c r="K161" s="201">
        <v>11000</v>
      </c>
      <c r="L161" s="201">
        <v>11000</v>
      </c>
      <c r="M161" s="201">
        <v>11000</v>
      </c>
      <c r="N161" s="201">
        <v>11000</v>
      </c>
      <c r="O161" s="201">
        <v>11000</v>
      </c>
      <c r="P161" s="201">
        <v>11000</v>
      </c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B161" s="179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</row>
    <row r="162" spans="1:64 16384:16384" s="95" customFormat="1" collapsed="1">
      <c r="A162" s="41"/>
      <c r="B162" s="67" t="s">
        <v>39</v>
      </c>
      <c r="D162" s="68"/>
      <c r="E162" s="96"/>
      <c r="F162" s="109"/>
      <c r="G162" s="97">
        <f t="shared" ref="G162:L162" si="285">G159/F159-1</f>
        <v>5.0000000000000044E-2</v>
      </c>
      <c r="H162" s="97">
        <f t="shared" si="285"/>
        <v>4.7619047619047672E-2</v>
      </c>
      <c r="I162" s="97">
        <f t="shared" si="285"/>
        <v>4.5454545454545414E-2</v>
      </c>
      <c r="J162" s="97">
        <f t="shared" si="285"/>
        <v>4.3478260869565188E-2</v>
      </c>
      <c r="K162" s="97">
        <f t="shared" si="285"/>
        <v>3.7500000000000089E-2</v>
      </c>
      <c r="L162" s="97">
        <f t="shared" si="285"/>
        <v>3.6144578313253017E-2</v>
      </c>
      <c r="M162" s="97">
        <f t="shared" ref="M162" si="286">M159/L159-1</f>
        <v>3.1007751937984551E-2</v>
      </c>
      <c r="N162" s="97">
        <f>N159/M159-1</f>
        <v>2.6315789473684292E-2</v>
      </c>
      <c r="O162" s="97">
        <f>O159/N159-1</f>
        <v>2.564102564102555E-2</v>
      </c>
      <c r="P162" s="97">
        <f>P159/O159-1</f>
        <v>1.7857142857142794E-2</v>
      </c>
      <c r="Q162" s="97">
        <f>Q159/P159-1</f>
        <v>3.2536841375655712E-2</v>
      </c>
      <c r="R162" s="97">
        <f t="shared" ref="R162" si="287">R159/Q159-1</f>
        <v>1.7822365980961763E-2</v>
      </c>
      <c r="S162" s="97">
        <f t="shared" ref="S162" si="288">S159/R159-1</f>
        <v>1.8107040258180662E-2</v>
      </c>
      <c r="T162" s="97">
        <f t="shared" ref="T162" si="289">T159/S159-1</f>
        <v>1.8015973305203659E-2</v>
      </c>
      <c r="U162" s="97">
        <f t="shared" ref="U162" si="290">U159/T159-1</f>
        <v>1.7874967972252742E-2</v>
      </c>
      <c r="V162" s="97">
        <f t="shared" ref="V162" si="291">V159/U159-1</f>
        <v>1.7791629070246451E-2</v>
      </c>
      <c r="W162" s="97">
        <f t="shared" ref="W162" si="292">W159/V159-1</f>
        <v>1.8075287858075884E-2</v>
      </c>
      <c r="X162" s="97">
        <f t="shared" ref="X162" si="293">X159/W159-1</f>
        <v>1.7984540854054432E-2</v>
      </c>
      <c r="Y162" s="97">
        <f t="shared" ref="Y162" si="294">Y159/X159-1</f>
        <v>1.7845202909372304E-2</v>
      </c>
      <c r="Z162" s="97">
        <f t="shared" ref="Z162" si="295">Z159/Y159-1</f>
        <v>1.7762116119665494E-2</v>
      </c>
      <c r="AA162" s="97">
        <f t="shared" ref="AA162" si="296">AA159/Z159-1</f>
        <v>1.8044793836069051E-2</v>
      </c>
      <c r="AB162" s="97">
        <f t="shared" ref="AB162" si="297">AB159/AA159-1</f>
        <v>1.7954350731052449E-2</v>
      </c>
      <c r="AC162" s="97">
        <f t="shared" ref="AC162" si="298">AC159/AB159-1</f>
        <v>1.7816620177567577E-2</v>
      </c>
      <c r="AD162" s="97">
        <f t="shared" ref="AD162" si="299">AD159/AC159-1</f>
        <v>1.7733772175190676E-2</v>
      </c>
      <c r="AE162" s="97">
        <f t="shared" ref="AE162" si="300">AE159/AD159-1</f>
        <v>1.8015501782459475E-2</v>
      </c>
      <c r="AF162" s="97">
        <f t="shared" ref="AF162" si="301">AF159/AE159-1</f>
        <v>1.7925347363813904E-2</v>
      </c>
      <c r="AG162" s="97">
        <f t="shared" ref="AG162" si="302">AG159/AF159-1</f>
        <v>1.7789166933204426E-2</v>
      </c>
      <c r="AH162" s="97">
        <f t="shared" ref="AH162" si="303">AH159/AG159-1</f>
        <v>1.7706545093822967E-2</v>
      </c>
      <c r="AI162" s="97">
        <f t="shared" ref="AI162" si="304">AI159/AH159-1</f>
        <v>1.7987358172881329E-2</v>
      </c>
      <c r="AJ162" s="97">
        <f t="shared" ref="AJ162" si="305">AJ159/AI159-1</f>
        <v>1.789747801604058E-2</v>
      </c>
      <c r="AK162" s="97">
        <f t="shared" ref="AK162" si="306">AK159/AJ159-1</f>
        <v>1.776279301605066E-2</v>
      </c>
      <c r="AL162" s="97">
        <f t="shared" ref="AL162" si="307">AL159/AK159-1</f>
        <v>1.7680385375092422E-2</v>
      </c>
      <c r="AM162" s="97">
        <f t="shared" ref="AM162" si="308">AM159/AL159-1</f>
        <v>1.7960312195349104E-2</v>
      </c>
      <c r="AN162" s="97">
        <f t="shared" ref="AN162" si="309">AN159/AM159-1</f>
        <v>1.7870692617999229E-2</v>
      </c>
      <c r="AO162" s="97">
        <f t="shared" ref="AO162" si="310">AO159/AN159-1</f>
        <v>1.773745078999811E-2</v>
      </c>
      <c r="AP162" s="97">
        <f t="shared" ref="AP162" si="311">AP159/AO159-1</f>
        <v>1.7655246004591785E-2</v>
      </c>
      <c r="AQ162" s="97">
        <f t="shared" ref="AQ162" si="312">AQ159/AP159-1</f>
        <v>1.7934315589653638E-2</v>
      </c>
      <c r="AR162" s="97">
        <f t="shared" ref="AR162" si="313">AR159/AQ159-1</f>
        <v>1.7844943609063746E-2</v>
      </c>
      <c r="AS162" s="97">
        <f t="shared" ref="AS162" si="314">AS159/AR159-1</f>
        <v>1.7713094995044143E-2</v>
      </c>
      <c r="AT162" s="97">
        <f t="shared" ref="AT162" si="315">AT159/AS159-1</f>
        <v>1.7631082308546375E-2</v>
      </c>
      <c r="AU162" s="97">
        <f t="shared" ref="AU162" si="316">AU159/AT159-1</f>
        <v>1.7909322498073532E-2</v>
      </c>
      <c r="AV162" s="97">
        <f t="shared" ref="AV162" si="317">AV159/AU159-1</f>
        <v>1.7820185791311616E-2</v>
      </c>
      <c r="AW162" s="97">
        <f t="shared" ref="AW162" si="318">AW159/AV159-1</f>
        <v>1.7820806069624995E-2</v>
      </c>
      <c r="AX162" s="97">
        <f t="shared" ref="AX162" si="319">AX159/AW159-1</f>
        <v>1.7821415508830984E-2</v>
      </c>
      <c r="AY162" s="97">
        <f t="shared" ref="AY162" si="320">AY159/AX159-1</f>
        <v>1.7822014297614874E-2</v>
      </c>
      <c r="AZ162" s="97">
        <f t="shared" ref="AZ162" si="321">AZ159/AY159-1</f>
        <v>1.7822602621403005E-2</v>
      </c>
      <c r="BB162" s="180" t="s">
        <v>198</v>
      </c>
      <c r="BC162" s="70">
        <f>BC159/F159-1</f>
        <v>0.19999999999999996</v>
      </c>
      <c r="BD162" s="70">
        <f>BD159/BC159-1</f>
        <v>0.13749999999999996</v>
      </c>
      <c r="BE162" s="70">
        <f>BE159/BD159-1</f>
        <v>9.7134215724071549E-2</v>
      </c>
      <c r="BF162" s="70">
        <f t="shared" ref="BF162:BK162" si="322">BF159/BE159-1</f>
        <v>7.3745463100239883E-2</v>
      </c>
      <c r="BG162" s="70">
        <f>BG159/BF159-1</f>
        <v>7.3616293832485802E-2</v>
      </c>
      <c r="BH162" s="70">
        <f t="shared" si="322"/>
        <v>7.3492253286908671E-2</v>
      </c>
      <c r="BI162" s="70">
        <f t="shared" si="322"/>
        <v>7.3373111331666907E-2</v>
      </c>
      <c r="BJ162" s="70">
        <f t="shared" si="322"/>
        <v>7.3258649611781079E-2</v>
      </c>
      <c r="BK162" s="70">
        <f t="shared" si="322"/>
        <v>7.3148660843002311E-2</v>
      </c>
      <c r="BL162" s="70">
        <f>BL159/BK159-1</f>
        <v>7.3042948156110343E-2</v>
      </c>
      <c r="XFD162" s="95">
        <f>SUM(A162:XFC162)</f>
        <v>1.9668233013265348</v>
      </c>
    </row>
    <row r="163" spans="1:64 16384:16384" s="55" customFormat="1">
      <c r="A163" s="11"/>
      <c r="B163" s="76" t="s">
        <v>28</v>
      </c>
      <c r="C163" s="76"/>
      <c r="D163" s="76"/>
      <c r="E163" s="113"/>
      <c r="F163" s="121">
        <v>0</v>
      </c>
      <c r="G163" s="47">
        <f>IF(AND(G$101&lt;&gt;1,$C$1=1),170*G$158,IF((G149+F173-$F$170)&lt;0,0,G149+F173-$F$170))*G$96</f>
        <v>0</v>
      </c>
      <c r="H163" s="47">
        <f>IF(AND(H$101&lt;&gt;1,$C$1=1),170*H$158,IF((H149+G173-$F$170)&lt;0,0,H149+G173-$F$170))*H$96</f>
        <v>0</v>
      </c>
      <c r="I163" s="47">
        <f>IF(AND(I$101&lt;&gt;1,$C$1=1),170*I$158,IF((I149+H173-$F$170)&lt;0,0,I149+H173-$F$170))*I$96</f>
        <v>0</v>
      </c>
      <c r="J163" s="47">
        <f>IF(AND(J$101&lt;&gt;1,$C$1=1),170*J$158,IF((J149+I173-$F$170)&lt;0,0,J149+I173-$F$170))*J$96</f>
        <v>0</v>
      </c>
      <c r="K163" s="47">
        <f>K164*K158</f>
        <v>3524393.9393939395</v>
      </c>
      <c r="L163" s="47">
        <f>L164*L158</f>
        <v>3524393.9393939395</v>
      </c>
      <c r="M163" s="47">
        <f>M164*M158</f>
        <v>3524393.9393939395</v>
      </c>
      <c r="N163" s="47">
        <f>N164*N158</f>
        <v>3524393.9393939395</v>
      </c>
      <c r="O163" s="47">
        <f>IF((O149+N173-$F$170)&lt;0,0,O149+N173-$F$170)</f>
        <v>4324224.9806577554</v>
      </c>
      <c r="P163" s="47">
        <f t="shared" ref="P163:AZ163" si="323">IF((P149+O173-$F$170)&lt;0,0,P149+O173-$F$170)</f>
        <v>4622401.460685174</v>
      </c>
      <c r="Q163" s="47">
        <f t="shared" si="323"/>
        <v>4769096.0963851344</v>
      </c>
      <c r="R163" s="47">
        <f t="shared" si="323"/>
        <v>4646131.8067346271</v>
      </c>
      <c r="S163" s="47">
        <f t="shared" si="323"/>
        <v>5013760.6981276087</v>
      </c>
      <c r="T163" s="47">
        <f t="shared" si="323"/>
        <v>5080351.1115760291</v>
      </c>
      <c r="U163" s="47">
        <f t="shared" si="323"/>
        <v>5113983.3686561882</v>
      </c>
      <c r="V163" s="47">
        <f t="shared" si="323"/>
        <v>4992706.831918899</v>
      </c>
      <c r="W163" s="47">
        <f t="shared" si="323"/>
        <v>5386758.0040637115</v>
      </c>
      <c r="X163" s="47">
        <f t="shared" si="323"/>
        <v>5457984.3171733851</v>
      </c>
      <c r="Y163" s="47">
        <f t="shared" si="323"/>
        <v>5494831.4914958756</v>
      </c>
      <c r="Z163" s="47">
        <f t="shared" si="323"/>
        <v>5364300.8456947096</v>
      </c>
      <c r="AA163" s="47">
        <f t="shared" si="323"/>
        <v>5786647.5210978799</v>
      </c>
      <c r="AB163" s="47">
        <f t="shared" si="323"/>
        <v>5862833.2609832082</v>
      </c>
      <c r="AC163" s="47">
        <f t="shared" si="323"/>
        <v>5903154.576051591</v>
      </c>
      <c r="AD163" s="47">
        <f t="shared" si="323"/>
        <v>5762695.4002772262</v>
      </c>
      <c r="AE163" s="47">
        <f t="shared" si="323"/>
        <v>6215342.8414118364</v>
      </c>
      <c r="AF163" s="47">
        <f t="shared" si="323"/>
        <v>6296834.1399321873</v>
      </c>
      <c r="AG163" s="47">
        <f t="shared" si="323"/>
        <v>6340908.4525184548</v>
      </c>
      <c r="AH163" s="47">
        <f t="shared" si="323"/>
        <v>6189798.0748416698</v>
      </c>
      <c r="AI163" s="47">
        <f t="shared" si="323"/>
        <v>6674892.8659457806</v>
      </c>
      <c r="AJ163" s="47">
        <f t="shared" si="323"/>
        <v>6762060.0401084879</v>
      </c>
      <c r="AK163" s="47">
        <f t="shared" si="323"/>
        <v>6810187.2834294876</v>
      </c>
      <c r="AL163" s="47">
        <f t="shared" si="323"/>
        <v>6647651.3585046353</v>
      </c>
      <c r="AM163" s="47">
        <f t="shared" si="323"/>
        <v>7167491.3388876701</v>
      </c>
      <c r="AN163" s="47">
        <f t="shared" si="323"/>
        <v>7260730.5817872398</v>
      </c>
      <c r="AO163" s="47">
        <f t="shared" si="323"/>
        <v>7313233.3130074516</v>
      </c>
      <c r="AP163" s="47">
        <f t="shared" si="323"/>
        <v>7138442.1580482591</v>
      </c>
      <c r="AQ163" s="47">
        <f t="shared" si="323"/>
        <v>7695487.0525958072</v>
      </c>
      <c r="AR163" s="47">
        <f t="shared" si="323"/>
        <v>7795222.2426223941</v>
      </c>
      <c r="AS163" s="47">
        <f t="shared" si="323"/>
        <v>7852447.3021477312</v>
      </c>
      <c r="AT163" s="47">
        <f t="shared" si="323"/>
        <v>7664511.9742629789</v>
      </c>
      <c r="AU163" s="47">
        <f t="shared" si="323"/>
        <v>7113327.9552011043</v>
      </c>
      <c r="AV163" s="47">
        <f t="shared" si="323"/>
        <v>7205116.212479136</v>
      </c>
      <c r="AW163" s="47">
        <f t="shared" si="323"/>
        <v>7259213.6477507371</v>
      </c>
      <c r="AX163" s="47">
        <f t="shared" si="323"/>
        <v>7088453.6724061863</v>
      </c>
      <c r="AY163" s="47">
        <f t="shared" si="323"/>
        <v>7634860.843632333</v>
      </c>
      <c r="AZ163" s="47">
        <f t="shared" si="323"/>
        <v>7733110.6014506444</v>
      </c>
      <c r="BB163" s="35" t="str">
        <f t="shared" ref="BB163" si="324">B163</f>
        <v>Дивиденды</v>
      </c>
      <c r="BC163" s="176">
        <f t="shared" ref="BC163:BI163" si="325">SUMIF($F$98:$AZ$98,BC$115,$F163:$AZ163)</f>
        <v>0</v>
      </c>
      <c r="BD163" s="176">
        <f t="shared" si="325"/>
        <v>14097575.757575758</v>
      </c>
      <c r="BE163" s="176">
        <f t="shared" si="325"/>
        <v>18361854.344462693</v>
      </c>
      <c r="BF163" s="176">
        <f>SUMIF($F$98:$AZ$98,BF$115,$F163:$AZ163)</f>
        <v>20200802.010278724</v>
      </c>
      <c r="BG163" s="176">
        <f>SUMIF($F$98:$AZ$98,BG$115,$F163:$AZ163)</f>
        <v>21703874.658427682</v>
      </c>
      <c r="BH163" s="176">
        <f t="shared" si="325"/>
        <v>23315330.758409906</v>
      </c>
      <c r="BI163" s="176">
        <f t="shared" si="325"/>
        <v>25042883.508704148</v>
      </c>
      <c r="BJ163" s="176">
        <f t="shared" ref="BJ163:BK163" si="326">SUMIF($F$98:$AZ$98,BJ$115,$F163:$AZ163)</f>
        <v>26894791.547988392</v>
      </c>
      <c r="BK163" s="176">
        <f t="shared" si="326"/>
        <v>28879897.391730621</v>
      </c>
      <c r="BL163" s="176">
        <f>SUMIF($F$98:$AZ$98,BL$115,$F163:$AZ163)</f>
        <v>31007668.57162891</v>
      </c>
    </row>
    <row r="164" spans="1:64 16384:16384" s="72" customFormat="1">
      <c r="A164" s="11"/>
      <c r="B164" s="98" t="s">
        <v>78</v>
      </c>
      <c r="C164" s="99"/>
      <c r="D164" s="93"/>
      <c r="E164" s="100"/>
      <c r="F164" s="285"/>
      <c r="G164" s="108">
        <f>G163/G158</f>
        <v>0</v>
      </c>
      <c r="H164" s="108">
        <f t="shared" ref="H164:AZ164" si="327">H163/H158</f>
        <v>0</v>
      </c>
      <c r="I164" s="108">
        <f t="shared" ref="I164" si="328">I163/I158</f>
        <v>0</v>
      </c>
      <c r="J164" s="108">
        <f>J163/J158</f>
        <v>0</v>
      </c>
      <c r="K164" s="288">
        <f>IF($C$1=1,175,IF($C$1=2,225,IF($C$1=3,175)))</f>
        <v>175</v>
      </c>
      <c r="L164" s="108">
        <f>K164</f>
        <v>175</v>
      </c>
      <c r="M164" s="108">
        <f>L164</f>
        <v>175</v>
      </c>
      <c r="N164" s="108">
        <f>M164</f>
        <v>175</v>
      </c>
      <c r="O164" s="108">
        <f>O163/O158</f>
        <v>214.71475227461019</v>
      </c>
      <c r="P164" s="108">
        <f>P163/P158</f>
        <v>229.5203854989629</v>
      </c>
      <c r="Q164" s="108">
        <f>Q163/Q158</f>
        <v>236.8043502568604</v>
      </c>
      <c r="R164" s="108">
        <f t="shared" ref="R164" si="329">R163/R158</f>
        <v>230.69869037352194</v>
      </c>
      <c r="S164" s="108">
        <f t="shared" si="327"/>
        <v>248.95290857389571</v>
      </c>
      <c r="T164" s="108">
        <f t="shared" si="327"/>
        <v>252.25938411376612</v>
      </c>
      <c r="U164" s="108">
        <f t="shared" si="327"/>
        <v>253.92935775752966</v>
      </c>
      <c r="V164" s="108">
        <f t="shared" si="327"/>
        <v>247.90750143443222</v>
      </c>
      <c r="W164" s="108">
        <f t="shared" si="327"/>
        <v>267.47368963903472</v>
      </c>
      <c r="X164" s="108">
        <f t="shared" si="327"/>
        <v>271.01035580307206</v>
      </c>
      <c r="Y164" s="108">
        <f t="shared" si="327"/>
        <v>272.83996271345757</v>
      </c>
      <c r="Z164" s="108">
        <f t="shared" si="327"/>
        <v>266.35860353283994</v>
      </c>
      <c r="AA164" s="108">
        <f t="shared" si="327"/>
        <v>287.3297745955914</v>
      </c>
      <c r="AB164" s="108">
        <f t="shared" si="327"/>
        <v>291.11269577557306</v>
      </c>
      <c r="AC164" s="108">
        <f t="shared" si="327"/>
        <v>293.11480741754815</v>
      </c>
      <c r="AD164" s="108">
        <f t="shared" si="327"/>
        <v>286.14045773269402</v>
      </c>
      <c r="AE164" s="108">
        <f t="shared" si="327"/>
        <v>308.61618081039813</v>
      </c>
      <c r="AF164" s="108">
        <f t="shared" si="327"/>
        <v>312.66254381246188</v>
      </c>
      <c r="AG164" s="108">
        <f t="shared" si="327"/>
        <v>314.85100651987511</v>
      </c>
      <c r="AH164" s="108">
        <f t="shared" si="327"/>
        <v>307.3477828314401</v>
      </c>
      <c r="AI164" s="108">
        <f t="shared" si="327"/>
        <v>331.43464426152684</v>
      </c>
      <c r="AJ164" s="108">
        <f t="shared" si="327"/>
        <v>335.76283677938625</v>
      </c>
      <c r="AK164" s="108">
        <f t="shared" si="327"/>
        <v>338.15254341434411</v>
      </c>
      <c r="AL164" s="108">
        <f t="shared" si="327"/>
        <v>330.0819964349277</v>
      </c>
      <c r="AM164" s="108">
        <f t="shared" si="327"/>
        <v>355.89409296312533</v>
      </c>
      <c r="AN164" s="108">
        <f t="shared" si="327"/>
        <v>360.52378753984186</v>
      </c>
      <c r="AO164" s="108">
        <f t="shared" si="327"/>
        <v>363.13075433229898</v>
      </c>
      <c r="AP164" s="108">
        <f t="shared" si="327"/>
        <v>354.45168705325392</v>
      </c>
      <c r="AQ164" s="108">
        <f t="shared" si="327"/>
        <v>382.11115367990016</v>
      </c>
      <c r="AR164" s="108">
        <f t="shared" si="327"/>
        <v>387.06339754218931</v>
      </c>
      <c r="AS164" s="108">
        <f t="shared" si="327"/>
        <v>389.90484648040194</v>
      </c>
      <c r="AT164" s="108">
        <f>AT163/AT158</f>
        <v>380.5731193961455</v>
      </c>
      <c r="AU164" s="108">
        <f t="shared" si="327"/>
        <v>353.20466825404219</v>
      </c>
      <c r="AV164" s="108">
        <f t="shared" si="327"/>
        <v>357.76231569637599</v>
      </c>
      <c r="AW164" s="108">
        <f t="shared" si="327"/>
        <v>360.44846580766523</v>
      </c>
      <c r="AX164" s="108">
        <f t="shared" si="327"/>
        <v>351.9695624276319</v>
      </c>
      <c r="AY164" s="108">
        <f t="shared" si="327"/>
        <v>379.10082431517753</v>
      </c>
      <c r="AZ164" s="108">
        <f t="shared" si="327"/>
        <v>383.97931063477466</v>
      </c>
      <c r="BB164" s="182" t="str">
        <f>B164</f>
        <v>Дивиденды на 1 акцию</v>
      </c>
      <c r="BC164" s="181">
        <f t="shared" ref="BC164:BK164" si="330">SUMIF($F$98:$AZ$98,BC$115,$F164:$AZ164)</f>
        <v>0</v>
      </c>
      <c r="BD164" s="181">
        <f t="shared" si="330"/>
        <v>700</v>
      </c>
      <c r="BE164" s="181">
        <f t="shared" si="330"/>
        <v>911.73817840395543</v>
      </c>
      <c r="BF164" s="181">
        <f t="shared" si="330"/>
        <v>1003.0491518796238</v>
      </c>
      <c r="BG164" s="181">
        <f t="shared" si="330"/>
        <v>1077.6826116884042</v>
      </c>
      <c r="BH164" s="181">
        <f t="shared" si="330"/>
        <v>1157.6977355214067</v>
      </c>
      <c r="BI164" s="181">
        <f t="shared" si="330"/>
        <v>1243.4775139741751</v>
      </c>
      <c r="BJ164" s="181">
        <f t="shared" si="330"/>
        <v>1335.432020890185</v>
      </c>
      <c r="BK164" s="181">
        <f t="shared" si="330"/>
        <v>1434.0003218885199</v>
      </c>
      <c r="BL164" s="181">
        <f>SUMIF($F$98:$AZ$98,BL$115,$F164:$AZ164)</f>
        <v>1539.652517098637</v>
      </c>
    </row>
    <row r="165" spans="1:64 16384:16384" s="95" customFormat="1">
      <c r="A165" s="41"/>
      <c r="B165" s="101" t="s">
        <v>40</v>
      </c>
      <c r="D165" s="68"/>
      <c r="E165" s="96"/>
      <c r="F165" s="109"/>
      <c r="G165" s="97">
        <f t="shared" ref="G165:I165" si="331">G164/$F$159*4</f>
        <v>0</v>
      </c>
      <c r="H165" s="97">
        <f t="shared" si="331"/>
        <v>0</v>
      </c>
      <c r="I165" s="97">
        <f t="shared" si="331"/>
        <v>0</v>
      </c>
      <c r="J165" s="97">
        <f t="shared" ref="J165" si="332">J164/$F$159*4</f>
        <v>0</v>
      </c>
      <c r="K165" s="97">
        <f>K164/$F$159*4</f>
        <v>7.0000000000000007E-2</v>
      </c>
      <c r="L165" s="97">
        <f>L164/$F$159*4</f>
        <v>7.0000000000000007E-2</v>
      </c>
      <c r="M165" s="97">
        <f>M164/$F$159*4</f>
        <v>7.0000000000000007E-2</v>
      </c>
      <c r="N165" s="97">
        <f>N164/$F$159*4</f>
        <v>7.0000000000000007E-2</v>
      </c>
      <c r="O165" s="97">
        <f>O164/$F$159*4</f>
        <v>8.5885900909844076E-2</v>
      </c>
      <c r="P165" s="97">
        <f t="shared" ref="P165:R165" si="333">P164/$F$159*4</f>
        <v>9.1808154199585157E-2</v>
      </c>
      <c r="Q165" s="97">
        <f t="shared" si="333"/>
        <v>9.4721740102744159E-2</v>
      </c>
      <c r="R165" s="97">
        <f t="shared" si="333"/>
        <v>9.2279476149408776E-2</v>
      </c>
      <c r="S165" s="97">
        <f t="shared" ref="S165:AY165" si="334">S164/$F$159*4</f>
        <v>9.9581163429558278E-2</v>
      </c>
      <c r="T165" s="97">
        <f t="shared" si="334"/>
        <v>0.10090375364550645</v>
      </c>
      <c r="U165" s="97">
        <f t="shared" si="334"/>
        <v>0.10157174310301187</v>
      </c>
      <c r="V165" s="97">
        <f t="shared" si="334"/>
        <v>9.9163000573772891E-2</v>
      </c>
      <c r="W165" s="97">
        <f t="shared" si="334"/>
        <v>0.10698947585561389</v>
      </c>
      <c r="X165" s="97">
        <f t="shared" si="334"/>
        <v>0.10840414232122883</v>
      </c>
      <c r="Y165" s="97">
        <f t="shared" si="334"/>
        <v>0.10913598508538302</v>
      </c>
      <c r="Z165" s="97">
        <f t="shared" si="334"/>
        <v>0.10654344141313597</v>
      </c>
      <c r="AA165" s="97">
        <f t="shared" si="334"/>
        <v>0.11493190983823656</v>
      </c>
      <c r="AB165" s="97">
        <f t="shared" si="334"/>
        <v>0.11644507831022922</v>
      </c>
      <c r="AC165" s="97">
        <f t="shared" si="334"/>
        <v>0.11724592296701926</v>
      </c>
      <c r="AD165" s="97">
        <f t="shared" si="334"/>
        <v>0.1144561830930776</v>
      </c>
      <c r="AE165" s="97">
        <f t="shared" si="334"/>
        <v>0.12344647232415926</v>
      </c>
      <c r="AF165" s="97">
        <f t="shared" si="334"/>
        <v>0.12506501752498475</v>
      </c>
      <c r="AG165" s="97">
        <f t="shared" si="334"/>
        <v>0.12594040260795006</v>
      </c>
      <c r="AH165" s="97">
        <f t="shared" si="334"/>
        <v>0.12293911313257604</v>
      </c>
      <c r="AI165" s="97">
        <f t="shared" si="334"/>
        <v>0.13257385770461075</v>
      </c>
      <c r="AJ165" s="97">
        <f t="shared" si="334"/>
        <v>0.13430513471175451</v>
      </c>
      <c r="AK165" s="97">
        <f t="shared" si="334"/>
        <v>0.13526101736573765</v>
      </c>
      <c r="AL165" s="97">
        <f t="shared" si="334"/>
        <v>0.13203279857397107</v>
      </c>
      <c r="AM165" s="97">
        <f t="shared" si="334"/>
        <v>0.14235763718525013</v>
      </c>
      <c r="AN165" s="97">
        <f t="shared" si="334"/>
        <v>0.14420951501593673</v>
      </c>
      <c r="AO165" s="97">
        <f t="shared" si="334"/>
        <v>0.14525230173291959</v>
      </c>
      <c r="AP165" s="97">
        <f t="shared" si="334"/>
        <v>0.14178067482130158</v>
      </c>
      <c r="AQ165" s="97">
        <f t="shared" si="334"/>
        <v>0.15284446147196007</v>
      </c>
      <c r="AR165" s="97">
        <f t="shared" si="334"/>
        <v>0.15482535901687572</v>
      </c>
      <c r="AS165" s="97">
        <f t="shared" si="334"/>
        <v>0.15596193859216079</v>
      </c>
      <c r="AT165" s="97">
        <f>AT164/$F$159*4</f>
        <v>0.1522292477584582</v>
      </c>
      <c r="AU165" s="97">
        <f t="shared" si="334"/>
        <v>0.14128186730161688</v>
      </c>
      <c r="AV165" s="97">
        <f t="shared" si="334"/>
        <v>0.1431049262785504</v>
      </c>
      <c r="AW165" s="97">
        <f t="shared" si="334"/>
        <v>0.14417938632306609</v>
      </c>
      <c r="AX165" s="97">
        <f t="shared" si="334"/>
        <v>0.14078782497105277</v>
      </c>
      <c r="AY165" s="97">
        <f t="shared" si="334"/>
        <v>0.15164032972607103</v>
      </c>
      <c r="AZ165" s="97">
        <f>AZ164/$F$159*4</f>
        <v>0.15359172425390988</v>
      </c>
      <c r="BB165" s="101" t="s">
        <v>40</v>
      </c>
      <c r="BC165" s="70">
        <v>0</v>
      </c>
      <c r="BD165" s="70">
        <f>BD164/$F$159</f>
        <v>7.0000000000000007E-2</v>
      </c>
      <c r="BE165" s="70">
        <f t="shared" ref="BE165:BK165" si="335">BE164/$F$159</f>
        <v>9.1173817840395549E-2</v>
      </c>
      <c r="BF165" s="70">
        <f>BF164/$F$159</f>
        <v>0.10030491518796238</v>
      </c>
      <c r="BG165" s="70">
        <f>BG164/$F$159</f>
        <v>0.10776826116884042</v>
      </c>
      <c r="BH165" s="70">
        <f t="shared" si="335"/>
        <v>0.11576977355214067</v>
      </c>
      <c r="BI165" s="70">
        <f t="shared" si="335"/>
        <v>0.12434775139741751</v>
      </c>
      <c r="BJ165" s="70">
        <f>BJ164/$F$159</f>
        <v>0.13354320208901849</v>
      </c>
      <c r="BK165" s="70">
        <f t="shared" si="335"/>
        <v>0.143400032188852</v>
      </c>
      <c r="BL165" s="70">
        <f>BL164/$F$159</f>
        <v>0.15396525170986369</v>
      </c>
    </row>
    <row r="166" spans="1:64 16384:16384" s="72" customFormat="1" ht="5.5" customHeight="1">
      <c r="A166" s="11"/>
      <c r="B166" s="71"/>
      <c r="D166" s="73"/>
      <c r="E166" s="74"/>
      <c r="F166" s="10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</row>
    <row r="167" spans="1:64 16384:16384" s="72" customFormat="1" ht="20" hidden="1" customHeight="1" outlineLevel="1">
      <c r="A167" s="11"/>
      <c r="B167" s="71"/>
      <c r="D167" s="73"/>
      <c r="E167" s="74"/>
      <c r="F167" s="10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</row>
    <row r="168" spans="1:64 16384:16384" s="196" customFormat="1" hidden="1" outlineLevel="1">
      <c r="A168" s="195"/>
      <c r="B168" s="195" t="s">
        <v>213</v>
      </c>
      <c r="D168" s="195"/>
      <c r="E168" s="194"/>
      <c r="F168" s="197"/>
      <c r="G168" s="198" t="str">
        <f t="shared" ref="G168:S168" si="336">IFERROR((G159+SUM(D164:G164))/C159-1,"-")</f>
        <v>-</v>
      </c>
      <c r="H168" s="198" t="str">
        <f t="shared" si="336"/>
        <v>-</v>
      </c>
      <c r="I168" s="198" t="str">
        <f t="shared" si="336"/>
        <v>-</v>
      </c>
      <c r="J168" s="198">
        <f t="shared" si="336"/>
        <v>0.19999999999999996</v>
      </c>
      <c r="K168" s="198">
        <f t="shared" si="336"/>
        <v>0.20238095238095233</v>
      </c>
      <c r="L168" s="198">
        <f t="shared" si="336"/>
        <v>0.20454545454545459</v>
      </c>
      <c r="M168" s="198">
        <f t="shared" si="336"/>
        <v>0.20217391304347831</v>
      </c>
      <c r="N168" s="198">
        <f t="shared" si="336"/>
        <v>0.1958333333333333</v>
      </c>
      <c r="O168" s="198">
        <f t="shared" si="336"/>
        <v>0.18391283150800097</v>
      </c>
      <c r="P168" s="198">
        <f t="shared" si="336"/>
        <v>0.1662197781219823</v>
      </c>
      <c r="Q168" s="198">
        <f t="shared" si="336"/>
        <v>0.17065334418297207</v>
      </c>
      <c r="R168" s="198">
        <f t="shared" si="336"/>
        <v>0.16392822146795094</v>
      </c>
      <c r="S168" s="198">
        <f t="shared" si="336"/>
        <v>0.15664480560148308</v>
      </c>
      <c r="T168" s="198">
        <f t="shared" ref="T168:AZ168" si="337">IFERROR((T159+SUM(Q164:T164))/P159-1,"-")</f>
        <v>0.15722503437337987</v>
      </c>
      <c r="U168" s="198">
        <f t="shared" si="337"/>
        <v>0.14077964269210796</v>
      </c>
      <c r="V168" s="198">
        <f t="shared" si="337"/>
        <v>0.14072309746529243</v>
      </c>
      <c r="W168" s="198">
        <f t="shared" si="337"/>
        <v>0.14071312452263585</v>
      </c>
      <c r="X168" s="198">
        <f t="shared" si="337"/>
        <v>0.14070228915585536</v>
      </c>
      <c r="Y168" s="198">
        <f t="shared" si="337"/>
        <v>0.14069082378892594</v>
      </c>
      <c r="Z168" s="198">
        <f t="shared" si="337"/>
        <v>0.1406351672411601</v>
      </c>
      <c r="AA168" s="198">
        <f t="shared" si="337"/>
        <v>0.14062601755429038</v>
      </c>
      <c r="AB168" s="198">
        <f t="shared" si="337"/>
        <v>0.14061599685801784</v>
      </c>
      <c r="AC168" s="198">
        <f t="shared" si="337"/>
        <v>0.14060532264950654</v>
      </c>
      <c r="AD168" s="198">
        <f t="shared" si="337"/>
        <v>0.14055052207384078</v>
      </c>
      <c r="AE168" s="198">
        <f t="shared" si="337"/>
        <v>0.14054216528572061</v>
      </c>
      <c r="AF168" s="198">
        <f t="shared" si="337"/>
        <v>0.14053292915916193</v>
      </c>
      <c r="AG168" s="198">
        <f t="shared" si="337"/>
        <v>0.14052301719652172</v>
      </c>
      <c r="AH168" s="198">
        <f t="shared" si="337"/>
        <v>0.14046904102700553</v>
      </c>
      <c r="AI168" s="198">
        <f t="shared" si="337"/>
        <v>0.14046144782801839</v>
      </c>
      <c r="AJ168" s="198">
        <f t="shared" si="337"/>
        <v>0.14045296721375755</v>
      </c>
      <c r="AK168" s="198">
        <f t="shared" si="337"/>
        <v>0.14044378956576731</v>
      </c>
      <c r="AL168" s="198">
        <f t="shared" si="337"/>
        <v>0.14039060734374642</v>
      </c>
      <c r="AM168" s="198">
        <f t="shared" si="337"/>
        <v>0.14038374944207122</v>
      </c>
      <c r="AN168" s="198">
        <f t="shared" si="337"/>
        <v>0.14037599629611441</v>
      </c>
      <c r="AO168" s="198">
        <f t="shared" si="337"/>
        <v>0.14036752598645985</v>
      </c>
      <c r="AP168" s="198">
        <f t="shared" si="337"/>
        <v>0.14031510832721628</v>
      </c>
      <c r="AQ168" s="198">
        <f t="shared" si="337"/>
        <v>0.1403089584193522</v>
      </c>
      <c r="AR168" s="198">
        <f t="shared" si="337"/>
        <v>0.14030190568137302</v>
      </c>
      <c r="AS168" s="198">
        <f t="shared" si="337"/>
        <v>0.14029411666221359</v>
      </c>
      <c r="AT168" s="198">
        <f t="shared" si="337"/>
        <v>0.14024243522204305</v>
      </c>
      <c r="AU168" s="198">
        <f t="shared" si="337"/>
        <v>0.13779272467713155</v>
      </c>
      <c r="AV168" s="198">
        <f t="shared" si="337"/>
        <v>0.1353966508047868</v>
      </c>
      <c r="AW168" s="198">
        <f t="shared" si="337"/>
        <v>0.1332047868160835</v>
      </c>
      <c r="AX168" s="198">
        <f t="shared" si="337"/>
        <v>0.13120076770247469</v>
      </c>
      <c r="AY168" s="198">
        <f t="shared" si="337"/>
        <v>0.13112486342704455</v>
      </c>
      <c r="AZ168" s="198">
        <f t="shared" si="337"/>
        <v>0.13114274404957516</v>
      </c>
    </row>
    <row r="169" spans="1:64 16384:16384" s="72" customFormat="1" collapsed="1">
      <c r="A169" s="11"/>
      <c r="B169" s="71"/>
      <c r="D169" s="73"/>
      <c r="E169" s="74"/>
      <c r="F169" s="10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</row>
    <row r="170" spans="1:64 16384:16384" s="92" customFormat="1" collapsed="1">
      <c r="A170" s="11"/>
      <c r="B170" s="57" t="s">
        <v>14</v>
      </c>
      <c r="C170" s="57"/>
      <c r="D170" s="57"/>
      <c r="E170" s="112"/>
      <c r="F170" s="292">
        <f>$C$60</f>
        <v>1000000</v>
      </c>
      <c r="G170" s="11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B170" s="35" t="str">
        <f>B173</f>
        <v>Денежные средства на конец</v>
      </c>
      <c r="BC170" s="176">
        <f>J173</f>
        <v>7364263.4567071423</v>
      </c>
      <c r="BD170" s="176">
        <f>_xlfn.MINIFS($F$173:$AZ$173,$F$98:$AZ$98,BD$115)</f>
        <v>871356.01132667996</v>
      </c>
      <c r="BE170" s="176">
        <f>_xlfn.MINIFS($F$173:$AZ$173,$F$98:$AZ$98,BE$115)</f>
        <v>1000000</v>
      </c>
      <c r="BF170" s="176">
        <f>_xlfn.MINIFS($F$173:$AZ$173,$F$98:$AZ$98,BF$115)</f>
        <v>1000000</v>
      </c>
      <c r="BG170" s="176">
        <f t="shared" ref="BG170:BL170" si="338">_xlfn.MINIFS($F$173:$AZ$173,$F$98:$AZ$98,BG$115)</f>
        <v>1000000</v>
      </c>
      <c r="BH170" s="176">
        <f t="shared" si="338"/>
        <v>1000000</v>
      </c>
      <c r="BI170" s="176">
        <f t="shared" si="338"/>
        <v>1000000</v>
      </c>
      <c r="BJ170" s="176">
        <f t="shared" si="338"/>
        <v>1000000</v>
      </c>
      <c r="BK170" s="176">
        <f t="shared" si="338"/>
        <v>1000000</v>
      </c>
      <c r="BL170" s="176">
        <f t="shared" si="338"/>
        <v>1000000</v>
      </c>
    </row>
    <row r="171" spans="1:64 16384:16384" s="92" customFormat="1">
      <c r="A171" s="11"/>
      <c r="B171" s="57" t="s">
        <v>29</v>
      </c>
      <c r="C171" s="57"/>
      <c r="D171" s="57"/>
      <c r="E171" s="57"/>
      <c r="F171" s="116"/>
      <c r="G171" s="66">
        <f>F173</f>
        <v>4150000</v>
      </c>
      <c r="H171" s="66">
        <f>G173</f>
        <v>4344875</v>
      </c>
      <c r="I171" s="66">
        <f>H173</f>
        <v>9432137.1875</v>
      </c>
      <c r="J171" s="66">
        <f t="shared" ref="J171" si="339">I173</f>
        <v>8836259.1971354168</v>
      </c>
      <c r="K171" s="66">
        <f>J173</f>
        <v>7364263.4567071423</v>
      </c>
      <c r="L171" s="66">
        <f t="shared" ref="L171:AY171" si="340">K173</f>
        <v>3612979.6077731531</v>
      </c>
      <c r="M171" s="66">
        <f t="shared" si="340"/>
        <v>2260785.7310350109</v>
      </c>
      <c r="N171" s="66">
        <f t="shared" si="340"/>
        <v>1379414.4293608107</v>
      </c>
      <c r="O171" s="66">
        <f t="shared" si="340"/>
        <v>871356.01132667996</v>
      </c>
      <c r="P171" s="66">
        <f t="shared" si="340"/>
        <v>1000000</v>
      </c>
      <c r="Q171" s="66">
        <f t="shared" si="340"/>
        <v>1000000</v>
      </c>
      <c r="R171" s="66">
        <f t="shared" si="340"/>
        <v>1000000</v>
      </c>
      <c r="S171" s="66">
        <f t="shared" si="340"/>
        <v>1000000</v>
      </c>
      <c r="T171" s="66">
        <f t="shared" si="340"/>
        <v>1000000</v>
      </c>
      <c r="U171" s="66">
        <f t="shared" si="340"/>
        <v>1000000</v>
      </c>
      <c r="V171" s="66">
        <f t="shared" si="340"/>
        <v>1000000</v>
      </c>
      <c r="W171" s="66">
        <f t="shared" si="340"/>
        <v>1000000</v>
      </c>
      <c r="X171" s="66">
        <f t="shared" si="340"/>
        <v>1000000</v>
      </c>
      <c r="Y171" s="66">
        <f t="shared" si="340"/>
        <v>1000000</v>
      </c>
      <c r="Z171" s="66">
        <f t="shared" si="340"/>
        <v>1000000</v>
      </c>
      <c r="AA171" s="66">
        <f t="shared" si="340"/>
        <v>1000000</v>
      </c>
      <c r="AB171" s="66">
        <f t="shared" si="340"/>
        <v>1000000</v>
      </c>
      <c r="AC171" s="66">
        <f t="shared" si="340"/>
        <v>1000000</v>
      </c>
      <c r="AD171" s="66">
        <f t="shared" si="340"/>
        <v>1000000</v>
      </c>
      <c r="AE171" s="66">
        <f t="shared" si="340"/>
        <v>1000000</v>
      </c>
      <c r="AF171" s="66">
        <f t="shared" si="340"/>
        <v>1000000</v>
      </c>
      <c r="AG171" s="66">
        <f t="shared" si="340"/>
        <v>1000000</v>
      </c>
      <c r="AH171" s="66">
        <f t="shared" si="340"/>
        <v>1000000</v>
      </c>
      <c r="AI171" s="66">
        <f t="shared" si="340"/>
        <v>1000000</v>
      </c>
      <c r="AJ171" s="66">
        <f t="shared" si="340"/>
        <v>1000000</v>
      </c>
      <c r="AK171" s="66">
        <f t="shared" si="340"/>
        <v>1000000</v>
      </c>
      <c r="AL171" s="66">
        <f t="shared" si="340"/>
        <v>1000000</v>
      </c>
      <c r="AM171" s="66">
        <f t="shared" si="340"/>
        <v>1000000</v>
      </c>
      <c r="AN171" s="66">
        <f t="shared" si="340"/>
        <v>1000000</v>
      </c>
      <c r="AO171" s="66">
        <f t="shared" si="340"/>
        <v>1000000</v>
      </c>
      <c r="AP171" s="66">
        <f t="shared" si="340"/>
        <v>1000000</v>
      </c>
      <c r="AQ171" s="66">
        <f t="shared" si="340"/>
        <v>1000000</v>
      </c>
      <c r="AR171" s="66">
        <f t="shared" si="340"/>
        <v>1000000</v>
      </c>
      <c r="AS171" s="66">
        <f t="shared" si="340"/>
        <v>1000000</v>
      </c>
      <c r="AT171" s="66">
        <f t="shared" si="340"/>
        <v>1000000</v>
      </c>
      <c r="AU171" s="66">
        <f t="shared" si="340"/>
        <v>1000000</v>
      </c>
      <c r="AV171" s="66">
        <f t="shared" si="340"/>
        <v>1000000</v>
      </c>
      <c r="AW171" s="66">
        <f t="shared" si="340"/>
        <v>1000000</v>
      </c>
      <c r="AX171" s="66">
        <f t="shared" si="340"/>
        <v>1000000</v>
      </c>
      <c r="AY171" s="66">
        <f t="shared" si="340"/>
        <v>1000000</v>
      </c>
      <c r="AZ171" s="66">
        <f>AY173</f>
        <v>1000000</v>
      </c>
    </row>
    <row r="172" spans="1:64 16384:16384" s="92" customFormat="1">
      <c r="A172" s="11"/>
      <c r="B172" s="57" t="s">
        <v>30</v>
      </c>
      <c r="C172" s="57"/>
      <c r="D172" s="57"/>
      <c r="E172" s="57"/>
      <c r="F172" s="81"/>
      <c r="G172" s="82">
        <f>G173-G171</f>
        <v>194875</v>
      </c>
      <c r="H172" s="82">
        <f>H173-H171</f>
        <v>5087262.1875</v>
      </c>
      <c r="I172" s="82">
        <f>I173-I171</f>
        <v>-595877.99036458321</v>
      </c>
      <c r="J172" s="82">
        <f>J173-J171</f>
        <v>-1471995.7404282745</v>
      </c>
      <c r="K172" s="82">
        <f>K173-K171</f>
        <v>-3751283.8489339892</v>
      </c>
      <c r="L172" s="82">
        <f t="shared" ref="L172:AY172" si="341">L173-L171</f>
        <v>-1352193.8767381422</v>
      </c>
      <c r="M172" s="82">
        <f t="shared" si="341"/>
        <v>-881371.30167420022</v>
      </c>
      <c r="N172" s="82">
        <f t="shared" si="341"/>
        <v>-508058.41803413071</v>
      </c>
      <c r="O172" s="82">
        <f t="shared" si="341"/>
        <v>128643.98867332004</v>
      </c>
      <c r="P172" s="82">
        <f t="shared" si="341"/>
        <v>0</v>
      </c>
      <c r="Q172" s="82">
        <f t="shared" si="341"/>
        <v>0</v>
      </c>
      <c r="R172" s="82">
        <f t="shared" si="341"/>
        <v>0</v>
      </c>
      <c r="S172" s="82">
        <f t="shared" si="341"/>
        <v>0</v>
      </c>
      <c r="T172" s="82">
        <f t="shared" si="341"/>
        <v>0</v>
      </c>
      <c r="U172" s="82">
        <f t="shared" si="341"/>
        <v>0</v>
      </c>
      <c r="V172" s="82">
        <f t="shared" si="341"/>
        <v>0</v>
      </c>
      <c r="W172" s="82">
        <f t="shared" si="341"/>
        <v>0</v>
      </c>
      <c r="X172" s="82">
        <f t="shared" si="341"/>
        <v>0</v>
      </c>
      <c r="Y172" s="82">
        <f t="shared" si="341"/>
        <v>0</v>
      </c>
      <c r="Z172" s="82">
        <f t="shared" si="341"/>
        <v>0</v>
      </c>
      <c r="AA172" s="82">
        <f t="shared" si="341"/>
        <v>0</v>
      </c>
      <c r="AB172" s="82">
        <f t="shared" si="341"/>
        <v>0</v>
      </c>
      <c r="AC172" s="82">
        <f t="shared" si="341"/>
        <v>0</v>
      </c>
      <c r="AD172" s="82">
        <f t="shared" si="341"/>
        <v>0</v>
      </c>
      <c r="AE172" s="82">
        <f t="shared" si="341"/>
        <v>0</v>
      </c>
      <c r="AF172" s="82">
        <f t="shared" si="341"/>
        <v>0</v>
      </c>
      <c r="AG172" s="82">
        <f t="shared" si="341"/>
        <v>0</v>
      </c>
      <c r="AH172" s="82">
        <f t="shared" si="341"/>
        <v>0</v>
      </c>
      <c r="AI172" s="82">
        <f t="shared" si="341"/>
        <v>0</v>
      </c>
      <c r="AJ172" s="82">
        <f t="shared" si="341"/>
        <v>0</v>
      </c>
      <c r="AK172" s="82">
        <f t="shared" si="341"/>
        <v>0</v>
      </c>
      <c r="AL172" s="82">
        <f t="shared" si="341"/>
        <v>0</v>
      </c>
      <c r="AM172" s="82">
        <f t="shared" si="341"/>
        <v>0</v>
      </c>
      <c r="AN172" s="82">
        <f t="shared" si="341"/>
        <v>0</v>
      </c>
      <c r="AO172" s="82">
        <f t="shared" si="341"/>
        <v>0</v>
      </c>
      <c r="AP172" s="82">
        <f t="shared" si="341"/>
        <v>0</v>
      </c>
      <c r="AQ172" s="82">
        <f t="shared" si="341"/>
        <v>0</v>
      </c>
      <c r="AR172" s="82">
        <f t="shared" si="341"/>
        <v>0</v>
      </c>
      <c r="AS172" s="82">
        <f t="shared" si="341"/>
        <v>0</v>
      </c>
      <c r="AT172" s="82">
        <f t="shared" si="341"/>
        <v>0</v>
      </c>
      <c r="AU172" s="82">
        <f t="shared" si="341"/>
        <v>0</v>
      </c>
      <c r="AV172" s="82">
        <f t="shared" si="341"/>
        <v>0</v>
      </c>
      <c r="AW172" s="82">
        <f t="shared" si="341"/>
        <v>0</v>
      </c>
      <c r="AX172" s="82">
        <f t="shared" si="341"/>
        <v>0</v>
      </c>
      <c r="AY172" s="82">
        <f t="shared" si="341"/>
        <v>0</v>
      </c>
      <c r="AZ172" s="82">
        <f>AZ173-AZ171</f>
        <v>0</v>
      </c>
    </row>
    <row r="173" spans="1:64 16384:16384" s="102" customFormat="1">
      <c r="A173" s="61"/>
      <c r="B173" s="46" t="s">
        <v>31</v>
      </c>
      <c r="C173" s="46"/>
      <c r="D173" s="46"/>
      <c r="E173" s="117"/>
      <c r="F173" s="85">
        <f>F149-F163</f>
        <v>4150000</v>
      </c>
      <c r="G173" s="118">
        <f>G171+G149-G163</f>
        <v>4344875</v>
      </c>
      <c r="H173" s="118">
        <f t="shared" ref="H173:O173" si="342">H171+H149-H163</f>
        <v>9432137.1875</v>
      </c>
      <c r="I173" s="118">
        <f t="shared" si="342"/>
        <v>8836259.1971354168</v>
      </c>
      <c r="J173" s="118">
        <f t="shared" si="342"/>
        <v>7364263.4567071423</v>
      </c>
      <c r="K173" s="118">
        <f t="shared" si="342"/>
        <v>3612979.6077731531</v>
      </c>
      <c r="L173" s="118">
        <f t="shared" si="342"/>
        <v>2260785.7310350109</v>
      </c>
      <c r="M173" s="118">
        <f t="shared" si="342"/>
        <v>1379414.4293608107</v>
      </c>
      <c r="N173" s="118">
        <f t="shared" si="342"/>
        <v>871356.01132667996</v>
      </c>
      <c r="O173" s="118">
        <f t="shared" si="342"/>
        <v>1000000</v>
      </c>
      <c r="P173" s="118">
        <f t="shared" ref="P173:AY173" si="343">P171+P149-P163</f>
        <v>1000000</v>
      </c>
      <c r="Q173" s="118">
        <f t="shared" si="343"/>
        <v>1000000</v>
      </c>
      <c r="R173" s="118">
        <f t="shared" si="343"/>
        <v>1000000</v>
      </c>
      <c r="S173" s="118">
        <f t="shared" si="343"/>
        <v>1000000</v>
      </c>
      <c r="T173" s="118">
        <f t="shared" si="343"/>
        <v>1000000</v>
      </c>
      <c r="U173" s="118">
        <f t="shared" si="343"/>
        <v>1000000</v>
      </c>
      <c r="V173" s="118">
        <f t="shared" si="343"/>
        <v>1000000</v>
      </c>
      <c r="W173" s="118">
        <f t="shared" si="343"/>
        <v>1000000</v>
      </c>
      <c r="X173" s="118">
        <f t="shared" si="343"/>
        <v>1000000</v>
      </c>
      <c r="Y173" s="118">
        <f t="shared" si="343"/>
        <v>1000000</v>
      </c>
      <c r="Z173" s="118">
        <f t="shared" si="343"/>
        <v>1000000</v>
      </c>
      <c r="AA173" s="118">
        <f t="shared" si="343"/>
        <v>1000000</v>
      </c>
      <c r="AB173" s="118">
        <f t="shared" si="343"/>
        <v>1000000</v>
      </c>
      <c r="AC173" s="118">
        <f t="shared" si="343"/>
        <v>1000000</v>
      </c>
      <c r="AD173" s="118">
        <f t="shared" si="343"/>
        <v>1000000</v>
      </c>
      <c r="AE173" s="118">
        <f t="shared" si="343"/>
        <v>1000000</v>
      </c>
      <c r="AF173" s="118">
        <f t="shared" si="343"/>
        <v>1000000</v>
      </c>
      <c r="AG173" s="118">
        <f t="shared" si="343"/>
        <v>1000000</v>
      </c>
      <c r="AH173" s="118">
        <f t="shared" si="343"/>
        <v>1000000</v>
      </c>
      <c r="AI173" s="118">
        <f t="shared" si="343"/>
        <v>1000000</v>
      </c>
      <c r="AJ173" s="118">
        <f t="shared" si="343"/>
        <v>1000000</v>
      </c>
      <c r="AK173" s="118">
        <f t="shared" si="343"/>
        <v>1000000</v>
      </c>
      <c r="AL173" s="118">
        <f t="shared" si="343"/>
        <v>1000000</v>
      </c>
      <c r="AM173" s="118">
        <f t="shared" si="343"/>
        <v>1000000</v>
      </c>
      <c r="AN173" s="118">
        <f t="shared" si="343"/>
        <v>1000000</v>
      </c>
      <c r="AO173" s="118">
        <f t="shared" si="343"/>
        <v>1000000</v>
      </c>
      <c r="AP173" s="118">
        <f t="shared" si="343"/>
        <v>1000000</v>
      </c>
      <c r="AQ173" s="118">
        <f t="shared" si="343"/>
        <v>1000000</v>
      </c>
      <c r="AR173" s="118">
        <f t="shared" si="343"/>
        <v>1000000</v>
      </c>
      <c r="AS173" s="118">
        <f t="shared" si="343"/>
        <v>1000000</v>
      </c>
      <c r="AT173" s="118">
        <f t="shared" si="343"/>
        <v>1000000</v>
      </c>
      <c r="AU173" s="118">
        <f t="shared" si="343"/>
        <v>1000000</v>
      </c>
      <c r="AV173" s="118">
        <f t="shared" si="343"/>
        <v>1000000</v>
      </c>
      <c r="AW173" s="118">
        <f t="shared" si="343"/>
        <v>1000000</v>
      </c>
      <c r="AX173" s="118">
        <f t="shared" si="343"/>
        <v>1000000</v>
      </c>
      <c r="AY173" s="118">
        <f t="shared" si="343"/>
        <v>1000000</v>
      </c>
      <c r="AZ173" s="118">
        <f>AZ171+AZ149-AZ163</f>
        <v>1000000</v>
      </c>
      <c r="BB173" s="50">
        <v>1000000</v>
      </c>
    </row>
    <row r="174" spans="1:64 16384:16384" s="55" customFormat="1">
      <c r="A174" s="11"/>
      <c r="B174" s="103"/>
      <c r="C174" s="104"/>
      <c r="D174" s="104"/>
      <c r="E174" s="119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</row>
    <row r="175" spans="1:64 16384:16384" hidden="1">
      <c r="B175" s="13" t="s">
        <v>179</v>
      </c>
      <c r="C175" s="139"/>
      <c r="D175" s="139"/>
      <c r="E175" s="139"/>
      <c r="F175" s="42">
        <f>F93</f>
        <v>45869</v>
      </c>
      <c r="G175" s="42">
        <f>G93</f>
        <v>45930</v>
      </c>
      <c r="H175" s="42">
        <f t="shared" ref="H175:AX175" si="344">H93</f>
        <v>46022</v>
      </c>
      <c r="I175" s="42">
        <f t="shared" si="344"/>
        <v>46112</v>
      </c>
      <c r="J175" s="42">
        <f t="shared" si="344"/>
        <v>46203</v>
      </c>
      <c r="K175" s="42">
        <f t="shared" si="344"/>
        <v>46295</v>
      </c>
      <c r="L175" s="42">
        <f t="shared" si="344"/>
        <v>46387</v>
      </c>
      <c r="M175" s="42">
        <f t="shared" si="344"/>
        <v>46477</v>
      </c>
      <c r="N175" s="42">
        <f t="shared" si="344"/>
        <v>46568</v>
      </c>
      <c r="O175" s="42">
        <f t="shared" si="344"/>
        <v>46660</v>
      </c>
      <c r="P175" s="42">
        <f t="shared" si="344"/>
        <v>46752</v>
      </c>
      <c r="Q175" s="42">
        <f t="shared" si="344"/>
        <v>46843</v>
      </c>
      <c r="R175" s="42">
        <f t="shared" si="344"/>
        <v>46934</v>
      </c>
      <c r="S175" s="42">
        <f t="shared" si="344"/>
        <v>47026</v>
      </c>
      <c r="T175" s="42">
        <f t="shared" si="344"/>
        <v>47118</v>
      </c>
      <c r="U175" s="42">
        <f t="shared" si="344"/>
        <v>47208</v>
      </c>
      <c r="V175" s="42">
        <f t="shared" si="344"/>
        <v>47299</v>
      </c>
      <c r="W175" s="42">
        <f t="shared" si="344"/>
        <v>47391</v>
      </c>
      <c r="X175" s="42">
        <f t="shared" si="344"/>
        <v>47483</v>
      </c>
      <c r="Y175" s="42">
        <f t="shared" si="344"/>
        <v>47573</v>
      </c>
      <c r="Z175" s="42">
        <f t="shared" si="344"/>
        <v>47664</v>
      </c>
      <c r="AA175" s="42">
        <f t="shared" si="344"/>
        <v>47756</v>
      </c>
      <c r="AB175" s="42">
        <f t="shared" si="344"/>
        <v>47848</v>
      </c>
      <c r="AC175" s="42">
        <f t="shared" si="344"/>
        <v>47938</v>
      </c>
      <c r="AD175" s="42">
        <f t="shared" si="344"/>
        <v>48029</v>
      </c>
      <c r="AE175" s="42">
        <f t="shared" si="344"/>
        <v>48121</v>
      </c>
      <c r="AF175" s="42">
        <f t="shared" si="344"/>
        <v>48213</v>
      </c>
      <c r="AG175" s="42">
        <f t="shared" si="344"/>
        <v>48304</v>
      </c>
      <c r="AH175" s="42">
        <f t="shared" si="344"/>
        <v>48395</v>
      </c>
      <c r="AI175" s="42">
        <f t="shared" si="344"/>
        <v>48487</v>
      </c>
      <c r="AJ175" s="42">
        <f t="shared" si="344"/>
        <v>48579</v>
      </c>
      <c r="AK175" s="42">
        <f t="shared" si="344"/>
        <v>48669</v>
      </c>
      <c r="AL175" s="42">
        <f t="shared" si="344"/>
        <v>48760</v>
      </c>
      <c r="AM175" s="42">
        <f t="shared" si="344"/>
        <v>48852</v>
      </c>
      <c r="AN175" s="42">
        <f t="shared" si="344"/>
        <v>48944</v>
      </c>
      <c r="AO175" s="42">
        <f t="shared" si="344"/>
        <v>49034</v>
      </c>
      <c r="AP175" s="42">
        <f t="shared" si="344"/>
        <v>49125</v>
      </c>
      <c r="AQ175" s="42">
        <f t="shared" si="344"/>
        <v>49217</v>
      </c>
      <c r="AR175" s="42">
        <f t="shared" si="344"/>
        <v>49309</v>
      </c>
      <c r="AS175" s="42">
        <f t="shared" si="344"/>
        <v>49399</v>
      </c>
      <c r="AT175" s="42">
        <f>AT93</f>
        <v>49490</v>
      </c>
      <c r="AU175" s="42">
        <f>AU93</f>
        <v>49582</v>
      </c>
      <c r="AV175" s="42">
        <f t="shared" si="344"/>
        <v>49674</v>
      </c>
      <c r="AW175" s="42">
        <f t="shared" si="344"/>
        <v>49765</v>
      </c>
      <c r="AX175" s="42">
        <f t="shared" si="344"/>
        <v>49856</v>
      </c>
      <c r="AY175" s="42">
        <f>AY93</f>
        <v>49948</v>
      </c>
      <c r="AZ175" s="42">
        <f>AZ93</f>
        <v>50040</v>
      </c>
      <c r="BB175" s="183" t="s">
        <v>180</v>
      </c>
      <c r="BC175" s="183" t="str">
        <f t="shared" ref="BC175:BL175" si="345">BC116</f>
        <v>1й год</v>
      </c>
      <c r="BD175" s="183" t="str">
        <f t="shared" si="345"/>
        <v>2й год</v>
      </c>
      <c r="BE175" s="183" t="str">
        <f t="shared" si="345"/>
        <v xml:space="preserve">3й год </v>
      </c>
      <c r="BF175" s="183" t="str">
        <f t="shared" si="345"/>
        <v xml:space="preserve">4й год </v>
      </c>
      <c r="BG175" s="183" t="str">
        <f t="shared" si="345"/>
        <v xml:space="preserve">5й год </v>
      </c>
      <c r="BH175" s="183" t="str">
        <f t="shared" si="345"/>
        <v xml:space="preserve">6й год </v>
      </c>
      <c r="BI175" s="183" t="str">
        <f t="shared" si="345"/>
        <v xml:space="preserve">7й год </v>
      </c>
      <c r="BJ175" s="183" t="str">
        <f t="shared" si="345"/>
        <v>8й год</v>
      </c>
      <c r="BK175" s="183" t="str">
        <f t="shared" si="345"/>
        <v xml:space="preserve">9й год </v>
      </c>
      <c r="BL175" s="183" t="str">
        <f t="shared" si="345"/>
        <v>10й год</v>
      </c>
    </row>
    <row r="176" spans="1:64 16384:16384" hidden="1">
      <c r="BB176" s="23">
        <f>BC159/(1+BC162)</f>
        <v>10000</v>
      </c>
      <c r="BC176" s="23">
        <f>BC159</f>
        <v>12000</v>
      </c>
      <c r="BD176" s="23">
        <f>BD159</f>
        <v>13650</v>
      </c>
      <c r="BE176" s="23">
        <f t="shared" ref="BE176:BJ176" si="346">BE159</f>
        <v>14975.882044633576</v>
      </c>
      <c r="BF176" s="23">
        <f t="shared" si="346"/>
        <v>16080.285401349647</v>
      </c>
      <c r="BG176" s="23">
        <f t="shared" si="346"/>
        <v>17264.056416365635</v>
      </c>
      <c r="BH176" s="23">
        <f t="shared" si="346"/>
        <v>18532.830823276658</v>
      </c>
      <c r="BI176" s="23">
        <f t="shared" si="346"/>
        <v>19892.642282563884</v>
      </c>
      <c r="BJ176" s="23">
        <f t="shared" si="346"/>
        <v>21349.950393394734</v>
      </c>
      <c r="BK176" s="23">
        <f>BK159</f>
        <v>22911.670673736087</v>
      </c>
      <c r="BL176" s="23">
        <f>BL159</f>
        <v>24585.206646927665</v>
      </c>
    </row>
    <row r="177" spans="2:64" hidden="1">
      <c r="B177" s="11" t="s">
        <v>180</v>
      </c>
      <c r="F177" s="82">
        <f>-F159</f>
        <v>-10000</v>
      </c>
      <c r="G177" s="284">
        <f>G159</f>
        <v>10500</v>
      </c>
      <c r="H177" s="284">
        <f>H159</f>
        <v>11000</v>
      </c>
      <c r="I177" s="284">
        <f>I159</f>
        <v>11500</v>
      </c>
      <c r="J177" s="284">
        <f>J159</f>
        <v>12000</v>
      </c>
      <c r="K177" s="284">
        <f t="shared" ref="K177:AR177" si="347">K159</f>
        <v>12450</v>
      </c>
      <c r="L177" s="284">
        <f t="shared" si="347"/>
        <v>12900</v>
      </c>
      <c r="M177" s="284">
        <f t="shared" si="347"/>
        <v>13300</v>
      </c>
      <c r="N177" s="284">
        <f t="shared" si="347"/>
        <v>13650</v>
      </c>
      <c r="O177" s="284">
        <f t="shared" si="347"/>
        <v>14000</v>
      </c>
      <c r="P177" s="284">
        <f t="shared" si="347"/>
        <v>14250</v>
      </c>
      <c r="Q177" s="284">
        <f t="shared" si="347"/>
        <v>14713.649989603095</v>
      </c>
      <c r="R177" s="284">
        <f t="shared" si="347"/>
        <v>14975.882044633576</v>
      </c>
      <c r="S177" s="284">
        <f t="shared" si="347"/>
        <v>15247.050943717522</v>
      </c>
      <c r="T177" s="284">
        <f t="shared" si="347"/>
        <v>15521.741406502619</v>
      </c>
      <c r="U177" s="284">
        <f t="shared" si="347"/>
        <v>15799.192037017443</v>
      </c>
      <c r="V177" s="284">
        <f t="shared" si="347"/>
        <v>16080.285401349647</v>
      </c>
      <c r="W177" s="284">
        <f t="shared" si="347"/>
        <v>16370.941188819057</v>
      </c>
      <c r="X177" s="284">
        <f t="shared" si="347"/>
        <v>16665.365049448697</v>
      </c>
      <c r="Y177" s="284">
        <f t="shared" si="347"/>
        <v>16962.761870314869</v>
      </c>
      <c r="Z177" s="284">
        <f t="shared" si="347"/>
        <v>17264.056416365635</v>
      </c>
      <c r="AA177" s="284">
        <f t="shared" si="347"/>
        <v>17575.582755173218</v>
      </c>
      <c r="AB177" s="284">
        <f t="shared" si="347"/>
        <v>17891.140932262235</v>
      </c>
      <c r="AC177" s="284">
        <f t="shared" si="347"/>
        <v>18209.900594795683</v>
      </c>
      <c r="AD177" s="284">
        <f t="shared" si="347"/>
        <v>18532.830823276658</v>
      </c>
      <c r="AE177" s="284">
        <f t="shared" si="347"/>
        <v>18866.709070007419</v>
      </c>
      <c r="AF177" s="284">
        <f t="shared" si="347"/>
        <v>19204.901383699322</v>
      </c>
      <c r="AG177" s="284">
        <f t="shared" si="347"/>
        <v>19546.54058034968</v>
      </c>
      <c r="AH177" s="284">
        <f t="shared" si="347"/>
        <v>19892.642282563884</v>
      </c>
      <c r="AI177" s="284">
        <f t="shared" si="347"/>
        <v>20250.458364305363</v>
      </c>
      <c r="AJ177" s="284">
        <f t="shared" si="347"/>
        <v>20612.890497695262</v>
      </c>
      <c r="AK177" s="284">
        <f t="shared" si="347"/>
        <v>20979.033005068341</v>
      </c>
      <c r="AL177" s="284">
        <f t="shared" si="347"/>
        <v>21349.950393394734</v>
      </c>
      <c r="AM177" s="284">
        <f t="shared" si="347"/>
        <v>21733.402167815319</v>
      </c>
      <c r="AN177" s="284">
        <f t="shared" si="347"/>
        <v>22121.793117499707</v>
      </c>
      <c r="AO177" s="284">
        <f t="shared" si="347"/>
        <v>22514.177334307875</v>
      </c>
      <c r="AP177" s="284">
        <f t="shared" si="347"/>
        <v>22911.670673736087</v>
      </c>
      <c r="AQ177" s="284">
        <f t="shared" si="347"/>
        <v>23322.575806285084</v>
      </c>
      <c r="AR177" s="284">
        <f t="shared" si="347"/>
        <v>23738.765856366354</v>
      </c>
      <c r="AS177" s="284">
        <f>AS159</f>
        <v>24159.252871045283</v>
      </c>
      <c r="AT177" s="284">
        <f>AT159</f>
        <v>24585.206646927665</v>
      </c>
      <c r="AU177" s="284">
        <f>AU159</f>
        <v>25025.511041449274</v>
      </c>
      <c r="AV177" s="284">
        <f t="shared" ref="AV177:AZ177" si="348">AV159</f>
        <v>25471.470297730422</v>
      </c>
      <c r="AW177" s="284">
        <f t="shared" si="348"/>
        <v>25925.392430214491</v>
      </c>
      <c r="AX177" s="284">
        <f t="shared" si="348"/>
        <v>26387.419620942845</v>
      </c>
      <c r="AY177" s="284">
        <f t="shared" si="348"/>
        <v>26857.696590704454</v>
      </c>
      <c r="AZ177" s="284">
        <f t="shared" si="348"/>
        <v>27336.370644366787</v>
      </c>
      <c r="BB177" s="23">
        <f>BB173/1000</f>
        <v>1000</v>
      </c>
      <c r="BC177" s="23">
        <f>BB177*BC176/BB176</f>
        <v>1200</v>
      </c>
      <c r="BD177" s="23">
        <f>BC177*BD176/BC176</f>
        <v>1365</v>
      </c>
      <c r="BE177" s="23">
        <f t="shared" ref="BE177:BI177" si="349">BD177*BE176/BD176</f>
        <v>1497.5882044633577</v>
      </c>
      <c r="BF177" s="23">
        <f t="shared" si="349"/>
        <v>1608.0285401349649</v>
      </c>
      <c r="BG177" s="23">
        <f t="shared" si="349"/>
        <v>1726.4056416365636</v>
      </c>
      <c r="BH177" s="23">
        <f t="shared" si="349"/>
        <v>1853.2830823276659</v>
      </c>
      <c r="BI177" s="23">
        <f t="shared" si="349"/>
        <v>1989.2642282563884</v>
      </c>
      <c r="BJ177" s="23">
        <f>BI177*BJ176/BI176</f>
        <v>2134.9950393394734</v>
      </c>
      <c r="BK177" s="23">
        <f>BJ177*BK176/BJ176</f>
        <v>2291.1670673736085</v>
      </c>
      <c r="BL177" s="23">
        <f>BK177*BL176/BK176</f>
        <v>2458.5206646927663</v>
      </c>
    </row>
    <row r="178" spans="2:64" hidden="1">
      <c r="B178" s="11" t="s">
        <v>28</v>
      </c>
      <c r="F178" s="82"/>
      <c r="G178" s="158">
        <f>G164</f>
        <v>0</v>
      </c>
      <c r="H178" s="158">
        <f t="shared" ref="H178:L178" si="350">H164</f>
        <v>0</v>
      </c>
      <c r="I178" s="158">
        <f t="shared" si="350"/>
        <v>0</v>
      </c>
      <c r="J178" s="158">
        <f>J164</f>
        <v>0</v>
      </c>
      <c r="K178" s="158">
        <f t="shared" si="350"/>
        <v>175</v>
      </c>
      <c r="L178" s="158">
        <f t="shared" si="350"/>
        <v>175</v>
      </c>
      <c r="M178" s="158">
        <f t="shared" ref="M178:W178" si="351">M164</f>
        <v>175</v>
      </c>
      <c r="N178" s="158">
        <f t="shared" si="351"/>
        <v>175</v>
      </c>
      <c r="O178" s="158">
        <f t="shared" si="351"/>
        <v>214.71475227461019</v>
      </c>
      <c r="P178" s="158">
        <f t="shared" si="351"/>
        <v>229.5203854989629</v>
      </c>
      <c r="Q178" s="158">
        <f t="shared" si="351"/>
        <v>236.8043502568604</v>
      </c>
      <c r="R178" s="158">
        <f t="shared" si="351"/>
        <v>230.69869037352194</v>
      </c>
      <c r="S178" s="158">
        <f t="shared" si="351"/>
        <v>248.95290857389571</v>
      </c>
      <c r="T178" s="158">
        <f t="shared" si="351"/>
        <v>252.25938411376612</v>
      </c>
      <c r="U178" s="158">
        <f t="shared" si="351"/>
        <v>253.92935775752966</v>
      </c>
      <c r="V178" s="158">
        <f t="shared" si="351"/>
        <v>247.90750143443222</v>
      </c>
      <c r="W178" s="158">
        <f t="shared" si="351"/>
        <v>267.47368963903472</v>
      </c>
      <c r="X178" s="158">
        <f t="shared" ref="X178:AS178" si="352">X164</f>
        <v>271.01035580307206</v>
      </c>
      <c r="Y178" s="158">
        <f t="shared" si="352"/>
        <v>272.83996271345757</v>
      </c>
      <c r="Z178" s="158">
        <f t="shared" si="352"/>
        <v>266.35860353283994</v>
      </c>
      <c r="AA178" s="158">
        <f t="shared" si="352"/>
        <v>287.3297745955914</v>
      </c>
      <c r="AB178" s="158">
        <f t="shared" si="352"/>
        <v>291.11269577557306</v>
      </c>
      <c r="AC178" s="158">
        <f t="shared" si="352"/>
        <v>293.11480741754815</v>
      </c>
      <c r="AD178" s="158">
        <f t="shared" si="352"/>
        <v>286.14045773269402</v>
      </c>
      <c r="AE178" s="158">
        <f t="shared" si="352"/>
        <v>308.61618081039813</v>
      </c>
      <c r="AF178" s="158">
        <f t="shared" si="352"/>
        <v>312.66254381246188</v>
      </c>
      <c r="AG178" s="158">
        <f t="shared" si="352"/>
        <v>314.85100651987511</v>
      </c>
      <c r="AH178" s="158">
        <f t="shared" si="352"/>
        <v>307.3477828314401</v>
      </c>
      <c r="AI178" s="158">
        <f t="shared" si="352"/>
        <v>331.43464426152684</v>
      </c>
      <c r="AJ178" s="158">
        <f t="shared" si="352"/>
        <v>335.76283677938625</v>
      </c>
      <c r="AK178" s="158">
        <f t="shared" si="352"/>
        <v>338.15254341434411</v>
      </c>
      <c r="AL178" s="158">
        <f t="shared" si="352"/>
        <v>330.0819964349277</v>
      </c>
      <c r="AM178" s="158">
        <f t="shared" si="352"/>
        <v>355.89409296312533</v>
      </c>
      <c r="AN178" s="158">
        <f t="shared" si="352"/>
        <v>360.52378753984186</v>
      </c>
      <c r="AO178" s="158">
        <f t="shared" si="352"/>
        <v>363.13075433229898</v>
      </c>
      <c r="AP178" s="158">
        <f t="shared" si="352"/>
        <v>354.45168705325392</v>
      </c>
      <c r="AQ178" s="158">
        <f t="shared" si="352"/>
        <v>382.11115367990016</v>
      </c>
      <c r="AR178" s="158">
        <f t="shared" si="352"/>
        <v>387.06339754218931</v>
      </c>
      <c r="AS178" s="158">
        <f t="shared" si="352"/>
        <v>389.90484648040194</v>
      </c>
      <c r="AT178" s="158">
        <f>AT164</f>
        <v>380.5731193961455</v>
      </c>
      <c r="AU178" s="284">
        <f>AU164</f>
        <v>353.20466825404219</v>
      </c>
      <c r="AV178" s="284">
        <f t="shared" ref="AV178:AY178" si="353">AV164</f>
        <v>357.76231569637599</v>
      </c>
      <c r="AW178" s="284">
        <f t="shared" si="353"/>
        <v>360.44846580766523</v>
      </c>
      <c r="AX178" s="284">
        <f t="shared" si="353"/>
        <v>351.9695624276319</v>
      </c>
      <c r="AY178" s="284">
        <f t="shared" si="353"/>
        <v>379.10082431517753</v>
      </c>
      <c r="AZ178" s="284">
        <f>AZ164</f>
        <v>383.97931063477466</v>
      </c>
      <c r="BB178" s="23">
        <v>0</v>
      </c>
      <c r="BC178" s="23">
        <f>BC164</f>
        <v>0</v>
      </c>
      <c r="BD178" s="23">
        <f>($BB$173/$BB$176)*BD164/1000</f>
        <v>70</v>
      </c>
      <c r="BE178" s="23">
        <f>($BB$173/$BB$176)*BE164/1000</f>
        <v>91.173817840395543</v>
      </c>
      <c r="BF178" s="23">
        <f>($BB$173/$BB$176)*BF164/1000</f>
        <v>100.30491518796238</v>
      </c>
      <c r="BG178" s="23">
        <f t="shared" ref="BG178:BL178" si="354">($BB$173/$BB$176)*BG164/1000</f>
        <v>107.76826116884043</v>
      </c>
      <c r="BH178" s="23">
        <f t="shared" si="354"/>
        <v>115.76977355214068</v>
      </c>
      <c r="BI178" s="23">
        <f t="shared" si="354"/>
        <v>124.34775139741751</v>
      </c>
      <c r="BJ178" s="23">
        <f t="shared" si="354"/>
        <v>133.54320208901851</v>
      </c>
      <c r="BK178" s="23">
        <f t="shared" si="354"/>
        <v>143.40003218885201</v>
      </c>
      <c r="BL178" s="23">
        <f t="shared" si="354"/>
        <v>153.96525170986368</v>
      </c>
    </row>
    <row r="179" spans="2:64" hidden="1">
      <c r="B179" s="11" t="s">
        <v>181</v>
      </c>
      <c r="F179" s="82"/>
      <c r="AT179" s="158">
        <f>AT159</f>
        <v>24585.206646927665</v>
      </c>
      <c r="AU179" s="158"/>
      <c r="BD179" s="184"/>
      <c r="BE179" s="184"/>
      <c r="BF179" s="184"/>
      <c r="BG179" s="184"/>
      <c r="BH179" s="184"/>
      <c r="BI179" s="184"/>
      <c r="BJ179" s="184"/>
      <c r="BK179" s="184"/>
      <c r="BL179" s="184"/>
    </row>
    <row r="180" spans="2:64" hidden="1">
      <c r="B180" s="159" t="s">
        <v>182</v>
      </c>
      <c r="C180" s="159"/>
      <c r="D180" s="159"/>
      <c r="E180" s="159"/>
      <c r="F180" s="161">
        <f t="shared" ref="F180" si="355">SUM(F177:F179)</f>
        <v>-10000</v>
      </c>
      <c r="G180" s="161">
        <f>SUM(G178:G179)</f>
        <v>0</v>
      </c>
      <c r="H180" s="161">
        <f t="shared" ref="H180:AS180" si="356">SUM(H178:H179)</f>
        <v>0</v>
      </c>
      <c r="I180" s="161">
        <f t="shared" si="356"/>
        <v>0</v>
      </c>
      <c r="J180" s="161">
        <f t="shared" si="356"/>
        <v>0</v>
      </c>
      <c r="K180" s="161">
        <f t="shared" si="356"/>
        <v>175</v>
      </c>
      <c r="L180" s="161">
        <f t="shared" si="356"/>
        <v>175</v>
      </c>
      <c r="M180" s="161">
        <f t="shared" si="356"/>
        <v>175</v>
      </c>
      <c r="N180" s="161">
        <f t="shared" si="356"/>
        <v>175</v>
      </c>
      <c r="O180" s="161">
        <f t="shared" si="356"/>
        <v>214.71475227461019</v>
      </c>
      <c r="P180" s="161">
        <f t="shared" si="356"/>
        <v>229.5203854989629</v>
      </c>
      <c r="Q180" s="161">
        <f t="shared" si="356"/>
        <v>236.8043502568604</v>
      </c>
      <c r="R180" s="161">
        <f t="shared" si="356"/>
        <v>230.69869037352194</v>
      </c>
      <c r="S180" s="161">
        <f t="shared" si="356"/>
        <v>248.95290857389571</v>
      </c>
      <c r="T180" s="161">
        <f t="shared" si="356"/>
        <v>252.25938411376612</v>
      </c>
      <c r="U180" s="161">
        <f t="shared" si="356"/>
        <v>253.92935775752966</v>
      </c>
      <c r="V180" s="161">
        <f t="shared" si="356"/>
        <v>247.90750143443222</v>
      </c>
      <c r="W180" s="161">
        <f t="shared" si="356"/>
        <v>267.47368963903472</v>
      </c>
      <c r="X180" s="161">
        <f t="shared" si="356"/>
        <v>271.01035580307206</v>
      </c>
      <c r="Y180" s="161">
        <f t="shared" si="356"/>
        <v>272.83996271345757</v>
      </c>
      <c r="Z180" s="161">
        <f t="shared" si="356"/>
        <v>266.35860353283994</v>
      </c>
      <c r="AA180" s="161">
        <f t="shared" si="356"/>
        <v>287.3297745955914</v>
      </c>
      <c r="AB180" s="161">
        <f t="shared" si="356"/>
        <v>291.11269577557306</v>
      </c>
      <c r="AC180" s="161">
        <f t="shared" si="356"/>
        <v>293.11480741754815</v>
      </c>
      <c r="AD180" s="161">
        <f t="shared" si="356"/>
        <v>286.14045773269402</v>
      </c>
      <c r="AE180" s="161">
        <f t="shared" si="356"/>
        <v>308.61618081039813</v>
      </c>
      <c r="AF180" s="161">
        <f t="shared" si="356"/>
        <v>312.66254381246188</v>
      </c>
      <c r="AG180" s="161">
        <f t="shared" si="356"/>
        <v>314.85100651987511</v>
      </c>
      <c r="AH180" s="161">
        <f t="shared" si="356"/>
        <v>307.3477828314401</v>
      </c>
      <c r="AI180" s="161">
        <f t="shared" si="356"/>
        <v>331.43464426152684</v>
      </c>
      <c r="AJ180" s="161">
        <f t="shared" si="356"/>
        <v>335.76283677938625</v>
      </c>
      <c r="AK180" s="161">
        <f t="shared" si="356"/>
        <v>338.15254341434411</v>
      </c>
      <c r="AL180" s="161">
        <f t="shared" si="356"/>
        <v>330.0819964349277</v>
      </c>
      <c r="AM180" s="161">
        <f t="shared" si="356"/>
        <v>355.89409296312533</v>
      </c>
      <c r="AN180" s="161">
        <f t="shared" si="356"/>
        <v>360.52378753984186</v>
      </c>
      <c r="AO180" s="161">
        <f t="shared" si="356"/>
        <v>363.13075433229898</v>
      </c>
      <c r="AP180" s="161">
        <f t="shared" si="356"/>
        <v>354.45168705325392</v>
      </c>
      <c r="AQ180" s="161">
        <f t="shared" si="356"/>
        <v>382.11115367990016</v>
      </c>
      <c r="AR180" s="161">
        <f t="shared" si="356"/>
        <v>387.06339754218931</v>
      </c>
      <c r="AS180" s="161">
        <f t="shared" si="356"/>
        <v>389.90484648040194</v>
      </c>
      <c r="AT180" s="161">
        <f>SUM(AT178:AT179)</f>
        <v>24965.779766323809</v>
      </c>
      <c r="AU180" s="161"/>
      <c r="AV180" s="160"/>
      <c r="AW180" s="160"/>
      <c r="AX180" s="160"/>
      <c r="AY180" s="160"/>
      <c r="AZ180" s="160"/>
      <c r="BA180" s="55"/>
    </row>
    <row r="181" spans="2:64" hidden="1"/>
    <row r="182" spans="2:64" hidden="1">
      <c r="B182" s="162" t="s">
        <v>183</v>
      </c>
      <c r="C182" s="163">
        <f>XIRR(F180:AT180,F175:AT175)</f>
        <v>0.1623275220394135</v>
      </c>
    </row>
    <row r="183" spans="2:64" hidden="1">
      <c r="B183" s="162" t="s">
        <v>184</v>
      </c>
      <c r="C183" s="163">
        <f>SUM(G178:AT178)/10/F159</f>
        <v>0.10402730051344904</v>
      </c>
      <c r="H183" s="51"/>
    </row>
    <row r="184" spans="2:64">
      <c r="BA184" s="10"/>
    </row>
    <row r="198" spans="51:65">
      <c r="BB198" s="55" t="s">
        <v>200</v>
      </c>
    </row>
    <row r="199" spans="51:65">
      <c r="AY199" s="10" t="s">
        <v>79</v>
      </c>
      <c r="AZ199" s="185">
        <f>SUM(BB202:BL202)/1000</f>
        <v>1.0433235961242187</v>
      </c>
      <c r="BB199" s="183" t="s">
        <v>180</v>
      </c>
      <c r="BC199" s="183" t="s">
        <v>186</v>
      </c>
      <c r="BD199" s="183" t="s">
        <v>187</v>
      </c>
      <c r="BE199" s="183" t="s">
        <v>188</v>
      </c>
      <c r="BF199" s="183" t="s">
        <v>189</v>
      </c>
      <c r="BG199" s="183" t="s">
        <v>190</v>
      </c>
      <c r="BH199" s="183" t="s">
        <v>191</v>
      </c>
      <c r="BI199" s="183" t="s">
        <v>192</v>
      </c>
      <c r="BJ199" s="183" t="s">
        <v>193</v>
      </c>
      <c r="BK199" s="183" t="s">
        <v>194</v>
      </c>
      <c r="BL199" s="183" t="s">
        <v>195</v>
      </c>
    </row>
    <row r="200" spans="51:65">
      <c r="AY200" s="10" t="s">
        <v>218</v>
      </c>
      <c r="AZ200" s="185">
        <f>BL201/1000-BB201/1000</f>
        <v>1.4585206646927662</v>
      </c>
      <c r="BB200" s="23">
        <v>10000</v>
      </c>
      <c r="BC200" s="23">
        <v>12000</v>
      </c>
      <c r="BD200" s="23">
        <v>13650</v>
      </c>
      <c r="BE200" s="23">
        <v>14975.882044633576</v>
      </c>
      <c r="BF200" s="23">
        <v>16080.285401349647</v>
      </c>
      <c r="BG200" s="23">
        <v>17264.056416365635</v>
      </c>
      <c r="BH200" s="23">
        <v>18532.830823276658</v>
      </c>
      <c r="BI200" s="23">
        <v>19892.642282563884</v>
      </c>
      <c r="BJ200" s="23">
        <v>21349.950393394734</v>
      </c>
      <c r="BK200" s="23">
        <v>22911.670673736087</v>
      </c>
      <c r="BL200" s="23">
        <v>24585.206646927665</v>
      </c>
    </row>
    <row r="201" spans="51:65">
      <c r="AY201" s="10" t="s">
        <v>201</v>
      </c>
      <c r="AZ201" s="25">
        <f>AZ199+AZ200</f>
        <v>2.5018442608169851</v>
      </c>
      <c r="BB201" s="23">
        <v>1000</v>
      </c>
      <c r="BC201" s="23">
        <v>1200</v>
      </c>
      <c r="BD201" s="23">
        <v>1365</v>
      </c>
      <c r="BE201" s="23">
        <v>1497.5882044633577</v>
      </c>
      <c r="BF201" s="23">
        <v>1608.0285401349649</v>
      </c>
      <c r="BG201" s="23">
        <v>1726.4056416365636</v>
      </c>
      <c r="BH201" s="23">
        <v>1853.2830823276659</v>
      </c>
      <c r="BI201" s="23">
        <v>1989.2642282563884</v>
      </c>
      <c r="BJ201" s="23">
        <v>2134.9950393394734</v>
      </c>
      <c r="BK201" s="23">
        <v>2291.1670673736085</v>
      </c>
      <c r="BL201" s="23">
        <v>2458.5206646927663</v>
      </c>
      <c r="BM201" s="102"/>
    </row>
    <row r="202" spans="51:65">
      <c r="BB202" s="23">
        <v>0</v>
      </c>
      <c r="BC202" s="23">
        <v>0</v>
      </c>
      <c r="BD202" s="23">
        <v>70</v>
      </c>
      <c r="BE202" s="23">
        <v>94.224408830123465</v>
      </c>
      <c r="BF202" s="23">
        <v>100.30491518796238</v>
      </c>
      <c r="BG202" s="23">
        <v>107.76826116884043</v>
      </c>
      <c r="BH202" s="23">
        <v>115.76977355214068</v>
      </c>
      <c r="BI202" s="23">
        <v>124.34775139741751</v>
      </c>
      <c r="BJ202" s="23">
        <v>133.54320208901851</v>
      </c>
      <c r="BK202" s="23">
        <v>143.40003218885201</v>
      </c>
      <c r="BL202" s="23">
        <v>153.96525170986368</v>
      </c>
    </row>
    <row r="205" spans="51:65">
      <c r="BB205" s="55" t="s">
        <v>203</v>
      </c>
    </row>
    <row r="206" spans="51:65">
      <c r="AY206" s="10" t="s">
        <v>79</v>
      </c>
      <c r="AZ206" s="185">
        <f>SUM(BB209:BL209)/1000</f>
        <v>1.4541460103328006</v>
      </c>
      <c r="BB206" s="183" t="s">
        <v>180</v>
      </c>
      <c r="BC206" s="183" t="s">
        <v>186</v>
      </c>
      <c r="BD206" s="183" t="s">
        <v>187</v>
      </c>
      <c r="BE206" s="183" t="s">
        <v>188</v>
      </c>
      <c r="BF206" s="183" t="s">
        <v>189</v>
      </c>
      <c r="BG206" s="183" t="s">
        <v>190</v>
      </c>
      <c r="BH206" s="183" t="s">
        <v>191</v>
      </c>
      <c r="BI206" s="183" t="s">
        <v>192</v>
      </c>
      <c r="BJ206" s="183" t="s">
        <v>193</v>
      </c>
      <c r="BK206" s="183" t="s">
        <v>194</v>
      </c>
      <c r="BL206" s="183" t="s">
        <v>195</v>
      </c>
    </row>
    <row r="207" spans="51:65">
      <c r="AY207" s="10" t="s">
        <v>218</v>
      </c>
      <c r="AZ207" s="185">
        <f>BL208/1000-BB208/1000</f>
        <v>3.0311334006965689</v>
      </c>
      <c r="BB207" s="23">
        <v>10000</v>
      </c>
      <c r="BC207" s="23">
        <v>12000</v>
      </c>
      <c r="BD207" s="23">
        <v>13650</v>
      </c>
      <c r="BE207" s="23">
        <v>20074.70212149998</v>
      </c>
      <c r="BF207" s="23">
        <v>22195.493875670709</v>
      </c>
      <c r="BG207" s="23">
        <v>24532.747575170579</v>
      </c>
      <c r="BH207" s="23">
        <v>27108.290263607505</v>
      </c>
      <c r="BI207" s="23">
        <v>29946.139774168398</v>
      </c>
      <c r="BJ207" s="23">
        <v>33072.724188907123</v>
      </c>
      <c r="BK207" s="23">
        <v>36517.123262379464</v>
      </c>
      <c r="BL207" s="23">
        <v>40311.334006965684</v>
      </c>
    </row>
    <row r="208" spans="51:65">
      <c r="AY208" s="10" t="s">
        <v>201</v>
      </c>
      <c r="AZ208" s="25">
        <f>AZ206+AZ207</f>
        <v>4.485279411029369</v>
      </c>
      <c r="BB208" s="23">
        <v>1000</v>
      </c>
      <c r="BC208" s="23">
        <v>1200</v>
      </c>
      <c r="BD208" s="23">
        <v>1365</v>
      </c>
      <c r="BE208" s="23">
        <v>2007.4702121499981</v>
      </c>
      <c r="BF208" s="23">
        <v>2219.5493875670709</v>
      </c>
      <c r="BG208" s="23">
        <v>2453.2747575170579</v>
      </c>
      <c r="BH208" s="23">
        <v>2710.8290263607505</v>
      </c>
      <c r="BI208" s="23">
        <v>2994.6139774168396</v>
      </c>
      <c r="BJ208" s="23">
        <v>3307.2724188907123</v>
      </c>
      <c r="BK208" s="23">
        <v>3651.7123262379464</v>
      </c>
      <c r="BL208" s="23">
        <v>4031.1334006965685</v>
      </c>
    </row>
    <row r="209" spans="51:64">
      <c r="BB209" s="23">
        <v>0</v>
      </c>
      <c r="BC209" s="23">
        <v>0</v>
      </c>
      <c r="BD209" s="23">
        <v>90</v>
      </c>
      <c r="BE209" s="23">
        <v>126.45531977665887</v>
      </c>
      <c r="BF209" s="23">
        <v>134.86411000517739</v>
      </c>
      <c r="BG209" s="23">
        <v>149.24326206248631</v>
      </c>
      <c r="BH209" s="23">
        <v>165.09435319149009</v>
      </c>
      <c r="BI209" s="23">
        <v>182.5660131629846</v>
      </c>
      <c r="BJ209" s="23">
        <v>201.82179988478472</v>
      </c>
      <c r="BK209" s="23">
        <v>191.99283283366239</v>
      </c>
      <c r="BL209" s="23">
        <v>212.1083194155562</v>
      </c>
    </row>
    <row r="211" spans="51:64">
      <c r="BB211" s="55" t="s">
        <v>204</v>
      </c>
    </row>
    <row r="212" spans="51:64">
      <c r="AY212" s="10" t="s">
        <v>79</v>
      </c>
      <c r="AZ212" s="185">
        <f>SUM(BB215:BL215)/1000</f>
        <v>0.78463071676782503</v>
      </c>
      <c r="BB212" s="183" t="s">
        <v>180</v>
      </c>
      <c r="BC212" s="183" t="s">
        <v>186</v>
      </c>
      <c r="BD212" s="183" t="s">
        <v>187</v>
      </c>
      <c r="BE212" s="183" t="s">
        <v>188</v>
      </c>
      <c r="BF212" s="183" t="s">
        <v>189</v>
      </c>
      <c r="BG212" s="183" t="s">
        <v>190</v>
      </c>
      <c r="BH212" s="183" t="s">
        <v>191</v>
      </c>
      <c r="BI212" s="183" t="s">
        <v>192</v>
      </c>
      <c r="BJ212" s="183" t="s">
        <v>193</v>
      </c>
      <c r="BK212" s="183" t="s">
        <v>194</v>
      </c>
      <c r="BL212" s="183" t="s">
        <v>195</v>
      </c>
    </row>
    <row r="213" spans="51:64">
      <c r="AY213" s="10" t="s">
        <v>218</v>
      </c>
      <c r="AZ213" s="185">
        <f>BL214/1000-BB214/1000</f>
        <v>0.66058041858915173</v>
      </c>
      <c r="BB213" s="23">
        <v>10000</v>
      </c>
      <c r="BC213" s="23">
        <v>11000</v>
      </c>
      <c r="BD213" s="23">
        <v>11000</v>
      </c>
      <c r="BE213" s="23">
        <v>11689.008122671792</v>
      </c>
      <c r="BF213" s="23">
        <v>12291.396856777761</v>
      </c>
      <c r="BG213" s="23">
        <v>12924.415553197305</v>
      </c>
      <c r="BH213" s="23">
        <v>13589.60847318631</v>
      </c>
      <c r="BI213" s="23">
        <v>14288.597410141958</v>
      </c>
      <c r="BJ213" s="23">
        <v>15023.085574186773</v>
      </c>
      <c r="BK213" s="23">
        <v>15794.861671181237</v>
      </c>
      <c r="BL213" s="23">
        <v>16605.804185891517</v>
      </c>
    </row>
    <row r="214" spans="51:64">
      <c r="AY214" s="10" t="s">
        <v>201</v>
      </c>
      <c r="AZ214" s="25">
        <f>AZ212+AZ213</f>
        <v>1.4452111353569768</v>
      </c>
      <c r="BB214" s="23">
        <v>1000</v>
      </c>
      <c r="BC214" s="23">
        <v>1100</v>
      </c>
      <c r="BD214" s="23">
        <v>1100</v>
      </c>
      <c r="BE214" s="23">
        <v>1168.9008122671792</v>
      </c>
      <c r="BF214" s="23">
        <v>1229.1396856777762</v>
      </c>
      <c r="BG214" s="23">
        <v>1292.4415553197307</v>
      </c>
      <c r="BH214" s="23">
        <v>1358.9608473186313</v>
      </c>
      <c r="BI214" s="23">
        <v>1428.8597410141961</v>
      </c>
      <c r="BJ214" s="23">
        <v>1502.3085574186775</v>
      </c>
      <c r="BK214" s="23">
        <v>1579.4861671181238</v>
      </c>
      <c r="BL214" s="23">
        <v>1660.5804185891518</v>
      </c>
    </row>
    <row r="215" spans="51:64">
      <c r="BB215" s="23">
        <v>0</v>
      </c>
      <c r="BC215" s="23">
        <v>0</v>
      </c>
      <c r="BD215" s="23">
        <v>70</v>
      </c>
      <c r="BE215" s="23">
        <v>76.473626318786884</v>
      </c>
      <c r="BF215" s="23">
        <v>77.964984079225886</v>
      </c>
      <c r="BG215" s="23">
        <v>82.004742441527583</v>
      </c>
      <c r="BH215" s="23">
        <v>86.250026450902865</v>
      </c>
      <c r="BI215" s="23">
        <v>90.711200832929393</v>
      </c>
      <c r="BJ215" s="23">
        <v>95.399150760544245</v>
      </c>
      <c r="BK215" s="23">
        <v>100.3253079316891</v>
      </c>
      <c r="BL215" s="23">
        <v>105.50167795221913</v>
      </c>
    </row>
  </sheetData>
  <sheetProtection algorithmName="SHA-512" hashValue="efXQlzInmufBgiIRiHdGXVFUQz+iEfURb7tZAYqKEfm654Edd5g2lCE8ExV9RgbYyGxoYYfW67uRmUslkCrusA==" saltValue="5K+8w3vCW0pZ0VMHrZhrig==" spinCount="100000" sheet="1" objects="1" scenarios="1" selectLockedCells="1" selectUnlockedCells="1"/>
  <mergeCells count="2">
    <mergeCell ref="I19:I20"/>
    <mergeCell ref="P19:P20"/>
  </mergeCells>
  <phoneticPr fontId="3" type="noConversion"/>
  <conditionalFormatting sqref="F94:AZ97">
    <cfRule type="colorScale" priority="1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1" xr:uid="{00000000-0002-0000-0000-000000000000}">
      <formula1>"1,2,3"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BE15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R45"/>
  <sheetViews>
    <sheetView topLeftCell="A28" workbookViewId="0">
      <selection activeCell="E42" sqref="E42"/>
    </sheetView>
  </sheetViews>
  <sheetFormatPr baseColWidth="10" defaultColWidth="8.83203125" defaultRowHeight="13"/>
  <cols>
    <col min="4" max="4" width="13.6640625" customWidth="1"/>
    <col min="5" max="5" width="12" customWidth="1"/>
    <col min="6" max="15" width="10.33203125" bestFit="1" customWidth="1"/>
  </cols>
  <sheetData>
    <row r="2" spans="4:18">
      <c r="D2" s="1" t="e">
        <f>'Домодедово Парк'!#REF!</f>
        <v>#REF!</v>
      </c>
    </row>
    <row r="3" spans="4:18">
      <c r="E3">
        <v>0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</row>
    <row r="4" spans="4:18">
      <c r="E4" t="s">
        <v>80</v>
      </c>
      <c r="F4" s="1" t="e">
        <f>EOMONTH(D2,12)</f>
        <v>#REF!</v>
      </c>
      <c r="G4" s="1" t="e">
        <f t="shared" ref="G4:O4" si="0">EOMONTH(F4,12)</f>
        <v>#REF!</v>
      </c>
      <c r="H4" s="1" t="e">
        <f t="shared" si="0"/>
        <v>#REF!</v>
      </c>
      <c r="I4" s="1" t="e">
        <f t="shared" si="0"/>
        <v>#REF!</v>
      </c>
      <c r="J4" s="1" t="e">
        <f t="shared" si="0"/>
        <v>#REF!</v>
      </c>
      <c r="K4" s="1" t="e">
        <f t="shared" si="0"/>
        <v>#REF!</v>
      </c>
      <c r="L4" s="1" t="e">
        <f t="shared" si="0"/>
        <v>#REF!</v>
      </c>
      <c r="M4" s="1" t="e">
        <f t="shared" si="0"/>
        <v>#REF!</v>
      </c>
      <c r="N4" s="1" t="e">
        <f t="shared" si="0"/>
        <v>#REF!</v>
      </c>
      <c r="O4" s="1" t="e">
        <f t="shared" si="0"/>
        <v>#REF!</v>
      </c>
      <c r="P4" s="1"/>
      <c r="Q4" s="1"/>
    </row>
    <row r="5" spans="4:18">
      <c r="D5" t="s">
        <v>81</v>
      </c>
      <c r="E5" s="5">
        <v>10000</v>
      </c>
      <c r="F5" s="5" t="e">
        <f>HLOOKUP(F4,'Домодедово Парк'!$G$93:$AV$173,81,0)</f>
        <v>#REF!</v>
      </c>
      <c r="G5" s="5" t="e">
        <f>HLOOKUP(G4,'Домодедово Парк'!$G$93:$AV$173,81,0)</f>
        <v>#REF!</v>
      </c>
      <c r="H5" s="5" t="e">
        <f>HLOOKUP(H4,'Домодедово Парк'!$G$93:$AV$173,81,0)</f>
        <v>#REF!</v>
      </c>
      <c r="I5" s="5" t="e">
        <f>HLOOKUP(I4,'Домодедово Парк'!$G$93:$AV$173,81,0)</f>
        <v>#REF!</v>
      </c>
      <c r="J5" s="5" t="e">
        <f>HLOOKUP(J4,'Домодедово Парк'!$G$93:$AV$173,81,0)</f>
        <v>#REF!</v>
      </c>
      <c r="K5" s="5" t="e">
        <f>HLOOKUP(K4,'Домодедово Парк'!$G$93:$AV$173,81,0)</f>
        <v>#REF!</v>
      </c>
      <c r="L5" s="5" t="e">
        <f>HLOOKUP(L4,'Домодедово Парк'!$G$93:$AV$173,81,0)</f>
        <v>#REF!</v>
      </c>
      <c r="M5" s="5" t="e">
        <f>HLOOKUP(M4,'Домодедово Парк'!$G$93:$AV$173,81,0)</f>
        <v>#REF!</v>
      </c>
      <c r="N5" s="5" t="e">
        <f>HLOOKUP(N4,'Домодедово Парк'!$G$93:$AV$173,81,0)</f>
        <v>#REF!</v>
      </c>
      <c r="O5" s="5" t="e">
        <f>HLOOKUP(O4,'Домодедово Парк'!$G$93:$AV$173,81,0)</f>
        <v>#REF!</v>
      </c>
    </row>
    <row r="6" spans="4:18">
      <c r="D6" t="s">
        <v>79</v>
      </c>
      <c r="E6" s="5">
        <v>0</v>
      </c>
      <c r="F6" s="5" t="e">
        <f>SUMIF('Домодедово Парк'!#REF!,F3,'Домодедово Парк'!#REF!)</f>
        <v>#REF!</v>
      </c>
      <c r="G6" s="5" t="e">
        <f>SUMIF('Домодедово Парк'!#REF!,G3,'Домодедово Парк'!#REF!)</f>
        <v>#REF!</v>
      </c>
      <c r="H6" s="5" t="e">
        <f>SUMIF('Домодедово Парк'!#REF!,H3,'Домодедово Парк'!#REF!)</f>
        <v>#REF!</v>
      </c>
      <c r="I6" s="5" t="e">
        <f>SUMIF('Домодедово Парк'!#REF!,I3,'Домодедово Парк'!#REF!)</f>
        <v>#REF!</v>
      </c>
      <c r="J6" s="5" t="e">
        <f>SUMIF('Домодедово Парк'!#REF!,J3,'Домодедово Парк'!#REF!)</f>
        <v>#REF!</v>
      </c>
      <c r="K6" s="5" t="e">
        <f>SUMIF('Домодедово Парк'!#REF!,K3,'Домодедово Парк'!#REF!)</f>
        <v>#REF!</v>
      </c>
      <c r="L6" s="5" t="e">
        <f>SUMIF('Домодедово Парк'!#REF!,L3,'Домодедово Парк'!#REF!)</f>
        <v>#REF!</v>
      </c>
      <c r="M6" s="5" t="e">
        <f>SUMIF('Домодедово Парк'!#REF!,M3,'Домодедово Парк'!#REF!)</f>
        <v>#REF!</v>
      </c>
      <c r="N6" s="5" t="e">
        <f>SUMIF('Домодедово Парк'!#REF!,N3,'Домодедово Парк'!#REF!)</f>
        <v>#REF!</v>
      </c>
      <c r="O6" s="5" t="e">
        <f>SUMIF('Домодедово Парк'!#REF!,O3,'Домодедово Парк'!#REF!)</f>
        <v>#REF!</v>
      </c>
    </row>
    <row r="9" spans="4:18">
      <c r="E9" t="str">
        <f>E4</f>
        <v>покупка</v>
      </c>
      <c r="F9" s="1" t="s">
        <v>52</v>
      </c>
      <c r="G9" s="1" t="s">
        <v>53</v>
      </c>
      <c r="H9" s="1" t="s">
        <v>54</v>
      </c>
      <c r="I9" s="1" t="s">
        <v>83</v>
      </c>
      <c r="J9" s="1" t="s">
        <v>55</v>
      </c>
      <c r="K9" s="1" t="s">
        <v>56</v>
      </c>
      <c r="L9" s="1" t="s">
        <v>57</v>
      </c>
      <c r="M9" s="1" t="s">
        <v>58</v>
      </c>
      <c r="N9" s="1" t="s">
        <v>59</v>
      </c>
      <c r="O9" s="1" t="s">
        <v>60</v>
      </c>
    </row>
    <row r="10" spans="4:18">
      <c r="D10" t="str">
        <f>D5</f>
        <v xml:space="preserve">Цена акции </v>
      </c>
      <c r="E10" s="3">
        <f>E5</f>
        <v>10000</v>
      </c>
      <c r="F10" s="3" t="e">
        <f>E10*(1+$P$10)</f>
        <v>#REF!</v>
      </c>
      <c r="G10" s="3" t="e">
        <f t="shared" ref="G10:N10" si="1">F10*(1+$P$10)</f>
        <v>#REF!</v>
      </c>
      <c r="H10" s="3" t="e">
        <f t="shared" si="1"/>
        <v>#REF!</v>
      </c>
      <c r="I10" s="3" t="e">
        <f t="shared" si="1"/>
        <v>#REF!</v>
      </c>
      <c r="J10" s="3" t="e">
        <f t="shared" si="1"/>
        <v>#REF!</v>
      </c>
      <c r="K10" s="3" t="e">
        <f t="shared" si="1"/>
        <v>#REF!</v>
      </c>
      <c r="L10" s="3" t="e">
        <f t="shared" si="1"/>
        <v>#REF!</v>
      </c>
      <c r="M10" s="3" t="e">
        <f t="shared" si="1"/>
        <v>#REF!</v>
      </c>
      <c r="N10" s="3" t="e">
        <f t="shared" si="1"/>
        <v>#REF!</v>
      </c>
      <c r="O10" s="3" t="e">
        <f t="shared" ref="O10" si="2">O5</f>
        <v>#REF!</v>
      </c>
      <c r="P10" s="6" t="e">
        <f>(O10/E10)^(1/10)-1</f>
        <v>#REF!</v>
      </c>
    </row>
    <row r="11" spans="4:18">
      <c r="D11" t="s">
        <v>82</v>
      </c>
      <c r="E11">
        <f>E6*8</f>
        <v>0</v>
      </c>
      <c r="F11" t="e">
        <f t="shared" ref="F11:O11" si="3">F6*8</f>
        <v>#REF!</v>
      </c>
      <c r="G11" t="e">
        <f t="shared" si="3"/>
        <v>#REF!</v>
      </c>
      <c r="H11" t="e">
        <f t="shared" si="3"/>
        <v>#REF!</v>
      </c>
      <c r="I11" t="e">
        <f t="shared" si="3"/>
        <v>#REF!</v>
      </c>
      <c r="J11" t="e">
        <f t="shared" si="3"/>
        <v>#REF!</v>
      </c>
      <c r="K11" t="e">
        <f t="shared" si="3"/>
        <v>#REF!</v>
      </c>
      <c r="L11" t="e">
        <f t="shared" si="3"/>
        <v>#REF!</v>
      </c>
      <c r="M11" t="e">
        <f t="shared" si="3"/>
        <v>#REF!</v>
      </c>
      <c r="N11" t="e">
        <f t="shared" si="3"/>
        <v>#REF!</v>
      </c>
      <c r="O11" t="e">
        <f t="shared" si="3"/>
        <v>#REF!</v>
      </c>
      <c r="Q11" t="e">
        <f>(O10+SUM(E6:O6))/E10</f>
        <v>#REF!</v>
      </c>
      <c r="R11" t="e">
        <f>O10/E10</f>
        <v>#REF!</v>
      </c>
    </row>
    <row r="13" spans="4:18">
      <c r="Q13" t="e">
        <f>SUM(E6:O6)/E5</f>
        <v>#REF!</v>
      </c>
    </row>
    <row r="44" spans="5:17">
      <c r="F44" t="s">
        <v>80</v>
      </c>
      <c r="G44" t="s">
        <v>34</v>
      </c>
      <c r="H44" t="s">
        <v>84</v>
      </c>
      <c r="I44" t="s">
        <v>85</v>
      </c>
      <c r="J44" t="s">
        <v>86</v>
      </c>
      <c r="K44" t="s">
        <v>87</v>
      </c>
      <c r="L44" t="s">
        <v>88</v>
      </c>
    </row>
    <row r="45" spans="5:17">
      <c r="E45" s="3"/>
      <c r="F45" s="3">
        <v>10000</v>
      </c>
      <c r="G45" s="3"/>
      <c r="H45" s="3"/>
      <c r="I45" s="3"/>
      <c r="J45" s="3"/>
      <c r="K45" s="3"/>
      <c r="L45" s="3">
        <v>15059</v>
      </c>
      <c r="M45" s="3"/>
      <c r="N45" s="3"/>
      <c r="O45" s="3"/>
      <c r="P45" s="3"/>
      <c r="Q45" s="3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M10"/>
  <sheetViews>
    <sheetView workbookViewId="0">
      <selection activeCell="G38" sqref="G38"/>
    </sheetView>
  </sheetViews>
  <sheetFormatPr baseColWidth="10" defaultColWidth="8.83203125" defaultRowHeight="13"/>
  <cols>
    <col min="4" max="4" width="13.1640625" customWidth="1"/>
  </cols>
  <sheetData>
    <row r="3" spans="4:13">
      <c r="E3">
        <v>0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</row>
    <row r="4" spans="4:13">
      <c r="E4" s="1" t="s">
        <v>80</v>
      </c>
      <c r="F4" s="1">
        <v>45382</v>
      </c>
      <c r="G4" s="1">
        <v>45473</v>
      </c>
      <c r="H4" s="1">
        <v>45565</v>
      </c>
      <c r="I4" s="1">
        <v>45657</v>
      </c>
      <c r="J4" s="1">
        <v>45747</v>
      </c>
      <c r="K4" s="1">
        <v>45838</v>
      </c>
      <c r="L4">
        <f>K4-F4</f>
        <v>456</v>
      </c>
    </row>
    <row r="5" spans="4:13">
      <c r="D5" t="s">
        <v>81</v>
      </c>
      <c r="E5" s="3">
        <v>10000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15058.638482969463</v>
      </c>
      <c r="M5" s="2">
        <f>(K5/E5)^(1/K3)-1</f>
        <v>7.0609151037329676E-2</v>
      </c>
    </row>
    <row r="6" spans="4:13">
      <c r="D6" t="s">
        <v>79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/>
    </row>
    <row r="10" spans="4:13">
      <c r="L10" s="4" t="e">
        <f>YEARFRAC('Домодедово Парк'!#REF!,K4)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Калькулятор инвестора</vt:lpstr>
      <vt:lpstr>Домодедово Парк</vt:lpstr>
      <vt:lpstr>Sheet2</vt:lpstr>
      <vt:lpstr>Sheet1</vt:lpstr>
      <vt:lpstr>'Домодедово Парк'!exit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VRyabov Investment Analyst @SimpleEstate</dc:creator>
  <cp:lastModifiedBy>k633</cp:lastModifiedBy>
  <dcterms:created xsi:type="dcterms:W3CDTF">2023-03-28T06:36:12Z</dcterms:created>
  <dcterms:modified xsi:type="dcterms:W3CDTF">2025-07-03T11:28:08Z</dcterms:modified>
</cp:coreProperties>
</file>