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1"/>
  <workbookPr updateLinks="always" defaultThemeVersion="166925"/>
  <mc:AlternateContent xmlns:mc="http://schemas.openxmlformats.org/markup-compatibility/2006">
    <mc:Choice Requires="x15">
      <x15ac:absPath xmlns:x15ac="http://schemas.microsoft.com/office/spreadsheetml/2010/11/ac" url="/Users/vryabov/Desktop/SE/Офис/3й раунд ICity/"/>
    </mc:Choice>
  </mc:AlternateContent>
  <xr:revisionPtr revIDLastSave="0" documentId="13_ncr:1_{28054B17-09B9-BC44-B86C-66A65ECD5C54}" xr6:coauthVersionLast="47" xr6:coauthVersionMax="47" xr10:uidLastSave="{00000000-0000-0000-0000-000000000000}"/>
  <bookViews>
    <workbookView xWindow="0" yWindow="760" windowWidth="34200" windowHeight="21380" xr2:uid="{00000000-000D-0000-FFFF-FFFF00000000}"/>
  </bookViews>
  <sheets>
    <sheet name="Калькулятор инвестора" sheetId="5" r:id="rId1"/>
    <sheet name="Модель" sheetId="2" r:id="rId2"/>
    <sheet name="Sheet2" sheetId="4" state="hidden" r:id="rId3"/>
    <sheet name="Sheet1" sheetId="3" state="hidden" r:id="rId4"/>
  </sheets>
  <definedNames>
    <definedName name="___________AD900001">#REF!</definedName>
    <definedName name="___________AD90001">#REF!</definedName>
    <definedName name="___________B900001">#REF!</definedName>
    <definedName name="___________B90001">#REF!</definedName>
    <definedName name="__________AD900001">#REF!</definedName>
    <definedName name="__________AD90001">#REF!</definedName>
    <definedName name="__________B900001">#REF!</definedName>
    <definedName name="__________B90001">#REF!</definedName>
    <definedName name="_________AD900001">#REF!</definedName>
    <definedName name="_________AD90001">#REF!</definedName>
    <definedName name="_________B900001">#REF!</definedName>
    <definedName name="_________B90001">#REF!</definedName>
    <definedName name="________AD900001">#REF!</definedName>
    <definedName name="________AD90001">#REF!</definedName>
    <definedName name="________B900001">#REF!</definedName>
    <definedName name="________B90001">#REF!</definedName>
    <definedName name="_______AD900001">#REF!</definedName>
    <definedName name="_______AD90001">#REF!</definedName>
    <definedName name="_______B900001">#REF!</definedName>
    <definedName name="_______B90001">#REF!</definedName>
    <definedName name="______AD900001">#REF!</definedName>
    <definedName name="______AD90001">#REF!</definedName>
    <definedName name="______B900001">#REF!</definedName>
    <definedName name="______B90001">#REF!</definedName>
    <definedName name="_____AD900001">#REF!</definedName>
    <definedName name="_____AD90001">#REF!</definedName>
    <definedName name="_____B900001">#REF!</definedName>
    <definedName name="_____B90001">#REF!</definedName>
    <definedName name="____AD900001">#REF!</definedName>
    <definedName name="____AD90001">#REF!</definedName>
    <definedName name="____B900001">#REF!</definedName>
    <definedName name="____B90001">#REF!</definedName>
    <definedName name="___AD900001">#REF!</definedName>
    <definedName name="___AD90001">#REF!</definedName>
    <definedName name="___B900001">#REF!</definedName>
    <definedName name="___B90001">#REF!</definedName>
    <definedName name="__AD900001">#REF!</definedName>
    <definedName name="__AD90001">#REF!</definedName>
    <definedName name="__B900001">#REF!</definedName>
    <definedName name="__B90001">#REF!</definedName>
    <definedName name="__DSCR">#REF!</definedName>
    <definedName name="__ESTATE">#REF!</definedName>
    <definedName name="_налог_на_имущество">#REF!</definedName>
    <definedName name="_налог_на_прибыль">#REF!</definedName>
    <definedName name="_ставка_аренды_">#REF!</definedName>
    <definedName name="_AD900001">#REF!</definedName>
    <definedName name="_AD90001">#REF!</definedName>
    <definedName name="_B900001">#REF!</definedName>
    <definedName name="_B90001">#REF!</definedName>
    <definedName name="_di2">#REF!</definedName>
    <definedName name="_j1">#REF!</definedName>
    <definedName name="_Order1" hidden="1">0</definedName>
    <definedName name="_RG1">#REF!</definedName>
    <definedName name="_RG2">#REF!</definedName>
    <definedName name="_RG3">#REF!</definedName>
    <definedName name="_RG4">#REF!</definedName>
    <definedName name="_RG5">#REF!</definedName>
    <definedName name="_RG6">#REF!</definedName>
    <definedName name="авы">#REF!</definedName>
    <definedName name="актуальность_БТИ">#REF!</definedName>
    <definedName name="актуальность_ЕГРП">#REF!</definedName>
    <definedName name="аморт.">#REF!</definedName>
    <definedName name="апартаменты">#REF!</definedName>
    <definedName name="апп">#REF!</definedName>
    <definedName name="ар">#REF!</definedName>
    <definedName name="ар_08">#REF!</definedName>
    <definedName name="ар_09">#REF!</definedName>
    <definedName name="ар_10">#REF!</definedName>
    <definedName name="ар_11">#REF!</definedName>
    <definedName name="ар_12">#REF!</definedName>
    <definedName name="ар_13">#REF!</definedName>
    <definedName name="ар_14">#REF!</definedName>
    <definedName name="ар_15">#REF!</definedName>
    <definedName name="ар_2008">#REF!</definedName>
    <definedName name="ар_2009">#REF!</definedName>
    <definedName name="ар_2010">#REF!</definedName>
    <definedName name="ар_2011">#REF!</definedName>
    <definedName name="ар_2012">#REF!</definedName>
    <definedName name="ар_2013">#REF!</definedName>
    <definedName name="ар_2014">#REF!</definedName>
    <definedName name="ар_2015">#REF!</definedName>
    <definedName name="ар_прощадь">#REF!</definedName>
    <definedName name="ар_ст">#REF!</definedName>
    <definedName name="ар_ставка_офис" localSheetId="0" hidden="1">{"Inflation-BaseYear",#N/A,FALSE,"Inputs"}</definedName>
    <definedName name="ар_ставка_офис" hidden="1">{"Inflation-BaseYear",#N/A,FALSE,"Inputs"}</definedName>
    <definedName name="аренда">#REF!</definedName>
    <definedName name="аренда2">#REF!</definedName>
    <definedName name="Арендопригодная_площадь__кв.м.">#REF!</definedName>
    <definedName name="АрПлата">#REF!</definedName>
    <definedName name="арт">#REF!</definedName>
    <definedName name="ашан">#REF!</definedName>
    <definedName name="ашан2">#REF!</definedName>
    <definedName name="Бал">#REF!</definedName>
    <definedName name="бал_ст">#REF!</definedName>
    <definedName name="баланс_ст">#REF!</definedName>
    <definedName name="баланс_стоим_покупка">#REF!</definedName>
    <definedName name="БалКК">#REF!</definedName>
    <definedName name="Бренд_С">#REF!</definedName>
    <definedName name="Бытовые_помещения_Гипермаркета">#REF!</definedName>
    <definedName name="валют_изм">#REF!</definedName>
    <definedName name="Вид_залога_2">#REF!</definedName>
    <definedName name="вид_обеспечения">#REF!</definedName>
    <definedName name="возм_ндс">#REF!</definedName>
    <definedName name="вп">#REF!</definedName>
    <definedName name="впо">#REF!</definedName>
    <definedName name="время">#REF!</definedName>
    <definedName name="гал_эк">#REF!</definedName>
    <definedName name="гипермаркет">#REF!</definedName>
    <definedName name="год">#REF!</definedName>
    <definedName name="группа">#REF!</definedName>
    <definedName name="группа2">#REF!</definedName>
    <definedName name="д">#REF!</definedName>
    <definedName name="дис">#REF!</definedName>
    <definedName name="дис1">#REF!</definedName>
    <definedName name="дисконт">#REF!</definedName>
    <definedName name="дол">#REF!</definedName>
    <definedName name="дол1">#REF!</definedName>
    <definedName name="долл">#REF!</definedName>
    <definedName name="долл1">#REF!</definedName>
    <definedName name="Доллар">#REF!</definedName>
    <definedName name="дор">#REF!</definedName>
    <definedName name="дос">#REF!</definedName>
    <definedName name="дох">#REF!</definedName>
    <definedName name="е">#REF!</definedName>
    <definedName name="е1">#REF!</definedName>
    <definedName name="Е41">#REF!</definedName>
    <definedName name="евр">#REF!</definedName>
    <definedName name="евро">#REF!</definedName>
    <definedName name="ЕГИ">#REF!</definedName>
    <definedName name="еще">#REF!</definedName>
    <definedName name="Заемные_средсва">#REF!</definedName>
    <definedName name="затраты">#REF!</definedName>
    <definedName name="затраты_на_квадрат">#REF!</definedName>
    <definedName name="Затрнов">#REF!</definedName>
    <definedName name="значимость">#REF!</definedName>
    <definedName name="значимость2">#REF!</definedName>
    <definedName name="Зона_посадочных_мест_кафе">#REF!</definedName>
    <definedName name="измен_валют">#REF!</definedName>
    <definedName name="имущ">#REF!</definedName>
    <definedName name="Имя_Проекта">#REF!</definedName>
    <definedName name="Инвестиции">#REF!</definedName>
    <definedName name="Инвестиции_без_учета_продаж__в_т_.ч.">#REF!</definedName>
    <definedName name="Индекс_стоимости">#REF!</definedName>
    <definedName name="ИНН_З">#REF!</definedName>
    <definedName name="источник_стоимости">#REF!</definedName>
    <definedName name="источник_стоимости2">#REF!</definedName>
    <definedName name="к">#REF!</definedName>
    <definedName name="Категории">#REF!</definedName>
    <definedName name="категория_земель">#REF!</definedName>
    <definedName name="категория_земель2">#REF!</definedName>
    <definedName name="категория_обеспечения2">#REF!</definedName>
    <definedName name="квартиры_бизнес">#REF!</definedName>
    <definedName name="квартиры_премиум">#REF!</definedName>
    <definedName name="квартиы_бизнес">#REF!</definedName>
    <definedName name="ккк">#REF!</definedName>
    <definedName name="ком.рас">#REF!</definedName>
    <definedName name="ком.расх">#REF!</definedName>
    <definedName name="Контрагент">#REF!</definedName>
    <definedName name="Конференц_центр">#REF!</definedName>
    <definedName name="кор">#REF!</definedName>
    <definedName name="Коттеджи">#REF!</definedName>
    <definedName name="Кредит_инв">#REF!</definedName>
    <definedName name="Кредит_реф">#REF!</definedName>
    <definedName name="Кредит_Сбербанка">#REF!</definedName>
    <definedName name="кс80м">#REF!</definedName>
    <definedName name="КТП">#REF!</definedName>
    <definedName name="Курс">#REF!</definedName>
    <definedName name="Кухня_кафе">#REF!</definedName>
    <definedName name="лд">#REF!</definedName>
    <definedName name="Лечебный_центр">#REF!</definedName>
    <definedName name="ликвидность">#REF!</definedName>
    <definedName name="ликвидность2">#REF!</definedName>
    <definedName name="ллл">#REF!</definedName>
    <definedName name="лоир">#REF!</definedName>
    <definedName name="Мульт1">#REF!</definedName>
    <definedName name="Мульт2">#REF!</definedName>
    <definedName name="Н">#REF!</definedName>
    <definedName name="назначение_строний">#REF!</definedName>
    <definedName name="Наим_З">#REF!</definedName>
    <definedName name="нам">#REF!</definedName>
    <definedName name="ндс">#REF!</definedName>
    <definedName name="ндс_возмещ">#REF!</definedName>
    <definedName name="ни">#REF!</definedName>
    <definedName name="ниц">#REF!</definedName>
    <definedName name="нни">#REF!</definedName>
    <definedName name="ннти">#REF!</definedName>
    <definedName name="Норма_амортизации">#REF!</definedName>
    <definedName name="нп">#REF!</definedName>
    <definedName name="обременения">#REF!</definedName>
    <definedName name="Объекты">#REF!</definedName>
    <definedName name="осмотр">#REF!</definedName>
    <definedName name="Ост_стоимость">#REF!</definedName>
    <definedName name="ост.стоимость">#REF!</definedName>
    <definedName name="офисы_встр">#REF!</definedName>
    <definedName name="Очередь">#REF!</definedName>
    <definedName name="очередь1">#REF!</definedName>
    <definedName name="очередь2">#REF!</definedName>
    <definedName name="очередь3">#REF!</definedName>
    <definedName name="паркинг_жилой">#REF!</definedName>
    <definedName name="пентх_пл">#REF!</definedName>
    <definedName name="пентх_прод">#REF!</definedName>
    <definedName name="пентх_проц">#REF!</definedName>
    <definedName name="пентх_цена">#REF!</definedName>
    <definedName name="первыйпл">#REF!</definedName>
    <definedName name="Площадь">#REF!</definedName>
    <definedName name="площадь_Бриз">#REF!</definedName>
    <definedName name="Площадь_гипермаркета__кв.м.">#REF!</definedName>
    <definedName name="площадь_земли">#REF!</definedName>
    <definedName name="Площадь_продаваемой_якорю_выставки__кв.м.">#REF!</definedName>
    <definedName name="Площадь_С">#REF!</definedName>
    <definedName name="площадькв">#REF!</definedName>
    <definedName name="Подсобное_помещение">#REF!</definedName>
    <definedName name="Подсобное_помещение_20">#REF!</definedName>
    <definedName name="Подсобное_помещение_гипермаркета">#REF!</definedName>
    <definedName name="Подсобное_помещение20">#REF!</definedName>
    <definedName name="пол">#REF!</definedName>
    <definedName name="права_на_зу">#REF!</definedName>
    <definedName name="приб">#REF!</definedName>
    <definedName name="продажа">#REF!</definedName>
    <definedName name="продукт">#REF!</definedName>
    <definedName name="процент">#REF!</definedName>
    <definedName name="Процент_себестомость">#REF!</definedName>
    <definedName name="процент1">#REF!</definedName>
    <definedName name="процент2">#REF!</definedName>
    <definedName name="процент2006">#REF!</definedName>
    <definedName name="процент3">#REF!</definedName>
    <definedName name="процент4">#REF!</definedName>
    <definedName name="Процентная_ставка_">#REF!</definedName>
    <definedName name="Процентная_ставка_2">#REF!</definedName>
    <definedName name="Процентная_ставка_3">#REF!</definedName>
    <definedName name="проценты">#REF!</definedName>
    <definedName name="пя">#REF!</definedName>
    <definedName name="р">#REF!</definedName>
    <definedName name="р1">#REF!</definedName>
    <definedName name="р2">#REF!</definedName>
    <definedName name="р3">#REF!</definedName>
    <definedName name="Разгрузочная">#REF!</definedName>
    <definedName name="Расход1">#REF!</definedName>
    <definedName name="рез">#REF!</definedName>
    <definedName name="рок">#REF!</definedName>
    <definedName name="рост_паден">#REF!</definedName>
    <definedName name="Рыночный">#REF!</definedName>
    <definedName name="с">#REF!</definedName>
    <definedName name="с17">#REF!</definedName>
    <definedName name="Сбербанк">#REF!</definedName>
    <definedName name="св">#REF!</definedName>
    <definedName name="Сдаваемая_площадь">#REF!</definedName>
    <definedName name="ск4">#REF!</definedName>
    <definedName name="ск62">#REF!</definedName>
    <definedName name="ск79">#REF!</definedName>
    <definedName name="ск80б">#REF!</definedName>
    <definedName name="ск80к">#REF!</definedName>
    <definedName name="скид">#REF!</definedName>
    <definedName name="скпл">#REF!</definedName>
    <definedName name="смр">#REF!</definedName>
    <definedName name="сор">#REF!</definedName>
    <definedName name="ср1">#REF!</definedName>
    <definedName name="ср2">#REF!</definedName>
    <definedName name="ср3">#REF!</definedName>
    <definedName name="Средняя_ставка_аренды_за_1_кв.м__арендопригодной_площади____год_с_учетом_НДС_и_эксплуатационных_расходов">#REF!</definedName>
    <definedName name="срок">#REF!</definedName>
    <definedName name="ст1">#REF!</definedName>
    <definedName name="ст2">#REF!</definedName>
    <definedName name="ст3">#REF!</definedName>
    <definedName name="став_капитал">#REF!</definedName>
    <definedName name="став_кр">#REF!</definedName>
    <definedName name="став_реф">#REF!</definedName>
    <definedName name="став_рефен">#REF!</definedName>
    <definedName name="став_рефенанс">#REF!</definedName>
    <definedName name="ставка">#REF!</definedName>
    <definedName name="Ставка_1">#REF!</definedName>
    <definedName name="Ставка_2">#REF!</definedName>
    <definedName name="Ставка_3">#REF!</definedName>
    <definedName name="ставка_аренды">#REF!</definedName>
    <definedName name="Ставка_кредита">#REF!</definedName>
    <definedName name="Ставка_налога_на_имущество">#REF!</definedName>
    <definedName name="Ставка_налога_на_прибыль">#REF!</definedName>
    <definedName name="Ставка_НДС">#REF!</definedName>
    <definedName name="Ставка_по_кредиту">#REF!</definedName>
    <definedName name="Ставка_С">#REF!</definedName>
    <definedName name="Столовая_Гипермаркета">#REF!</definedName>
    <definedName name="страхование_наличие">#REF!</definedName>
    <definedName name="страхование_необходимость">#REF!</definedName>
    <definedName name="строительство">#REF!</definedName>
    <definedName name="сумма_аренды">#REF!</definedName>
    <definedName name="СуммаЗайма">#REF!</definedName>
    <definedName name="СуммаКредита">#REF!</definedName>
    <definedName name="сф3">#REF!</definedName>
    <definedName name="ся1">#REF!</definedName>
    <definedName name="ся2">#REF!</definedName>
    <definedName name="ся3">#REF!</definedName>
    <definedName name="т1">#REF!</definedName>
    <definedName name="т2">#REF!</definedName>
    <definedName name="т3">#REF!</definedName>
    <definedName name="ТГ">#REF!</definedName>
    <definedName name="тип_залога">#REF!+#REF!</definedName>
    <definedName name="тип_залога_Итог">#REF!</definedName>
    <definedName name="Тип_С">#REF!</definedName>
    <definedName name="торговля_встр">#REF!</definedName>
    <definedName name="торговля_встр_аренда">#REF!</definedName>
    <definedName name="ТЭН">#REF!</definedName>
    <definedName name="удор">#REF!</definedName>
    <definedName name="УearOpen">#REF!</definedName>
    <definedName name="ф3">#REF!</definedName>
    <definedName name="фаза">#REF!</definedName>
    <definedName name="х">#REF!</definedName>
    <definedName name="цель_рассмотрения">#REF!</definedName>
    <definedName name="Шаг">#REF!</definedName>
    <definedName name="щз">#REF!</definedName>
    <definedName name="ы">#REF!</definedName>
    <definedName name="экс_гип">#REF!</definedName>
    <definedName name="Экспл_якоря____кв.м._год">#REF!</definedName>
    <definedName name="экспл.расх">#REF!</definedName>
    <definedName name="Этаж_С">#REF!</definedName>
    <definedName name="эя">#REF!</definedName>
    <definedName name="я1">#REF!</definedName>
    <definedName name="я2">#REF!</definedName>
    <definedName name="я3">#REF!</definedName>
    <definedName name="як_эк">#REF!</definedName>
    <definedName name="як_эк2">#REF!</definedName>
    <definedName name="A_44">#REF!</definedName>
    <definedName name="a\\">100</definedName>
    <definedName name="About_AI">#REF!</definedName>
    <definedName name="About_AI_Summ">#REF!</definedName>
    <definedName name="adg">#REF!</definedName>
    <definedName name="adm_end_1">#REF!</definedName>
    <definedName name="adm_end_10">#REF!</definedName>
    <definedName name="adm_end_11">#REF!</definedName>
    <definedName name="adm_end_12">#REF!</definedName>
    <definedName name="adm_end_13">#REF!</definedName>
    <definedName name="adm_end_16">#REF!</definedName>
    <definedName name="adm_end_17">#REF!</definedName>
    <definedName name="adm_end_18">#REF!</definedName>
    <definedName name="adm_end_19">#REF!</definedName>
    <definedName name="adm_end_2">#REF!</definedName>
    <definedName name="adm_end_20">#REF!</definedName>
    <definedName name="adm_end_21">#REF!</definedName>
    <definedName name="adm_end_3">#REF!</definedName>
    <definedName name="adm_end_4">#REF!</definedName>
    <definedName name="adm_end_5">#REF!</definedName>
    <definedName name="adm_end_6">#REF!</definedName>
    <definedName name="adm_end_7">#REF!</definedName>
    <definedName name="adm_end_8">#REF!</definedName>
    <definedName name="adm_start_1">#REF!</definedName>
    <definedName name="adm_start_10">#REF!</definedName>
    <definedName name="adm_start_11">#REF!</definedName>
    <definedName name="adm_start_12">#REF!</definedName>
    <definedName name="adm_start_13">#REF!</definedName>
    <definedName name="adm_start_16">#REF!</definedName>
    <definedName name="adm_start_17">#REF!</definedName>
    <definedName name="adm_start_18">#REF!</definedName>
    <definedName name="adm_start_19">#REF!</definedName>
    <definedName name="adm_start_2">#REF!</definedName>
    <definedName name="adm_start_20">#REF!</definedName>
    <definedName name="adm_start_21">#REF!</definedName>
    <definedName name="adm_start_3">#REF!</definedName>
    <definedName name="adm_start_4">#REF!</definedName>
    <definedName name="adm_start_5">#REF!</definedName>
    <definedName name="adm_start_6">#REF!</definedName>
    <definedName name="adm_start_7">#REF!</definedName>
    <definedName name="adm_start_8">#REF!</definedName>
    <definedName name="AI_Version">#REF!</definedName>
    <definedName name="ann_rent">#REF!</definedName>
    <definedName name="Annual_interest_rate">#REF!</definedName>
    <definedName name="aq">#REF!</definedName>
    <definedName name="ARE">#REF!</definedName>
    <definedName name="area">#REF!</definedName>
    <definedName name="area_s">#REF!</definedName>
    <definedName name="aruanne">#REF!</definedName>
    <definedName name="asset_count_1">#REF!</definedName>
    <definedName name="asset_count_2">#REF!</definedName>
    <definedName name="asset_count_3">#REF!</definedName>
    <definedName name="assetvalue">#REF!</definedName>
    <definedName name="aver_rate_end">#REF!</definedName>
    <definedName name="aver_rate_start">#REF!</definedName>
    <definedName name="aver_ratej_end">#REF!</definedName>
    <definedName name="aver_ratej_start">#REF!</definedName>
    <definedName name="aver_ratemj_end">#REF!</definedName>
    <definedName name="aver_ratemj_start">#REF!</definedName>
    <definedName name="average_ticket" localSheetId="0">#REF!</definedName>
    <definedName name="average_ticket">#REF!</definedName>
    <definedName name="b10p1">#REF!</definedName>
    <definedName name="b10p2">#REF!</definedName>
    <definedName name="b4p1">#REF!</definedName>
    <definedName name="B4p2">#REF!</definedName>
    <definedName name="b5p1">#REF!</definedName>
    <definedName name="b5p2">#REF!</definedName>
    <definedName name="b6p1">#REF!</definedName>
    <definedName name="b6p2">#REF!</definedName>
    <definedName name="b7p1">#REF!</definedName>
    <definedName name="b7p2">#REF!</definedName>
    <definedName name="b8p1">#REF!</definedName>
    <definedName name="b8p2">#REF!</definedName>
    <definedName name="b9p1">#REF!</definedName>
    <definedName name="b9p2">#REF!</definedName>
    <definedName name="baj">#REF!</definedName>
    <definedName name="bal_first">#REF!</definedName>
    <definedName name="balance_type">1</definedName>
    <definedName name="BankPart">#REF!</definedName>
    <definedName name="BasePriceFall">#REF!</definedName>
    <definedName name="Beach_Income">#REF!</definedName>
    <definedName name="Beg.Bal">IF(#REF!&lt;&gt;"",#REF!,"")</definedName>
    <definedName name="BI">#REF!</definedName>
    <definedName name="bk_commercial">#REF!</definedName>
    <definedName name="bk_commercial_discounts">#REF!</definedName>
    <definedName name="bk_commercial_flats">#REF!</definedName>
    <definedName name="bk_commercial_invdeals">#REF!</definedName>
    <definedName name="bk_supply">#REF!</definedName>
    <definedName name="bk_supply_future">#REF!</definedName>
    <definedName name="bk_supply_pipeline">#REF!</definedName>
    <definedName name="bk_supply_progress">#REF!</definedName>
    <definedName name="bk_supply_start">#REF!</definedName>
    <definedName name="block1">#REF!</definedName>
    <definedName name="block10">#REF!</definedName>
    <definedName name="block11">#REF!</definedName>
    <definedName name="block12">#REF!</definedName>
    <definedName name="block13">#REF!</definedName>
    <definedName name="block14">#REF!</definedName>
    <definedName name="block15">#REF!</definedName>
    <definedName name="block16">#REF!</definedName>
    <definedName name="block17">#REF!</definedName>
    <definedName name="block18">#REF!</definedName>
    <definedName name="block19">#REF!</definedName>
    <definedName name="block2">#REF!</definedName>
    <definedName name="block20">#REF!</definedName>
    <definedName name="block21">#REF!</definedName>
    <definedName name="block22">#REF!</definedName>
    <definedName name="block23">#REF!</definedName>
    <definedName name="block24">#REF!</definedName>
    <definedName name="block25">#REF!</definedName>
    <definedName name="block26">#REF!</definedName>
    <definedName name="block27">#REF!</definedName>
    <definedName name="block28">#REF!</definedName>
    <definedName name="block29">#REF!</definedName>
    <definedName name="block3">#REF!</definedName>
    <definedName name="block30">#REF!</definedName>
    <definedName name="block31">#REF!</definedName>
    <definedName name="block32">#REF!</definedName>
    <definedName name="block33">#REF!</definedName>
    <definedName name="block34">#REF!</definedName>
    <definedName name="block35">#REF!</definedName>
    <definedName name="block36">#REF!</definedName>
    <definedName name="block37">#REF!</definedName>
    <definedName name="block38">#REF!</definedName>
    <definedName name="block39">#REF!</definedName>
    <definedName name="block4">#REF!</definedName>
    <definedName name="block40">#REF!</definedName>
    <definedName name="block41">#REF!</definedName>
    <definedName name="block42">#REF!</definedName>
    <definedName name="block43">#REF!</definedName>
    <definedName name="block44">#REF!</definedName>
    <definedName name="block45">#REF!</definedName>
    <definedName name="block46">#REF!</definedName>
    <definedName name="block47">#REF!</definedName>
    <definedName name="block48">#REF!</definedName>
    <definedName name="block49">#REF!</definedName>
    <definedName name="block5">#REF!</definedName>
    <definedName name="block50">#REF!</definedName>
    <definedName name="block51">#REF!</definedName>
    <definedName name="block52">#REF!</definedName>
    <definedName name="block53">#REF!</definedName>
    <definedName name="block54">#REF!</definedName>
    <definedName name="block55">#REF!</definedName>
    <definedName name="block56">#REF!</definedName>
    <definedName name="block57">#REF!</definedName>
    <definedName name="block58">#REF!</definedName>
    <definedName name="block59">#REF!</definedName>
    <definedName name="block6">#REF!</definedName>
    <definedName name="block60">#REF!</definedName>
    <definedName name="block61">#REF!</definedName>
    <definedName name="block62">#REF!</definedName>
    <definedName name="block63">#REF!</definedName>
    <definedName name="block64">#REF!</definedName>
    <definedName name="block65">#REF!</definedName>
    <definedName name="block66">#REF!</definedName>
    <definedName name="block67">#REF!</definedName>
    <definedName name="block68">#REF!</definedName>
    <definedName name="block69">#REF!</definedName>
    <definedName name="block7">#REF!</definedName>
    <definedName name="block70">#REF!</definedName>
    <definedName name="block8">#REF!</definedName>
    <definedName name="block9">#REF!</definedName>
    <definedName name="book_value">#REF!</definedName>
    <definedName name="bookmark1">#REF!</definedName>
    <definedName name="bookmark10">#REF!</definedName>
    <definedName name="bookmark11">#REF!</definedName>
    <definedName name="bookmark12">#REF!</definedName>
    <definedName name="bookmark13">#REF!</definedName>
    <definedName name="bookmark14">#REF!</definedName>
    <definedName name="bookmark15">#REF!</definedName>
    <definedName name="bookmark16">#REF!</definedName>
    <definedName name="bookmark17">#REF!</definedName>
    <definedName name="bookmark18">#REF!</definedName>
    <definedName name="bookmark19">#REF!</definedName>
    <definedName name="bookmark2">#REF!</definedName>
    <definedName name="bookmark20">#REF!</definedName>
    <definedName name="bookmark21">#REF!</definedName>
    <definedName name="bookmark3">#REF!</definedName>
    <definedName name="bookmark4">#REF!</definedName>
    <definedName name="bookmark5">#REF!</definedName>
    <definedName name="bookmark6">#REF!</definedName>
    <definedName name="bookmark7">#REF!</definedName>
    <definedName name="bookmark8">#REF!</definedName>
    <definedName name="bookmark9">#REF!</definedName>
    <definedName name="BR">#REF!</definedName>
    <definedName name="BUILDLING_R">#REF!</definedName>
    <definedName name="BUR">#REF!</definedName>
    <definedName name="BV">#REF!</definedName>
    <definedName name="CA">#REF!</definedName>
    <definedName name="calc">1</definedName>
    <definedName name="CalcMethod">#REF!</definedName>
    <definedName name="cap_rate" localSheetId="0">#REF!</definedName>
    <definedName name="cap_rate">#REF!</definedName>
    <definedName name="CASH">#REF!</definedName>
    <definedName name="Cash_At_End">#REF!</definedName>
    <definedName name="Cash_Flow">#REF!</definedName>
    <definedName name="CD">#REF!</definedName>
    <definedName name="CGS">#REF!</definedName>
    <definedName name="CHEC_end_1">#REF!</definedName>
    <definedName name="chec_end_2">#REF!</definedName>
    <definedName name="chec_end_3">#REF!</definedName>
    <definedName name="chec_end_4">#REF!</definedName>
    <definedName name="chek_end_1">#REF!</definedName>
    <definedName name="chek_end_10">#REF!</definedName>
    <definedName name="chek_end_11">#REF!</definedName>
    <definedName name="chek_end_13">#REF!</definedName>
    <definedName name="chek_end_14">#REF!</definedName>
    <definedName name="chek_end_2">#REF!</definedName>
    <definedName name="chek_end_20">#REF!</definedName>
    <definedName name="chek_end_3">#REF!</definedName>
    <definedName name="chek_end_5">#REF!</definedName>
    <definedName name="chek_end_7">#REF!</definedName>
    <definedName name="chek_end_8">#REF!</definedName>
    <definedName name="chek_end_9">#REF!</definedName>
    <definedName name="CHUK">#REF!</definedName>
    <definedName name="CIQWBGuid" hidden="1">"cbbf1435-9015-44fa-aa4b-7b5b54af4858"</definedName>
    <definedName name="circ">#REF!</definedName>
    <definedName name="Circular_switch">#REF!</definedName>
    <definedName name="city_n">#REF!</definedName>
    <definedName name="class_end_1">#REF!</definedName>
    <definedName name="class_end_10">#REF!</definedName>
    <definedName name="class_end_11">#REF!</definedName>
    <definedName name="class_end_12">#REF!</definedName>
    <definedName name="class_end_13">#REF!</definedName>
    <definedName name="class_end_14">#REF!</definedName>
    <definedName name="class_end_2">#REF!</definedName>
    <definedName name="class_end_3">#REF!</definedName>
    <definedName name="class_end_4">#REF!</definedName>
    <definedName name="class_end_5">#REF!</definedName>
    <definedName name="class_end_6">#REF!</definedName>
    <definedName name="class_end_7">#REF!</definedName>
    <definedName name="class_end_9">#REF!</definedName>
    <definedName name="class_start_1">#REF!</definedName>
    <definedName name="class_start_10">#REF!</definedName>
    <definedName name="class_start_11">#REF!</definedName>
    <definedName name="class_start_12">#REF!</definedName>
    <definedName name="class_start_13">#REF!</definedName>
    <definedName name="class_start_14">#REF!</definedName>
    <definedName name="class_start_2">#REF!</definedName>
    <definedName name="class_start_3">#REF!</definedName>
    <definedName name="class_start_4">#REF!</definedName>
    <definedName name="class_start_5">#REF!</definedName>
    <definedName name="class_start_6">#REF!</definedName>
    <definedName name="class_start_7">#REF!</definedName>
    <definedName name="class_start_9">#REF!</definedName>
    <definedName name="co">1</definedName>
    <definedName name="COMP_LAST_COLUMN">#REF!</definedName>
    <definedName name="constr">#REF!</definedName>
    <definedName name="constr_cost">#REF!</definedName>
    <definedName name="constr_materials_end">#REF!</definedName>
    <definedName name="constr_materials_start">#REF!</definedName>
    <definedName name="constr_psm">#REF!</definedName>
    <definedName name="CS">#REF!</definedName>
    <definedName name="CSV">#REF!</definedName>
    <definedName name="Cum.Interest">IF(#REF!&lt;&gt;"",#REF!+#REF!,"")</definedName>
    <definedName name="cur">#REF!</definedName>
    <definedName name="CUR_Foreign">#REF!</definedName>
    <definedName name="CUR_I_Foreign">#REF!</definedName>
    <definedName name="CUR_I_Main">#REF!</definedName>
    <definedName name="CUR_I_Report">#REF!</definedName>
    <definedName name="CUR_Main">#REF!</definedName>
    <definedName name="CUR_Report">#REF!</definedName>
    <definedName name="CURR_PROJECT">#REF!</definedName>
    <definedName name="CURR_REPORTING">#REF!</definedName>
    <definedName name="CURRENCY_R">#REF!</definedName>
    <definedName name="CURRENCY2">#REF!</definedName>
    <definedName name="CurrencyRate">#REF!</definedName>
    <definedName name="current_end">#REF!</definedName>
    <definedName name="current_g_end">#REF!</definedName>
    <definedName name="current_g_start">#REF!</definedName>
    <definedName name="current_start">#REF!</definedName>
    <definedName name="CurrRate">#REF!</definedName>
    <definedName name="D">#REF!</definedName>
    <definedName name="DATA_03" hidden="1">#REF!</definedName>
    <definedName name="DATA_05" hidden="1">#REF!</definedName>
    <definedName name="DATA_08" hidden="1">#REF!</definedName>
    <definedName name="DATE">#REF!</definedName>
    <definedName name="DATE_EXPIRE_R">#REF!</definedName>
    <definedName name="DATE_SIGN_R">#REF!</definedName>
    <definedName name="DATE_START_R">#REF!</definedName>
    <definedName name="dates" localSheetId="0">#REF!</definedName>
    <definedName name="dates">#REF!</definedName>
    <definedName name="daycount_val">#REF!</definedName>
    <definedName name="daycounts">#REF!</definedName>
    <definedName name="Days1styr">#REF!</definedName>
    <definedName name="DaysFirstYr">#REF!</definedName>
    <definedName name="Dayssubyears">#REF!</definedName>
    <definedName name="DaysSubYrs">#REF!</definedName>
    <definedName name="DaySubyRS">#REF!</definedName>
    <definedName name="DCS">#REF!</definedName>
    <definedName name="ddd">#REF!</definedName>
    <definedName name="deals_end">#REF!</definedName>
    <definedName name="deals_prev_end">#REF!</definedName>
    <definedName name="deals_prev_start">#REF!</definedName>
    <definedName name="deals_sale_end">#REF!</definedName>
    <definedName name="deals_sale_prev_end">#REF!</definedName>
    <definedName name="deals_sale_prev_start">#REF!</definedName>
    <definedName name="deals_sale_start">#REF!</definedName>
    <definedName name="deals_start">#REF!</definedName>
    <definedName name="definition">#REF!</definedName>
    <definedName name="DEPOSITS_R">#REF!</definedName>
    <definedName name="dev_end">#REF!</definedName>
    <definedName name="dev_start">#REF!</definedName>
    <definedName name="develop_ins_1_end">#REF!</definedName>
    <definedName name="develop_ins_1_start">#REF!</definedName>
    <definedName name="develop_ins_2_start">#REF!</definedName>
    <definedName name="develop_ins_end_1">#REF!</definedName>
    <definedName name="develop_ins_start_1">#REF!</definedName>
    <definedName name="di">#REF!</definedName>
    <definedName name="disc1">#REF!</definedName>
    <definedName name="disc2">#REF!</definedName>
    <definedName name="disc3">#REF!</definedName>
    <definedName name="discounts_end">#REF!</definedName>
    <definedName name="discounts_end2">#REF!</definedName>
    <definedName name="discounts_start">#REF!</definedName>
    <definedName name="dsask">#REF!</definedName>
    <definedName name="DV">#REF!</definedName>
    <definedName name="DySuYr">#REF!</definedName>
    <definedName name="ee">#REF!</definedName>
    <definedName name="eeee">#REF!</definedName>
    <definedName name="end">#REF!</definedName>
    <definedName name="end_adm">#REF!</definedName>
    <definedName name="end_metro">#REF!</definedName>
    <definedName name="end_obl">#REF!</definedName>
    <definedName name="end_trassa">#REF!</definedName>
    <definedName name="end_ulica">#REF!</definedName>
    <definedName name="end_zona">#REF!</definedName>
    <definedName name="Ending.Balance">IF(#REF!&lt;&gt;"",#REF!-#REF!,"")</definedName>
    <definedName name="EOQRates">#REF!</definedName>
    <definedName name="EPCS">#REF!</definedName>
    <definedName name="erof">100</definedName>
    <definedName name="EST_BALANCE">#REF!</definedName>
    <definedName name="EST_DATA">#REF!</definedName>
    <definedName name="EST_FROM">#REF!</definedName>
    <definedName name="EST_NumStages">#REF!</definedName>
    <definedName name="EST_Obj_1">#REF!</definedName>
    <definedName name="EST_Obj_10">#REF!</definedName>
    <definedName name="EST_Obj_2">#REF!</definedName>
    <definedName name="EST_Obj_3">#REF!</definedName>
    <definedName name="EST_Obj_4">#REF!</definedName>
    <definedName name="EST_Obj_5">#REF!</definedName>
    <definedName name="EST_Obj_6">#REF!</definedName>
    <definedName name="EST_Obj_7">#REF!</definedName>
    <definedName name="EST_Obj_8">#REF!</definedName>
    <definedName name="EST_Obj_9">#REF!</definedName>
    <definedName name="EST_ProdNum">#REF!</definedName>
    <definedName name="EST_SQUARE">#REF!</definedName>
    <definedName name="EUR">#REF!</definedName>
    <definedName name="Euribor">#REF!</definedName>
    <definedName name="Excel_BuiltIn_Print_Area_1">#REF!</definedName>
    <definedName name="Existing">#REF!</definedName>
    <definedName name="exit" localSheetId="0">#REF!</definedName>
    <definedName name="exit" localSheetId="1">Модель!$A$1</definedName>
    <definedName name="exit">#REF!</definedName>
    <definedName name="Fair_Share">#REF!</definedName>
    <definedName name="Fall">#REF!</definedName>
    <definedName name="Fall1">#REF!</definedName>
    <definedName name="Fall2">#REF!</definedName>
    <definedName name="fdsfshsj">#REF!</definedName>
    <definedName name="February2003">#REF!</definedName>
    <definedName name="First_payment_due">#REF!</definedName>
    <definedName name="fixed_liq">#REF!</definedName>
    <definedName name="FLOORS_R">#REF!</definedName>
    <definedName name="forc_class_end_1">#REF!</definedName>
    <definedName name="forc_class_end_2">#REF!</definedName>
    <definedName name="forc_class_start_1">#REF!</definedName>
    <definedName name="forc_class_start_2">#REF!</definedName>
    <definedName name="FREQUENCY_R">#REF!</definedName>
    <definedName name="FrShr">#REF!</definedName>
    <definedName name="FY">1999</definedName>
    <definedName name="gexp_count_1">#REF!</definedName>
    <definedName name="gexp_count_2">#REF!</definedName>
    <definedName name="gexp_count_3">#REF!</definedName>
    <definedName name="gexp_count_4">#REF!</definedName>
    <definedName name="GHJIH">#REF!</definedName>
    <definedName name="h">#REF!</definedName>
    <definedName name="I">#REF!</definedName>
    <definedName name="Inflaton_rate">#REF!</definedName>
    <definedName name="Insurance_cost">#REF!</definedName>
    <definedName name="Insurance_rate">#REF!</definedName>
    <definedName name="INT">#REF!</definedName>
    <definedName name="int_first">#REF!</definedName>
    <definedName name="int_per_val">#REF!</definedName>
    <definedName name="Interest">#N/A</definedName>
    <definedName name="IntroPrintArea" hidden="1">#REF!</definedName>
    <definedName name="invest_deal_end">#REF!</definedName>
    <definedName name="invest_deal_prev_end">#REF!</definedName>
    <definedName name="invest_deal_prev_start">#REF!</definedName>
    <definedName name="invest_deal_start">#REF!</definedName>
    <definedName name="IQ_ADDIN" hidden="1">"AUTO"</definedName>
    <definedName name="IQ_CH">110000</definedName>
    <definedName name="IQ_CQ">5000</definedName>
    <definedName name="IQ_CY">10000</definedName>
    <definedName name="IQ_DAILY">500000</definedName>
    <definedName name="IQ_DNTM" hidden="1">700000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MTD" hidden="1">800000</definedName>
    <definedName name="IQ_NAMES_REVISION_DATE_" hidden="1">43472.5939351852</definedName>
    <definedName name="IQ_NTM">6000</definedName>
    <definedName name="IQ_QTD" hidden="1">750000</definedName>
    <definedName name="IQ_TODAY" hidden="1">0</definedName>
    <definedName name="IQ_WEEK">50000</definedName>
    <definedName name="IQ_YTD">3000</definedName>
    <definedName name="IQ_YTDMONTH" hidden="1">130000</definedName>
    <definedName name="IS_DEMO">#REF!</definedName>
    <definedName name="IS_ESTATE">#REF!</definedName>
    <definedName name="IS_NULL">#REF!</definedName>
    <definedName name="IS_PRIM">#REF!</definedName>
    <definedName name="IS_SUMM">#REF!</definedName>
    <definedName name="K">#REF!</definedName>
    <definedName name="L">#REF!</definedName>
    <definedName name="LANG">#REF!</definedName>
    <definedName name="LANGUAGE">#REF!</definedName>
    <definedName name="LAST_COLUMN">#REF!</definedName>
    <definedName name="LD">#REF!</definedName>
    <definedName name="lease_count">#REF!</definedName>
    <definedName name="LEASE_TERM_R">#REF!</definedName>
    <definedName name="Leasure">#REF!</definedName>
    <definedName name="letfees">#REF!</definedName>
    <definedName name="libor">#REF!</definedName>
    <definedName name="Lista">#REF!</definedName>
    <definedName name="ListForSensAnal">#REF!</definedName>
    <definedName name="loan_count">#REF!</definedName>
    <definedName name="loan_type_val">#REF!</definedName>
    <definedName name="loan_types">#REF!</definedName>
    <definedName name="Look1Area">#REF!</definedName>
    <definedName name="Look2Area">#REF!</definedName>
    <definedName name="Look3Area">#REF!</definedName>
    <definedName name="Look4Area">#REF!</definedName>
    <definedName name="Look5Area">#REF!</definedName>
    <definedName name="LOOTCH">#REF!</definedName>
    <definedName name="LTG">#REF!</definedName>
    <definedName name="M">#REF!</definedName>
    <definedName name="marker">#REF!</definedName>
    <definedName name="marker_s">#REF!</definedName>
    <definedName name="Middle">#REF!</definedName>
    <definedName name="minimum">0.85</definedName>
    <definedName name="MktSctr1">#REF!,#REF!,#REF!,#REF!,#REF!</definedName>
    <definedName name="MktSctr10">#REF!,#REF!,#REF!,#REF!,#REF!</definedName>
    <definedName name="MktSctr11">#REF!,#REF!,#REF!,#REF!,#REF!</definedName>
    <definedName name="MktSctr2">#REF!,#REF!,#REF!,#REF!,#REF!</definedName>
    <definedName name="MktSctr3">#REF!,#REF!,#REF!,#REF!,#REF!</definedName>
    <definedName name="MktSctr4">#REF!,#REF!,#REF!,#REF!,#REF!</definedName>
    <definedName name="MktSctr5">#REF!,#REF!,#REF!,#REF!,#REF!</definedName>
    <definedName name="MktSctr6">#REF!,#REF!,#REF!,#REF!,#REF!</definedName>
    <definedName name="MktSctr7">#REF!,#REF!,#REF!,#REF!,#REF!</definedName>
    <definedName name="MktSctr8">#REF!,#REF!,#REF!,#REF!,#REF!</definedName>
    <definedName name="MktSctr9">#REF!,#REF!,#REF!,#REF!,#REF!</definedName>
    <definedName name="MM">#REF!</definedName>
    <definedName name="MPCS">#REF!</definedName>
    <definedName name="MS">#REF!</definedName>
    <definedName name="MthsFirstYr">#REF!</definedName>
    <definedName name="MthsSubYrs">#REF!</definedName>
    <definedName name="name">#REF!</definedName>
    <definedName name="NB">#REF!</definedName>
    <definedName name="NCS">#REF!</definedName>
    <definedName name="newopen_end">#REF!</definedName>
    <definedName name="newopen_start">#REF!</definedName>
    <definedName name="NOI_q2_2008">#REF!</definedName>
    <definedName name="NOI_q3_2008">#REF!</definedName>
    <definedName name="NoRooms">#REF!</definedName>
    <definedName name="NPS">#REF!</definedName>
    <definedName name="NPT">#REF!</definedName>
    <definedName name="NRA">#REF!</definedName>
    <definedName name="NRA_BOMA_R">#REF!</definedName>
    <definedName name="NS">#REF!</definedName>
    <definedName name="NWC_T_Cr_AdvK">#REF!</definedName>
    <definedName name="NWC_T_Cr_AdvT">#REF!</definedName>
    <definedName name="NWC_T_Cr_CrdK">#REF!</definedName>
    <definedName name="NWC_T_Cr_CrdT">#REF!</definedName>
    <definedName name="NWC_T_Cycle">#REF!</definedName>
    <definedName name="NWC_T_Db_AdvK">#REF!</definedName>
    <definedName name="NWC_T_Db_AdvT">#REF!</definedName>
    <definedName name="NWC_T_Db_CrdK">#REF!</definedName>
    <definedName name="NWC_T_Db_CrdT">#REF!</definedName>
    <definedName name="NWC_T_Goods">#REF!</definedName>
    <definedName name="NWC_T_Mat">#REF!</definedName>
    <definedName name="offer">1.15</definedName>
    <definedName name="OP">#REF!</definedName>
    <definedName name="Open_Year">#REF!</definedName>
    <definedName name="OthSctr1">#REF!</definedName>
    <definedName name="OthSctr2">#REF!</definedName>
    <definedName name="OthSctr3">#REF!</definedName>
    <definedName name="papuga">#REF!</definedName>
    <definedName name="payment.Num">#N/A</definedName>
    <definedName name="Payments_per_year">#REF!</definedName>
    <definedName name="per_in">CONCATENATE(IF(#REF!=2,"во ","в "),#REF!," кв. ",#REF!," г.")</definedName>
    <definedName name="period">12</definedName>
    <definedName name="Periodic_rate" localSheetId="0">Annual_interest_rate/Payments_per_year</definedName>
    <definedName name="Periodic_rate">Annual_interest_rate/Payments_per_year</definedName>
    <definedName name="periodicities">#REF!</definedName>
    <definedName name="PeriodLong">#REF!</definedName>
    <definedName name="PeriodTitle">#REF!</definedName>
    <definedName name="pers_count_1">#REF!</definedName>
    <definedName name="pers_count_2">#REF!</definedName>
    <definedName name="pers_count_3">#REF!</definedName>
    <definedName name="pers_count_4">#REF!</definedName>
    <definedName name="Phased">#REF!</definedName>
    <definedName name="PHOTOS_1">#N/A</definedName>
    <definedName name="PHOTOS_3">#N/A</definedName>
    <definedName name="pipeline_end">#REF!</definedName>
    <definedName name="pipeline_start">#REF!</definedName>
    <definedName name="Pmt_to_use">#REF!</definedName>
    <definedName name="PnLCurr">#REF!</definedName>
    <definedName name="PR">#REF!</definedName>
    <definedName name="pr_z1">#REF!</definedName>
    <definedName name="pr_z2">#REF!</definedName>
    <definedName name="pr_z3">#REF!</definedName>
    <definedName name="pr_z4">#REF!</definedName>
    <definedName name="prin_per_val">#REF!</definedName>
    <definedName name="Principal" localSheetId="0">IF(#REF!&lt;&gt;"",MIN(#REF!,Pmt_to_use-#REF!),"")</definedName>
    <definedName name="Principal">IF(#REF!&lt;&gt;"",MIN(#REF!,Pmt_to_use-#REF!),"")</definedName>
    <definedName name="PRINT">#REF!</definedName>
    <definedName name="Print_Area_MI">#REF!</definedName>
    <definedName name="Print_Area_MI2">#REF!</definedName>
    <definedName name="Print_Titles_MI">#REF!</definedName>
    <definedName name="Print_Titles_MI2">#REF!</definedName>
    <definedName name="PRINTA">#REF!</definedName>
    <definedName name="printer">#REF!</definedName>
    <definedName name="PRJ_COUNT">#REF!</definedName>
    <definedName name="PRJ_Len">#REF!</definedName>
    <definedName name="PRJ_Protected">#REF!</definedName>
    <definedName name="PRJ_StartDate">#REF!</definedName>
    <definedName name="PRJ_StartMon">#REF!</definedName>
    <definedName name="PRJ_StartYear">#REF!</definedName>
    <definedName name="PRJ_Step">#REF!</definedName>
    <definedName name="PRJ_Step_SName">#REF!</definedName>
    <definedName name="PRJ_StepType">#REF!</definedName>
    <definedName name="prod_tbl_1">#REF!</definedName>
    <definedName name="prod_tbl_2">#REF!</definedName>
    <definedName name="prod_tbl_3">#REF!</definedName>
    <definedName name="prod_tbl_4">#REF!</definedName>
    <definedName name="prod_types">#REF!</definedName>
    <definedName name="ProdNum">#REF!</definedName>
    <definedName name="profile">#REF!</definedName>
    <definedName name="ProfitTax">#REF!</definedName>
    <definedName name="ProfitTax_Period">#REF!</definedName>
    <definedName name="Project">#REF!</definedName>
    <definedName name="PROJECTS">#REF!</definedName>
    <definedName name="PSBV">#REF!</definedName>
    <definedName name="PSI">#REF!</definedName>
    <definedName name="PSR">#REF!</definedName>
    <definedName name="PSV">#REF!</definedName>
    <definedName name="q" localSheetId="0" hidden="1">{"Inflation-BaseYear",#N/A,FALSE,"Inputs"}</definedName>
    <definedName name="q" hidden="1">{"Inflation-BaseYear",#N/A,FALSE,"Inputs"}</definedName>
    <definedName name="q_begintext">#N/A</definedName>
    <definedName name="q_endtext">#N/A</definedName>
    <definedName name="q_nach">#N/A</definedName>
    <definedName name="q_text">#N/A</definedName>
    <definedName name="qe">#REF!</definedName>
    <definedName name="qqq" localSheetId="0" hidden="1">{"Output-3Column",#N/A,FALSE,"Output"}</definedName>
    <definedName name="qqq" hidden="1">{"Output-3Column",#N/A,FALSE,"Output"}</definedName>
    <definedName name="qqqqqq" localSheetId="0" hidden="1">{"Output-BaseYear",#N/A,FALSE,"Output"}</definedName>
    <definedName name="qqqqqq" hidden="1">{"Output-BaseYear",#N/A,FALSE,"Output"}</definedName>
    <definedName name="qqqqqqq">#REF!</definedName>
    <definedName name="qwqwqwq">#REF!</definedName>
    <definedName name="raf">#REF!</definedName>
    <definedName name="rasr">#REF!</definedName>
    <definedName name="Rate">#REF!</definedName>
    <definedName name="RAUDJDACN">#REF!</definedName>
    <definedName name="re_value" localSheetId="0">#REF!</definedName>
    <definedName name="re_value">#REF!</definedName>
    <definedName name="RegNum">#REF!</definedName>
    <definedName name="RENT">#REF!</definedName>
    <definedName name="RENT_INDEXATION_R">#REF!</definedName>
    <definedName name="rent_prop_end">#REF!</definedName>
    <definedName name="rent_prop_start">#REF!</definedName>
    <definedName name="RENT_Y1_R">#REF!</definedName>
    <definedName name="RENTROLL">#REF!</definedName>
    <definedName name="RENTROLL2">#REF!</definedName>
    <definedName name="rep_type_val">#REF!</definedName>
    <definedName name="rep_types">#REF!</definedName>
    <definedName name="req_type">#REF!</definedName>
    <definedName name="Rest">#REF!</definedName>
    <definedName name="RNtWkDyUsed">#REF!</definedName>
    <definedName name="ro_date">#REF!</definedName>
    <definedName name="ro_prin">#REF!</definedName>
    <definedName name="round">1</definedName>
    <definedName name="S_CHARGE_R">#REF!</definedName>
    <definedName name="SAE">#REF!</definedName>
    <definedName name="sale_prop_end">#REF!</definedName>
    <definedName name="sale_prop_start">#REF!</definedName>
    <definedName name="sales" localSheetId="0">#REF!</definedName>
    <definedName name="sales">#REF!</definedName>
    <definedName name="sales_2" localSheetId="0">#REF!</definedName>
    <definedName name="sales_2">#REF!</definedName>
    <definedName name="SalesVelocity">#REF!</definedName>
    <definedName name="SameSSens">#REF!</definedName>
    <definedName name="SameSSn">#REF!</definedName>
    <definedName name="Samessns">#REF!</definedName>
    <definedName name="sc">#REF!</definedName>
    <definedName name="Scenarios">#REF!</definedName>
    <definedName name="SellShift">#REF!</definedName>
    <definedName name="sens" localSheetId="0">#REF!</definedName>
    <definedName name="sens" localSheetId="1">Модель!#REF!</definedName>
    <definedName name="sens">#REF!</definedName>
    <definedName name="sens_factor" localSheetId="0">#REF!</definedName>
    <definedName name="sens_factor">Модель!#REF!</definedName>
    <definedName name="SENS_Parameter">#REF!</definedName>
    <definedName name="SENS_Project">#REF!</definedName>
    <definedName name="SENS_Res1">#REF!</definedName>
    <definedName name="SENS_Res2">#REF!</definedName>
    <definedName name="SensForSumm">#REF!</definedName>
    <definedName name="Sep_00">#REF!</definedName>
    <definedName name="services" localSheetId="0">#REF!</definedName>
    <definedName name="services">#REF!</definedName>
    <definedName name="share_of_district" localSheetId="0">#REF!</definedName>
    <definedName name="share_of_district">#REF!</definedName>
    <definedName name="Shops">#REF!</definedName>
    <definedName name="Show.Date" localSheetId="0">IF(#REF!&lt;&gt;"",DATE(YEAR(First_payment_due),MONTH(First_payment_due)+(#REF!-1)*12/Payments_per_year,DAY(First_payment_due)),"")</definedName>
    <definedName name="Show.Date">IF(#REF!&lt;&gt;"",DATE(YEAR(First_payment_due),MONTH(First_payment_due)+(#REF!-1)*12/Payments_per_year,DAY(First_payment_due)),"")</definedName>
    <definedName name="ShowAbout">#REF!</definedName>
    <definedName name="ShowRealDates">#REF!</definedName>
    <definedName name="smooth_ro_val">#REF!</definedName>
    <definedName name="spec_fin">#REF!</definedName>
    <definedName name="spros_1_end">#REF!</definedName>
    <definedName name="spros_1_start">#REF!</definedName>
    <definedName name="spros_2_end">#REF!</definedName>
    <definedName name="spros_2_start">#REF!</definedName>
    <definedName name="SSS">#REF!</definedName>
    <definedName name="StabУr">#REF!</definedName>
    <definedName name="sTABYEAR">#REF!</definedName>
    <definedName name="StabYr">#REF!</definedName>
    <definedName name="start">#REF!</definedName>
    <definedName name="start_adm">#REF!</definedName>
    <definedName name="start_metro">#REF!</definedName>
    <definedName name="start_obl">#REF!</definedName>
    <definedName name="start_trassa">#REF!</definedName>
    <definedName name="start_ulica">#REF!</definedName>
    <definedName name="start_zona">#REF!</definedName>
    <definedName name="stoim_gar">#REF!</definedName>
    <definedName name="stoim_gar1">#REF!</definedName>
    <definedName name="str_end_1">#REF!</definedName>
    <definedName name="str_end_11">#REF!</definedName>
    <definedName name="str_end_12">#REF!</definedName>
    <definedName name="str_end_13">#REF!</definedName>
    <definedName name="str_end_14">#REF!</definedName>
    <definedName name="str_end_16">#REF!</definedName>
    <definedName name="str_end_17">#REF!</definedName>
    <definedName name="str_end_18">#REF!</definedName>
    <definedName name="str_end_19">#REF!</definedName>
    <definedName name="str_end_2">#REF!</definedName>
    <definedName name="str_end_20">#REF!</definedName>
    <definedName name="str_end_21">#REF!</definedName>
    <definedName name="str_end_3">#REF!</definedName>
    <definedName name="str_end_4">#REF!</definedName>
    <definedName name="str_end_5">#REF!</definedName>
    <definedName name="str_end_6">#REF!</definedName>
    <definedName name="str_end_7">#REF!</definedName>
    <definedName name="str_end_8">#REF!</definedName>
    <definedName name="str_end_9">#REF!</definedName>
    <definedName name="str_start_1">#REF!</definedName>
    <definedName name="str_start_11">#REF!</definedName>
    <definedName name="str_start_12">#REF!</definedName>
    <definedName name="str_start_13">#REF!</definedName>
    <definedName name="str_start_14">#REF!</definedName>
    <definedName name="str_start_16">#REF!</definedName>
    <definedName name="str_start_17">#REF!</definedName>
    <definedName name="str_start_18">#REF!</definedName>
    <definedName name="str_start_19">#REF!</definedName>
    <definedName name="str_start_2">#REF!</definedName>
    <definedName name="str_start_20">#REF!</definedName>
    <definedName name="str_start_21">#REF!</definedName>
    <definedName name="str_start_3">#REF!</definedName>
    <definedName name="str_start_4">#REF!</definedName>
    <definedName name="str_start_5">#REF!</definedName>
    <definedName name="str_start_6">#REF!</definedName>
    <definedName name="str_start_7">#REF!</definedName>
    <definedName name="str_start_8">#REF!</definedName>
    <definedName name="str_start_9">#REF!</definedName>
    <definedName name="SUMM_LAST_COLUMN">#REF!</definedName>
    <definedName name="SUMM_PrjList">#REF!</definedName>
    <definedName name="support">#REF!</definedName>
    <definedName name="TA">#REF!</definedName>
    <definedName name="TAX_VAT">#REF!</definedName>
    <definedName name="TD">#REF!</definedName>
    <definedName name="tech">#REF!</definedName>
    <definedName name="TENANT_NAME_R">#REF!</definedName>
    <definedName name="Term_in_years">#REF!</definedName>
    <definedName name="Terrace">#REF!</definedName>
    <definedName name="th">#REF!</definedName>
    <definedName name="TOPBORD">#REF!</definedName>
    <definedName name="TOPBORD2">#REF!</definedName>
    <definedName name="Tot">#REF!</definedName>
    <definedName name="total">#REF!</definedName>
    <definedName name="Total_payments" localSheetId="0">Payments_per_year*Term_in_years</definedName>
    <definedName name="Total_payments">Payments_per_year*Term_in_years</definedName>
    <definedName name="TotCunstr">#REF!</definedName>
    <definedName name="toy">1995</definedName>
    <definedName name="TransRates">#REF!</definedName>
    <definedName name="typ_discount_end">#REF!</definedName>
    <definedName name="typ_discount_start">#REF!</definedName>
    <definedName name="ulica_end_1">#REF!</definedName>
    <definedName name="ulica_end_2">#REF!</definedName>
    <definedName name="ulica_end_3">#REF!</definedName>
    <definedName name="ulica_end_4">#REF!</definedName>
    <definedName name="ulica_start_1">#REF!</definedName>
    <definedName name="ulica_start_2">#REF!</definedName>
    <definedName name="ulica_start_3">#REF!</definedName>
    <definedName name="ulica_start_4">#REF!</definedName>
    <definedName name="unit">#REF!</definedName>
    <definedName name="unit_s">#REF!</definedName>
    <definedName name="usd">#REF!</definedName>
    <definedName name="UserName">#REF!</definedName>
    <definedName name="vacancyst">#REF!</definedName>
    <definedName name="value">3</definedName>
    <definedName name="vat">#REF!</definedName>
    <definedName name="VAT_OnAssets">#REF!</definedName>
    <definedName name="VAT_Period">#REF!</definedName>
    <definedName name="VAT_Repay">#REF!</definedName>
    <definedName name="VATABLE_R">#REF!</definedName>
    <definedName name="Ver_BuildDate">#REF!</definedName>
    <definedName name="Ver_ChangeDate">#REF!</definedName>
    <definedName name="versionno">1</definedName>
    <definedName name="VIP_охрана">#REF!</definedName>
    <definedName name="vybor">#REF!</definedName>
    <definedName name="Weeks1styr">#REF!</definedName>
    <definedName name="Weekssubyr">#REF!</definedName>
    <definedName name="WeeksSubYrs">#REF!</definedName>
    <definedName name="WksFirstYr">#REF!</definedName>
    <definedName name="WksSubYrs">#REF!</definedName>
    <definedName name="wqqwqqwq">#REF!</definedName>
    <definedName name="wrn.Inputs." localSheetId="0" hidden="1">{"Inflation-BaseYear",#N/A,FALSE,"Inputs"}</definedName>
    <definedName name="wrn.Inputs." hidden="1">{"Inflation-BaseYear",#N/A,FALSE,"Inputs"}</definedName>
    <definedName name="wrn.Output3Column." localSheetId="0" hidden="1">{"Output-3Column",#N/A,FALSE,"Output"}</definedName>
    <definedName name="wrn.Output3Column." hidden="1">{"Output-3Column",#N/A,FALSE,"Output"}</definedName>
    <definedName name="wrn.OutputAll." localSheetId="0" hidden="1">{"Output-All",#N/A,FALSE,"Output"}</definedName>
    <definedName name="wrn.OutputAll." hidden="1">{"Output-All",#N/A,FALSE,"Output"}</definedName>
    <definedName name="wrn.OutputBaseYear." localSheetId="0" hidden="1">{"Output-BaseYear",#N/A,FALSE,"Output"}</definedName>
    <definedName name="wrn.OutputBaseYear." hidden="1">{"Output-BaseYear",#N/A,FALSE,"Output"}</definedName>
    <definedName name="wrn.OutputMin." localSheetId="0" hidden="1">{"Output-Min",#N/A,FALSE,"Output"}</definedName>
    <definedName name="wrn.OutputMin." hidden="1">{"Output-Min",#N/A,FALSE,"Output"}</definedName>
    <definedName name="wrn.OutputPercent." localSheetId="0" hidden="1">{"Output%",#N/A,FALSE,"Output"}</definedName>
    <definedName name="wrn.OutputPercent." hidden="1">{"Output%",#N/A,FALSE,"Output"}</definedName>
    <definedName name="xx" localSheetId="0" hidden="1">{"Output-Min",#N/A,FALSE,"Output"}</definedName>
    <definedName name="xx" hidden="1">{"Output-Min",#N/A,FALSE,"Output"}</definedName>
    <definedName name="xxxaa" localSheetId="0" hidden="1">{"Inflation-BaseYear",#N/A,FALSE,"Inputs"}</definedName>
    <definedName name="xxxaa" hidden="1">{"Inflation-BaseYear",#N/A,FALSE,"Inputs"}</definedName>
    <definedName name="xxxxx" localSheetId="0" hidden="1">{"Output%",#N/A,FALSE,"Output"}</definedName>
    <definedName name="xxxxx" hidden="1">{"Output%",#N/A,FALSE,"Output"}</definedName>
    <definedName name="y">#REF!</definedName>
    <definedName name="YearOpen">#REF!</definedName>
    <definedName name="YerOpen">#REF!</definedName>
    <definedName name="YrDataInput">#REF!</definedName>
    <definedName name="YY">#REF!</definedName>
  </definedNames>
  <calcPr calcId="191029" calcMode="autoNoTabl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7" i="2" l="1"/>
  <c r="I156" i="2"/>
  <c r="I155" i="2"/>
  <c r="I153" i="2"/>
  <c r="I151" i="2"/>
  <c r="G25" i="2"/>
  <c r="C22" i="2" l="1"/>
  <c r="N7" i="2" s="1"/>
  <c r="N19" i="2" s="1"/>
  <c r="R177" i="2"/>
  <c r="V177" i="2" s="1"/>
  <c r="S177" i="2"/>
  <c r="W177" i="2" s="1"/>
  <c r="T177" i="2"/>
  <c r="X177" i="2" s="1"/>
  <c r="Q177" i="2"/>
  <c r="U177" i="2" s="1"/>
  <c r="F143" i="2"/>
  <c r="C61" i="2"/>
  <c r="K132" i="2" s="1"/>
  <c r="C1" i="2" l="1"/>
  <c r="E143" i="2"/>
  <c r="E135" i="2"/>
  <c r="G160" i="2"/>
  <c r="F153" i="2"/>
  <c r="F170" i="2" s="1"/>
  <c r="F25" i="2"/>
  <c r="C67" i="2"/>
  <c r="C66" i="2"/>
  <c r="C65" i="2"/>
  <c r="E25" i="2"/>
  <c r="C69" i="2"/>
  <c r="C11" i="2"/>
  <c r="G203" i="2"/>
  <c r="G206" i="2" s="1"/>
  <c r="N19" i="5"/>
  <c r="N18" i="5"/>
  <c r="D21" i="5" s="1"/>
  <c r="D22" i="5" s="1"/>
  <c r="N16" i="5"/>
  <c r="I227" i="2"/>
  <c r="I230" i="2" s="1"/>
  <c r="G60" i="2"/>
  <c r="H215" i="2"/>
  <c r="F191" i="2"/>
  <c r="F144" i="2"/>
  <c r="J106" i="2"/>
  <c r="J173" i="2" s="1"/>
  <c r="I106" i="2"/>
  <c r="G153" i="2"/>
  <c r="C20" i="2"/>
  <c r="C7" i="2"/>
  <c r="C6" i="2" s="1"/>
  <c r="N6" i="2" s="1"/>
  <c r="F106" i="2"/>
  <c r="F60" i="2"/>
  <c r="N18" i="2" l="1"/>
  <c r="N11" i="2"/>
  <c r="N13" i="2" s="1"/>
  <c r="H143" i="2"/>
  <c r="G143" i="2"/>
  <c r="F174" i="2"/>
  <c r="K174" i="2"/>
  <c r="C12" i="2"/>
  <c r="C35" i="2"/>
  <c r="R174" i="2"/>
  <c r="R228" i="2" s="1"/>
  <c r="H174" i="2"/>
  <c r="M174" i="2"/>
  <c r="M228" i="2" s="1"/>
  <c r="Q174" i="2"/>
  <c r="Q228" i="2" s="1"/>
  <c r="I174" i="2"/>
  <c r="P174" i="2"/>
  <c r="P228" i="2" s="1"/>
  <c r="S174" i="2"/>
  <c r="S228" i="2" s="1"/>
  <c r="L174" i="2"/>
  <c r="L228" i="2" s="1"/>
  <c r="J174" i="2"/>
  <c r="N174" i="2"/>
  <c r="N228" i="2" s="1"/>
  <c r="O174" i="2"/>
  <c r="O228" i="2" s="1"/>
  <c r="G174" i="2"/>
  <c r="Z174" i="2"/>
  <c r="X174" i="2"/>
  <c r="AA174" i="2"/>
  <c r="Y174" i="2"/>
  <c r="W174" i="2"/>
  <c r="V174" i="2"/>
  <c r="U174" i="2"/>
  <c r="T174" i="2"/>
  <c r="T228" i="2" s="1"/>
  <c r="C25" i="2"/>
  <c r="F94" i="2" s="1"/>
  <c r="C26" i="2"/>
  <c r="F95" i="2" s="1"/>
  <c r="N17" i="5"/>
  <c r="H106" i="2"/>
  <c r="H107" i="2" s="1"/>
  <c r="C77" i="2" s="1"/>
  <c r="I107" i="2"/>
  <c r="F107" i="2"/>
  <c r="C75" i="2" s="1"/>
  <c r="G106" i="2"/>
  <c r="G107" i="2" s="1"/>
  <c r="C76" i="2" s="1"/>
  <c r="O28" i="5"/>
  <c r="AA28" i="5" s="1"/>
  <c r="AM28" i="5" s="1"/>
  <c r="AY28" i="5" s="1"/>
  <c r="BK28" i="5" s="1"/>
  <c r="BW28" i="5" s="1"/>
  <c r="CI28" i="5" s="1"/>
  <c r="CU28" i="5" s="1"/>
  <c r="DG28" i="5" s="1"/>
  <c r="B31" i="5"/>
  <c r="B33" i="5" s="1"/>
  <c r="B40" i="5"/>
  <c r="A39" i="5"/>
  <c r="D37" i="5"/>
  <c r="E35" i="5"/>
  <c r="C29" i="5"/>
  <c r="Y28" i="5"/>
  <c r="AK28" i="5" s="1"/>
  <c r="AW28" i="5" s="1"/>
  <c r="BI28" i="5" s="1"/>
  <c r="BU28" i="5" s="1"/>
  <c r="CG28" i="5" s="1"/>
  <c r="CS28" i="5" s="1"/>
  <c r="DE28" i="5" s="1"/>
  <c r="DQ28" i="5" s="1"/>
  <c r="X28" i="5"/>
  <c r="AJ28" i="5" s="1"/>
  <c r="AV28" i="5" s="1"/>
  <c r="BH28" i="5" s="1"/>
  <c r="BT28" i="5" s="1"/>
  <c r="CF28" i="5" s="1"/>
  <c r="CR28" i="5" s="1"/>
  <c r="DD28" i="5" s="1"/>
  <c r="DP28" i="5" s="1"/>
  <c r="W28" i="5"/>
  <c r="AI28" i="5" s="1"/>
  <c r="AU28" i="5" s="1"/>
  <c r="BG28" i="5" s="1"/>
  <c r="BS28" i="5" s="1"/>
  <c r="CE28" i="5" s="1"/>
  <c r="CQ28" i="5" s="1"/>
  <c r="DC28" i="5" s="1"/>
  <c r="DO28" i="5" s="1"/>
  <c r="V28" i="5"/>
  <c r="AH28" i="5" s="1"/>
  <c r="AT28" i="5" s="1"/>
  <c r="BF28" i="5" s="1"/>
  <c r="BR28" i="5" s="1"/>
  <c r="CD28" i="5" s="1"/>
  <c r="CP28" i="5" s="1"/>
  <c r="DB28" i="5" s="1"/>
  <c r="DN28" i="5" s="1"/>
  <c r="U28" i="5"/>
  <c r="AG28" i="5" s="1"/>
  <c r="AS28" i="5" s="1"/>
  <c r="BE28" i="5" s="1"/>
  <c r="BQ28" i="5" s="1"/>
  <c r="CC28" i="5" s="1"/>
  <c r="CO28" i="5" s="1"/>
  <c r="DA28" i="5" s="1"/>
  <c r="DM28" i="5" s="1"/>
  <c r="T28" i="5"/>
  <c r="AF28" i="5" s="1"/>
  <c r="AR28" i="5" s="1"/>
  <c r="BD28" i="5" s="1"/>
  <c r="BP28" i="5" s="1"/>
  <c r="CB28" i="5" s="1"/>
  <c r="CN28" i="5" s="1"/>
  <c r="CZ28" i="5" s="1"/>
  <c r="DL28" i="5" s="1"/>
  <c r="S28" i="5"/>
  <c r="AE28" i="5" s="1"/>
  <c r="AQ28" i="5" s="1"/>
  <c r="BC28" i="5" s="1"/>
  <c r="BO28" i="5" s="1"/>
  <c r="CA28" i="5" s="1"/>
  <c r="CM28" i="5" s="1"/>
  <c r="CY28" i="5" s="1"/>
  <c r="DK28" i="5" s="1"/>
  <c r="R28" i="5"/>
  <c r="AD28" i="5" s="1"/>
  <c r="AP28" i="5" s="1"/>
  <c r="BB28" i="5" s="1"/>
  <c r="BN28" i="5" s="1"/>
  <c r="BZ28" i="5" s="1"/>
  <c r="CL28" i="5" s="1"/>
  <c r="CX28" i="5" s="1"/>
  <c r="DJ28" i="5" s="1"/>
  <c r="Q28" i="5"/>
  <c r="AC28" i="5" s="1"/>
  <c r="AO28" i="5" s="1"/>
  <c r="BA28" i="5" s="1"/>
  <c r="BM28" i="5" s="1"/>
  <c r="BY28" i="5" s="1"/>
  <c r="CK28" i="5" s="1"/>
  <c r="CW28" i="5" s="1"/>
  <c r="DI28" i="5" s="1"/>
  <c r="P28" i="5"/>
  <c r="AB28" i="5" s="1"/>
  <c r="AN28" i="5" s="1"/>
  <c r="AZ28" i="5" s="1"/>
  <c r="BL28" i="5" s="1"/>
  <c r="BX28" i="5" s="1"/>
  <c r="CJ28" i="5" s="1"/>
  <c r="CV28" i="5" s="1"/>
  <c r="DH28" i="5" s="1"/>
  <c r="N28" i="5"/>
  <c r="O8" i="2" l="1"/>
  <c r="O7" i="2"/>
  <c r="O6" i="2"/>
  <c r="N20" i="2"/>
  <c r="O19" i="2" s="1"/>
  <c r="K228" i="2"/>
  <c r="BD174" i="2"/>
  <c r="BD182" i="2" s="1"/>
  <c r="J179" i="2"/>
  <c r="C36" i="2"/>
  <c r="C37" i="2" s="1"/>
  <c r="AB174" i="2"/>
  <c r="AC174" i="2"/>
  <c r="AE174" i="2"/>
  <c r="AD174" i="2"/>
  <c r="C27" i="2"/>
  <c r="J228" i="2"/>
  <c r="D29" i="5"/>
  <c r="F35" i="5"/>
  <c r="E37" i="5"/>
  <c r="X228" i="2"/>
  <c r="W228" i="2"/>
  <c r="U228" i="2"/>
  <c r="V228" i="2"/>
  <c r="F172" i="2"/>
  <c r="B39" i="5"/>
  <c r="Z28" i="5"/>
  <c r="E29" i="5"/>
  <c r="O18" i="2" l="1"/>
  <c r="O20" i="2" s="1"/>
  <c r="J230" i="2"/>
  <c r="C234" i="2"/>
  <c r="C38" i="2"/>
  <c r="AI174" i="2"/>
  <c r="AH174" i="2"/>
  <c r="AG174" i="2"/>
  <c r="AF174" i="2"/>
  <c r="F37" i="5"/>
  <c r="G35" i="5"/>
  <c r="Z228" i="2"/>
  <c r="Y228" i="2"/>
  <c r="AA228" i="2"/>
  <c r="AB228" i="2"/>
  <c r="AL28" i="5"/>
  <c r="AX28" i="5" s="1"/>
  <c r="BJ28" i="5" s="1"/>
  <c r="BV28" i="5" s="1"/>
  <c r="CH28" i="5" s="1"/>
  <c r="CT28" i="5" s="1"/>
  <c r="DF28" i="5" s="1"/>
  <c r="DR28" i="5" s="1"/>
  <c r="F29" i="5"/>
  <c r="AJ174" i="2" l="1"/>
  <c r="AK174" i="2"/>
  <c r="AL174" i="2"/>
  <c r="AM174" i="2"/>
  <c r="G37" i="5"/>
  <c r="H35" i="5"/>
  <c r="AF228" i="2"/>
  <c r="AC228" i="2"/>
  <c r="AE228" i="2"/>
  <c r="AD228" i="2"/>
  <c r="G29" i="5"/>
  <c r="AO174" i="2" l="1"/>
  <c r="AQ174" i="2"/>
  <c r="AP174" i="2"/>
  <c r="AN174" i="2"/>
  <c r="H37" i="5"/>
  <c r="I35" i="5"/>
  <c r="AH228" i="2"/>
  <c r="AI228" i="2"/>
  <c r="AG228" i="2"/>
  <c r="AJ228" i="2"/>
  <c r="H29" i="5"/>
  <c r="AX174" i="2" l="1"/>
  <c r="AT174" i="2"/>
  <c r="AY174" i="2"/>
  <c r="AU174" i="2"/>
  <c r="AR174" i="2"/>
  <c r="AW174" i="2"/>
  <c r="AS174" i="2"/>
  <c r="J35" i="5"/>
  <c r="I37" i="5"/>
  <c r="AN228" i="2"/>
  <c r="AM228" i="2"/>
  <c r="AK228" i="2"/>
  <c r="AL228" i="2"/>
  <c r="I29" i="5"/>
  <c r="AV174" i="2" l="1"/>
  <c r="AZ174" i="2"/>
  <c r="J37" i="5"/>
  <c r="K35" i="5"/>
  <c r="AR228" i="2"/>
  <c r="AP228" i="2"/>
  <c r="AO228" i="2"/>
  <c r="AQ228" i="2"/>
  <c r="J29" i="5"/>
  <c r="L35" i="5" l="1"/>
  <c r="K37" i="5"/>
  <c r="AU228" i="2"/>
  <c r="AW228" i="2"/>
  <c r="AS228" i="2"/>
  <c r="AT228" i="2"/>
  <c r="AV228" i="2"/>
  <c r="K29" i="5"/>
  <c r="C233" i="2" l="1"/>
  <c r="L37" i="5"/>
  <c r="L29" i="5"/>
  <c r="M29" i="5" l="1"/>
  <c r="N29" i="5" l="1"/>
  <c r="O29" i="5" l="1"/>
  <c r="P29" i="5" l="1"/>
  <c r="Q29" i="5" l="1"/>
  <c r="R29" i="5" l="1"/>
  <c r="S29" i="5" l="1"/>
  <c r="T29" i="5" l="1"/>
  <c r="U29" i="5" l="1"/>
  <c r="V29" i="5" l="1"/>
  <c r="W29" i="5" l="1"/>
  <c r="X29" i="5" l="1"/>
  <c r="Y29" i="5" l="1"/>
  <c r="Z29" i="5" l="1"/>
  <c r="AA29" i="5" l="1"/>
  <c r="AB29" i="5" l="1"/>
  <c r="AC29" i="5" l="1"/>
  <c r="AD29" i="5" l="1"/>
  <c r="AE29" i="5" l="1"/>
  <c r="AF29" i="5" l="1"/>
  <c r="AG29" i="5" l="1"/>
  <c r="AH29" i="5" l="1"/>
  <c r="AI29" i="5" l="1"/>
  <c r="AJ29" i="5" l="1"/>
  <c r="AK29" i="5" l="1"/>
  <c r="AL29" i="5" l="1"/>
  <c r="AM29" i="5" l="1"/>
  <c r="AN29" i="5" l="1"/>
  <c r="AO29" i="5" l="1"/>
  <c r="AP29" i="5" l="1"/>
  <c r="AQ29" i="5" l="1"/>
  <c r="AR29" i="5" l="1"/>
  <c r="AS29" i="5" l="1"/>
  <c r="AT29" i="5" l="1"/>
  <c r="AU29" i="5" l="1"/>
  <c r="AV29" i="5" l="1"/>
  <c r="AW29" i="5" l="1"/>
  <c r="AX29" i="5" l="1"/>
  <c r="AY29" i="5" l="1"/>
  <c r="AZ29" i="5" l="1"/>
  <c r="BA29" i="5" l="1"/>
  <c r="BB29" i="5" l="1"/>
  <c r="BC29" i="5" l="1"/>
  <c r="BD29" i="5" l="1"/>
  <c r="BE29" i="5" l="1"/>
  <c r="BF29" i="5" l="1"/>
  <c r="BG29" i="5" l="1"/>
  <c r="BH29" i="5" l="1"/>
  <c r="BI29" i="5" l="1"/>
  <c r="BJ29" i="5" l="1"/>
  <c r="BK29" i="5" l="1"/>
  <c r="BL29" i="5" l="1"/>
  <c r="BM29" i="5" l="1"/>
  <c r="BN29" i="5" l="1"/>
  <c r="BO29" i="5" l="1"/>
  <c r="BP29" i="5" l="1"/>
  <c r="BQ29" i="5" l="1"/>
  <c r="BR29" i="5" l="1"/>
  <c r="BS29" i="5" l="1"/>
  <c r="BT29" i="5" l="1"/>
  <c r="BU29" i="5" l="1"/>
  <c r="BV29" i="5" l="1"/>
  <c r="BW29" i="5" l="1"/>
  <c r="BX29" i="5" l="1"/>
  <c r="BY29" i="5" l="1"/>
  <c r="BZ29" i="5" l="1"/>
  <c r="CA29" i="5" l="1"/>
  <c r="CB29" i="5" l="1"/>
  <c r="CC29" i="5" l="1"/>
  <c r="CD29" i="5" l="1"/>
  <c r="CE29" i="5" l="1"/>
  <c r="CF29" i="5" l="1"/>
  <c r="CG29" i="5" l="1"/>
  <c r="CH29" i="5" l="1"/>
  <c r="CI29" i="5" l="1"/>
  <c r="CJ29" i="5" l="1"/>
  <c r="CK29" i="5" l="1"/>
  <c r="CL29" i="5" l="1"/>
  <c r="CM29" i="5" l="1"/>
  <c r="CN29" i="5" l="1"/>
  <c r="CO29" i="5" l="1"/>
  <c r="CP29" i="5" l="1"/>
  <c r="CQ29" i="5" l="1"/>
  <c r="CR29" i="5" l="1"/>
  <c r="CS29" i="5" l="1"/>
  <c r="CT29" i="5" l="1"/>
  <c r="CU29" i="5" l="1"/>
  <c r="CV29" i="5" l="1"/>
  <c r="CW29" i="5" l="1"/>
  <c r="CX29" i="5" l="1"/>
  <c r="CY29" i="5" l="1"/>
  <c r="CZ29" i="5" l="1"/>
  <c r="DA29" i="5" l="1"/>
  <c r="DB29" i="5" l="1"/>
  <c r="DC29" i="5" l="1"/>
  <c r="DD29" i="5" l="1"/>
  <c r="DE29" i="5" l="1"/>
  <c r="DF29" i="5" l="1"/>
  <c r="DG29" i="5" l="1"/>
  <c r="DH29" i="5" l="1"/>
  <c r="DI29" i="5" l="1"/>
  <c r="DJ29" i="5" l="1"/>
  <c r="DK29" i="5" l="1"/>
  <c r="DL29" i="5" l="1"/>
  <c r="DM29" i="5" l="1"/>
  <c r="DN29" i="5" l="1"/>
  <c r="DO29" i="5" l="1"/>
  <c r="DP29" i="5" l="1"/>
  <c r="DQ29" i="5" l="1"/>
  <c r="DR29" i="5" l="1"/>
  <c r="H218" i="2" l="1"/>
  <c r="BC181" i="2"/>
  <c r="BC174" i="2"/>
  <c r="BC173" i="2"/>
  <c r="BC170" i="2"/>
  <c r="BC169" i="2"/>
  <c r="BC166" i="2"/>
  <c r="BC165" i="2"/>
  <c r="BC160" i="2"/>
  <c r="BC159" i="2"/>
  <c r="BC158" i="2"/>
  <c r="BC157" i="2"/>
  <c r="BC155" i="2"/>
  <c r="BE123" i="2"/>
  <c r="BC163" i="2"/>
  <c r="BC153" i="2"/>
  <c r="BC151" i="2"/>
  <c r="BC147" i="2"/>
  <c r="BC145" i="2"/>
  <c r="BC144" i="2"/>
  <c r="BC156" i="2"/>
  <c r="BC143" i="2"/>
  <c r="BC142" i="2"/>
  <c r="BC141" i="2"/>
  <c r="BC138" i="2"/>
  <c r="BC135" i="2"/>
  <c r="BC136" i="2"/>
  <c r="BC134" i="2"/>
  <c r="BC129" i="2"/>
  <c r="BC127" i="2"/>
  <c r="BC126" i="2"/>
  <c r="J84" i="2"/>
  <c r="K84" i="2"/>
  <c r="E166" i="2" l="1"/>
  <c r="BF123" i="2"/>
  <c r="AZ153" i="2"/>
  <c r="AY153" i="2"/>
  <c r="AX153" i="2"/>
  <c r="AW153" i="2"/>
  <c r="AV153" i="2"/>
  <c r="AU153" i="2"/>
  <c r="AT153" i="2"/>
  <c r="AS153" i="2"/>
  <c r="AR153" i="2"/>
  <c r="AQ153" i="2"/>
  <c r="AP153" i="2"/>
  <c r="AO153" i="2"/>
  <c r="AN153" i="2"/>
  <c r="AM153" i="2"/>
  <c r="AL153" i="2"/>
  <c r="AK153" i="2"/>
  <c r="AJ153" i="2"/>
  <c r="AI153" i="2"/>
  <c r="AH153" i="2"/>
  <c r="AG153" i="2"/>
  <c r="AF153" i="2"/>
  <c r="AE153" i="2"/>
  <c r="AD153" i="2"/>
  <c r="AC153" i="2"/>
  <c r="AB153" i="2"/>
  <c r="AA153" i="2"/>
  <c r="Z153" i="2"/>
  <c r="Y153" i="2"/>
  <c r="X153" i="2"/>
  <c r="W153" i="2"/>
  <c r="V153" i="2"/>
  <c r="U153" i="2"/>
  <c r="T153" i="2"/>
  <c r="S153" i="2"/>
  <c r="R153" i="2"/>
  <c r="Q153" i="2"/>
  <c r="P153" i="2"/>
  <c r="O153" i="2"/>
  <c r="N153" i="2"/>
  <c r="M153" i="2"/>
  <c r="L153" i="2"/>
  <c r="H153" i="2"/>
  <c r="I173" i="2"/>
  <c r="I179" i="2" s="1"/>
  <c r="I191" i="2" l="1"/>
  <c r="G159" i="2"/>
  <c r="BD173" i="2"/>
  <c r="J191" i="2"/>
  <c r="BG123" i="2"/>
  <c r="G170" i="2"/>
  <c r="H173" i="2"/>
  <c r="H191" i="2" s="1"/>
  <c r="C60" i="2"/>
  <c r="K165" i="2" s="1"/>
  <c r="C50" i="2"/>
  <c r="F102" i="2"/>
  <c r="F85" i="2"/>
  <c r="F90" i="2" s="1"/>
  <c r="C29" i="2"/>
  <c r="F129" i="2"/>
  <c r="H170" i="2" l="1"/>
  <c r="I170" i="2" s="1"/>
  <c r="F155" i="2"/>
  <c r="F157" i="2"/>
  <c r="F100" i="2"/>
  <c r="BH123" i="2"/>
  <c r="G85" i="2"/>
  <c r="F101" i="2"/>
  <c r="G173" i="2"/>
  <c r="G191" i="2" s="1"/>
  <c r="L165" i="2"/>
  <c r="F169" i="2" l="1"/>
  <c r="M17" i="5"/>
  <c r="G90" i="2"/>
  <c r="M165" i="2"/>
  <c r="G201" i="2"/>
  <c r="G101" i="2"/>
  <c r="G102" i="2" s="1"/>
  <c r="G100" i="2"/>
  <c r="BI123" i="2"/>
  <c r="G172" i="2"/>
  <c r="H172" i="2" s="1"/>
  <c r="H85" i="2"/>
  <c r="K86" i="2"/>
  <c r="M84" i="2"/>
  <c r="N84" i="2"/>
  <c r="L84" i="2"/>
  <c r="G156" i="2" l="1"/>
  <c r="H213" i="2"/>
  <c r="M18" i="5" s="1"/>
  <c r="H91" i="2"/>
  <c r="H90" i="2"/>
  <c r="H156" i="2" s="1"/>
  <c r="I158" i="2" s="1"/>
  <c r="J160" i="2" s="1"/>
  <c r="N165" i="2"/>
  <c r="G155" i="2"/>
  <c r="G157" i="2"/>
  <c r="BJ123" i="2"/>
  <c r="H100" i="2"/>
  <c r="H201" i="2"/>
  <c r="I85" i="2"/>
  <c r="H101" i="2"/>
  <c r="I172" i="2"/>
  <c r="I181" i="2" s="1"/>
  <c r="F91" i="2"/>
  <c r="P84" i="2"/>
  <c r="Q84" i="2"/>
  <c r="O84" i="2"/>
  <c r="R84" i="2"/>
  <c r="H158" i="2" l="1"/>
  <c r="I160" i="2"/>
  <c r="G169" i="2"/>
  <c r="O165" i="2"/>
  <c r="BK123" i="2"/>
  <c r="I100" i="2"/>
  <c r="I213" i="2"/>
  <c r="I201" i="2"/>
  <c r="J85" i="2"/>
  <c r="J225" i="2" s="1"/>
  <c r="I101" i="2"/>
  <c r="G91" i="2"/>
  <c r="G92" i="2" s="1"/>
  <c r="V84" i="2"/>
  <c r="S84" i="2"/>
  <c r="U84" i="2"/>
  <c r="T84" i="2"/>
  <c r="F89" i="2"/>
  <c r="H92" i="2" l="1"/>
  <c r="G94" i="2"/>
  <c r="G95" i="2"/>
  <c r="I225" i="2"/>
  <c r="P165" i="2"/>
  <c r="J213" i="2"/>
  <c r="J201" i="2"/>
  <c r="J100" i="2"/>
  <c r="BL123" i="2"/>
  <c r="K85" i="2"/>
  <c r="K225" i="2" s="1"/>
  <c r="J101" i="2"/>
  <c r="J102" i="2" s="1"/>
  <c r="F99" i="2"/>
  <c r="G89" i="2"/>
  <c r="H102" i="2"/>
  <c r="W84" i="2"/>
  <c r="X84" i="2"/>
  <c r="Y84" i="2"/>
  <c r="Z84" i="2"/>
  <c r="G126" i="2" l="1"/>
  <c r="H94" i="2"/>
  <c r="H95" i="2"/>
  <c r="M19" i="5"/>
  <c r="Q165" i="2"/>
  <c r="K100" i="2"/>
  <c r="K213" i="2"/>
  <c r="K201" i="2"/>
  <c r="BM123" i="2"/>
  <c r="G127" i="2"/>
  <c r="G136" i="2" s="1"/>
  <c r="L85" i="2"/>
  <c r="L225" i="2" s="1"/>
  <c r="K101" i="2"/>
  <c r="J99" i="2" s="1"/>
  <c r="G99" i="2"/>
  <c r="AB84" i="2"/>
  <c r="AD84" i="2"/>
  <c r="AC84" i="2"/>
  <c r="AA84" i="2"/>
  <c r="R165" i="2" l="1"/>
  <c r="J155" i="2"/>
  <c r="J157" i="2"/>
  <c r="L213" i="2"/>
  <c r="L201" i="2"/>
  <c r="L100" i="2"/>
  <c r="G129" i="2"/>
  <c r="M85" i="2"/>
  <c r="M225" i="2" s="1"/>
  <c r="L101" i="2"/>
  <c r="AH84" i="2"/>
  <c r="AE84" i="2"/>
  <c r="AG84" i="2"/>
  <c r="AF84" i="2"/>
  <c r="G130" i="2" l="1"/>
  <c r="S165" i="2"/>
  <c r="M213" i="2"/>
  <c r="M100" i="2"/>
  <c r="M201" i="2"/>
  <c r="N85" i="2"/>
  <c r="N225" i="2" s="1"/>
  <c r="M101" i="2"/>
  <c r="AJ84" i="2"/>
  <c r="AI84" i="2"/>
  <c r="AK84" i="2"/>
  <c r="AL84" i="2"/>
  <c r="F130" i="2"/>
  <c r="F189" i="2"/>
  <c r="M16" i="5" l="1"/>
  <c r="D15" i="5" s="1"/>
  <c r="T165" i="2"/>
  <c r="N213" i="2"/>
  <c r="N100" i="2"/>
  <c r="N201" i="2"/>
  <c r="O85" i="2"/>
  <c r="N101" i="2"/>
  <c r="AM84" i="2"/>
  <c r="AP84" i="2"/>
  <c r="AO84" i="2"/>
  <c r="AN84" i="2"/>
  <c r="N86" i="2"/>
  <c r="M86" i="2"/>
  <c r="L86" i="2"/>
  <c r="O225" i="2" l="1"/>
  <c r="B30" i="5"/>
  <c r="U165" i="2"/>
  <c r="O213" i="2"/>
  <c r="O100" i="2"/>
  <c r="O201" i="2"/>
  <c r="P85" i="2"/>
  <c r="P225" i="2" s="1"/>
  <c r="O101" i="2"/>
  <c r="AS84" i="2"/>
  <c r="AR84" i="2"/>
  <c r="AT84" i="2"/>
  <c r="AQ84" i="2"/>
  <c r="P86" i="2"/>
  <c r="Q86" i="2"/>
  <c r="R86" i="2"/>
  <c r="O86" i="2"/>
  <c r="G189" i="2"/>
  <c r="C36" i="5" l="1"/>
  <c r="D36" i="5" s="1"/>
  <c r="E36" i="5" s="1"/>
  <c r="F36" i="5" s="1"/>
  <c r="G36" i="5" s="1"/>
  <c r="H36" i="5" s="1"/>
  <c r="I36" i="5" s="1"/>
  <c r="J36" i="5" s="1"/>
  <c r="K36" i="5" s="1"/>
  <c r="L36" i="5" s="1"/>
  <c r="C30" i="5"/>
  <c r="D30" i="5" s="1"/>
  <c r="E30" i="5" s="1"/>
  <c r="V165" i="2"/>
  <c r="P213" i="2"/>
  <c r="P100" i="2"/>
  <c r="P201" i="2"/>
  <c r="Q85" i="2"/>
  <c r="Q225" i="2" s="1"/>
  <c r="P101" i="2"/>
  <c r="AU84" i="2"/>
  <c r="AX84" i="2"/>
  <c r="AV84" i="2"/>
  <c r="AW84" i="2"/>
  <c r="S86" i="2"/>
  <c r="T86" i="2"/>
  <c r="W165" i="2" l="1"/>
  <c r="F30" i="5"/>
  <c r="Q100" i="2"/>
  <c r="Q201" i="2"/>
  <c r="Q213" i="2"/>
  <c r="R85" i="2"/>
  <c r="R225" i="2" s="1"/>
  <c r="Q101" i="2"/>
  <c r="AZ84" i="2"/>
  <c r="AY84" i="2"/>
  <c r="W86" i="2"/>
  <c r="X86" i="2"/>
  <c r="V86" i="2"/>
  <c r="X165" i="2" l="1"/>
  <c r="R100" i="2"/>
  <c r="R201" i="2"/>
  <c r="R213" i="2"/>
  <c r="G30" i="5"/>
  <c r="S85" i="2"/>
  <c r="S225" i="2" s="1"/>
  <c r="R101" i="2"/>
  <c r="Z86" i="2"/>
  <c r="AB86" i="2"/>
  <c r="AA86" i="2"/>
  <c r="H89" i="2"/>
  <c r="U86" i="2"/>
  <c r="Y165" i="2" l="1"/>
  <c r="H30" i="5"/>
  <c r="S100" i="2"/>
  <c r="S213" i="2"/>
  <c r="S201" i="2"/>
  <c r="T85" i="2"/>
  <c r="T225" i="2" s="1"/>
  <c r="S101" i="2"/>
  <c r="H126" i="2"/>
  <c r="H127" i="2"/>
  <c r="AE86" i="2"/>
  <c r="AF86" i="2"/>
  <c r="AD86" i="2"/>
  <c r="Y86" i="2"/>
  <c r="F134" i="2"/>
  <c r="F139" i="2"/>
  <c r="E132" i="2"/>
  <c r="F132" i="2" s="1"/>
  <c r="G132" i="2" s="1"/>
  <c r="G134" i="2" s="1"/>
  <c r="H132" i="2" l="1"/>
  <c r="H134" i="2" s="1"/>
  <c r="Z165" i="2"/>
  <c r="T100" i="2"/>
  <c r="T201" i="2"/>
  <c r="T213" i="2"/>
  <c r="I30" i="5"/>
  <c r="G135" i="2"/>
  <c r="H136" i="2"/>
  <c r="U85" i="2"/>
  <c r="U225" i="2" s="1"/>
  <c r="T101" i="2"/>
  <c r="AJ86" i="2"/>
  <c r="AI86" i="2"/>
  <c r="AH86" i="2"/>
  <c r="AC86" i="2"/>
  <c r="F83" i="2"/>
  <c r="F124" i="2" s="1"/>
  <c r="AA165" i="2" l="1"/>
  <c r="U100" i="2"/>
  <c r="U201" i="2"/>
  <c r="U213" i="2"/>
  <c r="J30" i="5"/>
  <c r="H135" i="2"/>
  <c r="H129" i="2"/>
  <c r="V85" i="2"/>
  <c r="V225" i="2" s="1"/>
  <c r="U101" i="2"/>
  <c r="AL86" i="2"/>
  <c r="AN86" i="2"/>
  <c r="AM86" i="2"/>
  <c r="AG86" i="2"/>
  <c r="H130" i="2" l="1"/>
  <c r="AB165" i="2"/>
  <c r="V201" i="2"/>
  <c r="V100" i="2"/>
  <c r="V213" i="2"/>
  <c r="K30" i="5"/>
  <c r="H138" i="2"/>
  <c r="H139" i="2" s="1"/>
  <c r="W85" i="2"/>
  <c r="W225" i="2" s="1"/>
  <c r="V101" i="2"/>
  <c r="AQ86" i="2"/>
  <c r="AR86" i="2"/>
  <c r="AP86" i="2"/>
  <c r="AK86" i="2"/>
  <c r="G138" i="2"/>
  <c r="G139" i="2" s="1"/>
  <c r="AC165" i="2" l="1"/>
  <c r="W201" i="2"/>
  <c r="W100" i="2"/>
  <c r="W213" i="2"/>
  <c r="L30" i="5"/>
  <c r="X85" i="2"/>
  <c r="X225" i="2" s="1"/>
  <c r="W101" i="2"/>
  <c r="AV86" i="2"/>
  <c r="AT86" i="2"/>
  <c r="AU86" i="2"/>
  <c r="AO86" i="2"/>
  <c r="AD165" i="2" l="1"/>
  <c r="X201" i="2"/>
  <c r="X213" i="2"/>
  <c r="X100" i="2"/>
  <c r="M30" i="5"/>
  <c r="Y85" i="2"/>
  <c r="Y225" i="2" s="1"/>
  <c r="X101" i="2"/>
  <c r="AX86" i="2"/>
  <c r="AY86" i="2"/>
  <c r="AZ86" i="2"/>
  <c r="AS86" i="2"/>
  <c r="AE165" i="2" l="1"/>
  <c r="N30" i="5"/>
  <c r="Y100" i="2"/>
  <c r="Y213" i="2"/>
  <c r="Y201" i="2"/>
  <c r="Z85" i="2"/>
  <c r="Z225" i="2" s="1"/>
  <c r="Y101" i="2"/>
  <c r="AW86" i="2"/>
  <c r="BJ153" i="2" s="1"/>
  <c r="G83" i="2"/>
  <c r="G124" i="2" s="1"/>
  <c r="BD159" i="2" l="1"/>
  <c r="BE174" i="2"/>
  <c r="BE182" i="2" s="1"/>
  <c r="BH174" i="2"/>
  <c r="BH182" i="2" s="1"/>
  <c r="BF174" i="2"/>
  <c r="BF182" i="2" s="1"/>
  <c r="BG174" i="2"/>
  <c r="BG182" i="2" s="1"/>
  <c r="BM174" i="2"/>
  <c r="BM182" i="2" s="1"/>
  <c r="BK174" i="2"/>
  <c r="BK182" i="2" s="1"/>
  <c r="BJ174" i="2"/>
  <c r="BJ182" i="2" s="1"/>
  <c r="BL174" i="2"/>
  <c r="BL182" i="2" s="1"/>
  <c r="BI174" i="2"/>
  <c r="BI182" i="2" s="1"/>
  <c r="AF165" i="2"/>
  <c r="BI165" i="2"/>
  <c r="BG153" i="2"/>
  <c r="BE165" i="2"/>
  <c r="BE145" i="2"/>
  <c r="BF153" i="2"/>
  <c r="BK145" i="2"/>
  <c r="BG145" i="2"/>
  <c r="BI145" i="2"/>
  <c r="BF145" i="2"/>
  <c r="BL145" i="2"/>
  <c r="BG165" i="2"/>
  <c r="BK153" i="2"/>
  <c r="BH145" i="2"/>
  <c r="BM153" i="2"/>
  <c r="BH153" i="2"/>
  <c r="BI153" i="2"/>
  <c r="Z100" i="2"/>
  <c r="Z201" i="2"/>
  <c r="Z213" i="2"/>
  <c r="BM145" i="2"/>
  <c r="BJ145" i="2"/>
  <c r="O30" i="5"/>
  <c r="BL153" i="2"/>
  <c r="BH165" i="2"/>
  <c r="BF165" i="2"/>
  <c r="AA85" i="2"/>
  <c r="AA225" i="2" s="1"/>
  <c r="Z101" i="2"/>
  <c r="E11" i="4"/>
  <c r="E9" i="4"/>
  <c r="E10" i="4"/>
  <c r="D10" i="4"/>
  <c r="AG165" i="2" l="1"/>
  <c r="AA201" i="2"/>
  <c r="AA213" i="2"/>
  <c r="AA100" i="2"/>
  <c r="P30" i="5"/>
  <c r="AB85" i="2"/>
  <c r="AB225" i="2" s="1"/>
  <c r="AA101" i="2"/>
  <c r="L4" i="3"/>
  <c r="M5" i="3"/>
  <c r="AH165" i="2" l="1"/>
  <c r="BJ165" i="2" s="1"/>
  <c r="Q30" i="5"/>
  <c r="R30" i="5" s="1"/>
  <c r="AB201" i="2"/>
  <c r="AB213" i="2"/>
  <c r="AB100" i="2"/>
  <c r="AC85" i="2"/>
  <c r="AC225" i="2" s="1"/>
  <c r="AB101" i="2"/>
  <c r="L10" i="3"/>
  <c r="AI165" i="2" l="1"/>
  <c r="AC213" i="2"/>
  <c r="AC100" i="2"/>
  <c r="AC201" i="2"/>
  <c r="S30" i="5"/>
  <c r="AD85" i="2"/>
  <c r="AD225" i="2" s="1"/>
  <c r="AC101" i="2"/>
  <c r="D2" i="4"/>
  <c r="F4" i="4" s="1"/>
  <c r="G4" i="4" s="1"/>
  <c r="AJ165" i="2" l="1"/>
  <c r="AD213" i="2"/>
  <c r="AD100" i="2"/>
  <c r="AD201" i="2"/>
  <c r="T30" i="5"/>
  <c r="U30" i="5" s="1"/>
  <c r="AE85" i="2"/>
  <c r="AE225" i="2" s="1"/>
  <c r="AD101" i="2"/>
  <c r="H4" i="4"/>
  <c r="AK165" i="2" l="1"/>
  <c r="AE213" i="2"/>
  <c r="AE100" i="2"/>
  <c r="AE201" i="2"/>
  <c r="V30" i="5"/>
  <c r="AF85" i="2"/>
  <c r="AF225" i="2" s="1"/>
  <c r="AE101" i="2"/>
  <c r="I4" i="4"/>
  <c r="AL165" i="2" l="1"/>
  <c r="BK165" i="2" s="1"/>
  <c r="AF213" i="2"/>
  <c r="AF100" i="2"/>
  <c r="AF201" i="2"/>
  <c r="W30" i="5"/>
  <c r="X30" i="5" s="1"/>
  <c r="AG85" i="2"/>
  <c r="AG225" i="2" s="1"/>
  <c r="AF101" i="2"/>
  <c r="J4" i="4"/>
  <c r="AM165" i="2" l="1"/>
  <c r="AG213" i="2"/>
  <c r="AG100" i="2"/>
  <c r="AG201" i="2"/>
  <c r="Y30" i="5"/>
  <c r="AH85" i="2"/>
  <c r="AH225" i="2" s="1"/>
  <c r="AG101" i="2"/>
  <c r="K4" i="4"/>
  <c r="AN165" i="2" l="1"/>
  <c r="AH100" i="2"/>
  <c r="AH201" i="2"/>
  <c r="AH213" i="2"/>
  <c r="Z30" i="5"/>
  <c r="AA30" i="5" s="1"/>
  <c r="AI85" i="2"/>
  <c r="AI225" i="2" s="1"/>
  <c r="AH101" i="2"/>
  <c r="L4" i="4"/>
  <c r="AO165" i="2" l="1"/>
  <c r="AI213" i="2"/>
  <c r="AI100" i="2"/>
  <c r="AI201" i="2"/>
  <c r="AB30" i="5"/>
  <c r="AJ85" i="2"/>
  <c r="AJ225" i="2" s="1"/>
  <c r="AI101" i="2"/>
  <c r="M4" i="4"/>
  <c r="AP165" i="2" l="1"/>
  <c r="BL165" i="2" s="1"/>
  <c r="AJ100" i="2"/>
  <c r="AJ201" i="2"/>
  <c r="AJ213" i="2"/>
  <c r="AC30" i="5"/>
  <c r="AD30" i="5" s="1"/>
  <c r="AK85" i="2"/>
  <c r="AK225" i="2" s="1"/>
  <c r="AJ101" i="2"/>
  <c r="H189" i="2"/>
  <c r="H83" i="2"/>
  <c r="H124" i="2" s="1"/>
  <c r="N4" i="4"/>
  <c r="AQ165" i="2" l="1"/>
  <c r="AK100" i="2"/>
  <c r="AK201" i="2"/>
  <c r="AK213" i="2"/>
  <c r="AE30" i="5"/>
  <c r="AL85" i="2"/>
  <c r="AL225" i="2" s="1"/>
  <c r="AK101" i="2"/>
  <c r="I102" i="2"/>
  <c r="I91" i="2"/>
  <c r="I90" i="2"/>
  <c r="I143" i="2"/>
  <c r="I189" i="2"/>
  <c r="I83" i="2"/>
  <c r="I124" i="2" s="1"/>
  <c r="O4" i="4"/>
  <c r="J158" i="2" l="1"/>
  <c r="BD158" i="2" s="1"/>
  <c r="AR165" i="2"/>
  <c r="AF30" i="5"/>
  <c r="AG30" i="5" s="1"/>
  <c r="AL100" i="2"/>
  <c r="AL201" i="2"/>
  <c r="AL213" i="2"/>
  <c r="AM85" i="2"/>
  <c r="AM225" i="2" s="1"/>
  <c r="AL101" i="2"/>
  <c r="J143" i="2"/>
  <c r="I89" i="2"/>
  <c r="H99" i="2"/>
  <c r="J91" i="2"/>
  <c r="J90" i="2"/>
  <c r="J156" i="2" s="1"/>
  <c r="K158" i="2" s="1"/>
  <c r="I92" i="2"/>
  <c r="J189" i="2"/>
  <c r="J83" i="2"/>
  <c r="J124" i="2" s="1"/>
  <c r="BD156" i="2" l="1"/>
  <c r="I95" i="2"/>
  <c r="I127" i="2" s="1"/>
  <c r="I136" i="2" s="1"/>
  <c r="AS165" i="2"/>
  <c r="AH30" i="5"/>
  <c r="AM201" i="2"/>
  <c r="AM100" i="2"/>
  <c r="AM213" i="2"/>
  <c r="I132" i="2"/>
  <c r="I134" i="2" s="1"/>
  <c r="AN85" i="2"/>
  <c r="AN225" i="2" s="1"/>
  <c r="AM101" i="2"/>
  <c r="K102" i="2"/>
  <c r="I99" i="2"/>
  <c r="K83" i="2"/>
  <c r="K124" i="2" s="1"/>
  <c r="K91" i="2"/>
  <c r="J92" i="2"/>
  <c r="J95" i="2" s="1"/>
  <c r="I94" i="2"/>
  <c r="I126" i="2" s="1"/>
  <c r="J89" i="2"/>
  <c r="K143" i="2"/>
  <c r="K90" i="2"/>
  <c r="K156" i="2" s="1"/>
  <c r="L158" i="2" s="1"/>
  <c r="K189" i="2"/>
  <c r="K230" i="2" s="1"/>
  <c r="K155" i="2" l="1"/>
  <c r="K157" i="2"/>
  <c r="AT165" i="2"/>
  <c r="BM165" i="2" s="1"/>
  <c r="I129" i="2"/>
  <c r="AN100" i="2"/>
  <c r="AN213" i="2"/>
  <c r="AN201" i="2"/>
  <c r="AI30" i="5"/>
  <c r="AJ30" i="5" s="1"/>
  <c r="I135" i="2"/>
  <c r="AO85" i="2"/>
  <c r="AO225" i="2" s="1"/>
  <c r="AN101" i="2"/>
  <c r="J127" i="2"/>
  <c r="J136" i="2" s="1"/>
  <c r="K92" i="2"/>
  <c r="L102" i="2"/>
  <c r="L91" i="2"/>
  <c r="J94" i="2"/>
  <c r="J126" i="2" s="1"/>
  <c r="L90" i="2"/>
  <c r="L156" i="2" s="1"/>
  <c r="M158" i="2" s="1"/>
  <c r="J132" i="2"/>
  <c r="J134" i="2" s="1"/>
  <c r="K89" i="2"/>
  <c r="L143" i="2"/>
  <c r="L189" i="2"/>
  <c r="L230" i="2" s="1"/>
  <c r="L83" i="2"/>
  <c r="L124" i="2" s="1"/>
  <c r="I145" i="2" l="1"/>
  <c r="K95" i="2"/>
  <c r="K94" i="2"/>
  <c r="K126" i="2" s="1"/>
  <c r="AU165" i="2"/>
  <c r="I130" i="2"/>
  <c r="AK30" i="5"/>
  <c r="AO201" i="2"/>
  <c r="AO213" i="2"/>
  <c r="AO100" i="2"/>
  <c r="BD127" i="2"/>
  <c r="BD136" i="2"/>
  <c r="AP85" i="2"/>
  <c r="AP225" i="2" s="1"/>
  <c r="AO101" i="2"/>
  <c r="I138" i="2"/>
  <c r="L92" i="2"/>
  <c r="BD134" i="2"/>
  <c r="J135" i="2"/>
  <c r="BD135" i="2" s="1"/>
  <c r="K99" i="2"/>
  <c r="K127" i="2"/>
  <c r="M102" i="2"/>
  <c r="M91" i="2"/>
  <c r="J129" i="2"/>
  <c r="L89" i="2"/>
  <c r="M90" i="2"/>
  <c r="M156" i="2" s="1"/>
  <c r="N158" i="2" s="1"/>
  <c r="M143" i="2"/>
  <c r="M189" i="2"/>
  <c r="M230" i="2" s="1"/>
  <c r="M83" i="2"/>
  <c r="M124" i="2" s="1"/>
  <c r="K135" i="2" l="1"/>
  <c r="K134" i="2"/>
  <c r="M92" i="2"/>
  <c r="M94" i="2" s="1"/>
  <c r="L94" i="2"/>
  <c r="L126" i="2" s="1"/>
  <c r="L95" i="2"/>
  <c r="L127" i="2" s="1"/>
  <c r="L136" i="2" s="1"/>
  <c r="AV165" i="2"/>
  <c r="AL30" i="5"/>
  <c r="AM30" i="5" s="1"/>
  <c r="AP201" i="2"/>
  <c r="AP100" i="2"/>
  <c r="AP213" i="2"/>
  <c r="K136" i="2"/>
  <c r="AQ85" i="2"/>
  <c r="AQ225" i="2" s="1"/>
  <c r="AP101" i="2"/>
  <c r="BD145" i="2"/>
  <c r="L132" i="2"/>
  <c r="L134" i="2" s="1"/>
  <c r="L99" i="2"/>
  <c r="N102" i="2"/>
  <c r="N91" i="2"/>
  <c r="I139" i="2"/>
  <c r="J138" i="2"/>
  <c r="M89" i="2"/>
  <c r="N90" i="2"/>
  <c r="N156" i="2" s="1"/>
  <c r="O158" i="2" s="1"/>
  <c r="N189" i="2"/>
  <c r="N230" i="2" s="1"/>
  <c r="N143" i="2"/>
  <c r="J130" i="2"/>
  <c r="N83" i="2"/>
  <c r="N124" i="2" s="1"/>
  <c r="N92" i="2" l="1"/>
  <c r="N95" i="2" s="1"/>
  <c r="M95" i="2"/>
  <c r="M126" i="2"/>
  <c r="AW165" i="2"/>
  <c r="AN30" i="5"/>
  <c r="AQ201" i="2"/>
  <c r="AQ213" i="2"/>
  <c r="AQ100" i="2"/>
  <c r="K129" i="2"/>
  <c r="K130" i="2" s="1"/>
  <c r="AR85" i="2"/>
  <c r="AR225" i="2" s="1"/>
  <c r="AQ101" i="2"/>
  <c r="M99" i="2"/>
  <c r="J139" i="2"/>
  <c r="L135" i="2"/>
  <c r="O102" i="2"/>
  <c r="O91" i="2"/>
  <c r="O92" i="2" s="1"/>
  <c r="O95" i="2" s="1"/>
  <c r="L129" i="2"/>
  <c r="M132" i="2"/>
  <c r="M127" i="2"/>
  <c r="N89" i="2"/>
  <c r="N94" i="2"/>
  <c r="O90" i="2"/>
  <c r="O156" i="2" s="1"/>
  <c r="P158" i="2" s="1"/>
  <c r="O143" i="2"/>
  <c r="O189" i="2"/>
  <c r="O230" i="2" s="1"/>
  <c r="O83" i="2"/>
  <c r="O124" i="2" s="1"/>
  <c r="M135" i="2" l="1"/>
  <c r="M134" i="2"/>
  <c r="N126" i="2"/>
  <c r="BE126" i="2" s="1"/>
  <c r="AX165" i="2"/>
  <c r="AR213" i="2"/>
  <c r="AR100" i="2"/>
  <c r="AR201" i="2"/>
  <c r="AO30" i="5"/>
  <c r="AP30" i="5" s="1"/>
  <c r="K138" i="2"/>
  <c r="M136" i="2"/>
  <c r="AS85" i="2"/>
  <c r="AS225" i="2" s="1"/>
  <c r="AR101" i="2"/>
  <c r="N99" i="2"/>
  <c r="P102" i="2"/>
  <c r="P91" i="2"/>
  <c r="L138" i="2"/>
  <c r="M129" i="2"/>
  <c r="N132" i="2"/>
  <c r="O89" i="2"/>
  <c r="N127" i="2"/>
  <c r="N136" i="2" s="1"/>
  <c r="O94" i="2"/>
  <c r="P90" i="2"/>
  <c r="P156" i="2" s="1"/>
  <c r="Q158" i="2" s="1"/>
  <c r="P143" i="2"/>
  <c r="P189" i="2"/>
  <c r="P230" i="2" s="1"/>
  <c r="P83" i="2"/>
  <c r="P124" i="2" s="1"/>
  <c r="BE136" i="2" l="1"/>
  <c r="O132" i="2"/>
  <c r="O135" i="2" s="1"/>
  <c r="N135" i="2"/>
  <c r="BE135" i="2" s="1"/>
  <c r="N134" i="2"/>
  <c r="O126" i="2"/>
  <c r="E165" i="2"/>
  <c r="BD165" i="2" s="1"/>
  <c r="AY165" i="2"/>
  <c r="AS213" i="2"/>
  <c r="AS100" i="2"/>
  <c r="AS201" i="2"/>
  <c r="AQ30" i="5"/>
  <c r="K139" i="2"/>
  <c r="BE127" i="2"/>
  <c r="BE129" i="2" s="1"/>
  <c r="AT85" i="2"/>
  <c r="AT225" i="2" s="1"/>
  <c r="AS101" i="2"/>
  <c r="O99" i="2"/>
  <c r="P99" i="2"/>
  <c r="Q91" i="2"/>
  <c r="M138" i="2"/>
  <c r="P92" i="2"/>
  <c r="P95" i="2" s="1"/>
  <c r="N129" i="2"/>
  <c r="O127" i="2"/>
  <c r="P89" i="2"/>
  <c r="Q90" i="2"/>
  <c r="Q156" i="2" s="1"/>
  <c r="R158" i="2" s="1"/>
  <c r="M130" i="2"/>
  <c r="Q143" i="2"/>
  <c r="Q189" i="2"/>
  <c r="Q230" i="2" s="1"/>
  <c r="Q83" i="2"/>
  <c r="Q124" i="2" s="1"/>
  <c r="O134" i="2" l="1"/>
  <c r="AZ165" i="2"/>
  <c r="AT213" i="2"/>
  <c r="AT100" i="2"/>
  <c r="AT201" i="2"/>
  <c r="AR30" i="5"/>
  <c r="AS30" i="5" s="1"/>
  <c r="O136" i="2"/>
  <c r="AU85" i="2"/>
  <c r="AU225" i="2" s="1"/>
  <c r="AT101" i="2"/>
  <c r="Q102" i="2"/>
  <c r="Q99" i="2"/>
  <c r="R91" i="2"/>
  <c r="M139" i="2"/>
  <c r="N138" i="2"/>
  <c r="P127" i="2"/>
  <c r="P136" i="2" s="1"/>
  <c r="Q92" i="2"/>
  <c r="P94" i="2"/>
  <c r="P126" i="2" s="1"/>
  <c r="O129" i="2"/>
  <c r="P132" i="2"/>
  <c r="Q89" i="2"/>
  <c r="R90" i="2"/>
  <c r="R156" i="2" s="1"/>
  <c r="S158" i="2" s="1"/>
  <c r="L130" i="2"/>
  <c r="N130" i="2"/>
  <c r="R143" i="2"/>
  <c r="R189" i="2"/>
  <c r="R230" i="2" s="1"/>
  <c r="R83" i="2"/>
  <c r="R124" i="2" s="1"/>
  <c r="P135" i="2" l="1"/>
  <c r="P134" i="2"/>
  <c r="Q95" i="2"/>
  <c r="Q94" i="2"/>
  <c r="Q126" i="2" s="1"/>
  <c r="AU189" i="2"/>
  <c r="AU230" i="2" s="1"/>
  <c r="AU213" i="2"/>
  <c r="AU100" i="2"/>
  <c r="AU201" i="2"/>
  <c r="AT30" i="5"/>
  <c r="AV85" i="2"/>
  <c r="AV225" i="2" s="1"/>
  <c r="AU101" i="2"/>
  <c r="R102" i="2"/>
  <c r="S102" i="2"/>
  <c r="S91" i="2"/>
  <c r="R92" i="2"/>
  <c r="R95" i="2" s="1"/>
  <c r="Q127" i="2"/>
  <c r="O138" i="2"/>
  <c r="Q132" i="2"/>
  <c r="O130" i="2"/>
  <c r="R89" i="2"/>
  <c r="S90" i="2"/>
  <c r="S156" i="2" s="1"/>
  <c r="T158" i="2" s="1"/>
  <c r="L139" i="2"/>
  <c r="N139" i="2"/>
  <c r="S143" i="2"/>
  <c r="S189" i="2"/>
  <c r="S230" i="2" s="1"/>
  <c r="S83" i="2"/>
  <c r="S124" i="2" s="1"/>
  <c r="Q135" i="2" l="1"/>
  <c r="Q134" i="2"/>
  <c r="AV189" i="2"/>
  <c r="AV230" i="2" s="1"/>
  <c r="AV213" i="2"/>
  <c r="AV100" i="2"/>
  <c r="AU30" i="5"/>
  <c r="AV30" i="5" s="1"/>
  <c r="P129" i="2"/>
  <c r="P130" i="2" s="1"/>
  <c r="Q136" i="2"/>
  <c r="BF136" i="2" s="1"/>
  <c r="AW85" i="2"/>
  <c r="AW225" i="2" s="1"/>
  <c r="AV101" i="2"/>
  <c r="R94" i="2"/>
  <c r="R126" i="2" s="1"/>
  <c r="R99" i="2"/>
  <c r="T102" i="2"/>
  <c r="S92" i="2"/>
  <c r="S95" i="2" s="1"/>
  <c r="R127" i="2"/>
  <c r="R136" i="2" s="1"/>
  <c r="T91" i="2"/>
  <c r="Q129" i="2"/>
  <c r="R132" i="2"/>
  <c r="S89" i="2"/>
  <c r="T90" i="2"/>
  <c r="T156" i="2" s="1"/>
  <c r="U158" i="2" s="1"/>
  <c r="T143" i="2"/>
  <c r="T189" i="2"/>
  <c r="T230" i="2" s="1"/>
  <c r="O139" i="2"/>
  <c r="T83" i="2"/>
  <c r="T124" i="2" s="1"/>
  <c r="R135" i="2" l="1"/>
  <c r="R134" i="2"/>
  <c r="AW189" i="2"/>
  <c r="AW100" i="2"/>
  <c r="AW30" i="5"/>
  <c r="P138" i="2"/>
  <c r="BF127" i="2"/>
  <c r="T92" i="2"/>
  <c r="AX85" i="2"/>
  <c r="AX225" i="2" s="1"/>
  <c r="AW101" i="2"/>
  <c r="S127" i="2"/>
  <c r="R129" i="2"/>
  <c r="S99" i="2"/>
  <c r="S94" i="2"/>
  <c r="S126" i="2" s="1"/>
  <c r="U102" i="2"/>
  <c r="U91" i="2"/>
  <c r="U92" i="2" s="1"/>
  <c r="U95" i="2" s="1"/>
  <c r="Q138" i="2"/>
  <c r="S132" i="2"/>
  <c r="T89" i="2"/>
  <c r="U90" i="2"/>
  <c r="U156" i="2" s="1"/>
  <c r="V158" i="2" s="1"/>
  <c r="Q130" i="2"/>
  <c r="U143" i="2"/>
  <c r="U189" i="2"/>
  <c r="U230" i="2" s="1"/>
  <c r="U83" i="2"/>
  <c r="U124" i="2" s="1"/>
  <c r="S135" i="2" l="1"/>
  <c r="S134" i="2"/>
  <c r="T95" i="2"/>
  <c r="T94" i="2"/>
  <c r="T126" i="2" s="1"/>
  <c r="P139" i="2"/>
  <c r="AX30" i="5"/>
  <c r="AY30" i="5" s="1"/>
  <c r="AX189" i="2"/>
  <c r="AX100" i="2"/>
  <c r="T127" i="2"/>
  <c r="T136" i="2" s="1"/>
  <c r="S129" i="2"/>
  <c r="S130" i="2" s="1"/>
  <c r="S136" i="2"/>
  <c r="BF126" i="2"/>
  <c r="BF129" i="2" s="1"/>
  <c r="BF130" i="2" s="1"/>
  <c r="AY85" i="2"/>
  <c r="AY225" i="2" s="1"/>
  <c r="AX101" i="2"/>
  <c r="T99" i="2"/>
  <c r="V102" i="2"/>
  <c r="V91" i="2"/>
  <c r="V92" i="2" s="1"/>
  <c r="V95" i="2" s="1"/>
  <c r="R138" i="2"/>
  <c r="T132" i="2"/>
  <c r="R130" i="2"/>
  <c r="U89" i="2"/>
  <c r="U94" i="2"/>
  <c r="V90" i="2"/>
  <c r="V156" i="2" s="1"/>
  <c r="W158" i="2" s="1"/>
  <c r="V143" i="2"/>
  <c r="V189" i="2"/>
  <c r="V230" i="2" s="1"/>
  <c r="V83" i="2"/>
  <c r="V124" i="2" s="1"/>
  <c r="T135" i="2" l="1"/>
  <c r="T134" i="2"/>
  <c r="U126" i="2"/>
  <c r="AY189" i="2"/>
  <c r="AY100" i="2"/>
  <c r="AZ30" i="5"/>
  <c r="T129" i="2"/>
  <c r="T130" i="2" s="1"/>
  <c r="AZ85" i="2"/>
  <c r="AZ225" i="2" s="1"/>
  <c r="AY101" i="2"/>
  <c r="U99" i="2"/>
  <c r="W102" i="2"/>
  <c r="W91" i="2"/>
  <c r="W92" i="2" s="1"/>
  <c r="W95" i="2" s="1"/>
  <c r="U132" i="2"/>
  <c r="U134" i="2" s="1"/>
  <c r="S138" i="2"/>
  <c r="U127" i="2"/>
  <c r="V89" i="2"/>
  <c r="V94" i="2"/>
  <c r="W90" i="2"/>
  <c r="W156" i="2" s="1"/>
  <c r="X158" i="2" s="1"/>
  <c r="Q139" i="2"/>
  <c r="W143" i="2"/>
  <c r="W189" i="2"/>
  <c r="W230" i="2" s="1"/>
  <c r="R139" i="2"/>
  <c r="W83" i="2"/>
  <c r="W124" i="2" s="1"/>
  <c r="V126" i="2" l="1"/>
  <c r="BA30" i="5"/>
  <c r="BB30" i="5" s="1"/>
  <c r="AZ101" i="2"/>
  <c r="AZ189" i="2"/>
  <c r="AZ100" i="2"/>
  <c r="U136" i="2"/>
  <c r="BG136" i="2" s="1"/>
  <c r="V99" i="2"/>
  <c r="X102" i="2"/>
  <c r="X91" i="2"/>
  <c r="X92" i="2" s="1"/>
  <c r="X95" i="2" s="1"/>
  <c r="U135" i="2"/>
  <c r="U129" i="2"/>
  <c r="V132" i="2"/>
  <c r="T138" i="2"/>
  <c r="S139" i="2"/>
  <c r="V127" i="2"/>
  <c r="V136" i="2" s="1"/>
  <c r="W89" i="2"/>
  <c r="W94" i="2"/>
  <c r="X90" i="2"/>
  <c r="X156" i="2" s="1"/>
  <c r="Y158" i="2" s="1"/>
  <c r="X143" i="2"/>
  <c r="X189" i="2"/>
  <c r="X230" i="2" s="1"/>
  <c r="X83" i="2"/>
  <c r="X124" i="2" s="1"/>
  <c r="V135" i="2" l="1"/>
  <c r="V134" i="2"/>
  <c r="W126" i="2"/>
  <c r="BC30" i="5"/>
  <c r="BG135" i="2"/>
  <c r="BG127" i="2"/>
  <c r="W99" i="2"/>
  <c r="U138" i="2"/>
  <c r="Y102" i="2"/>
  <c r="Y91" i="2"/>
  <c r="Y92" i="2" s="1"/>
  <c r="Y95" i="2" s="1"/>
  <c r="V129" i="2"/>
  <c r="V130" i="2" s="1"/>
  <c r="BG134" i="2"/>
  <c r="W132" i="2"/>
  <c r="T139" i="2"/>
  <c r="U130" i="2"/>
  <c r="W127" i="2"/>
  <c r="X89" i="2"/>
  <c r="X94" i="2"/>
  <c r="Y90" i="2"/>
  <c r="Y156" i="2" s="1"/>
  <c r="Z158" i="2" s="1"/>
  <c r="Y143" i="2"/>
  <c r="Y189" i="2"/>
  <c r="Y230" i="2" s="1"/>
  <c r="Y83" i="2"/>
  <c r="Y124" i="2" s="1"/>
  <c r="W135" i="2" l="1"/>
  <c r="W134" i="2"/>
  <c r="X126" i="2"/>
  <c r="BD30" i="5"/>
  <c r="BE30" i="5" s="1"/>
  <c r="W136" i="2"/>
  <c r="X99" i="2"/>
  <c r="Y99" i="2"/>
  <c r="Z91" i="2"/>
  <c r="Z92" i="2" s="1"/>
  <c r="Z95" i="2" s="1"/>
  <c r="W129" i="2"/>
  <c r="X132" i="2"/>
  <c r="V138" i="2"/>
  <c r="X127" i="2"/>
  <c r="X136" i="2" s="1"/>
  <c r="Y89" i="2"/>
  <c r="Y94" i="2"/>
  <c r="Z90" i="2"/>
  <c r="Z156" i="2" s="1"/>
  <c r="AA158" i="2" s="1"/>
  <c r="U139" i="2"/>
  <c r="Z143" i="2"/>
  <c r="Z189" i="2"/>
  <c r="Z230" i="2" s="1"/>
  <c r="Z83" i="2"/>
  <c r="Z124" i="2" s="1"/>
  <c r="X135" i="2" l="1"/>
  <c r="X134" i="2"/>
  <c r="Y126" i="2"/>
  <c r="BF30" i="5"/>
  <c r="Z102" i="2"/>
  <c r="AA102" i="2"/>
  <c r="W138" i="2"/>
  <c r="AA91" i="2"/>
  <c r="AA92" i="2" s="1"/>
  <c r="AA95" i="2" s="1"/>
  <c r="X129" i="2"/>
  <c r="Y132" i="2"/>
  <c r="Y127" i="2"/>
  <c r="Y136" i="2" s="1"/>
  <c r="Z89" i="2"/>
  <c r="Z94" i="2"/>
  <c r="AA90" i="2"/>
  <c r="AA156" i="2" s="1"/>
  <c r="AB158" i="2" s="1"/>
  <c r="W130" i="2"/>
  <c r="AA143" i="2"/>
  <c r="AA189" i="2"/>
  <c r="AA230" i="2" s="1"/>
  <c r="V139" i="2"/>
  <c r="AA83" i="2"/>
  <c r="AA124" i="2" s="1"/>
  <c r="Y135" i="2" l="1"/>
  <c r="Y134" i="2"/>
  <c r="Z126" i="2"/>
  <c r="BG30" i="5"/>
  <c r="BH30" i="5" s="1"/>
  <c r="Z99" i="2"/>
  <c r="X138" i="2"/>
  <c r="W139" i="2"/>
  <c r="AB102" i="2"/>
  <c r="AB91" i="2"/>
  <c r="AB92" i="2" s="1"/>
  <c r="AB95" i="2" s="1"/>
  <c r="Y129" i="2"/>
  <c r="Z132" i="2"/>
  <c r="X130" i="2"/>
  <c r="Z127" i="2"/>
  <c r="Z136" i="2" s="1"/>
  <c r="BH136" i="2" s="1"/>
  <c r="AA89" i="2"/>
  <c r="AA94" i="2"/>
  <c r="AB90" i="2"/>
  <c r="AB156" i="2" s="1"/>
  <c r="AC158" i="2" s="1"/>
  <c r="AB143" i="2"/>
  <c r="AB189" i="2"/>
  <c r="AB230" i="2" s="1"/>
  <c r="AB83" i="2"/>
  <c r="AB124" i="2" s="1"/>
  <c r="Z135" i="2" l="1"/>
  <c r="Z134" i="2"/>
  <c r="AA126" i="2"/>
  <c r="BI30" i="5"/>
  <c r="BH127" i="2"/>
  <c r="Y138" i="2"/>
  <c r="AA99" i="2"/>
  <c r="AC102" i="2"/>
  <c r="AC91" i="2"/>
  <c r="AC92" i="2" s="1"/>
  <c r="AC95" i="2" s="1"/>
  <c r="Z129" i="2"/>
  <c r="AA132" i="2"/>
  <c r="Y130" i="2"/>
  <c r="AB89" i="2"/>
  <c r="AA127" i="2"/>
  <c r="AB94" i="2"/>
  <c r="AC90" i="2"/>
  <c r="AC156" i="2" s="1"/>
  <c r="AD158" i="2" s="1"/>
  <c r="AC143" i="2"/>
  <c r="AC189" i="2"/>
  <c r="AC230" i="2" s="1"/>
  <c r="X139" i="2"/>
  <c r="AC83" i="2"/>
  <c r="AC124" i="2" s="1"/>
  <c r="AA135" i="2" l="1"/>
  <c r="AA134" i="2"/>
  <c r="AB126" i="2"/>
  <c r="BJ30" i="5"/>
  <c r="BK30" i="5" s="1"/>
  <c r="AA136" i="2"/>
  <c r="AB99" i="2"/>
  <c r="AD102" i="2"/>
  <c r="AD91" i="2"/>
  <c r="AD92" i="2" s="1"/>
  <c r="AD95" i="2" s="1"/>
  <c r="Z138" i="2"/>
  <c r="AA129" i="2"/>
  <c r="AB132" i="2"/>
  <c r="Z130" i="2"/>
  <c r="AB127" i="2"/>
  <c r="AB136" i="2" s="1"/>
  <c r="AC89" i="2"/>
  <c r="AC94" i="2"/>
  <c r="AD90" i="2"/>
  <c r="AD156" i="2" s="1"/>
  <c r="AE158" i="2" s="1"/>
  <c r="AD143" i="2"/>
  <c r="AD189" i="2"/>
  <c r="AD230" i="2" s="1"/>
  <c r="Y139" i="2"/>
  <c r="AD83" i="2"/>
  <c r="AD124" i="2" s="1"/>
  <c r="AB135" i="2" l="1"/>
  <c r="AB134" i="2"/>
  <c r="AC126" i="2"/>
  <c r="BL30" i="5"/>
  <c r="AC99" i="2"/>
  <c r="AE102" i="2"/>
  <c r="AE91" i="2"/>
  <c r="AE92" i="2" s="1"/>
  <c r="AE95" i="2" s="1"/>
  <c r="AA138" i="2"/>
  <c r="AB129" i="2"/>
  <c r="AC132" i="2"/>
  <c r="AC127" i="2"/>
  <c r="AC136" i="2" s="1"/>
  <c r="AD89" i="2"/>
  <c r="AD94" i="2"/>
  <c r="AE90" i="2"/>
  <c r="AE156" i="2" s="1"/>
  <c r="AF158" i="2" s="1"/>
  <c r="AE143" i="2"/>
  <c r="AE189" i="2"/>
  <c r="AE230" i="2" s="1"/>
  <c r="Z139" i="2"/>
  <c r="AA130" i="2"/>
  <c r="AE83" i="2"/>
  <c r="AE124" i="2" s="1"/>
  <c r="AC135" i="2" l="1"/>
  <c r="AC134" i="2"/>
  <c r="AD126" i="2"/>
  <c r="BM30" i="5"/>
  <c r="BN30" i="5" s="1"/>
  <c r="AB138" i="2"/>
  <c r="AD99" i="2"/>
  <c r="AF102" i="2"/>
  <c r="AF91" i="2"/>
  <c r="AF92" i="2" s="1"/>
  <c r="AF95" i="2" s="1"/>
  <c r="AC129" i="2"/>
  <c r="AC130" i="2" s="1"/>
  <c r="AD132" i="2"/>
  <c r="AB130" i="2"/>
  <c r="AD127" i="2"/>
  <c r="AD136" i="2" s="1"/>
  <c r="BI136" i="2" s="1"/>
  <c r="AE89" i="2"/>
  <c r="AE94" i="2"/>
  <c r="AF90" i="2"/>
  <c r="AF156" i="2" s="1"/>
  <c r="AG158" i="2" s="1"/>
  <c r="AF143" i="2"/>
  <c r="AF189" i="2"/>
  <c r="AF230" i="2" s="1"/>
  <c r="AA139" i="2"/>
  <c r="AF83" i="2"/>
  <c r="AF124" i="2" s="1"/>
  <c r="AD135" i="2" l="1"/>
  <c r="AD134" i="2"/>
  <c r="AE126" i="2"/>
  <c r="AB139" i="2"/>
  <c r="BO30" i="5"/>
  <c r="BI127" i="2"/>
  <c r="AE99" i="2"/>
  <c r="AF99" i="2"/>
  <c r="AG91" i="2"/>
  <c r="AG92" i="2" s="1"/>
  <c r="AG95" i="2" s="1"/>
  <c r="AD129" i="2"/>
  <c r="AD130" i="2" s="1"/>
  <c r="AE132" i="2"/>
  <c r="AC138" i="2"/>
  <c r="AE127" i="2"/>
  <c r="AF89" i="2"/>
  <c r="AF94" i="2"/>
  <c r="AG90" i="2"/>
  <c r="AG156" i="2" s="1"/>
  <c r="AH158" i="2" s="1"/>
  <c r="AG143" i="2"/>
  <c r="AG189" i="2"/>
  <c r="AG230" i="2" s="1"/>
  <c r="AG83" i="2"/>
  <c r="AG124" i="2" s="1"/>
  <c r="AE135" i="2" l="1"/>
  <c r="AE134" i="2"/>
  <c r="AF126" i="2"/>
  <c r="BP30" i="5"/>
  <c r="BQ30" i="5" s="1"/>
  <c r="AE136" i="2"/>
  <c r="AD138" i="2"/>
  <c r="AG102" i="2"/>
  <c r="AH102" i="2"/>
  <c r="AH91" i="2"/>
  <c r="AH92" i="2" s="1"/>
  <c r="AH95" i="2" s="1"/>
  <c r="AC139" i="2"/>
  <c r="AE129" i="2"/>
  <c r="AF132" i="2"/>
  <c r="AF127" i="2"/>
  <c r="AF136" i="2" s="1"/>
  <c r="AG89" i="2"/>
  <c r="AG94" i="2"/>
  <c r="AH90" i="2"/>
  <c r="AH156" i="2" s="1"/>
  <c r="AI158" i="2" s="1"/>
  <c r="AH143" i="2"/>
  <c r="AH189" i="2"/>
  <c r="AH230" i="2" s="1"/>
  <c r="AH83" i="2"/>
  <c r="AH124" i="2" s="1"/>
  <c r="AF135" i="2" l="1"/>
  <c r="AF134" i="2"/>
  <c r="AG126" i="2"/>
  <c r="AD139" i="2"/>
  <c r="BR30" i="5"/>
  <c r="AE138" i="2"/>
  <c r="AG99" i="2"/>
  <c r="AI102" i="2"/>
  <c r="AI91" i="2"/>
  <c r="AI92" i="2" s="1"/>
  <c r="AI95" i="2" s="1"/>
  <c r="AF129" i="2"/>
  <c r="AG132" i="2"/>
  <c r="AG127" i="2"/>
  <c r="AH89" i="2"/>
  <c r="AH94" i="2"/>
  <c r="AI90" i="2"/>
  <c r="AI156" i="2" s="1"/>
  <c r="AJ158" i="2" s="1"/>
  <c r="AI83" i="2"/>
  <c r="AI124" i="2" s="1"/>
  <c r="AI189" i="2"/>
  <c r="AI230" i="2" s="1"/>
  <c r="AI143" i="2"/>
  <c r="AE130" i="2"/>
  <c r="AG135" i="2" l="1"/>
  <c r="AG134" i="2"/>
  <c r="AH126" i="2"/>
  <c r="BS30" i="5"/>
  <c r="BT30" i="5" s="1"/>
  <c r="AG136" i="2"/>
  <c r="BJ136" i="2" s="1"/>
  <c r="AF138" i="2"/>
  <c r="AH99" i="2"/>
  <c r="AI99" i="2"/>
  <c r="AJ91" i="2"/>
  <c r="AJ92" i="2" s="1"/>
  <c r="AJ95" i="2" s="1"/>
  <c r="AG129" i="2"/>
  <c r="AH132" i="2"/>
  <c r="AH127" i="2"/>
  <c r="AH136" i="2" s="1"/>
  <c r="AI89" i="2"/>
  <c r="AI94" i="2"/>
  <c r="AJ90" i="2"/>
  <c r="AJ156" i="2" s="1"/>
  <c r="AK158" i="2" s="1"/>
  <c r="AJ189" i="2"/>
  <c r="AJ230" i="2" s="1"/>
  <c r="AE139" i="2"/>
  <c r="AJ143" i="2"/>
  <c r="AF130" i="2"/>
  <c r="AJ83" i="2"/>
  <c r="AJ124" i="2" s="1"/>
  <c r="AH135" i="2" l="1"/>
  <c r="AH134" i="2"/>
  <c r="AI126" i="2"/>
  <c r="BU30" i="5"/>
  <c r="BJ127" i="2"/>
  <c r="AJ102" i="2"/>
  <c r="AK102" i="2"/>
  <c r="AK91" i="2"/>
  <c r="AK92" i="2" s="1"/>
  <c r="AK95" i="2" s="1"/>
  <c r="AG138" i="2"/>
  <c r="AH129" i="2"/>
  <c r="AI132" i="2"/>
  <c r="AG130" i="2"/>
  <c r="AI127" i="2"/>
  <c r="AJ89" i="2"/>
  <c r="AJ94" i="2"/>
  <c r="AK90" i="2"/>
  <c r="AK156" i="2" s="1"/>
  <c r="AL158" i="2" s="1"/>
  <c r="AK83" i="2"/>
  <c r="AK124" i="2" s="1"/>
  <c r="AK189" i="2"/>
  <c r="AK230" i="2" s="1"/>
  <c r="AK143" i="2"/>
  <c r="AF139" i="2"/>
  <c r="AI135" i="2" l="1"/>
  <c r="AI134" i="2"/>
  <c r="AJ126" i="2"/>
  <c r="BV30" i="5"/>
  <c r="BW30" i="5" s="1"/>
  <c r="AI136" i="2"/>
  <c r="AJ99" i="2"/>
  <c r="AG139" i="2"/>
  <c r="AL102" i="2"/>
  <c r="AL91" i="2"/>
  <c r="AL92" i="2" s="1"/>
  <c r="AL95" i="2" s="1"/>
  <c r="AH138" i="2"/>
  <c r="AI129" i="2"/>
  <c r="AJ132" i="2"/>
  <c r="AH130" i="2"/>
  <c r="AJ127" i="2"/>
  <c r="AJ136" i="2" s="1"/>
  <c r="AL83" i="2"/>
  <c r="AL124" i="2" s="1"/>
  <c r="AK94" i="2"/>
  <c r="AK89" i="2"/>
  <c r="AL189" i="2"/>
  <c r="AL230" i="2" s="1"/>
  <c r="AL90" i="2"/>
  <c r="AL156" i="2" s="1"/>
  <c r="AM158" i="2" s="1"/>
  <c r="AL143" i="2"/>
  <c r="AJ135" i="2" l="1"/>
  <c r="AJ134" i="2"/>
  <c r="AK126" i="2"/>
  <c r="BX30" i="5"/>
  <c r="AK99" i="2"/>
  <c r="AM102" i="2"/>
  <c r="AM91" i="2"/>
  <c r="AM92" i="2" s="1"/>
  <c r="AM95" i="2" s="1"/>
  <c r="AI138" i="2"/>
  <c r="AJ129" i="2"/>
  <c r="AL89" i="2"/>
  <c r="AK132" i="2"/>
  <c r="AM83" i="2"/>
  <c r="AM124" i="2" s="1"/>
  <c r="AK127" i="2"/>
  <c r="AK136" i="2" s="1"/>
  <c r="AM90" i="2"/>
  <c r="AM156" i="2" s="1"/>
  <c r="AN158" i="2" s="1"/>
  <c r="AL94" i="2"/>
  <c r="AM143" i="2"/>
  <c r="AM189" i="2"/>
  <c r="AM230" i="2" s="1"/>
  <c r="AH139" i="2"/>
  <c r="AI130" i="2"/>
  <c r="AL126" i="2" l="1"/>
  <c r="AK135" i="2"/>
  <c r="AK134" i="2"/>
  <c r="BY30" i="5"/>
  <c r="BZ30" i="5" s="1"/>
  <c r="AL99" i="2"/>
  <c r="AN102" i="2"/>
  <c r="AN91" i="2"/>
  <c r="AN92" i="2" s="1"/>
  <c r="AN95" i="2" s="1"/>
  <c r="AJ138" i="2"/>
  <c r="AK129" i="2"/>
  <c r="AK130" i="2" s="1"/>
  <c r="AJ130" i="2"/>
  <c r="AL127" i="2"/>
  <c r="AL136" i="2" s="1"/>
  <c r="BK136" i="2" s="1"/>
  <c r="AM89" i="2"/>
  <c r="AL132" i="2"/>
  <c r="AN90" i="2"/>
  <c r="AN156" i="2" s="1"/>
  <c r="AO158" i="2" s="1"/>
  <c r="AN83" i="2"/>
  <c r="AN124" i="2" s="1"/>
  <c r="AN189" i="2"/>
  <c r="AN230" i="2" s="1"/>
  <c r="AN143" i="2"/>
  <c r="AM94" i="2"/>
  <c r="AI139" i="2"/>
  <c r="F5" i="4"/>
  <c r="AL135" i="2" l="1"/>
  <c r="AL134" i="2"/>
  <c r="AM126" i="2"/>
  <c r="CA30" i="5"/>
  <c r="BK127" i="2"/>
  <c r="AM99" i="2"/>
  <c r="AO102" i="2"/>
  <c r="AO91" i="2"/>
  <c r="AO92" i="2" s="1"/>
  <c r="AO95" i="2" s="1"/>
  <c r="AJ139" i="2"/>
  <c r="AL129" i="2"/>
  <c r="AL130" i="2" s="1"/>
  <c r="AM127" i="2"/>
  <c r="AN94" i="2"/>
  <c r="AN89" i="2"/>
  <c r="AM132" i="2"/>
  <c r="AM134" i="2" s="1"/>
  <c r="AO143" i="2"/>
  <c r="AO90" i="2"/>
  <c r="AO156" i="2" s="1"/>
  <c r="AP158" i="2" s="1"/>
  <c r="AO83" i="2"/>
  <c r="AO124" i="2" s="1"/>
  <c r="AO189" i="2"/>
  <c r="AO230" i="2" s="1"/>
  <c r="AK138" i="2"/>
  <c r="F6" i="4"/>
  <c r="F11" i="4" s="1"/>
  <c r="AN126" i="2" l="1"/>
  <c r="CB30" i="5"/>
  <c r="CC30" i="5" s="1"/>
  <c r="AM136" i="2"/>
  <c r="AN99" i="2"/>
  <c r="AO99" i="2"/>
  <c r="AP91" i="2"/>
  <c r="AP92" i="2" s="1"/>
  <c r="AP95" i="2" s="1"/>
  <c r="AP189" i="2"/>
  <c r="AP230" i="2" s="1"/>
  <c r="AM129" i="2"/>
  <c r="AM130" i="2" s="1"/>
  <c r="AN127" i="2"/>
  <c r="AN136" i="2" s="1"/>
  <c r="AL138" i="2"/>
  <c r="AP143" i="2"/>
  <c r="AK139" i="2"/>
  <c r="AM135" i="2"/>
  <c r="AP90" i="2"/>
  <c r="AP156" i="2" s="1"/>
  <c r="AQ158" i="2" s="1"/>
  <c r="AN132" i="2"/>
  <c r="AO89" i="2"/>
  <c r="AP83" i="2"/>
  <c r="AP124" i="2" s="1"/>
  <c r="AO94" i="2"/>
  <c r="G5" i="4"/>
  <c r="AN135" i="2" l="1"/>
  <c r="AN134" i="2"/>
  <c r="AO126" i="2"/>
  <c r="CD30" i="5"/>
  <c r="AP102" i="2"/>
  <c r="AP99" i="2"/>
  <c r="AQ91" i="2"/>
  <c r="AQ92" i="2" s="1"/>
  <c r="AQ95" i="2" s="1"/>
  <c r="AN129" i="2"/>
  <c r="AN130" i="2" s="1"/>
  <c r="AP94" i="2"/>
  <c r="AM138" i="2"/>
  <c r="AL139" i="2"/>
  <c r="AP89" i="2"/>
  <c r="AO132" i="2"/>
  <c r="AO127" i="2"/>
  <c r="AO136" i="2" s="1"/>
  <c r="AQ83" i="2"/>
  <c r="AQ124" i="2" s="1"/>
  <c r="AQ143" i="2"/>
  <c r="AQ189" i="2"/>
  <c r="AQ230" i="2" s="1"/>
  <c r="AQ90" i="2"/>
  <c r="AQ156" i="2" s="1"/>
  <c r="AR158" i="2" s="1"/>
  <c r="G6" i="4"/>
  <c r="G11" i="4" s="1"/>
  <c r="AO135" i="2" l="1"/>
  <c r="AO134" i="2"/>
  <c r="AP126" i="2"/>
  <c r="CE30" i="5"/>
  <c r="CF30" i="5" s="1"/>
  <c r="AQ102" i="2"/>
  <c r="AR90" i="2"/>
  <c r="AQ99" i="2"/>
  <c r="AR83" i="2"/>
  <c r="AR124" i="2" s="1"/>
  <c r="AR91" i="2"/>
  <c r="AR92" i="2" s="1"/>
  <c r="AR95" i="2" s="1"/>
  <c r="AR189" i="2"/>
  <c r="AR230" i="2" s="1"/>
  <c r="AR143" i="2"/>
  <c r="AO129" i="2"/>
  <c r="AO130" i="2" s="1"/>
  <c r="AQ94" i="2"/>
  <c r="BL126" i="2"/>
  <c r="AP127" i="2"/>
  <c r="AP136" i="2" s="1"/>
  <c r="BL136" i="2" s="1"/>
  <c r="AM139" i="2"/>
  <c r="AN138" i="2"/>
  <c r="AP132" i="2"/>
  <c r="AQ89" i="2"/>
  <c r="H5" i="4"/>
  <c r="AQ126" i="2" l="1"/>
  <c r="AP135" i="2"/>
  <c r="BL135" i="2" s="1"/>
  <c r="AP134" i="2"/>
  <c r="AR89" i="2"/>
  <c r="AR127" i="2" s="1"/>
  <c r="AR136" i="2" s="1"/>
  <c r="AR156" i="2"/>
  <c r="AS158" i="2" s="1"/>
  <c r="CG30" i="5"/>
  <c r="BL127" i="2"/>
  <c r="BL129" i="2" s="1"/>
  <c r="AS90" i="2"/>
  <c r="AR102" i="2"/>
  <c r="AS83" i="2"/>
  <c r="AS124" i="2" s="1"/>
  <c r="AS143" i="2"/>
  <c r="AT143" i="2" s="1"/>
  <c r="AR94" i="2"/>
  <c r="AS102" i="2"/>
  <c r="AS189" i="2"/>
  <c r="AS230" i="2" s="1"/>
  <c r="AS91" i="2"/>
  <c r="AS92" i="2" s="1"/>
  <c r="AS95" i="2" s="1"/>
  <c r="AP129" i="2"/>
  <c r="AP130" i="2" s="1"/>
  <c r="AN139" i="2"/>
  <c r="AO138" i="2"/>
  <c r="AQ127" i="2"/>
  <c r="AQ132" i="2"/>
  <c r="AQ134" i="2" s="1"/>
  <c r="AT90" i="2"/>
  <c r="AT156" i="2" s="1"/>
  <c r="AU158" i="2" s="1"/>
  <c r="AT83" i="2"/>
  <c r="AT124" i="2" s="1"/>
  <c r="I5" i="4"/>
  <c r="AR126" i="2" l="1"/>
  <c r="AS89" i="2"/>
  <c r="AS127" i="2" s="1"/>
  <c r="AS136" i="2" s="1"/>
  <c r="AS156" i="2"/>
  <c r="AT158" i="2" s="1"/>
  <c r="AU160" i="2" s="1"/>
  <c r="F116" i="2"/>
  <c r="G116" i="2" s="1"/>
  <c r="H160" i="2"/>
  <c r="BD160" i="2" s="1"/>
  <c r="K160" i="2"/>
  <c r="CH30" i="5"/>
  <c r="CI30" i="5" s="1"/>
  <c r="AQ136" i="2"/>
  <c r="AT102" i="2"/>
  <c r="AT91" i="2"/>
  <c r="AT92" i="2" s="1"/>
  <c r="AT95" i="2" s="1"/>
  <c r="AR129" i="2"/>
  <c r="N160" i="2"/>
  <c r="M160" i="2"/>
  <c r="L160" i="2"/>
  <c r="P160" i="2"/>
  <c r="O160" i="2"/>
  <c r="Q160" i="2"/>
  <c r="S160" i="2"/>
  <c r="R160" i="2"/>
  <c r="U160" i="2"/>
  <c r="T160" i="2"/>
  <c r="X160" i="2"/>
  <c r="V160" i="2"/>
  <c r="W160" i="2"/>
  <c r="AA160" i="2"/>
  <c r="Z160" i="2"/>
  <c r="Y160" i="2"/>
  <c r="AC160" i="2"/>
  <c r="AD160" i="2"/>
  <c r="AB160" i="2"/>
  <c r="AF160" i="2"/>
  <c r="AE160" i="2"/>
  <c r="AH160" i="2"/>
  <c r="AG160" i="2"/>
  <c r="AI160" i="2"/>
  <c r="AJ160" i="2"/>
  <c r="AK160" i="2"/>
  <c r="AL160" i="2"/>
  <c r="AO160" i="2"/>
  <c r="AT189" i="2"/>
  <c r="AP160" i="2"/>
  <c r="AR160" i="2"/>
  <c r="AM160" i="2"/>
  <c r="AN160" i="2"/>
  <c r="AQ160" i="2"/>
  <c r="AS99" i="2"/>
  <c r="AS160" i="2"/>
  <c r="AR99" i="2"/>
  <c r="AT160" i="2"/>
  <c r="AS94" i="2"/>
  <c r="AQ129" i="2"/>
  <c r="AP138" i="2"/>
  <c r="AO139" i="2"/>
  <c r="AQ135" i="2"/>
  <c r="AR132" i="2"/>
  <c r="AR134" i="2" s="1"/>
  <c r="AT89" i="2"/>
  <c r="J5" i="4"/>
  <c r="AS126" i="2" l="1"/>
  <c r="AS129" i="2" s="1"/>
  <c r="AS130" i="2" s="1"/>
  <c r="H116" i="2"/>
  <c r="I117" i="2" s="1"/>
  <c r="CJ30" i="5"/>
  <c r="CG32" i="5"/>
  <c r="CG34" i="5" s="1"/>
  <c r="BG156" i="2"/>
  <c r="BL156" i="2"/>
  <c r="BM158" i="2"/>
  <c r="BK158" i="2"/>
  <c r="BK156" i="2"/>
  <c r="BF156" i="2"/>
  <c r="BE158" i="2"/>
  <c r="BF158" i="2"/>
  <c r="BL158" i="2"/>
  <c r="BI156" i="2"/>
  <c r="BM156" i="2"/>
  <c r="BH156" i="2"/>
  <c r="BG158" i="2"/>
  <c r="BE156" i="2"/>
  <c r="BH158" i="2"/>
  <c r="BJ158" i="2"/>
  <c r="BI158" i="2"/>
  <c r="BJ156" i="2"/>
  <c r="AT127" i="2"/>
  <c r="AV91" i="2"/>
  <c r="AT94" i="2"/>
  <c r="AT126" i="2" s="1"/>
  <c r="AU91" i="2"/>
  <c r="AU92" i="2" s="1"/>
  <c r="AU95" i="2" s="1"/>
  <c r="AU143" i="2"/>
  <c r="AV143" i="2" s="1"/>
  <c r="AT99" i="2"/>
  <c r="AU83" i="2"/>
  <c r="AU124" i="2" s="1"/>
  <c r="AU90" i="2"/>
  <c r="AV90" i="2"/>
  <c r="AV83" i="2"/>
  <c r="AV124" i="2" s="1"/>
  <c r="AP139" i="2"/>
  <c r="AR130" i="2"/>
  <c r="AR135" i="2"/>
  <c r="AQ138" i="2"/>
  <c r="AQ130" i="2"/>
  <c r="AS132" i="2"/>
  <c r="K5" i="4"/>
  <c r="AT132" i="2" l="1"/>
  <c r="AT134" i="2" s="1"/>
  <c r="AS134" i="2"/>
  <c r="AV156" i="2"/>
  <c r="AW158" i="2" s="1"/>
  <c r="AV160" i="2"/>
  <c r="AU156" i="2"/>
  <c r="AV158" i="2" s="1"/>
  <c r="AW160" i="2" s="1"/>
  <c r="AZ117" i="2"/>
  <c r="AP117" i="2"/>
  <c r="AF117" i="2"/>
  <c r="V117" i="2"/>
  <c r="L117" i="2"/>
  <c r="AC117" i="2"/>
  <c r="AV117" i="2"/>
  <c r="AL117" i="2"/>
  <c r="R117" i="2"/>
  <c r="AK117" i="2"/>
  <c r="Q117" i="2"/>
  <c r="AT117" i="2"/>
  <c r="AJ117" i="2"/>
  <c r="Z117" i="2"/>
  <c r="P117" i="2"/>
  <c r="AS117" i="2"/>
  <c r="AI117" i="2"/>
  <c r="Y117" i="2"/>
  <c r="O117" i="2"/>
  <c r="AY117" i="2"/>
  <c r="AO117" i="2"/>
  <c r="AE117" i="2"/>
  <c r="U117" i="2"/>
  <c r="K117" i="2"/>
  <c r="AW117" i="2"/>
  <c r="AM117" i="2"/>
  <c r="S117" i="2"/>
  <c r="AB117" i="2"/>
  <c r="AH117" i="2"/>
  <c r="AQ117" i="2"/>
  <c r="AG117" i="2"/>
  <c r="M117" i="2"/>
  <c r="AX117" i="2"/>
  <c r="AN117" i="2"/>
  <c r="AD117" i="2"/>
  <c r="T117" i="2"/>
  <c r="J117" i="2"/>
  <c r="AU117" i="2"/>
  <c r="AA117" i="2"/>
  <c r="AR117" i="2"/>
  <c r="X117" i="2"/>
  <c r="N117" i="2"/>
  <c r="W117" i="2"/>
  <c r="I116" i="2"/>
  <c r="AT230" i="2"/>
  <c r="CJ32" i="5"/>
  <c r="CJ34" i="5" s="1"/>
  <c r="CK30" i="5"/>
  <c r="CL30" i="5" s="1"/>
  <c r="BK160" i="2"/>
  <c r="BH160" i="2"/>
  <c r="BM160" i="2"/>
  <c r="AT136" i="2"/>
  <c r="BM136" i="2" s="1"/>
  <c r="BM127" i="2"/>
  <c r="BE160" i="2"/>
  <c r="BJ160" i="2"/>
  <c r="BG160" i="2"/>
  <c r="BI160" i="2"/>
  <c r="BL160" i="2"/>
  <c r="BF160" i="2"/>
  <c r="BM126" i="2"/>
  <c r="AU99" i="2"/>
  <c r="AV92" i="2"/>
  <c r="AV95" i="2" s="1"/>
  <c r="AV99" i="2"/>
  <c r="AU102" i="2"/>
  <c r="AV102" i="2"/>
  <c r="AW102" i="2"/>
  <c r="AU94" i="2"/>
  <c r="AW83" i="2"/>
  <c r="AW124" i="2" s="1"/>
  <c r="AV89" i="2"/>
  <c r="AX91" i="2"/>
  <c r="AU89" i="2"/>
  <c r="AW91" i="2"/>
  <c r="AW92" i="2" s="1"/>
  <c r="AW95" i="2" s="1"/>
  <c r="AW143" i="2"/>
  <c r="AW90" i="2"/>
  <c r="AR138" i="2"/>
  <c r="AT135" i="2"/>
  <c r="AQ139" i="2"/>
  <c r="AS135" i="2"/>
  <c r="L5" i="4"/>
  <c r="AX160" i="2" l="1"/>
  <c r="AW156" i="2"/>
  <c r="AX158" i="2" s="1"/>
  <c r="AU126" i="2"/>
  <c r="J116" i="2"/>
  <c r="K116" i="2" s="1"/>
  <c r="L116" i="2" s="1"/>
  <c r="M116" i="2" s="1"/>
  <c r="N116" i="2" s="1"/>
  <c r="O116" i="2" s="1"/>
  <c r="P116" i="2" s="1"/>
  <c r="Q116" i="2" s="1"/>
  <c r="R116" i="2" s="1"/>
  <c r="S116" i="2" s="1"/>
  <c r="T116" i="2" s="1"/>
  <c r="U116" i="2" s="1"/>
  <c r="V116" i="2" s="1"/>
  <c r="W116" i="2" s="1"/>
  <c r="X116" i="2" s="1"/>
  <c r="Y116" i="2" s="1"/>
  <c r="Z116" i="2" s="1"/>
  <c r="AA116" i="2" s="1"/>
  <c r="AB116" i="2" s="1"/>
  <c r="AC116" i="2" s="1"/>
  <c r="AD116" i="2" s="1"/>
  <c r="AE116" i="2" s="1"/>
  <c r="AF116" i="2" s="1"/>
  <c r="AG116" i="2" s="1"/>
  <c r="AH116" i="2" s="1"/>
  <c r="AI116" i="2" s="1"/>
  <c r="AJ116" i="2" s="1"/>
  <c r="AK116" i="2" s="1"/>
  <c r="AL116" i="2" s="1"/>
  <c r="AM116" i="2" s="1"/>
  <c r="AN116" i="2" s="1"/>
  <c r="AO116" i="2" s="1"/>
  <c r="AP116" i="2" s="1"/>
  <c r="AQ116" i="2" s="1"/>
  <c r="AR116" i="2" s="1"/>
  <c r="AS116" i="2" s="1"/>
  <c r="AT116" i="2" s="1"/>
  <c r="AU116" i="2" s="1"/>
  <c r="AV116" i="2" s="1"/>
  <c r="BM134" i="2"/>
  <c r="BM135" i="2"/>
  <c r="CM30" i="5"/>
  <c r="AV127" i="2"/>
  <c r="AV136" i="2" s="1"/>
  <c r="AV94" i="2"/>
  <c r="AV126" i="2" s="1"/>
  <c r="BM129" i="2"/>
  <c r="BM130" i="2" s="1"/>
  <c r="AT129" i="2"/>
  <c r="AT130" i="2" s="1"/>
  <c r="AX143" i="2"/>
  <c r="AX92" i="2"/>
  <c r="AX95" i="2" s="1"/>
  <c r="AX102" i="2"/>
  <c r="AU127" i="2"/>
  <c r="AU136" i="2" s="1"/>
  <c r="AX90" i="2"/>
  <c r="AX83" i="2"/>
  <c r="AX124" i="2" s="1"/>
  <c r="AU132" i="2"/>
  <c r="AW94" i="2"/>
  <c r="AW89" i="2"/>
  <c r="AW99" i="2"/>
  <c r="AS138" i="2"/>
  <c r="AR139" i="2"/>
  <c r="M5" i="4"/>
  <c r="AV132" i="2" l="1"/>
  <c r="AU134" i="2"/>
  <c r="AY160" i="2"/>
  <c r="AX156" i="2"/>
  <c r="AY158" i="2" s="1"/>
  <c r="AW126" i="2"/>
  <c r="AW116" i="2"/>
  <c r="AV129" i="2"/>
  <c r="AV130" i="2" s="1"/>
  <c r="CM32" i="5"/>
  <c r="CM34" i="5" s="1"/>
  <c r="CN30" i="5"/>
  <c r="CO30" i="5" s="1"/>
  <c r="AT138" i="2"/>
  <c r="AX94" i="2"/>
  <c r="BM138" i="2"/>
  <c r="BM139" i="2" s="1"/>
  <c r="AU129" i="2"/>
  <c r="AU130" i="2" s="1"/>
  <c r="AZ102" i="2"/>
  <c r="AX89" i="2"/>
  <c r="AY91" i="2"/>
  <c r="AY92" i="2" s="1"/>
  <c r="AY95" i="2" s="1"/>
  <c r="AY102" i="2"/>
  <c r="AW127" i="2"/>
  <c r="AW136" i="2" s="1"/>
  <c r="AY90" i="2"/>
  <c r="AY143" i="2"/>
  <c r="AZ143" i="2" s="1"/>
  <c r="AY83" i="2"/>
  <c r="AY124" i="2" s="1"/>
  <c r="AU135" i="2"/>
  <c r="AW132" i="2"/>
  <c r="AW134" i="2" s="1"/>
  <c r="AS139" i="2"/>
  <c r="AZ91" i="2"/>
  <c r="AZ90" i="2"/>
  <c r="AZ156" i="2" s="1"/>
  <c r="AZ83" i="2"/>
  <c r="AZ124" i="2" s="1"/>
  <c r="M6" i="4"/>
  <c r="M11" i="4" s="1"/>
  <c r="AZ160" i="2" l="1"/>
  <c r="AY156" i="2"/>
  <c r="AZ158" i="2" s="1"/>
  <c r="AV135" i="2"/>
  <c r="AV134" i="2"/>
  <c r="AV138" i="2" s="1"/>
  <c r="AX126" i="2"/>
  <c r="AX116" i="2"/>
  <c r="AT139" i="2"/>
  <c r="AX132" i="2"/>
  <c r="AX134" i="2" s="1"/>
  <c r="BD143" i="2"/>
  <c r="BI143" i="2"/>
  <c r="BJ143" i="2"/>
  <c r="BE143" i="2"/>
  <c r="BF143" i="2"/>
  <c r="BG143" i="2"/>
  <c r="BH143" i="2"/>
  <c r="BK143" i="2"/>
  <c r="BL143" i="2"/>
  <c r="BM143" i="2"/>
  <c r="CP30" i="5"/>
  <c r="AY89" i="2"/>
  <c r="AX127" i="2"/>
  <c r="AX136" i="2" s="1"/>
  <c r="AY94" i="2"/>
  <c r="AU138" i="2"/>
  <c r="AZ92" i="2"/>
  <c r="AZ95" i="2" s="1"/>
  <c r="AW135" i="2"/>
  <c r="AX99" i="2"/>
  <c r="AW129" i="2"/>
  <c r="AZ99" i="2"/>
  <c r="AY99" i="2"/>
  <c r="AZ89" i="2"/>
  <c r="N5" i="4"/>
  <c r="AW130" i="2" l="1"/>
  <c r="AY126" i="2"/>
  <c r="AY116" i="2"/>
  <c r="AZ116" i="2" s="1"/>
  <c r="AX135" i="2"/>
  <c r="AY132" i="2"/>
  <c r="AY134" i="2" s="1"/>
  <c r="AV139" i="2"/>
  <c r="C58" i="2"/>
  <c r="CP32" i="5"/>
  <c r="CP34" i="5" s="1"/>
  <c r="CQ30" i="5"/>
  <c r="CR30" i="5" s="1"/>
  <c r="AY127" i="2"/>
  <c r="AY136" i="2" s="1"/>
  <c r="AU139" i="2"/>
  <c r="AX129" i="2"/>
  <c r="AX130" i="2" s="1"/>
  <c r="AZ94" i="2"/>
  <c r="AZ126" i="2" s="1"/>
  <c r="AW138" i="2"/>
  <c r="H6" i="4"/>
  <c r="I6" i="4"/>
  <c r="I11" i="4" s="1"/>
  <c r="J6" i="4"/>
  <c r="J11" i="4" s="1"/>
  <c r="K6" i="4"/>
  <c r="K11" i="4" s="1"/>
  <c r="L6" i="4"/>
  <c r="L11" i="4" s="1"/>
  <c r="N6" i="4"/>
  <c r="N11" i="4" s="1"/>
  <c r="AY135" i="2" l="1"/>
  <c r="AZ132" i="2"/>
  <c r="AY129" i="2"/>
  <c r="AY130" i="2" s="1"/>
  <c r="CS30" i="5"/>
  <c r="AX138" i="2"/>
  <c r="BD126" i="2"/>
  <c r="BD129" i="2" s="1"/>
  <c r="BG126" i="2"/>
  <c r="BG129" i="2" s="1"/>
  <c r="BH126" i="2"/>
  <c r="BH129" i="2" s="1"/>
  <c r="BI126" i="2"/>
  <c r="BI129" i="2" s="1"/>
  <c r="BJ126" i="2"/>
  <c r="BJ129" i="2" s="1"/>
  <c r="BK126" i="2"/>
  <c r="BK129" i="2" s="1"/>
  <c r="AZ127" i="2"/>
  <c r="AW139" i="2"/>
  <c r="H11" i="4"/>
  <c r="AZ135" i="2" l="1"/>
  <c r="AZ134" i="2"/>
  <c r="AZ129" i="2"/>
  <c r="AZ130" i="2" s="1"/>
  <c r="AX139" i="2"/>
  <c r="AY138" i="2"/>
  <c r="CS32" i="5"/>
  <c r="CS34" i="5" s="1"/>
  <c r="CT30" i="5"/>
  <c r="CU30" i="5" s="1"/>
  <c r="BI130" i="2"/>
  <c r="AZ136" i="2"/>
  <c r="BJ130" i="2"/>
  <c r="BH130" i="2"/>
  <c r="BK130" i="2"/>
  <c r="BL130" i="2"/>
  <c r="BG130" i="2"/>
  <c r="BG138" i="2"/>
  <c r="BD138" i="2"/>
  <c r="BE130" i="2"/>
  <c r="BF135" i="2"/>
  <c r="BH135" i="2"/>
  <c r="BI135" i="2"/>
  <c r="BJ135" i="2"/>
  <c r="BK135" i="2"/>
  <c r="BE134" i="2"/>
  <c r="BE138" i="2" s="1"/>
  <c r="BF134" i="2"/>
  <c r="BH134" i="2"/>
  <c r="BI134" i="2"/>
  <c r="BJ134" i="2"/>
  <c r="BK134" i="2"/>
  <c r="BL134" i="2"/>
  <c r="BL138" i="2" s="1"/>
  <c r="O6" i="4"/>
  <c r="O5" i="4"/>
  <c r="O10" i="4" s="1"/>
  <c r="P10" i="4" s="1"/>
  <c r="F10" i="4" s="1"/>
  <c r="G10" i="4" s="1"/>
  <c r="H10" i="4" s="1"/>
  <c r="I10" i="4" s="1"/>
  <c r="J10" i="4" s="1"/>
  <c r="K10" i="4" s="1"/>
  <c r="L10" i="4" s="1"/>
  <c r="M10" i="4" s="1"/>
  <c r="N10" i="4" s="1"/>
  <c r="BD139" i="2" l="1"/>
  <c r="AY139" i="2"/>
  <c r="AZ138" i="2"/>
  <c r="CV30" i="5"/>
  <c r="BI138" i="2"/>
  <c r="BI139" i="2" s="1"/>
  <c r="BH138" i="2"/>
  <c r="BH139" i="2" s="1"/>
  <c r="BF138" i="2"/>
  <c r="BF139" i="2" s="1"/>
  <c r="BG139" i="2"/>
  <c r="BE139" i="2"/>
  <c r="BK138" i="2"/>
  <c r="BL139" i="2"/>
  <c r="BJ138" i="2"/>
  <c r="O11" i="4"/>
  <c r="Q13" i="4"/>
  <c r="Q11" i="4"/>
  <c r="R11" i="4"/>
  <c r="AZ139" i="2" l="1"/>
  <c r="CV32" i="5"/>
  <c r="CV34" i="5" s="1"/>
  <c r="CW30" i="5"/>
  <c r="CX30" i="5" s="1"/>
  <c r="BK139" i="2"/>
  <c r="BJ139" i="2"/>
  <c r="CY30" i="5" l="1"/>
  <c r="CY32" i="5" l="1"/>
  <c r="CY34" i="5" s="1"/>
  <c r="CZ30" i="5"/>
  <c r="DA30" i="5" s="1"/>
  <c r="DB30" i="5" l="1"/>
  <c r="DB32" i="5" l="1"/>
  <c r="DB34" i="5" s="1"/>
  <c r="DC30" i="5"/>
  <c r="DD30" i="5" s="1"/>
  <c r="DE30" i="5" l="1"/>
  <c r="DE32" i="5" l="1"/>
  <c r="DE34" i="5" s="1"/>
  <c r="DF30" i="5"/>
  <c r="DG30" i="5" s="1"/>
  <c r="DH30" i="5" l="1"/>
  <c r="DH32" i="5" l="1"/>
  <c r="DH34" i="5" s="1"/>
  <c r="DI30" i="5"/>
  <c r="DJ30" i="5" s="1"/>
  <c r="DK30" i="5" l="1"/>
  <c r="DK32" i="5" l="1"/>
  <c r="DK34" i="5" s="1"/>
  <c r="DL30" i="5"/>
  <c r="DM30" i="5" s="1"/>
  <c r="DN30" i="5" l="1"/>
  <c r="DN32" i="5" l="1"/>
  <c r="DN34" i="5" s="1"/>
  <c r="DO30" i="5"/>
  <c r="DP30" i="5" s="1"/>
  <c r="DQ30" i="5" l="1"/>
  <c r="DQ32" i="5" l="1"/>
  <c r="DQ34" i="5" s="1"/>
  <c r="DR30" i="5"/>
  <c r="F194" i="2" l="1"/>
  <c r="AW155" i="2" l="1"/>
  <c r="AM155" i="2"/>
  <c r="AC155" i="2"/>
  <c r="S155" i="2"/>
  <c r="AR155" i="2"/>
  <c r="AP155" i="2"/>
  <c r="AE155" i="2"/>
  <c r="AX155" i="2"/>
  <c r="AD155" i="2"/>
  <c r="AV155" i="2"/>
  <c r="AL155" i="2"/>
  <c r="AB155" i="2"/>
  <c r="R155" i="2"/>
  <c r="H155" i="2"/>
  <c r="BD155" i="2" s="1"/>
  <c r="W155" i="2"/>
  <c r="L155" i="2"/>
  <c r="AU155" i="2"/>
  <c r="AK155" i="2"/>
  <c r="AA155" i="2"/>
  <c r="Q155" i="2"/>
  <c r="AH155" i="2"/>
  <c r="AQ155" i="2"/>
  <c r="U155" i="2"/>
  <c r="T155" i="2"/>
  <c r="AT155" i="2"/>
  <c r="AJ155" i="2"/>
  <c r="Z155" i="2"/>
  <c r="P155" i="2"/>
  <c r="X155" i="2"/>
  <c r="M155" i="2"/>
  <c r="AF155" i="2"/>
  <c r="AY155" i="2"/>
  <c r="AN155" i="2"/>
  <c r="AS155" i="2"/>
  <c r="AI155" i="2"/>
  <c r="Y155" i="2"/>
  <c r="O155" i="2"/>
  <c r="N155" i="2"/>
  <c r="AG155" i="2"/>
  <c r="AZ155" i="2"/>
  <c r="V155" i="2"/>
  <c r="AO155" i="2"/>
  <c r="F110" i="2" l="1"/>
  <c r="G111" i="2" s="1"/>
  <c r="G144" i="2" s="1"/>
  <c r="BM155" i="2"/>
  <c r="BE155" i="2"/>
  <c r="BF155" i="2"/>
  <c r="BL155" i="2"/>
  <c r="BG155" i="2"/>
  <c r="BI155" i="2"/>
  <c r="BJ155" i="2"/>
  <c r="BK155" i="2"/>
  <c r="BH155" i="2"/>
  <c r="AQ157" i="2"/>
  <c r="AG157" i="2"/>
  <c r="W157" i="2"/>
  <c r="M157" i="2"/>
  <c r="AJ157" i="2"/>
  <c r="AI157" i="2"/>
  <c r="AR157" i="2"/>
  <c r="AH157" i="2"/>
  <c r="X157" i="2"/>
  <c r="AZ157" i="2"/>
  <c r="AP157" i="2"/>
  <c r="AF157" i="2"/>
  <c r="V157" i="2"/>
  <c r="L157" i="2"/>
  <c r="AL157" i="2"/>
  <c r="H157" i="2"/>
  <c r="Q157" i="2"/>
  <c r="P157" i="2"/>
  <c r="O157" i="2"/>
  <c r="AY157" i="2"/>
  <c r="AO157" i="2"/>
  <c r="AE157" i="2"/>
  <c r="U157" i="2"/>
  <c r="AB157" i="2"/>
  <c r="AU157" i="2"/>
  <c r="AS157" i="2"/>
  <c r="N157" i="2"/>
  <c r="AX157" i="2"/>
  <c r="AN157" i="2"/>
  <c r="AD157" i="2"/>
  <c r="T157" i="2"/>
  <c r="Z157" i="2"/>
  <c r="AW157" i="2"/>
  <c r="AM157" i="2"/>
  <c r="AC157" i="2"/>
  <c r="S157" i="2"/>
  <c r="AV157" i="2"/>
  <c r="R157" i="2"/>
  <c r="AA157" i="2"/>
  <c r="AT157" i="2"/>
  <c r="Y157" i="2"/>
  <c r="AK157" i="2"/>
  <c r="H169" i="2" l="1"/>
  <c r="BD157" i="2"/>
  <c r="M169" i="2"/>
  <c r="T169" i="2"/>
  <c r="X169" i="2"/>
  <c r="P169" i="2"/>
  <c r="AJ169" i="2"/>
  <c r="J169" i="2"/>
  <c r="AS169" i="2"/>
  <c r="N169" i="2"/>
  <c r="K169" i="2"/>
  <c r="I169" i="2"/>
  <c r="AN169" i="2"/>
  <c r="AF169" i="2"/>
  <c r="AM169" i="2"/>
  <c r="AQ169" i="2"/>
  <c r="AA169" i="2"/>
  <c r="AZ169" i="2"/>
  <c r="W169" i="2"/>
  <c r="AP169" i="2"/>
  <c r="AK169" i="2"/>
  <c r="AR169" i="2"/>
  <c r="AH169" i="2"/>
  <c r="AW169" i="2"/>
  <c r="Y169" i="2"/>
  <c r="S169" i="2"/>
  <c r="U169" i="2"/>
  <c r="V169" i="2"/>
  <c r="Z169" i="2"/>
  <c r="AO169" i="2"/>
  <c r="AT169" i="2"/>
  <c r="AX169" i="2"/>
  <c r="AD169" i="2"/>
  <c r="O169" i="2"/>
  <c r="AV169" i="2"/>
  <c r="AG169" i="2"/>
  <c r="AB169" i="2"/>
  <c r="L169" i="2"/>
  <c r="Q169" i="2"/>
  <c r="AE169" i="2"/>
  <c r="AI169" i="2"/>
  <c r="AY169" i="2"/>
  <c r="AL169" i="2"/>
  <c r="AC169" i="2"/>
  <c r="AU169" i="2"/>
  <c r="R169" i="2"/>
  <c r="BL157" i="2"/>
  <c r="BH157" i="2"/>
  <c r="BM157" i="2"/>
  <c r="BF157" i="2"/>
  <c r="BI157" i="2"/>
  <c r="BE157" i="2"/>
  <c r="BG157" i="2"/>
  <c r="BK157" i="2"/>
  <c r="BJ157" i="2"/>
  <c r="G110" i="2" l="1"/>
  <c r="H112" i="2" s="1"/>
  <c r="BM159" i="2"/>
  <c r="BG159" i="2"/>
  <c r="BF159" i="2"/>
  <c r="BK159" i="2"/>
  <c r="BL159" i="2"/>
  <c r="BJ159" i="2"/>
  <c r="BE159" i="2"/>
  <c r="BI159" i="2"/>
  <c r="BH159" i="2"/>
  <c r="H144" i="2" l="1"/>
  <c r="AZ112" i="2"/>
  <c r="AZ144" i="2" s="1"/>
  <c r="AP112" i="2"/>
  <c r="AP144" i="2" s="1"/>
  <c r="AF112" i="2"/>
  <c r="AF144" i="2" s="1"/>
  <c r="V112" i="2"/>
  <c r="V144" i="2" s="1"/>
  <c r="L112" i="2"/>
  <c r="L144" i="2" s="1"/>
  <c r="AY112" i="2"/>
  <c r="AY144" i="2" s="1"/>
  <c r="AO112" i="2"/>
  <c r="AO144" i="2" s="1"/>
  <c r="AE112" i="2"/>
  <c r="AE144" i="2" s="1"/>
  <c r="U112" i="2"/>
  <c r="U144" i="2" s="1"/>
  <c r="K112" i="2"/>
  <c r="K144" i="2" s="1"/>
  <c r="AW112" i="2"/>
  <c r="AW144" i="2" s="1"/>
  <c r="AC112" i="2"/>
  <c r="AC144" i="2" s="1"/>
  <c r="S112" i="2"/>
  <c r="S144" i="2" s="1"/>
  <c r="AL112" i="2"/>
  <c r="AL144" i="2" s="1"/>
  <c r="AB112" i="2"/>
  <c r="AB144" i="2" s="1"/>
  <c r="R112" i="2"/>
  <c r="R144" i="2" s="1"/>
  <c r="AX112" i="2"/>
  <c r="AX144" i="2" s="1"/>
  <c r="AN112" i="2"/>
  <c r="AN144" i="2" s="1"/>
  <c r="AD112" i="2"/>
  <c r="AD144" i="2" s="1"/>
  <c r="T112" i="2"/>
  <c r="T144" i="2" s="1"/>
  <c r="J112" i="2"/>
  <c r="J144" i="2" s="1"/>
  <c r="AM112" i="2"/>
  <c r="AM144" i="2" s="1"/>
  <c r="I112" i="2"/>
  <c r="I144" i="2" s="1"/>
  <c r="AI112" i="2"/>
  <c r="AI144" i="2" s="1"/>
  <c r="AK112" i="2"/>
  <c r="AK144" i="2" s="1"/>
  <c r="AR112" i="2"/>
  <c r="AR144" i="2" s="1"/>
  <c r="AV112" i="2"/>
  <c r="AV144" i="2" s="1"/>
  <c r="AA112" i="2"/>
  <c r="AA144" i="2" s="1"/>
  <c r="Q112" i="2"/>
  <c r="Q144" i="2" s="1"/>
  <c r="AH112" i="2"/>
  <c r="AH144" i="2" s="1"/>
  <c r="W112" i="2"/>
  <c r="W144" i="2" s="1"/>
  <c r="AU112" i="2"/>
  <c r="AU144" i="2" s="1"/>
  <c r="AS112" i="2"/>
  <c r="AS144" i="2" s="1"/>
  <c r="Y112" i="2"/>
  <c r="Y144" i="2" s="1"/>
  <c r="N112" i="2"/>
  <c r="N144" i="2" s="1"/>
  <c r="AG112" i="2"/>
  <c r="AG144" i="2" s="1"/>
  <c r="M112" i="2"/>
  <c r="M144" i="2" s="1"/>
  <c r="AT112" i="2"/>
  <c r="AT144" i="2" s="1"/>
  <c r="AJ112" i="2"/>
  <c r="AJ144" i="2" s="1"/>
  <c r="Z112" i="2"/>
  <c r="Z144" i="2" s="1"/>
  <c r="P112" i="2"/>
  <c r="P144" i="2" s="1"/>
  <c r="O112" i="2"/>
  <c r="O144" i="2" s="1"/>
  <c r="X112" i="2"/>
  <c r="X144" i="2" s="1"/>
  <c r="AQ112" i="2"/>
  <c r="AQ144" i="2" s="1"/>
  <c r="H110" i="2"/>
  <c r="I110" i="2" l="1"/>
  <c r="J110" i="2" s="1"/>
  <c r="K110" i="2" s="1"/>
  <c r="L110" i="2" s="1"/>
  <c r="M110" i="2" s="1"/>
  <c r="N110" i="2" s="1"/>
  <c r="O110" i="2" s="1"/>
  <c r="P110" i="2" s="1"/>
  <c r="Q110" i="2" s="1"/>
  <c r="R110" i="2" s="1"/>
  <c r="S110" i="2" s="1"/>
  <c r="T110" i="2" s="1"/>
  <c r="U110" i="2" s="1"/>
  <c r="V110" i="2" s="1"/>
  <c r="W110" i="2" s="1"/>
  <c r="X110" i="2" s="1"/>
  <c r="Y110" i="2" s="1"/>
  <c r="Z110" i="2" s="1"/>
  <c r="AA110" i="2" s="1"/>
  <c r="AB110" i="2" s="1"/>
  <c r="AC110" i="2" s="1"/>
  <c r="AD110" i="2" s="1"/>
  <c r="AE110" i="2" s="1"/>
  <c r="AF110" i="2" s="1"/>
  <c r="AG110" i="2" s="1"/>
  <c r="AH110" i="2" s="1"/>
  <c r="AI110" i="2" s="1"/>
  <c r="AJ110" i="2" s="1"/>
  <c r="AK110" i="2" s="1"/>
  <c r="AL110" i="2" s="1"/>
  <c r="AM110" i="2" s="1"/>
  <c r="AN110" i="2" s="1"/>
  <c r="AO110" i="2" s="1"/>
  <c r="AP110" i="2" s="1"/>
  <c r="AQ110" i="2" s="1"/>
  <c r="AR110" i="2" s="1"/>
  <c r="AS110" i="2" s="1"/>
  <c r="AT110" i="2" s="1"/>
  <c r="AU110" i="2" s="1"/>
  <c r="AV110" i="2" s="1"/>
  <c r="AW110" i="2" s="1"/>
  <c r="AX110" i="2" s="1"/>
  <c r="AY110" i="2" s="1"/>
  <c r="AZ110" i="2" s="1"/>
  <c r="G192" i="2" l="1"/>
  <c r="G194" i="2" l="1"/>
  <c r="H204" i="2" l="1"/>
  <c r="H206" i="2" l="1"/>
  <c r="H192" i="2"/>
  <c r="H194" i="2" l="1"/>
  <c r="I204" i="2" l="1"/>
  <c r="I216" i="2"/>
  <c r="I183" i="2"/>
  <c r="I192" i="2"/>
  <c r="I206" i="2" l="1"/>
  <c r="I218" i="2"/>
  <c r="I194" i="2"/>
  <c r="BE169" i="2" l="1"/>
  <c r="BF169" i="2"/>
  <c r="BG169" i="2"/>
  <c r="BH169" i="2"/>
  <c r="BI169" i="2"/>
  <c r="BJ169" i="2"/>
  <c r="BK169" i="2"/>
  <c r="BL169" i="2"/>
  <c r="BM169" i="2"/>
  <c r="K153" i="2"/>
  <c r="BE153" i="2" s="1"/>
  <c r="J192" i="2" l="1"/>
  <c r="J183" i="2"/>
  <c r="J204" i="2"/>
  <c r="J216" i="2"/>
  <c r="J194" i="2" l="1"/>
  <c r="J206" i="2"/>
  <c r="J218" i="2"/>
  <c r="K204" i="2" l="1"/>
  <c r="L183" i="2" l="1"/>
  <c r="K206" i="2"/>
  <c r="K192" i="2"/>
  <c r="K183" i="2"/>
  <c r="K216" i="2"/>
  <c r="E32" i="5" l="1"/>
  <c r="E34" i="5" s="1"/>
  <c r="K218" i="2"/>
  <c r="K194" i="2"/>
  <c r="L216" i="2"/>
  <c r="L192" i="2"/>
  <c r="C198" i="2" s="1"/>
  <c r="L204" i="2"/>
  <c r="C210" i="2" l="1"/>
  <c r="C222" i="2"/>
  <c r="H32" i="5"/>
  <c r="H34" i="5" s="1"/>
  <c r="L218" i="2"/>
  <c r="L206" i="2"/>
  <c r="L194" i="2"/>
  <c r="I32" i="5" l="1"/>
  <c r="C32" i="5"/>
  <c r="P32" i="5"/>
  <c r="G32" i="5"/>
  <c r="AB32" i="5"/>
  <c r="M32" i="5"/>
  <c r="S32" i="5"/>
  <c r="V32" i="5"/>
  <c r="F32" i="5"/>
  <c r="Y32" i="5"/>
  <c r="J32" i="5"/>
  <c r="D32" i="5"/>
  <c r="L32" i="5"/>
  <c r="AE32" i="5"/>
  <c r="AH32" i="5"/>
  <c r="AK32" i="5"/>
  <c r="AN32" i="5"/>
  <c r="AQ32" i="5"/>
  <c r="AT32" i="5"/>
  <c r="AW32" i="5"/>
  <c r="AZ32" i="5"/>
  <c r="BF32" i="5"/>
  <c r="BC32" i="5"/>
  <c r="BI32" i="5"/>
  <c r="BL32" i="5"/>
  <c r="BO32" i="5"/>
  <c r="BR32" i="5"/>
  <c r="BX32" i="5"/>
  <c r="BU32" i="5"/>
  <c r="CD32" i="5"/>
  <c r="CD34" i="5" s="1"/>
  <c r="CA32" i="5"/>
  <c r="CA34" i="5" s="1"/>
  <c r="S34" i="5" l="1"/>
  <c r="BO34" i="5"/>
  <c r="AT34" i="5"/>
  <c r="V34" i="5"/>
  <c r="BR34" i="5"/>
  <c r="F34" i="5"/>
  <c r="BI34" i="5"/>
  <c r="AE34" i="5"/>
  <c r="M34" i="5"/>
  <c r="AB34" i="5"/>
  <c r="BL34" i="5"/>
  <c r="C31" i="5"/>
  <c r="D31" i="5" s="1"/>
  <c r="AH34" i="5"/>
  <c r="G34" i="5"/>
  <c r="J34" i="5"/>
  <c r="AQ34" i="5"/>
  <c r="L34" i="5"/>
  <c r="P34" i="5"/>
  <c r="BX34" i="5"/>
  <c r="Y34" i="5"/>
  <c r="AN34" i="5"/>
  <c r="BC34" i="5"/>
  <c r="BF34" i="5"/>
  <c r="C34" i="5"/>
  <c r="D34" i="5"/>
  <c r="AK34" i="5"/>
  <c r="AZ34" i="5"/>
  <c r="BU34" i="5"/>
  <c r="AW34" i="5"/>
  <c r="I34" i="5"/>
  <c r="D33" i="5" l="1"/>
  <c r="C33" i="5"/>
  <c r="BI144" i="2" l="1"/>
  <c r="BD144" i="2"/>
  <c r="BK144" i="2"/>
  <c r="BG144" i="2"/>
  <c r="BL144" i="2"/>
  <c r="BJ144" i="2"/>
  <c r="BE144" i="2"/>
  <c r="BH144" i="2"/>
  <c r="BF144" i="2"/>
  <c r="BM144" i="2"/>
  <c r="M183" i="2" l="1"/>
  <c r="M204" i="2" l="1"/>
  <c r="M216" i="2"/>
  <c r="M192" i="2"/>
  <c r="K32" i="5" l="1"/>
  <c r="O32" i="5"/>
  <c r="M218" i="2"/>
  <c r="M206" i="2"/>
  <c r="M194" i="2"/>
  <c r="O34" i="5" l="1"/>
  <c r="K34" i="5"/>
  <c r="N192" i="2"/>
  <c r="N183" i="2"/>
  <c r="N204" i="2"/>
  <c r="N216" i="2"/>
  <c r="N32" i="5" l="1"/>
  <c r="R32" i="5"/>
  <c r="R34" i="5" s="1"/>
  <c r="N206" i="2"/>
  <c r="N218" i="2"/>
  <c r="O183" i="2"/>
  <c r="O192" i="2"/>
  <c r="U32" i="5" s="1"/>
  <c r="U34" i="5" s="1"/>
  <c r="O204" i="2"/>
  <c r="O206" i="2" s="1"/>
  <c r="O216" i="2"/>
  <c r="O218" i="2" s="1"/>
  <c r="N194" i="2"/>
  <c r="N34" i="5" l="1"/>
  <c r="C40" i="5"/>
  <c r="Q32" i="5"/>
  <c r="O194" i="2"/>
  <c r="Q34" i="5" l="1"/>
  <c r="P204" i="2"/>
  <c r="P183" i="2"/>
  <c r="P216" i="2"/>
  <c r="P192" i="2"/>
  <c r="T32" i="5" l="1"/>
  <c r="X32" i="5"/>
  <c r="X34" i="5" s="1"/>
  <c r="P194" i="2"/>
  <c r="P218" i="2"/>
  <c r="P206" i="2"/>
  <c r="T34" i="5" l="1"/>
  <c r="Q216" i="2"/>
  <c r="Q204" i="2"/>
  <c r="Q192" i="2"/>
  <c r="Q183" i="2"/>
  <c r="W32" i="5" l="1"/>
  <c r="W34" i="5" s="1"/>
  <c r="AA32" i="5"/>
  <c r="Q206" i="2"/>
  <c r="Q218" i="2"/>
  <c r="Q194" i="2"/>
  <c r="AA34" i="5" l="1"/>
  <c r="R192" i="2"/>
  <c r="R216" i="2"/>
  <c r="R218" i="2" s="1"/>
  <c r="R204" i="2"/>
  <c r="R183" i="2"/>
  <c r="Z32" i="5" l="1"/>
  <c r="Z34" i="5" s="1"/>
  <c r="AD32" i="5"/>
  <c r="AD34" i="5" s="1"/>
  <c r="R194" i="2"/>
  <c r="R206" i="2"/>
  <c r="D40" i="5" l="1"/>
  <c r="S192" i="2"/>
  <c r="S216" i="2"/>
  <c r="S218" i="2" s="1"/>
  <c r="S204" i="2"/>
  <c r="S206" i="2" s="1"/>
  <c r="S183" i="2"/>
  <c r="T216" i="2"/>
  <c r="T218" i="2" s="1"/>
  <c r="T192" i="2"/>
  <c r="AJ32" i="5" s="1"/>
  <c r="AJ34" i="5" s="1"/>
  <c r="T204" i="2"/>
  <c r="T206" i="2" s="1"/>
  <c r="T183" i="2"/>
  <c r="AC32" i="5" l="1"/>
  <c r="AG32" i="5"/>
  <c r="AG34" i="5" s="1"/>
  <c r="AF32" i="5"/>
  <c r="S194" i="2"/>
  <c r="T194" i="2"/>
  <c r="AC34" i="5" l="1"/>
  <c r="AF34" i="5"/>
  <c r="U216" i="2" l="1"/>
  <c r="U218" i="2" s="1"/>
  <c r="U192" i="2"/>
  <c r="U183" i="2"/>
  <c r="U204" i="2"/>
  <c r="U206" i="2" s="1"/>
  <c r="AI32" i="5" l="1"/>
  <c r="AI34" i="5" s="1"/>
  <c r="AM32" i="5"/>
  <c r="U194" i="2"/>
  <c r="AM34" i="5" l="1"/>
  <c r="V216" i="2"/>
  <c r="V218" i="2" s="1"/>
  <c r="V192" i="2"/>
  <c r="V204" i="2"/>
  <c r="V206" i="2" s="1"/>
  <c r="V183" i="2"/>
  <c r="AL32" i="5" l="1"/>
  <c r="AL34" i="5" s="1"/>
  <c r="AP32" i="5"/>
  <c r="AP34" i="5" s="1"/>
  <c r="V194" i="2"/>
  <c r="E40" i="5" l="1"/>
  <c r="W192" i="2"/>
  <c r="W183" i="2"/>
  <c r="W204" i="2"/>
  <c r="W206" i="2" s="1"/>
  <c r="W216" i="2"/>
  <c r="W218" i="2" s="1"/>
  <c r="AO32" i="5" l="1"/>
  <c r="AS32" i="5"/>
  <c r="AS34" i="5" s="1"/>
  <c r="W194" i="2"/>
  <c r="AO34" i="5" l="1"/>
  <c r="X192" i="2"/>
  <c r="X183" i="2"/>
  <c r="X216" i="2"/>
  <c r="X218" i="2" s="1"/>
  <c r="X204" i="2"/>
  <c r="X206" i="2" s="1"/>
  <c r="AR32" i="5" l="1"/>
  <c r="AV32" i="5"/>
  <c r="AV34" i="5" s="1"/>
  <c r="X194" i="2"/>
  <c r="AR34" i="5" l="1"/>
  <c r="Y192" i="2"/>
  <c r="Y216" i="2"/>
  <c r="Y218" i="2" s="1"/>
  <c r="Y183" i="2"/>
  <c r="Y204" i="2"/>
  <c r="Y206" i="2" s="1"/>
  <c r="AU32" i="5" l="1"/>
  <c r="AY32" i="5"/>
  <c r="Y194" i="2"/>
  <c r="AY34" i="5" l="1"/>
  <c r="AU34" i="5"/>
  <c r="Z183" i="2"/>
  <c r="Z216" i="2"/>
  <c r="Z218" i="2" s="1"/>
  <c r="Z192" i="2"/>
  <c r="Z204" i="2"/>
  <c r="Z206" i="2" s="1"/>
  <c r="AX32" i="5" l="1"/>
  <c r="AX34" i="5" s="1"/>
  <c r="BB32" i="5"/>
  <c r="BB34" i="5" s="1"/>
  <c r="AA204" i="2"/>
  <c r="AA206" i="2" s="1"/>
  <c r="AA192" i="2"/>
  <c r="BE32" i="5" s="1"/>
  <c r="BE34" i="5" s="1"/>
  <c r="AA183" i="2"/>
  <c r="AA216" i="2"/>
  <c r="AA218" i="2" s="1"/>
  <c r="Z194" i="2"/>
  <c r="F40" i="5" l="1"/>
  <c r="BA32" i="5"/>
  <c r="AA194" i="2"/>
  <c r="BA34" i="5" l="1"/>
  <c r="AB192" i="2"/>
  <c r="AB183" i="2"/>
  <c r="AB204" i="2"/>
  <c r="AB206" i="2" s="1"/>
  <c r="AB216" i="2"/>
  <c r="AB218" i="2" s="1"/>
  <c r="BD32" i="5" l="1"/>
  <c r="BH32" i="5"/>
  <c r="BH34" i="5" s="1"/>
  <c r="AB194" i="2"/>
  <c r="BD34" i="5" l="1"/>
  <c r="AC204" i="2"/>
  <c r="AC206" i="2" s="1"/>
  <c r="AC183" i="2"/>
  <c r="AC192" i="2"/>
  <c r="AC216" i="2"/>
  <c r="AC218" i="2" s="1"/>
  <c r="AD183" i="2"/>
  <c r="AD216" i="2"/>
  <c r="AD218" i="2" s="1"/>
  <c r="AD204" i="2"/>
  <c r="AD206" i="2" s="1"/>
  <c r="AD192" i="2"/>
  <c r="BN32" i="5" s="1"/>
  <c r="BN34" i="5" s="1"/>
  <c r="BG32" i="5" l="1"/>
  <c r="BK32" i="5"/>
  <c r="BJ32" i="5"/>
  <c r="AD194" i="2"/>
  <c r="AC194" i="2"/>
  <c r="BK34" i="5" l="1"/>
  <c r="BG34" i="5"/>
  <c r="BJ34" i="5"/>
  <c r="G40" i="5"/>
  <c r="AE192" i="2" l="1"/>
  <c r="AE204" i="2"/>
  <c r="AE206" i="2" s="1"/>
  <c r="AE216" i="2"/>
  <c r="AE218" i="2" s="1"/>
  <c r="AE183" i="2"/>
  <c r="BM32" i="5" l="1"/>
  <c r="BQ32" i="5"/>
  <c r="BQ34" i="5" s="1"/>
  <c r="AE194" i="2"/>
  <c r="BM34" i="5" l="1"/>
  <c r="AF183" i="2"/>
  <c r="AF192" i="2"/>
  <c r="AF204" i="2"/>
  <c r="AF206" i="2" s="1"/>
  <c r="AF216" i="2"/>
  <c r="AF218" i="2" s="1"/>
  <c r="BP32" i="5" l="1"/>
  <c r="BT32" i="5"/>
  <c r="BT34" i="5" s="1"/>
  <c r="AF194" i="2"/>
  <c r="BP34" i="5" l="1"/>
  <c r="AG183" i="2"/>
  <c r="AG216" i="2"/>
  <c r="AG218" i="2" s="1"/>
  <c r="AG204" i="2"/>
  <c r="AG206" i="2" s="1"/>
  <c r="AG192" i="2"/>
  <c r="BS32" i="5" l="1"/>
  <c r="BW32" i="5"/>
  <c r="AG194" i="2"/>
  <c r="BW34" i="5" l="1"/>
  <c r="BS34" i="5"/>
  <c r="AH183" i="2"/>
  <c r="AH192" i="2"/>
  <c r="AH204" i="2"/>
  <c r="AH206" i="2" s="1"/>
  <c r="AH216" i="2"/>
  <c r="AH218" i="2" s="1"/>
  <c r="BV32" i="5" l="1"/>
  <c r="BV34" i="5" s="1"/>
  <c r="BZ32" i="5"/>
  <c r="BZ34" i="5" s="1"/>
  <c r="AH194" i="2"/>
  <c r="H40" i="5" l="1"/>
  <c r="AI192" i="2"/>
  <c r="AI183" i="2"/>
  <c r="AI216" i="2"/>
  <c r="AI218" i="2" s="1"/>
  <c r="AI204" i="2"/>
  <c r="AI206" i="2" s="1"/>
  <c r="BY32" i="5" l="1"/>
  <c r="CC32" i="5"/>
  <c r="CC34" i="5" s="1"/>
  <c r="AI194" i="2"/>
  <c r="BY34" i="5" l="1"/>
  <c r="AJ192" i="2"/>
  <c r="AJ216" i="2"/>
  <c r="AJ218" i="2" s="1"/>
  <c r="AJ183" i="2"/>
  <c r="AJ204" i="2"/>
  <c r="AJ206" i="2" s="1"/>
  <c r="CB32" i="5" l="1"/>
  <c r="CF32" i="5"/>
  <c r="CF34" i="5" s="1"/>
  <c r="AJ194" i="2"/>
  <c r="CB34" i="5" l="1"/>
  <c r="AK216" i="2"/>
  <c r="AK218" i="2" s="1"/>
  <c r="AK204" i="2"/>
  <c r="AK206" i="2" s="1"/>
  <c r="AK183" i="2"/>
  <c r="AK192" i="2"/>
  <c r="CE32" i="5" l="1"/>
  <c r="CI32" i="5"/>
  <c r="AK194" i="2"/>
  <c r="CI34" i="5" l="1"/>
  <c r="CE34" i="5"/>
  <c r="AL216" i="2"/>
  <c r="AL218" i="2" s="1"/>
  <c r="AL183" i="2"/>
  <c r="AL204" i="2"/>
  <c r="AL206" i="2" s="1"/>
  <c r="AL192" i="2"/>
  <c r="CH32" i="5" l="1"/>
  <c r="CH34" i="5" s="1"/>
  <c r="CL32" i="5"/>
  <c r="CL34" i="5" s="1"/>
  <c r="AL194" i="2"/>
  <c r="I40" i="5" l="1"/>
  <c r="AM183" i="2"/>
  <c r="AM216" i="2"/>
  <c r="AM218" i="2" s="1"/>
  <c r="AM192" i="2"/>
  <c r="AM204" i="2"/>
  <c r="AM206" i="2" s="1"/>
  <c r="CK32" i="5" l="1"/>
  <c r="CO32" i="5"/>
  <c r="CO34" i="5" s="1"/>
  <c r="AM194" i="2"/>
  <c r="CK34" i="5" l="1"/>
  <c r="AN204" i="2"/>
  <c r="AN206" i="2" s="1"/>
  <c r="AN192" i="2"/>
  <c r="AN216" i="2"/>
  <c r="AN218" i="2" s="1"/>
  <c r="AN183" i="2"/>
  <c r="CN32" i="5" l="1"/>
  <c r="CR32" i="5"/>
  <c r="CR34" i="5" s="1"/>
  <c r="AN194" i="2"/>
  <c r="CN34" i="5" l="1"/>
  <c r="AO183" i="2"/>
  <c r="AO192" i="2"/>
  <c r="AO204" i="2"/>
  <c r="AO206" i="2" s="1"/>
  <c r="AO216" i="2"/>
  <c r="AO218" i="2" s="1"/>
  <c r="CQ32" i="5" l="1"/>
  <c r="CU32" i="5"/>
  <c r="AO194" i="2"/>
  <c r="CU34" i="5" l="1"/>
  <c r="CQ34" i="5"/>
  <c r="AP192" i="2"/>
  <c r="AP216" i="2"/>
  <c r="AP218" i="2" s="1"/>
  <c r="AP204" i="2"/>
  <c r="AP206" i="2" s="1"/>
  <c r="AP183" i="2"/>
  <c r="CT32" i="5" l="1"/>
  <c r="CT34" i="5" s="1"/>
  <c r="CX32" i="5"/>
  <c r="CX34" i="5" s="1"/>
  <c r="AP194" i="2"/>
  <c r="J40" i="5" l="1"/>
  <c r="AQ183" i="2"/>
  <c r="AQ204" i="2"/>
  <c r="AQ206" i="2" s="1"/>
  <c r="AQ192" i="2"/>
  <c r="AQ216" i="2"/>
  <c r="AQ218" i="2" s="1"/>
  <c r="CW32" i="5" l="1"/>
  <c r="DA32" i="5"/>
  <c r="DA34" i="5" s="1"/>
  <c r="AQ194" i="2"/>
  <c r="CW34" i="5" l="1"/>
  <c r="AR216" i="2"/>
  <c r="AR218" i="2" s="1"/>
  <c r="AR183" i="2"/>
  <c r="AR192" i="2"/>
  <c r="AR204" i="2"/>
  <c r="AR206" i="2" s="1"/>
  <c r="CZ32" i="5" l="1"/>
  <c r="DD32" i="5"/>
  <c r="DD34" i="5" s="1"/>
  <c r="AR194" i="2"/>
  <c r="CZ34" i="5" l="1"/>
  <c r="AS192" i="2"/>
  <c r="AS183" i="2"/>
  <c r="AS216" i="2"/>
  <c r="AS218" i="2" s="1"/>
  <c r="AS204" i="2"/>
  <c r="AS206" i="2" s="1"/>
  <c r="DC32" i="5" l="1"/>
  <c r="DG32" i="5"/>
  <c r="AS194" i="2"/>
  <c r="DG34" i="5" l="1"/>
  <c r="DC34" i="5"/>
  <c r="AT192" i="2"/>
  <c r="C197" i="2" s="1"/>
  <c r="AT183" i="2"/>
  <c r="AT216" i="2"/>
  <c r="AT218" i="2" s="1"/>
  <c r="AT204" i="2"/>
  <c r="AT206" i="2" s="1"/>
  <c r="DJ32" i="5" l="1"/>
  <c r="DJ34" i="5" s="1"/>
  <c r="F1" i="2"/>
  <c r="DF32" i="5"/>
  <c r="AU192" i="2"/>
  <c r="DM32" i="5" s="1"/>
  <c r="DM34" i="5" s="1"/>
  <c r="AU204" i="2"/>
  <c r="C209" i="2" s="1"/>
  <c r="AU216" i="2"/>
  <c r="AU218" i="2" s="1"/>
  <c r="AU183" i="2"/>
  <c r="DF34" i="5" l="1"/>
  <c r="K40" i="5"/>
  <c r="DI32" i="5"/>
  <c r="AV216" i="2"/>
  <c r="C221" i="2" s="1"/>
  <c r="AV183" i="2"/>
  <c r="AV192" i="2"/>
  <c r="DP32" i="5" s="1"/>
  <c r="DP34" i="5" s="1"/>
  <c r="DI34" i="5" l="1"/>
  <c r="DL32" i="5"/>
  <c r="DL34" i="5" s="1"/>
  <c r="AW183" i="2"/>
  <c r="AW192" i="2"/>
  <c r="DO32" i="5" l="1"/>
  <c r="AX192" i="2"/>
  <c r="DR32" i="5" s="1"/>
  <c r="AX183" i="2"/>
  <c r="DO34" i="5" l="1"/>
  <c r="DR34" i="5"/>
  <c r="K17" i="5"/>
  <c r="L40" i="5"/>
  <c r="AY192" i="2"/>
  <c r="AY183" i="2"/>
  <c r="K19" i="5" l="1"/>
  <c r="AZ192" i="2"/>
  <c r="AZ183" i="2"/>
  <c r="E31" i="5" l="1"/>
  <c r="E33" i="5" l="1"/>
  <c r="F31" i="5"/>
  <c r="G31" i="5" l="1"/>
  <c r="F33" i="5"/>
  <c r="G33" i="5" l="1"/>
  <c r="J13" i="2" l="1"/>
  <c r="J6" i="2" s="1"/>
  <c r="F142" i="2"/>
  <c r="F147" i="2" s="1"/>
  <c r="K6" i="2" l="1"/>
  <c r="K13" i="2" s="1"/>
  <c r="J105" i="2"/>
  <c r="F150" i="2"/>
  <c r="F149" i="2"/>
  <c r="F151" i="2" s="1"/>
  <c r="O10" i="2"/>
  <c r="O9" i="2"/>
  <c r="O12" i="2"/>
  <c r="O11" i="2"/>
  <c r="O13" i="2" l="1"/>
  <c r="C68" i="2"/>
  <c r="C64" i="2" s="1"/>
  <c r="J107" i="2"/>
  <c r="J153" i="2"/>
  <c r="F163" i="2"/>
  <c r="F187" i="2" s="1"/>
  <c r="BD153" i="2" l="1"/>
  <c r="J170" i="2"/>
  <c r="BD170" i="2" s="1"/>
  <c r="F166" i="2"/>
  <c r="G185" i="2"/>
  <c r="C78" i="2"/>
  <c r="C74" i="2" s="1"/>
  <c r="D23" i="5" s="1"/>
  <c r="J172" i="2"/>
  <c r="J181" i="2" l="1"/>
  <c r="BD181" i="2" s="1"/>
  <c r="K172" i="2"/>
  <c r="G141" i="2"/>
  <c r="F165" i="2"/>
  <c r="G142" i="2"/>
  <c r="K181" i="2" l="1"/>
  <c r="L172" i="2"/>
  <c r="G147" i="2"/>
  <c r="L181" i="2" l="1"/>
  <c r="M172" i="2"/>
  <c r="G150" i="2"/>
  <c r="G149" i="2"/>
  <c r="G151" i="2" s="1"/>
  <c r="G163" i="2" l="1"/>
  <c r="G187" i="2" s="1"/>
  <c r="M181" i="2"/>
  <c r="N172" i="2"/>
  <c r="N181" i="2" l="1"/>
  <c r="O172" i="2"/>
  <c r="G186" i="2"/>
  <c r="G166" i="2"/>
  <c r="H185" i="2"/>
  <c r="H141" i="2" l="1"/>
  <c r="H142" i="2"/>
  <c r="G167" i="2"/>
  <c r="G165" i="2"/>
  <c r="O181" i="2"/>
  <c r="P172" i="2"/>
  <c r="P181" i="2" l="1"/>
  <c r="Q172" i="2"/>
  <c r="H147" i="2"/>
  <c r="H149" i="2" l="1"/>
  <c r="H151" i="2" s="1"/>
  <c r="H150" i="2"/>
  <c r="Q181" i="2"/>
  <c r="R172" i="2"/>
  <c r="R181" i="2" l="1"/>
  <c r="S172" i="2"/>
  <c r="BF181" i="2"/>
  <c r="H163" i="2"/>
  <c r="H187" i="2" s="1"/>
  <c r="H186" i="2" l="1"/>
  <c r="H166" i="2"/>
  <c r="I185" i="2"/>
  <c r="S181" i="2"/>
  <c r="T172" i="2"/>
  <c r="T181" i="2" l="1"/>
  <c r="U172" i="2"/>
  <c r="I142" i="2"/>
  <c r="H167" i="2"/>
  <c r="H165" i="2"/>
  <c r="I141" i="2"/>
  <c r="I147" i="2" l="1"/>
  <c r="U181" i="2"/>
  <c r="V172" i="2"/>
  <c r="V181" i="2" l="1"/>
  <c r="BG181" i="2" s="1"/>
  <c r="W172" i="2"/>
  <c r="I149" i="2"/>
  <c r="I163" i="2" s="1"/>
  <c r="I187" i="2" s="1"/>
  <c r="I150" i="2" l="1"/>
  <c r="I186" i="2"/>
  <c r="I166" i="2"/>
  <c r="J185" i="2"/>
  <c r="W181" i="2"/>
  <c r="X172" i="2"/>
  <c r="Y172" i="2" l="1"/>
  <c r="X181" i="2"/>
  <c r="J141" i="2"/>
  <c r="J142" i="2"/>
  <c r="I165" i="2"/>
  <c r="I167" i="2"/>
  <c r="J147" i="2" l="1"/>
  <c r="BD141" i="2"/>
  <c r="Z172" i="2"/>
  <c r="Y181" i="2"/>
  <c r="Z181" i="2" l="1"/>
  <c r="BH181" i="2" s="1"/>
  <c r="AA172" i="2"/>
  <c r="J149" i="2"/>
  <c r="J151" i="2" l="1"/>
  <c r="J163" i="2" s="1"/>
  <c r="J187" i="2" s="1"/>
  <c r="J150" i="2"/>
  <c r="AA181" i="2"/>
  <c r="AB172" i="2"/>
  <c r="J186" i="2" l="1"/>
  <c r="J166" i="2"/>
  <c r="K142" i="2" s="1"/>
  <c r="K185" i="2"/>
  <c r="AB181" i="2"/>
  <c r="AC172" i="2"/>
  <c r="J165" i="2" l="1"/>
  <c r="J167" i="2"/>
  <c r="K141" i="2"/>
  <c r="K147" i="2"/>
  <c r="AC181" i="2"/>
  <c r="AD172" i="2"/>
  <c r="AD181" i="2" l="1"/>
  <c r="BI181" i="2" s="1"/>
  <c r="AE172" i="2"/>
  <c r="K149" i="2"/>
  <c r="K151" i="2" s="1"/>
  <c r="K163" i="2" s="1"/>
  <c r="K187" i="2" l="1"/>
  <c r="K170" i="2" s="1"/>
  <c r="AE181" i="2"/>
  <c r="AF172" i="2"/>
  <c r="K150" i="2"/>
  <c r="K186" i="2" l="1"/>
  <c r="L185" i="2"/>
  <c r="AF181" i="2"/>
  <c r="AG172" i="2"/>
  <c r="K173" i="2"/>
  <c r="K166" i="2"/>
  <c r="BD167" i="2" s="1"/>
  <c r="K167" i="2" l="1"/>
  <c r="L141" i="2"/>
  <c r="L142" i="2"/>
  <c r="K179" i="2"/>
  <c r="K191" i="2"/>
  <c r="H31" i="5" s="1"/>
  <c r="AG181" i="2"/>
  <c r="AH172" i="2"/>
  <c r="H33" i="5" l="1"/>
  <c r="I31" i="5"/>
  <c r="AH181" i="2"/>
  <c r="BJ181" i="2" s="1"/>
  <c r="AI172" i="2"/>
  <c r="L147" i="2"/>
  <c r="J31" i="5" l="1"/>
  <c r="J33" i="5" s="1"/>
  <c r="I33" i="5"/>
  <c r="AI181" i="2"/>
  <c r="AJ172" i="2"/>
  <c r="L149" i="2"/>
  <c r="L151" i="2" s="1"/>
  <c r="L163" i="2" s="1"/>
  <c r="L187" i="2" l="1"/>
  <c r="L150" i="2"/>
  <c r="AK172" i="2"/>
  <c r="AJ181" i="2"/>
  <c r="L186" i="2"/>
  <c r="M185" i="2"/>
  <c r="L170" i="2"/>
  <c r="L166" i="2" l="1"/>
  <c r="L173" i="2"/>
  <c r="L179" i="2" s="1"/>
  <c r="AK181" i="2"/>
  <c r="AL172" i="2"/>
  <c r="AL181" i="2" l="1"/>
  <c r="BK181" i="2" s="1"/>
  <c r="AM172" i="2"/>
  <c r="L191" i="2"/>
  <c r="K31" i="5" s="1"/>
  <c r="M142" i="2"/>
  <c r="L167" i="2"/>
  <c r="M141" i="2"/>
  <c r="K33" i="5" l="1"/>
  <c r="L31" i="5"/>
  <c r="AM181" i="2"/>
  <c r="AN172" i="2"/>
  <c r="M147" i="2"/>
  <c r="M31" i="5" l="1"/>
  <c r="M33" i="5" s="1"/>
  <c r="L33" i="5"/>
  <c r="AN181" i="2"/>
  <c r="AO172" i="2"/>
  <c r="M149" i="2"/>
  <c r="M151" i="2" s="1"/>
  <c r="M163" i="2" s="1"/>
  <c r="M187" i="2" l="1"/>
  <c r="M186" i="2" s="1"/>
  <c r="M150" i="2"/>
  <c r="AP172" i="2"/>
  <c r="AO181" i="2"/>
  <c r="N185" i="2" l="1"/>
  <c r="M170" i="2"/>
  <c r="M173" i="2" s="1"/>
  <c r="AP181" i="2"/>
  <c r="BL181" i="2" s="1"/>
  <c r="AQ172" i="2"/>
  <c r="M166" i="2" l="1"/>
  <c r="N142" i="2" s="1"/>
  <c r="AR172" i="2"/>
  <c r="AQ181" i="2"/>
  <c r="M167" i="2"/>
  <c r="N141" i="2"/>
  <c r="M179" i="2"/>
  <c r="M191" i="2"/>
  <c r="N31" i="5" s="1"/>
  <c r="O31" i="5" l="1"/>
  <c r="C39" i="5"/>
  <c r="N33" i="5"/>
  <c r="N147" i="2"/>
  <c r="BE141" i="2"/>
  <c r="AR181" i="2"/>
  <c r="AS172" i="2"/>
  <c r="O33" i="5" l="1"/>
  <c r="P31" i="5"/>
  <c r="P33" i="5" s="1"/>
  <c r="AS181" i="2"/>
  <c r="AT172" i="2"/>
  <c r="N149" i="2"/>
  <c r="N151" i="2" s="1"/>
  <c r="N163" i="2" s="1"/>
  <c r="N187" i="2" l="1"/>
  <c r="N150" i="2"/>
  <c r="AT181" i="2"/>
  <c r="AU172" i="2"/>
  <c r="N186" i="2"/>
  <c r="N170" i="2"/>
  <c r="O185" i="2"/>
  <c r="BM181" i="2"/>
  <c r="N166" i="2" l="1"/>
  <c r="N173" i="2"/>
  <c r="BE170" i="2"/>
  <c r="AU181" i="2"/>
  <c r="AV172" i="2"/>
  <c r="AV181" i="2" l="1"/>
  <c r="AW172" i="2"/>
  <c r="N191" i="2"/>
  <c r="Q31" i="5" s="1"/>
  <c r="N179" i="2"/>
  <c r="BE173" i="2"/>
  <c r="BE171" i="2" s="1"/>
  <c r="O142" i="2"/>
  <c r="N167" i="2"/>
  <c r="O141" i="2"/>
  <c r="BE166" i="2"/>
  <c r="R31" i="5" l="1"/>
  <c r="Q33" i="5"/>
  <c r="O147" i="2"/>
  <c r="AW181" i="2"/>
  <c r="AX172" i="2"/>
  <c r="R33" i="5" l="1"/>
  <c r="S31" i="5"/>
  <c r="S33" i="5" s="1"/>
  <c r="AY172" i="2"/>
  <c r="AX181" i="2"/>
  <c r="O149" i="2"/>
  <c r="O151" i="2" s="1"/>
  <c r="O163" i="2" s="1"/>
  <c r="O187" i="2" l="1"/>
  <c r="O186" i="2" s="1"/>
  <c r="O150" i="2"/>
  <c r="AY181" i="2"/>
  <c r="AZ172" i="2"/>
  <c r="AZ181" i="2" s="1"/>
  <c r="BE181" i="2" s="1"/>
  <c r="P185" i="2" l="1"/>
  <c r="O170" i="2"/>
  <c r="O166" i="2" s="1"/>
  <c r="O173" i="2" l="1"/>
  <c r="O191" i="2"/>
  <c r="T31" i="5" s="1"/>
  <c r="O179" i="2"/>
  <c r="P142" i="2"/>
  <c r="O167" i="2"/>
  <c r="P141" i="2"/>
  <c r="U31" i="5" l="1"/>
  <c r="T33" i="5"/>
  <c r="P147" i="2"/>
  <c r="U33" i="5" l="1"/>
  <c r="V31" i="5"/>
  <c r="V33" i="5" s="1"/>
  <c r="P149" i="2"/>
  <c r="P151" i="2" s="1"/>
  <c r="P163" i="2" s="1"/>
  <c r="P187" i="2" s="1"/>
  <c r="P150" i="2" l="1"/>
  <c r="P186" i="2"/>
  <c r="P170" i="2"/>
  <c r="Q185" i="2"/>
  <c r="P166" i="2" l="1"/>
  <c r="P173" i="2"/>
  <c r="P179" i="2" l="1"/>
  <c r="P191" i="2"/>
  <c r="W31" i="5" s="1"/>
  <c r="Q142" i="2"/>
  <c r="P167" i="2"/>
  <c r="Q141" i="2"/>
  <c r="W33" i="5" l="1"/>
  <c r="X31" i="5"/>
  <c r="Q147" i="2"/>
  <c r="Y31" i="5" l="1"/>
  <c r="Y33" i="5" s="1"/>
  <c r="X33" i="5"/>
  <c r="Q149" i="2"/>
  <c r="Q151" i="2" s="1"/>
  <c r="Q163" i="2" s="1"/>
  <c r="Q187" i="2" s="1"/>
  <c r="Q170" i="2" l="1"/>
  <c r="R185" i="2"/>
  <c r="Q186" i="2"/>
  <c r="Q150" i="2"/>
  <c r="Q173" i="2" l="1"/>
  <c r="Q166" i="2"/>
  <c r="R142" i="2" l="1"/>
  <c r="R141" i="2"/>
  <c r="Q167" i="2"/>
  <c r="Q179" i="2"/>
  <c r="Q191" i="2"/>
  <c r="Z31" i="5" s="1"/>
  <c r="D39" i="5" l="1"/>
  <c r="AA31" i="5"/>
  <c r="Z33" i="5"/>
  <c r="R147" i="2"/>
  <c r="BF141" i="2"/>
  <c r="AB31" i="5" l="1"/>
  <c r="AB33" i="5" s="1"/>
  <c r="AA33" i="5"/>
  <c r="R149" i="2"/>
  <c r="R151" i="2" s="1"/>
  <c r="R163" i="2" s="1"/>
  <c r="R187" i="2" s="1"/>
  <c r="R170" i="2" l="1"/>
  <c r="S185" i="2"/>
  <c r="R186" i="2"/>
  <c r="R150" i="2"/>
  <c r="R173" i="2" l="1"/>
  <c r="R166" i="2"/>
  <c r="BF170" i="2"/>
  <c r="S142" i="2" l="1"/>
  <c r="S141" i="2"/>
  <c r="R167" i="2"/>
  <c r="R179" i="2"/>
  <c r="R191" i="2"/>
  <c r="AC31" i="5" s="1"/>
  <c r="BF173" i="2"/>
  <c r="BF171" i="2" s="1"/>
  <c r="AC33" i="5" l="1"/>
  <c r="AD31" i="5"/>
  <c r="S147" i="2"/>
  <c r="AD33" i="5" l="1"/>
  <c r="AE31" i="5"/>
  <c r="AE33" i="5" s="1"/>
  <c r="S149" i="2"/>
  <c r="S151" i="2" s="1"/>
  <c r="S150" i="2" l="1"/>
  <c r="S163" i="2"/>
  <c r="S187" i="2" s="1"/>
  <c r="S186" i="2" l="1"/>
  <c r="S170" i="2"/>
  <c r="T185" i="2"/>
  <c r="S173" i="2" l="1"/>
  <c r="S166" i="2"/>
  <c r="T142" i="2" l="1"/>
  <c r="S167" i="2"/>
  <c r="T141" i="2"/>
  <c r="S191" i="2"/>
  <c r="AF31" i="5" s="1"/>
  <c r="S179" i="2"/>
  <c r="AG31" i="5" l="1"/>
  <c r="AF33" i="5"/>
  <c r="T147" i="2"/>
  <c r="AH31" i="5" l="1"/>
  <c r="AH33" i="5" s="1"/>
  <c r="AG33" i="5"/>
  <c r="T149" i="2"/>
  <c r="T151" i="2" s="1"/>
  <c r="T163" i="2" s="1"/>
  <c r="T187" i="2" s="1"/>
  <c r="T186" i="2" l="1"/>
  <c r="U185" i="2"/>
  <c r="T170" i="2"/>
  <c r="T150" i="2"/>
  <c r="T166" i="2" l="1"/>
  <c r="T173" i="2"/>
  <c r="T179" i="2" l="1"/>
  <c r="T191" i="2"/>
  <c r="AI31" i="5" s="1"/>
  <c r="U141" i="2"/>
  <c r="T167" i="2"/>
  <c r="U142" i="2"/>
  <c r="AI33" i="5" l="1"/>
  <c r="AJ31" i="5"/>
  <c r="U147" i="2"/>
  <c r="AJ33" i="5" l="1"/>
  <c r="AK31" i="5"/>
  <c r="AK33" i="5" s="1"/>
  <c r="U149" i="2"/>
  <c r="U151" i="2" s="1"/>
  <c r="U163" i="2" s="1"/>
  <c r="U187" i="2" s="1"/>
  <c r="U150" i="2" l="1"/>
  <c r="U186" i="2"/>
  <c r="U170" i="2"/>
  <c r="V185" i="2"/>
  <c r="U166" i="2" l="1"/>
  <c r="U173" i="2"/>
  <c r="U179" i="2" l="1"/>
  <c r="U191" i="2"/>
  <c r="AL31" i="5" s="1"/>
  <c r="V141" i="2"/>
  <c r="U167" i="2"/>
  <c r="V142" i="2"/>
  <c r="AM31" i="5" l="1"/>
  <c r="AL33" i="5"/>
  <c r="E39" i="5"/>
  <c r="V147" i="2"/>
  <c r="BG141" i="2"/>
  <c r="AN31" i="5" l="1"/>
  <c r="AN33" i="5" s="1"/>
  <c r="AM33" i="5"/>
  <c r="V149" i="2"/>
  <c r="V151" i="2" s="1"/>
  <c r="V163" i="2" s="1"/>
  <c r="V187" i="2" s="1"/>
  <c r="V150" i="2" l="1"/>
  <c r="V186" i="2"/>
  <c r="V170" i="2"/>
  <c r="W185" i="2"/>
  <c r="V173" i="2" l="1"/>
  <c r="V166" i="2"/>
  <c r="BG170" i="2"/>
  <c r="W142" i="2" l="1"/>
  <c r="V167" i="2"/>
  <c r="W141" i="2"/>
  <c r="BG166" i="2"/>
  <c r="V179" i="2"/>
  <c r="V191" i="2"/>
  <c r="AO31" i="5" s="1"/>
  <c r="BG173" i="2"/>
  <c r="BG171" i="2" s="1"/>
  <c r="AP31" i="5" l="1"/>
  <c r="AO33" i="5"/>
  <c r="W147" i="2"/>
  <c r="AQ31" i="5" l="1"/>
  <c r="AQ33" i="5" s="1"/>
  <c r="AP33" i="5"/>
  <c r="W149" i="2"/>
  <c r="W151" i="2" s="1"/>
  <c r="W163" i="2" s="1"/>
  <c r="W187" i="2" s="1"/>
  <c r="W186" i="2" l="1"/>
  <c r="X185" i="2"/>
  <c r="W170" i="2"/>
  <c r="W150" i="2"/>
  <c r="W166" i="2" l="1"/>
  <c r="W173" i="2"/>
  <c r="W179" i="2" l="1"/>
  <c r="W191" i="2"/>
  <c r="AR31" i="5" s="1"/>
  <c r="X141" i="2"/>
  <c r="W167" i="2"/>
  <c r="X142" i="2"/>
  <c r="AR33" i="5" l="1"/>
  <c r="AS31" i="5"/>
  <c r="X147" i="2"/>
  <c r="AT31" i="5" l="1"/>
  <c r="AT33" i="5" s="1"/>
  <c r="AS33" i="5"/>
  <c r="X149" i="2"/>
  <c r="X151" i="2" s="1"/>
  <c r="X150" i="2" l="1"/>
  <c r="X163" i="2"/>
  <c r="X187" i="2" s="1"/>
  <c r="X170" i="2" l="1"/>
  <c r="X186" i="2"/>
  <c r="Y185" i="2"/>
  <c r="X166" i="2" l="1"/>
  <c r="X173" i="2"/>
  <c r="X191" i="2" l="1"/>
  <c r="AU31" i="5" s="1"/>
  <c r="X179" i="2"/>
  <c r="Y142" i="2"/>
  <c r="X167" i="2"/>
  <c r="Y141" i="2"/>
  <c r="AV31" i="5" l="1"/>
  <c r="AU33" i="5"/>
  <c r="Y147" i="2"/>
  <c r="AV33" i="5" l="1"/>
  <c r="AW31" i="5"/>
  <c r="AW33" i="5" s="1"/>
  <c r="Y149" i="2"/>
  <c r="Y151" i="2" s="1"/>
  <c r="Y150" i="2" l="1"/>
  <c r="Y163" i="2"/>
  <c r="Y187" i="2" s="1"/>
  <c r="Y186" i="2" l="1"/>
  <c r="Z185" i="2"/>
  <c r="Y170" i="2"/>
  <c r="Y166" i="2" l="1"/>
  <c r="Y173" i="2"/>
  <c r="Y191" i="2" l="1"/>
  <c r="AX31" i="5" s="1"/>
  <c r="Y179" i="2"/>
  <c r="Z142" i="2"/>
  <c r="Z141" i="2"/>
  <c r="Y167" i="2"/>
  <c r="AX33" i="5" l="1"/>
  <c r="AY31" i="5"/>
  <c r="F39" i="5"/>
  <c r="Z147" i="2"/>
  <c r="BH141" i="2"/>
  <c r="AY33" i="5" l="1"/>
  <c r="AZ31" i="5"/>
  <c r="AZ33" i="5" s="1"/>
  <c r="Z149" i="2"/>
  <c r="Z151" i="2" s="1"/>
  <c r="Z163" i="2" s="1"/>
  <c r="Z187" i="2" s="1"/>
  <c r="Z186" i="2" l="1"/>
  <c r="Z170" i="2"/>
  <c r="AA185" i="2"/>
  <c r="Z150" i="2"/>
  <c r="Z173" i="2" l="1"/>
  <c r="Z166" i="2"/>
  <c r="BH170" i="2"/>
  <c r="Z179" i="2" l="1"/>
  <c r="Z191" i="2"/>
  <c r="BA31" i="5" s="1"/>
  <c r="BH173" i="2"/>
  <c r="BH171" i="2" s="1"/>
  <c r="AA142" i="2"/>
  <c r="Z167" i="2"/>
  <c r="AA141" i="2"/>
  <c r="BH166" i="2"/>
  <c r="BH167" i="2" s="1"/>
  <c r="BA33" i="5" l="1"/>
  <c r="BB31" i="5"/>
  <c r="AA147" i="2"/>
  <c r="BB33" i="5" l="1"/>
  <c r="BC31" i="5"/>
  <c r="BC33" i="5" s="1"/>
  <c r="AA149" i="2"/>
  <c r="AA151" i="2" s="1"/>
  <c r="AA150" i="2" l="1"/>
  <c r="AA163" i="2"/>
  <c r="AA187" i="2" s="1"/>
  <c r="AA186" i="2" l="1"/>
  <c r="AA170" i="2"/>
  <c r="AB185" i="2"/>
  <c r="AA166" i="2" l="1"/>
  <c r="AA173" i="2"/>
  <c r="AA179" i="2" l="1"/>
  <c r="AA191" i="2"/>
  <c r="BD31" i="5" s="1"/>
  <c r="AA167" i="2"/>
  <c r="AB142" i="2"/>
  <c r="AB141" i="2"/>
  <c r="BE31" i="5" l="1"/>
  <c r="BD33" i="5"/>
  <c r="AB147" i="2"/>
  <c r="BE33" i="5" l="1"/>
  <c r="BF31" i="5"/>
  <c r="BF33" i="5" s="1"/>
  <c r="AB149" i="2"/>
  <c r="AB151" i="2" s="1"/>
  <c r="AB163" i="2" s="1"/>
  <c r="AB187" i="2" s="1"/>
  <c r="AB150" i="2" l="1"/>
  <c r="AB170" i="2"/>
  <c r="AC185" i="2"/>
  <c r="AB186" i="2"/>
  <c r="AB166" i="2" l="1"/>
  <c r="AB173" i="2"/>
  <c r="AB191" i="2" l="1"/>
  <c r="BG31" i="5" s="1"/>
  <c r="AB179" i="2"/>
  <c r="AB167" i="2"/>
  <c r="AC142" i="2"/>
  <c r="AC141" i="2"/>
  <c r="BH31" i="5" l="1"/>
  <c r="BG33" i="5"/>
  <c r="AC147" i="2"/>
  <c r="BH33" i="5" l="1"/>
  <c r="BI31" i="5"/>
  <c r="BI33" i="5" s="1"/>
  <c r="AC149" i="2"/>
  <c r="AC151" i="2" s="1"/>
  <c r="AC163" i="2" s="1"/>
  <c r="AC187" i="2" s="1"/>
  <c r="AC150" i="2" l="1"/>
  <c r="AC186" i="2"/>
  <c r="AC170" i="2"/>
  <c r="AD185" i="2"/>
  <c r="AC166" i="2" l="1"/>
  <c r="AC173" i="2"/>
  <c r="AC179" i="2" l="1"/>
  <c r="AC191" i="2"/>
  <c r="BJ31" i="5" s="1"/>
  <c r="AD142" i="2"/>
  <c r="AC167" i="2"/>
  <c r="AD141" i="2"/>
  <c r="BK31" i="5" l="1"/>
  <c r="BJ33" i="5"/>
  <c r="G39" i="5"/>
  <c r="AD147" i="2"/>
  <c r="BI141" i="2"/>
  <c r="BK33" i="5" l="1"/>
  <c r="BL31" i="5"/>
  <c r="BL33" i="5" s="1"/>
  <c r="AD149" i="2"/>
  <c r="AD151" i="2" s="1"/>
  <c r="AD163" i="2" s="1"/>
  <c r="AD187" i="2" s="1"/>
  <c r="AE185" i="2" l="1"/>
  <c r="AD186" i="2"/>
  <c r="AD170" i="2"/>
  <c r="AD150" i="2"/>
  <c r="AD166" i="2" l="1"/>
  <c r="AD173" i="2"/>
  <c r="BI170" i="2"/>
  <c r="AD179" i="2" l="1"/>
  <c r="AD191" i="2"/>
  <c r="BM31" i="5" s="1"/>
  <c r="BI173" i="2"/>
  <c r="BI171" i="2" s="1"/>
  <c r="AE142" i="2"/>
  <c r="AD167" i="2"/>
  <c r="AE141" i="2"/>
  <c r="BI166" i="2"/>
  <c r="BI167" i="2" s="1"/>
  <c r="BN31" i="5" l="1"/>
  <c r="BM33" i="5"/>
  <c r="AE147" i="2"/>
  <c r="BO31" i="5" l="1"/>
  <c r="BO33" i="5" s="1"/>
  <c r="BN33" i="5"/>
  <c r="AE149" i="2"/>
  <c r="AE151" i="2" s="1"/>
  <c r="AE163" i="2" s="1"/>
  <c r="AE187" i="2" s="1"/>
  <c r="AE150" i="2" l="1"/>
  <c r="AE170" i="2"/>
  <c r="AE186" i="2"/>
  <c r="AF185" i="2"/>
  <c r="AE166" i="2" l="1"/>
  <c r="AE173" i="2"/>
  <c r="AE179" i="2" l="1"/>
  <c r="AE191" i="2"/>
  <c r="BP31" i="5" s="1"/>
  <c r="AE167" i="2"/>
  <c r="AF141" i="2"/>
  <c r="AF142" i="2"/>
  <c r="BQ31" i="5" l="1"/>
  <c r="BP33" i="5"/>
  <c r="AF147" i="2"/>
  <c r="BR31" i="5" l="1"/>
  <c r="BR33" i="5" s="1"/>
  <c r="BQ33" i="5"/>
  <c r="AF149" i="2"/>
  <c r="AF151" i="2" s="1"/>
  <c r="AF163" i="2" s="1"/>
  <c r="AF187" i="2" s="1"/>
  <c r="AF186" i="2" l="1"/>
  <c r="AG185" i="2"/>
  <c r="AF170" i="2"/>
  <c r="AF150" i="2"/>
  <c r="AF166" i="2" l="1"/>
  <c r="AF173" i="2"/>
  <c r="AF179" i="2" l="1"/>
  <c r="AF191" i="2"/>
  <c r="BS31" i="5" s="1"/>
  <c r="AG141" i="2"/>
  <c r="AG142" i="2"/>
  <c r="AF167" i="2"/>
  <c r="BS33" i="5" l="1"/>
  <c r="BT31" i="5"/>
  <c r="AG147" i="2"/>
  <c r="BT33" i="5" l="1"/>
  <c r="BU31" i="5"/>
  <c r="BU33" i="5" s="1"/>
  <c r="AG149" i="2"/>
  <c r="AG151" i="2" s="1"/>
  <c r="AG163" i="2" s="1"/>
  <c r="AG187" i="2" s="1"/>
  <c r="AG186" i="2" l="1"/>
  <c r="AG170" i="2"/>
  <c r="AH185" i="2"/>
  <c r="AG150" i="2"/>
  <c r="AG166" i="2" l="1"/>
  <c r="AG173" i="2"/>
  <c r="AG179" i="2" l="1"/>
  <c r="AG191" i="2"/>
  <c r="BV31" i="5" s="1"/>
  <c r="AH141" i="2"/>
  <c r="AG167" i="2"/>
  <c r="AH142" i="2"/>
  <c r="H39" i="5" l="1"/>
  <c r="BW31" i="5"/>
  <c r="BV33" i="5"/>
  <c r="AH147" i="2"/>
  <c r="BJ141" i="2"/>
  <c r="BX31" i="5" l="1"/>
  <c r="BX33" i="5" s="1"/>
  <c r="BW33" i="5"/>
  <c r="AH149" i="2"/>
  <c r="AH151" i="2" s="1"/>
  <c r="AH163" i="2" s="1"/>
  <c r="AH187" i="2" s="1"/>
  <c r="AH150" i="2" l="1"/>
  <c r="AH186" i="2"/>
  <c r="AH170" i="2"/>
  <c r="AI185" i="2"/>
  <c r="AH173" i="2" l="1"/>
  <c r="AH166" i="2"/>
  <c r="BJ170" i="2"/>
  <c r="AI142" i="2" l="1"/>
  <c r="AH167" i="2"/>
  <c r="AI141" i="2"/>
  <c r="BJ166" i="2"/>
  <c r="BJ167" i="2" s="1"/>
  <c r="AH179" i="2"/>
  <c r="AH191" i="2"/>
  <c r="BY31" i="5" s="1"/>
  <c r="BJ173" i="2"/>
  <c r="BJ171" i="2" s="1"/>
  <c r="BY33" i="5" l="1"/>
  <c r="BZ31" i="5"/>
  <c r="AI147" i="2"/>
  <c r="CA31" i="5" l="1"/>
  <c r="CA33" i="5" s="1"/>
  <c r="BZ33" i="5"/>
  <c r="AI149" i="2"/>
  <c r="AI151" i="2" s="1"/>
  <c r="AI163" i="2" s="1"/>
  <c r="AI187" i="2" s="1"/>
  <c r="AI150" i="2" l="1"/>
  <c r="AI186" i="2"/>
  <c r="AJ185" i="2"/>
  <c r="AI170" i="2"/>
  <c r="AI166" i="2" l="1"/>
  <c r="AI173" i="2"/>
  <c r="AI179" i="2" l="1"/>
  <c r="AI191" i="2"/>
  <c r="CB31" i="5" s="1"/>
  <c r="AI167" i="2"/>
  <c r="AJ142" i="2"/>
  <c r="AJ141" i="2"/>
  <c r="CC31" i="5" l="1"/>
  <c r="CB33" i="5"/>
  <c r="AJ147" i="2"/>
  <c r="CD31" i="5" l="1"/>
  <c r="CD33" i="5" s="1"/>
  <c r="CC33" i="5"/>
  <c r="AJ149" i="2"/>
  <c r="AJ151" i="2" s="1"/>
  <c r="AJ163" i="2" s="1"/>
  <c r="AJ187" i="2" s="1"/>
  <c r="AJ150" i="2" l="1"/>
  <c r="AJ186" i="2"/>
  <c r="AJ170" i="2"/>
  <c r="AK185" i="2"/>
  <c r="AJ166" i="2" l="1"/>
  <c r="AJ173" i="2"/>
  <c r="AJ191" i="2" l="1"/>
  <c r="CE31" i="5" s="1"/>
  <c r="AJ179" i="2"/>
  <c r="AJ167" i="2"/>
  <c r="AK142" i="2"/>
  <c r="AK141" i="2"/>
  <c r="CF31" i="5" l="1"/>
  <c r="CE33" i="5"/>
  <c r="AK147" i="2"/>
  <c r="CF33" i="5" l="1"/>
  <c r="CG31" i="5"/>
  <c r="CG33" i="5" s="1"/>
  <c r="AK149" i="2"/>
  <c r="AK151" i="2" s="1"/>
  <c r="AK163" i="2" s="1"/>
  <c r="AK187" i="2" s="1"/>
  <c r="AK186" i="2" l="1"/>
  <c r="AK170" i="2"/>
  <c r="AL185" i="2"/>
  <c r="AK150" i="2"/>
  <c r="AK166" i="2" l="1"/>
  <c r="AK173" i="2"/>
  <c r="AK179" i="2" l="1"/>
  <c r="AK191" i="2"/>
  <c r="CH31" i="5" s="1"/>
  <c r="AK167" i="2"/>
  <c r="AL141" i="2"/>
  <c r="AL142" i="2"/>
  <c r="CI31" i="5" l="1"/>
  <c r="I39" i="5"/>
  <c r="CH33" i="5"/>
  <c r="AL147" i="2"/>
  <c r="BK141" i="2"/>
  <c r="CJ31" i="5" l="1"/>
  <c r="CJ33" i="5" s="1"/>
  <c r="CI33" i="5"/>
  <c r="AL149" i="2"/>
  <c r="AL151" i="2" s="1"/>
  <c r="AL163" i="2" s="1"/>
  <c r="AL187" i="2" s="1"/>
  <c r="AL186" i="2" l="1"/>
  <c r="AL170" i="2"/>
  <c r="AM185" i="2"/>
  <c r="AL150" i="2"/>
  <c r="AL173" i="2" l="1"/>
  <c r="AL166" i="2"/>
  <c r="BK170" i="2"/>
  <c r="AL167" i="2" l="1"/>
  <c r="AM142" i="2"/>
  <c r="AM141" i="2"/>
  <c r="BK166" i="2"/>
  <c r="BK167" i="2" s="1"/>
  <c r="AL179" i="2"/>
  <c r="AL191" i="2"/>
  <c r="CK31" i="5" s="1"/>
  <c r="BK173" i="2"/>
  <c r="BK171" i="2" s="1"/>
  <c r="CL31" i="5" l="1"/>
  <c r="CK33" i="5"/>
  <c r="AM147" i="2"/>
  <c r="CM31" i="5" l="1"/>
  <c r="CM33" i="5" s="1"/>
  <c r="CL33" i="5"/>
  <c r="AM149" i="2"/>
  <c r="AM151" i="2" s="1"/>
  <c r="AM163" i="2" s="1"/>
  <c r="AM187" i="2" s="1"/>
  <c r="AM150" i="2" l="1"/>
  <c r="AM186" i="2"/>
  <c r="AM170" i="2"/>
  <c r="AN185" i="2"/>
  <c r="AM173" i="2" l="1"/>
  <c r="AM166" i="2"/>
  <c r="AN141" i="2" l="1"/>
  <c r="AM167" i="2"/>
  <c r="AN142" i="2"/>
  <c r="AM179" i="2"/>
  <c r="AM191" i="2"/>
  <c r="CN31" i="5" s="1"/>
  <c r="CO31" i="5" l="1"/>
  <c r="CN33" i="5"/>
  <c r="AN147" i="2"/>
  <c r="CP31" i="5" l="1"/>
  <c r="CP33" i="5" s="1"/>
  <c r="CO33" i="5"/>
  <c r="AN149" i="2"/>
  <c r="AN151" i="2" s="1"/>
  <c r="AN163" i="2" s="1"/>
  <c r="AN187" i="2" s="1"/>
  <c r="AN186" i="2" l="1"/>
  <c r="AO185" i="2"/>
  <c r="AN170" i="2"/>
  <c r="AN150" i="2"/>
  <c r="AN173" i="2" l="1"/>
  <c r="AN166" i="2"/>
  <c r="AO141" i="2" l="1"/>
  <c r="AN167" i="2"/>
  <c r="AO142" i="2"/>
  <c r="AN179" i="2"/>
  <c r="AN191" i="2"/>
  <c r="CQ31" i="5" s="1"/>
  <c r="CR31" i="5" l="1"/>
  <c r="CQ33" i="5"/>
  <c r="AO147" i="2"/>
  <c r="CS31" i="5" l="1"/>
  <c r="CS33" i="5" s="1"/>
  <c r="CR33" i="5"/>
  <c r="AO149" i="2"/>
  <c r="AO151" i="2" s="1"/>
  <c r="AO150" i="2" l="1"/>
  <c r="AO163" i="2"/>
  <c r="AO187" i="2" s="1"/>
  <c r="AO186" i="2" l="1"/>
  <c r="AP185" i="2"/>
  <c r="AO170" i="2"/>
  <c r="AO173" i="2" l="1"/>
  <c r="AO166" i="2"/>
  <c r="AP141" i="2" l="1"/>
  <c r="AO167" i="2"/>
  <c r="AP142" i="2"/>
  <c r="AO179" i="2"/>
  <c r="AO191" i="2"/>
  <c r="CT31" i="5" s="1"/>
  <c r="J39" i="5" l="1"/>
  <c r="CT33" i="5"/>
  <c r="CU31" i="5"/>
  <c r="AP147" i="2"/>
  <c r="BL141" i="2"/>
  <c r="CU33" i="5" l="1"/>
  <c r="CV31" i="5"/>
  <c r="CV33" i="5" s="1"/>
  <c r="AP149" i="2"/>
  <c r="AP151" i="2" s="1"/>
  <c r="AP163" i="2" s="1"/>
  <c r="AP187" i="2" s="1"/>
  <c r="AP150" i="2" l="1"/>
  <c r="AP186" i="2"/>
  <c r="AP170" i="2"/>
  <c r="AQ185" i="2"/>
  <c r="AP166" i="2" l="1"/>
  <c r="AP173" i="2"/>
  <c r="BL170" i="2"/>
  <c r="AP179" i="2" l="1"/>
  <c r="AP191" i="2"/>
  <c r="CW31" i="5" s="1"/>
  <c r="BL173" i="2"/>
  <c r="BL171" i="2" s="1"/>
  <c r="AQ142" i="2"/>
  <c r="AP167" i="2"/>
  <c r="AQ141" i="2"/>
  <c r="BL166" i="2"/>
  <c r="BL167" i="2" s="1"/>
  <c r="CX31" i="5" l="1"/>
  <c r="CW33" i="5"/>
  <c r="AQ147" i="2"/>
  <c r="CX33" i="5" l="1"/>
  <c r="CY31" i="5"/>
  <c r="CY33" i="5" s="1"/>
  <c r="AQ149" i="2"/>
  <c r="AQ151" i="2" s="1"/>
  <c r="AQ163" i="2" s="1"/>
  <c r="AQ187" i="2" s="1"/>
  <c r="AQ150" i="2" l="1"/>
  <c r="AQ186" i="2"/>
  <c r="AQ170" i="2"/>
  <c r="AR185" i="2"/>
  <c r="AQ173" i="2" l="1"/>
  <c r="AQ166" i="2"/>
  <c r="AQ167" i="2" l="1"/>
  <c r="AR141" i="2"/>
  <c r="AR142" i="2"/>
  <c r="AQ191" i="2"/>
  <c r="CZ31" i="5" s="1"/>
  <c r="AQ179" i="2"/>
  <c r="CZ33" i="5" l="1"/>
  <c r="DA31" i="5"/>
  <c r="AR147" i="2"/>
  <c r="DB31" i="5" l="1"/>
  <c r="DB33" i="5" s="1"/>
  <c r="DA33" i="5"/>
  <c r="AR149" i="2"/>
  <c r="AR151" i="2" s="1"/>
  <c r="AR150" i="2" l="1"/>
  <c r="AR163" i="2"/>
  <c r="AR187" i="2" s="1"/>
  <c r="AR186" i="2" l="1"/>
  <c r="AR170" i="2"/>
  <c r="AS185" i="2"/>
  <c r="AR166" i="2" l="1"/>
  <c r="AR173" i="2"/>
  <c r="AR191" i="2" l="1"/>
  <c r="DC31" i="5" s="1"/>
  <c r="AR179" i="2"/>
  <c r="AS141" i="2"/>
  <c r="AS142" i="2"/>
  <c r="AR167" i="2"/>
  <c r="DC33" i="5" l="1"/>
  <c r="DD31" i="5"/>
  <c r="AS147" i="2"/>
  <c r="DD33" i="5" l="1"/>
  <c r="DE31" i="5"/>
  <c r="DE33" i="5" s="1"/>
  <c r="AS149" i="2"/>
  <c r="AS151" i="2" s="1"/>
  <c r="AS163" i="2" l="1"/>
  <c r="AS187" i="2" s="1"/>
  <c r="AS150" i="2"/>
  <c r="AS186" i="2" l="1"/>
  <c r="AT185" i="2"/>
  <c r="AS170" i="2"/>
  <c r="AS166" i="2" l="1"/>
  <c r="AS173" i="2"/>
  <c r="AS191" i="2" l="1"/>
  <c r="DF31" i="5" s="1"/>
  <c r="AS179" i="2"/>
  <c r="AS167" i="2"/>
  <c r="AT142" i="2"/>
  <c r="AT141" i="2"/>
  <c r="DG31" i="5" l="1"/>
  <c r="K39" i="5"/>
  <c r="DF33" i="5"/>
  <c r="AT147" i="2"/>
  <c r="BM141" i="2"/>
  <c r="DH31" i="5" l="1"/>
  <c r="DH33" i="5" s="1"/>
  <c r="DG33" i="5"/>
  <c r="AT149" i="2"/>
  <c r="AT151" i="2" s="1"/>
  <c r="AT163" i="2" s="1"/>
  <c r="AT187" i="2" s="1"/>
  <c r="AT150" i="2" l="1"/>
  <c r="AT186" i="2"/>
  <c r="AU185" i="2"/>
  <c r="AT170" i="2"/>
  <c r="AT166" i="2" l="1"/>
  <c r="AT173" i="2"/>
  <c r="BM170" i="2"/>
  <c r="AT191" i="2" l="1"/>
  <c r="DI31" i="5" s="1"/>
  <c r="AT179" i="2"/>
  <c r="AT193" i="2"/>
  <c r="AT194" i="2" s="1"/>
  <c r="BM173" i="2"/>
  <c r="BM171" i="2" s="1"/>
  <c r="AU142" i="2"/>
  <c r="AU141" i="2"/>
  <c r="AT167" i="2"/>
  <c r="BM166" i="2"/>
  <c r="BM167" i="2" s="1"/>
  <c r="DI33" i="5" l="1"/>
  <c r="DJ31" i="5"/>
  <c r="C196" i="2"/>
  <c r="E1" i="2" s="1"/>
  <c r="AU147" i="2"/>
  <c r="AU149" i="2" s="1"/>
  <c r="AU151" i="2" s="1"/>
  <c r="AU163" i="2" s="1"/>
  <c r="AU187" i="2" s="1"/>
  <c r="DJ33" i="5" l="1"/>
  <c r="DK31" i="5"/>
  <c r="DK33" i="5" s="1"/>
  <c r="AV185" i="2"/>
  <c r="AU186" i="2"/>
  <c r="AU170" i="2"/>
  <c r="AU150" i="2"/>
  <c r="AV170" i="2" l="1"/>
  <c r="AU173" i="2"/>
  <c r="AU166" i="2"/>
  <c r="AV141" i="2" l="1"/>
  <c r="AV142" i="2"/>
  <c r="AU167" i="2"/>
  <c r="AU191" i="2"/>
  <c r="AU205" i="2"/>
  <c r="AU206" i="2" s="1"/>
  <c r="C208" i="2" s="1"/>
  <c r="AU179" i="2"/>
  <c r="AV173" i="2"/>
  <c r="AW170" i="2"/>
  <c r="DL31" i="5" l="1"/>
  <c r="AX170" i="2"/>
  <c r="AW173" i="2"/>
  <c r="AV217" i="2"/>
  <c r="AV218" i="2" s="1"/>
  <c r="C220" i="2" s="1"/>
  <c r="AV191" i="2"/>
  <c r="AV179" i="2"/>
  <c r="AV147" i="2"/>
  <c r="DM31" i="5" l="1"/>
  <c r="DL33" i="5"/>
  <c r="DO31" i="5"/>
  <c r="AV149" i="2"/>
  <c r="AV151" i="2" s="1"/>
  <c r="AV163" i="2" s="1"/>
  <c r="AV187" i="2" s="1"/>
  <c r="AW191" i="2"/>
  <c r="DR31" i="5" s="1"/>
  <c r="AW179" i="2"/>
  <c r="AW229" i="2"/>
  <c r="AW230" i="2" s="1"/>
  <c r="C232" i="2" s="1"/>
  <c r="AX173" i="2"/>
  <c r="AY170" i="2"/>
  <c r="DR33" i="5" l="1"/>
  <c r="L39" i="5"/>
  <c r="DO33" i="5"/>
  <c r="DP31" i="5"/>
  <c r="DN31" i="5"/>
  <c r="DN33" i="5" s="1"/>
  <c r="DM33" i="5"/>
  <c r="AY173" i="2"/>
  <c r="AZ170" i="2"/>
  <c r="AX179" i="2"/>
  <c r="AX191" i="2"/>
  <c r="AV186" i="2"/>
  <c r="AW185" i="2"/>
  <c r="AV166" i="2"/>
  <c r="AV150" i="2"/>
  <c r="DQ31" i="5" l="1"/>
  <c r="DP33" i="5"/>
  <c r="AW141" i="2"/>
  <c r="AV167" i="2"/>
  <c r="AW142" i="2"/>
  <c r="AZ173" i="2"/>
  <c r="AY179" i="2"/>
  <c r="AY191" i="2"/>
  <c r="DQ33" i="5" l="1"/>
  <c r="K18" i="5" s="1"/>
  <c r="K15" i="5"/>
  <c r="AZ179" i="2"/>
  <c r="AZ191" i="2"/>
  <c r="AW147" i="2"/>
  <c r="K16" i="5" l="1"/>
  <c r="K22" i="5"/>
  <c r="K23" i="5" s="1"/>
  <c r="K20" i="5"/>
  <c r="AW149" i="2"/>
  <c r="AW151" i="2" s="1"/>
  <c r="AW163" i="2" s="1"/>
  <c r="AW187" i="2" l="1"/>
  <c r="AW150" i="2"/>
  <c r="AW186" i="2"/>
  <c r="AX185" i="2"/>
  <c r="AW166" i="2"/>
  <c r="AX142" i="2" l="1"/>
  <c r="AW167" i="2"/>
  <c r="AX141" i="2"/>
  <c r="AX147" i="2" s="1"/>
  <c r="AX149" i="2" l="1"/>
  <c r="AX151" i="2" s="1"/>
  <c r="AX163" i="2" s="1"/>
  <c r="AX187" i="2" s="1"/>
  <c r="AX150" i="2" l="1"/>
  <c r="AX186" i="2"/>
  <c r="AY185" i="2"/>
  <c r="AX166" i="2"/>
  <c r="AY141" i="2" l="1"/>
  <c r="AX167" i="2"/>
  <c r="AY142" i="2"/>
  <c r="AY147" i="2" l="1"/>
  <c r="AY149" i="2" l="1"/>
  <c r="AY151" i="2" s="1"/>
  <c r="AY163" i="2" s="1"/>
  <c r="AY187" i="2" s="1"/>
  <c r="AY150" i="2" l="1"/>
  <c r="AY186" i="2"/>
  <c r="AZ185" i="2"/>
  <c r="AY166" i="2"/>
  <c r="AY167" i="2" l="1"/>
  <c r="AZ142" i="2"/>
  <c r="AZ141" i="2"/>
  <c r="AZ147" i="2" l="1"/>
  <c r="AZ149" i="2" s="1"/>
  <c r="AZ151" i="2" s="1"/>
  <c r="AZ163" i="2" s="1"/>
  <c r="AZ187" i="2" s="1"/>
  <c r="BD142" i="2"/>
  <c r="BD147" i="2" s="1"/>
  <c r="BE142" i="2"/>
  <c r="BE147" i="2" s="1"/>
  <c r="BF142" i="2"/>
  <c r="BF147" i="2" s="1"/>
  <c r="BG142" i="2"/>
  <c r="BG147" i="2" s="1"/>
  <c r="BH142" i="2"/>
  <c r="BH147" i="2" s="1"/>
  <c r="BI142" i="2"/>
  <c r="BI147" i="2" s="1"/>
  <c r="BJ142" i="2"/>
  <c r="BJ147" i="2" s="1"/>
  <c r="BK142" i="2"/>
  <c r="BK147" i="2" s="1"/>
  <c r="BL142" i="2"/>
  <c r="BL147" i="2" s="1"/>
  <c r="BM142" i="2"/>
  <c r="BM147" i="2" s="1"/>
  <c r="AZ150" i="2" l="1"/>
  <c r="AZ186" i="2"/>
  <c r="AZ166" i="2"/>
  <c r="BF166" i="2" s="1"/>
  <c r="BD151" i="2"/>
  <c r="BD163" i="2" s="1"/>
  <c r="BE151" i="2"/>
  <c r="BE163" i="2" s="1"/>
  <c r="BF151" i="2"/>
  <c r="BF163" i="2" s="1"/>
  <c r="BG151" i="2"/>
  <c r="BG163" i="2" s="1"/>
  <c r="BH151" i="2"/>
  <c r="BH163" i="2" s="1"/>
  <c r="BI151" i="2"/>
  <c r="BI163" i="2" s="1"/>
  <c r="BJ151" i="2"/>
  <c r="BJ163" i="2" s="1"/>
  <c r="BK151" i="2"/>
  <c r="BK163" i="2" s="1"/>
  <c r="BL151" i="2"/>
  <c r="BL163" i="2" s="1"/>
  <c r="BM151" i="2"/>
  <c r="BM163" i="2" s="1"/>
  <c r="BF167" i="2" l="1"/>
  <c r="BG167" i="2"/>
  <c r="AZ167" i="2"/>
  <c r="BD166" i="2"/>
  <c r="BE16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Василий Рябов</author>
    <author>hp</author>
  </authors>
  <commentList>
    <comment ref="N6" authorId="0" shapeId="0" xr:uid="{1B4771FF-005B-BD43-BDCC-185307CFD1DD}">
      <text>
        <r>
          <rPr>
            <b/>
            <sz val="10"/>
            <color rgb="FF000000"/>
            <rFont val="Tahoma"/>
            <family val="2"/>
            <charset val="204"/>
          </rPr>
          <t>Без НДС</t>
        </r>
      </text>
    </comment>
    <comment ref="N7" authorId="1" shapeId="0" xr:uid="{4E2EC3A1-AD87-4EDF-A5A7-D4C7981A7EB2}">
      <text>
        <r>
          <rPr>
            <b/>
            <sz val="9"/>
            <color indexed="81"/>
            <rFont val="Tahoma"/>
            <family val="2"/>
          </rPr>
          <t>Без НДС</t>
        </r>
      </text>
    </comment>
    <comment ref="N18" authorId="0" shapeId="0" xr:uid="{AA5BC460-EEBD-2944-85B4-94E4015137C8}">
      <text>
        <r>
          <rPr>
            <b/>
            <sz val="10"/>
            <color rgb="FF000000"/>
            <rFont val="Tahoma"/>
            <family val="2"/>
            <charset val="204"/>
          </rPr>
          <t>Василий Рябов: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>НДС на дату сделки</t>
        </r>
      </text>
    </comment>
    <comment ref="F105" authorId="0" shapeId="0" xr:uid="{48C0A776-0117-6E47-AC42-608CCCCED573}">
      <text>
        <r>
          <rPr>
            <b/>
            <sz val="10"/>
            <color rgb="FF000000"/>
            <rFont val="Tahoma"/>
            <family val="2"/>
            <charset val="204"/>
          </rPr>
          <t>Василий Рябов:</t>
        </r>
        <r>
          <rPr>
            <sz val="10"/>
            <color rgb="FF000000"/>
            <rFont val="Tahoma"/>
            <family val="2"/>
            <charset val="204"/>
          </rPr>
          <t xml:space="preserve">
</t>
        </r>
        <r>
          <rPr>
            <sz val="10"/>
            <color rgb="FF000000"/>
            <rFont val="Tahoma"/>
            <family val="2"/>
            <charset val="204"/>
          </rPr>
          <t>уже собрали</t>
        </r>
      </text>
    </comment>
  </commentList>
</comments>
</file>

<file path=xl/sharedStrings.xml><?xml version="1.0" encoding="utf-8"?>
<sst xmlns="http://schemas.openxmlformats.org/spreadsheetml/2006/main" count="312" uniqueCount="224">
  <si>
    <t>Inputs (Вводные данные в модель)</t>
  </si>
  <si>
    <t>Объект</t>
  </si>
  <si>
    <t>Base</t>
  </si>
  <si>
    <t>Дата покупки</t>
  </si>
  <si>
    <t>Sources</t>
  </si>
  <si>
    <t>Руб.</t>
  </si>
  <si>
    <t>%</t>
  </si>
  <si>
    <t>Uses</t>
  </si>
  <si>
    <t>Комиссия SimpleEstate</t>
  </si>
  <si>
    <t>Итого</t>
  </si>
  <si>
    <t>Затраты, в год</t>
  </si>
  <si>
    <t>SimpleEstate Transaction Fees</t>
  </si>
  <si>
    <t>SimpleEstate Management Fees</t>
  </si>
  <si>
    <t xml:space="preserve">Страхование </t>
  </si>
  <si>
    <t xml:space="preserve">Комиссия SimpleEstate </t>
  </si>
  <si>
    <t>Год</t>
  </si>
  <si>
    <t xml:space="preserve">Квартал </t>
  </si>
  <si>
    <t>4 кв.</t>
  </si>
  <si>
    <t>Арендная выручка</t>
  </si>
  <si>
    <t>Налог на недвижимость</t>
  </si>
  <si>
    <t>NOI</t>
  </si>
  <si>
    <t>NOI margin,%</t>
  </si>
  <si>
    <t xml:space="preserve">Due Diligence </t>
  </si>
  <si>
    <t>Страхование недвижимости</t>
  </si>
  <si>
    <t>EBT</t>
  </si>
  <si>
    <t>FCF</t>
  </si>
  <si>
    <t>Cap Rate</t>
  </si>
  <si>
    <t>Дивиденды</t>
  </si>
  <si>
    <t>Денежные средства на начало</t>
  </si>
  <si>
    <t>Денежный поток</t>
  </si>
  <si>
    <t>Денежные средства на конец</t>
  </si>
  <si>
    <t xml:space="preserve">Цена / м2, руб. </t>
  </si>
  <si>
    <t xml:space="preserve">Цена покупки </t>
  </si>
  <si>
    <t>1 кв.</t>
  </si>
  <si>
    <t xml:space="preserve">Последний месяц отчетного периода </t>
  </si>
  <si>
    <t>Рыночная стоимость объекта (EV)</t>
  </si>
  <si>
    <t>Акционерный капитал (Equity)</t>
  </si>
  <si>
    <t>Рост EV (квартальный), %</t>
  </si>
  <si>
    <t>Дивидендная доходность,%</t>
  </si>
  <si>
    <t xml:space="preserve">Эксплуатация </t>
  </si>
  <si>
    <t>2 кв.</t>
  </si>
  <si>
    <t>Выпуск акций</t>
  </si>
  <si>
    <t xml:space="preserve">Расходы </t>
  </si>
  <si>
    <t>3 кв.</t>
  </si>
  <si>
    <t xml:space="preserve">Кадастровая стоимость / м2, руб. </t>
  </si>
  <si>
    <t xml:space="preserve">Временные периоды </t>
  </si>
  <si>
    <t>Рост выручки (г/г) , %</t>
  </si>
  <si>
    <t>1 год</t>
  </si>
  <si>
    <t>2 год</t>
  </si>
  <si>
    <t>3 год</t>
  </si>
  <si>
    <t>5 год</t>
  </si>
  <si>
    <t>6 год</t>
  </si>
  <si>
    <t>7 год</t>
  </si>
  <si>
    <t>8 год</t>
  </si>
  <si>
    <t>9 год</t>
  </si>
  <si>
    <t>10 год</t>
  </si>
  <si>
    <t>Привлечение капитала</t>
  </si>
  <si>
    <t xml:space="preserve">Количество акций </t>
  </si>
  <si>
    <t xml:space="preserve">Дивиденды </t>
  </si>
  <si>
    <t>покупка</t>
  </si>
  <si>
    <t xml:space="preserve">Цена акции </t>
  </si>
  <si>
    <t>Дивиденды на акцию</t>
  </si>
  <si>
    <t xml:space="preserve">4 год </t>
  </si>
  <si>
    <t xml:space="preserve">2 кв. </t>
  </si>
  <si>
    <t xml:space="preserve">3 кв. </t>
  </si>
  <si>
    <t xml:space="preserve">4 кв. </t>
  </si>
  <si>
    <t xml:space="preserve">5 кв. </t>
  </si>
  <si>
    <t>6 кв.</t>
  </si>
  <si>
    <t>Налог на землю</t>
  </si>
  <si>
    <t>Налог на имущество</t>
  </si>
  <si>
    <t>Юридические и прочие расходы</t>
  </si>
  <si>
    <t>в рублях, без НДС</t>
  </si>
  <si>
    <t>Прочие вводные данные</t>
  </si>
  <si>
    <t>Покупка объекта</t>
  </si>
  <si>
    <t>Долг</t>
  </si>
  <si>
    <t>Ставка налога на имущество (от кадастра)</t>
  </si>
  <si>
    <t>Ставка налога на землю (от кадастра)</t>
  </si>
  <si>
    <t>SimpleEstate - комиссия за продажу объекта</t>
  </si>
  <si>
    <t>Upside</t>
  </si>
  <si>
    <t>Downside</t>
  </si>
  <si>
    <t>Площадь, м2 (GLA)</t>
  </si>
  <si>
    <t xml:space="preserve">Кадастровая стоимость помещений </t>
  </si>
  <si>
    <t xml:space="preserve">Арендаторы </t>
  </si>
  <si>
    <t>Ввод в эксплуатацию</t>
  </si>
  <si>
    <t>Арендаторы</t>
  </si>
  <si>
    <t xml:space="preserve">Начало работы арендаторов </t>
  </si>
  <si>
    <t>Ремонт, мес.</t>
  </si>
  <si>
    <t xml:space="preserve">Арендный поток </t>
  </si>
  <si>
    <t xml:space="preserve">Рост расходов </t>
  </si>
  <si>
    <t xml:space="preserve">Покупка </t>
  </si>
  <si>
    <t xml:space="preserve">Продажа </t>
  </si>
  <si>
    <t>CF</t>
  </si>
  <si>
    <t>IRR</t>
  </si>
  <si>
    <t>Avg.CoC</t>
  </si>
  <si>
    <t>Год (порядковый номер)</t>
  </si>
  <si>
    <t>Кадастровая стоимость земельного участка</t>
  </si>
  <si>
    <t>Офис</t>
  </si>
  <si>
    <t xml:space="preserve">Стоимость ремонта </t>
  </si>
  <si>
    <t>Стоимость ремонта / м2, руб. с НДС</t>
  </si>
  <si>
    <t>Цена Объекта, руб. (c НДС)</t>
  </si>
  <si>
    <t>Ставка налога на прибыль</t>
  </si>
  <si>
    <t>(+) OPEX, руб./м2/год (с НДС)</t>
  </si>
  <si>
    <t xml:space="preserve">Ставка НДС </t>
  </si>
  <si>
    <t xml:space="preserve">OPEX, руб. (с НДС) </t>
  </si>
  <si>
    <t>Ремонт (1-да/0-нет)</t>
  </si>
  <si>
    <t xml:space="preserve">Индексация ставки аренды </t>
  </si>
  <si>
    <t>Офис работает (1-да/0-нет)</t>
  </si>
  <si>
    <t>Индексация (1-да/0-нет)</t>
  </si>
  <si>
    <t xml:space="preserve">Индекс роста ставки аренды  </t>
  </si>
  <si>
    <t xml:space="preserve">All-in ставка аренды, руб./м2/год </t>
  </si>
  <si>
    <t>Базовая ставка аренды, руб./м2/год (с НДС)</t>
  </si>
  <si>
    <t>Офис I City</t>
  </si>
  <si>
    <t>-</t>
  </si>
  <si>
    <t xml:space="preserve">Прочие параметры сделки </t>
  </si>
  <si>
    <t xml:space="preserve">НДС с покупки </t>
  </si>
  <si>
    <t xml:space="preserve">НДС с ремонта </t>
  </si>
  <si>
    <t xml:space="preserve">Возмещение НДС </t>
  </si>
  <si>
    <t>Страхование</t>
  </si>
  <si>
    <t>Ремонт офиса</t>
  </si>
  <si>
    <t xml:space="preserve">Балансовая стоимость объекта </t>
  </si>
  <si>
    <t xml:space="preserve">Амортизация </t>
  </si>
  <si>
    <t xml:space="preserve">Амортизационная премия </t>
  </si>
  <si>
    <t>СПИ, лет</t>
  </si>
  <si>
    <t>Прибыль с учетом накопленного убытка</t>
  </si>
  <si>
    <t>Остаток убытка</t>
  </si>
  <si>
    <t>Налог на прибыль (ОСНО)</t>
  </si>
  <si>
    <t xml:space="preserve">Долг </t>
  </si>
  <si>
    <t>Cap Rate Exit</t>
  </si>
  <si>
    <t>Цена помещения, руб. (c НДС)</t>
  </si>
  <si>
    <t xml:space="preserve">Equity </t>
  </si>
  <si>
    <t xml:space="preserve">Акции </t>
  </si>
  <si>
    <t xml:space="preserve">1й раунд </t>
  </si>
  <si>
    <t xml:space="preserve">2й раунд </t>
  </si>
  <si>
    <t xml:space="preserve">3й раунд </t>
  </si>
  <si>
    <t xml:space="preserve">Сумма сбора </t>
  </si>
  <si>
    <t xml:space="preserve">Эмиссия </t>
  </si>
  <si>
    <t>Цена акции, руб.</t>
  </si>
  <si>
    <t>Дивиденд, руб. / акцию</t>
  </si>
  <si>
    <t>Доходность, %</t>
  </si>
  <si>
    <t>руб.</t>
  </si>
  <si>
    <t xml:space="preserve">лет </t>
  </si>
  <si>
    <t xml:space="preserve">Рассрочка от застройщика </t>
  </si>
  <si>
    <t xml:space="preserve">Первоначальный взнос </t>
  </si>
  <si>
    <t xml:space="preserve">Срок рассрочки, лет </t>
  </si>
  <si>
    <t xml:space="preserve">Окончание рассрочки </t>
  </si>
  <si>
    <t>Рассрочка (периоды)</t>
  </si>
  <si>
    <t>Рассрочка (график)</t>
  </si>
  <si>
    <t xml:space="preserve">Уплата НДС с покупки </t>
  </si>
  <si>
    <t xml:space="preserve">Уплата НДС с ремонта </t>
  </si>
  <si>
    <t xml:space="preserve">Возмещение НДС с покупки </t>
  </si>
  <si>
    <t xml:space="preserve">Возмещение НДС с ремонта </t>
  </si>
  <si>
    <t>Раунд</t>
  </si>
  <si>
    <t xml:space="preserve">Комиссия за поиск арендатора </t>
  </si>
  <si>
    <t>Avg.CoC - 1 год</t>
  </si>
  <si>
    <t>4 год</t>
  </si>
  <si>
    <t>Компенсация операционных расходов</t>
  </si>
  <si>
    <t>Дивидендная доходность, %</t>
  </si>
  <si>
    <t>NOI margin, %</t>
  </si>
  <si>
    <t>Рост выручки, %</t>
  </si>
  <si>
    <t>Рост EV, %</t>
  </si>
  <si>
    <t>Рост Equity, %</t>
  </si>
  <si>
    <t>Раунд 1</t>
  </si>
  <si>
    <t>Раунд 2</t>
  </si>
  <si>
    <t>Раунд 3</t>
  </si>
  <si>
    <t xml:space="preserve">Показатель </t>
  </si>
  <si>
    <t>Ед. изм.</t>
  </si>
  <si>
    <t xml:space="preserve">Результаты инвестиций  </t>
  </si>
  <si>
    <t xml:space="preserve">Дата инвестирования </t>
  </si>
  <si>
    <t>---</t>
  </si>
  <si>
    <t xml:space="preserve">Cтоимость доли в момент выхода из проекта </t>
  </si>
  <si>
    <t>В каком раунде вы инвестировали ?</t>
  </si>
  <si>
    <t xml:space="preserve">&lt;== Выберите раунд из списка </t>
  </si>
  <si>
    <t>Общий прирост стоимости</t>
  </si>
  <si>
    <t>Через сколько лет хотите продать ?</t>
  </si>
  <si>
    <t xml:space="preserve">&lt;== Введите кол-во лет </t>
  </si>
  <si>
    <t>Полученные дивиденды</t>
  </si>
  <si>
    <t>&lt;== Введите сценарий</t>
  </si>
  <si>
    <t>Общая доходность (IRR)</t>
  </si>
  <si>
    <t xml:space="preserve">Проинвестированная сумма </t>
  </si>
  <si>
    <t>&lt;== Введите сумму</t>
  </si>
  <si>
    <t xml:space="preserve">Средняя дивидендная доходность </t>
  </si>
  <si>
    <t>Money Multiple (MoM)</t>
  </si>
  <si>
    <t>Цена акции</t>
  </si>
  <si>
    <t xml:space="preserve">Кол-во приобретаемых акций </t>
  </si>
  <si>
    <t>шт.</t>
  </si>
  <si>
    <t>Доход инвестора (дивиденды + стоимость доли)</t>
  </si>
  <si>
    <t xml:space="preserve">Доля в капитале акционерного общества </t>
  </si>
  <si>
    <t>Прибыль инвестора (доход - инвестиции)</t>
  </si>
  <si>
    <t xml:space="preserve">Месяц </t>
  </si>
  <si>
    <t>Показатель</t>
  </si>
  <si>
    <t xml:space="preserve">Стоимость доли </t>
  </si>
  <si>
    <t xml:space="preserve">Денежный поток </t>
  </si>
  <si>
    <t xml:space="preserve">Дата </t>
  </si>
  <si>
    <t>Покупка</t>
  </si>
  <si>
    <t>1й год</t>
  </si>
  <si>
    <t>2й год</t>
  </si>
  <si>
    <t>3й год</t>
  </si>
  <si>
    <t>4й год</t>
  </si>
  <si>
    <t>5й год</t>
  </si>
  <si>
    <t>6й год</t>
  </si>
  <si>
    <t>7й год</t>
  </si>
  <si>
    <t>8й год</t>
  </si>
  <si>
    <t>9й год</t>
  </si>
  <si>
    <t>10й год</t>
  </si>
  <si>
    <t>Калькулятор доходности инвестора "Офис в БЦ "ICity"</t>
  </si>
  <si>
    <r>
      <t xml:space="preserve">Сценарий </t>
    </r>
    <r>
      <rPr>
        <b/>
        <i/>
        <sz val="14"/>
        <color theme="1"/>
        <rFont val="Century Gothic"/>
        <family val="1"/>
      </rPr>
      <t>(1-базовый, 2-оптимистичный, 3-пессимистичный)</t>
    </r>
  </si>
  <si>
    <t>Базовая аренда</t>
  </si>
  <si>
    <t>В рублях</t>
  </si>
  <si>
    <t>Стоимость ремонта, с НДС</t>
  </si>
  <si>
    <t>Операционные расходы, руб. / м2 / год.</t>
  </si>
  <si>
    <t>Раунд 4</t>
  </si>
  <si>
    <t xml:space="preserve">Амортизация здания </t>
  </si>
  <si>
    <t xml:space="preserve">Амортизация ремонта </t>
  </si>
  <si>
    <t>Балансовая стоимость ремонт</t>
  </si>
  <si>
    <t xml:space="preserve">4й раунд </t>
  </si>
  <si>
    <t>Дивиденд, руб. / акцию (базовый)</t>
  </si>
  <si>
    <t>Дивиденд, руб. / акцию (оптимистич)</t>
  </si>
  <si>
    <t>Дивиденд, руб. / акцию (пессимистичный)</t>
  </si>
  <si>
    <t>OPEX, руб./м2/год, без НДС</t>
  </si>
  <si>
    <t>Базовая ставка, руб./м2/год, без НДС</t>
  </si>
  <si>
    <t xml:space="preserve">Стабилизарованная кадастровая стоимость </t>
  </si>
  <si>
    <t xml:space="preserve">Регистрация сделки </t>
  </si>
  <si>
    <t>Резерв до начала работы офиса</t>
  </si>
  <si>
    <t xml:space="preserve">Налоги к возмещению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</si>
</sst>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0.0%"/>
    <numFmt numFmtId="165" formatCode="#,##0.0"/>
    <numFmt numFmtId="166" formatCode="_-* #,##0_-;\-* #,##0_-;_-* &quot;-&quot;??_-;_-@_-"/>
    <numFmt numFmtId="167" formatCode="#,##0;\(#,##0\)"/>
    <numFmt numFmtId="168" formatCode="_-* #,##0.00\ _₽_-;\-* #,##0.00\ _₽_-;_-* &quot;-&quot;??\ _₽_-;_-@_-"/>
    <numFmt numFmtId="169" formatCode="0.000"/>
    <numFmt numFmtId="170" formatCode="#,##0_ ;\-#,##0\ "/>
    <numFmt numFmtId="171" formatCode="0.000%"/>
    <numFmt numFmtId="172" formatCode="0.0\х"/>
    <numFmt numFmtId="173" formatCode="_-* #,##0.0\ _₽_-;\-* #,##0.0\ _₽_-;_-* &quot;-&quot;??\ _₽_-;_-@_-"/>
    <numFmt numFmtId="174" formatCode="_-* #,##0\ _₽_-;\-* #,##0\ _₽_-;_-* &quot;-&quot;??\ _₽_-;_-@_-"/>
  </numFmts>
  <fonts count="63" x14ac:knownFonts="1"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16"/>
      <color theme="0"/>
      <name val="Calibri"/>
      <family val="2"/>
    </font>
    <font>
      <b/>
      <sz val="16"/>
      <color theme="0"/>
      <name val="Calibri"/>
      <family val="2"/>
    </font>
    <font>
      <sz val="16"/>
      <color theme="1"/>
      <name val="Calibri"/>
      <family val="2"/>
    </font>
    <font>
      <sz val="16"/>
      <color rgb="FF0000FF"/>
      <name val="Calibri"/>
      <family val="2"/>
    </font>
    <font>
      <i/>
      <sz val="16"/>
      <color theme="1"/>
      <name val="Calibri"/>
      <family val="2"/>
    </font>
    <font>
      <b/>
      <sz val="16"/>
      <color theme="1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i/>
      <sz val="16"/>
      <color rgb="FF0000FF"/>
      <name val="Calibri"/>
      <family val="2"/>
    </font>
    <font>
      <b/>
      <sz val="16"/>
      <color rgb="FF0000FF"/>
      <name val="Calibri"/>
      <family val="2"/>
    </font>
    <font>
      <b/>
      <sz val="16"/>
      <color theme="0" tint="-0.499984740745262"/>
      <name val="Calibri"/>
      <family val="2"/>
    </font>
    <font>
      <i/>
      <sz val="16"/>
      <color theme="0" tint="-0.34998626667073579"/>
      <name val="Calibri"/>
      <family val="2"/>
    </font>
    <font>
      <b/>
      <sz val="16"/>
      <color theme="1"/>
      <name val="Calibri (Основной текст)"/>
      <charset val="204"/>
    </font>
    <font>
      <sz val="16"/>
      <color theme="1"/>
      <name val="Calibri (Основной текст)"/>
      <charset val="204"/>
    </font>
    <font>
      <b/>
      <i/>
      <sz val="16"/>
      <color rgb="FF0000FF"/>
      <name val="Calibri"/>
      <family val="2"/>
    </font>
    <font>
      <sz val="16"/>
      <color rgb="FF0000FF"/>
      <name val="Calibri"/>
      <family val="2"/>
      <scheme val="minor"/>
    </font>
    <font>
      <sz val="12"/>
      <color theme="1"/>
      <name val="Century Gothic"/>
      <family val="1"/>
    </font>
    <font>
      <b/>
      <sz val="24"/>
      <color rgb="FF7030A0"/>
      <name val="Century Gothic"/>
      <family val="1"/>
    </font>
    <font>
      <sz val="12"/>
      <color rgb="FF0000FF"/>
      <name val="Century Gothic"/>
      <family val="1"/>
    </font>
    <font>
      <b/>
      <sz val="14"/>
      <color theme="0"/>
      <name val="Century Gothic"/>
      <family val="1"/>
    </font>
    <font>
      <sz val="14"/>
      <color theme="1"/>
      <name val="Century Gothic"/>
      <family val="1"/>
    </font>
    <font>
      <b/>
      <sz val="14"/>
      <color theme="1"/>
      <name val="Century Gothic"/>
      <family val="1"/>
    </font>
    <font>
      <b/>
      <sz val="14"/>
      <color rgb="FF0000FF"/>
      <name val="Century Gothic"/>
      <family val="1"/>
    </font>
    <font>
      <b/>
      <i/>
      <sz val="14"/>
      <color theme="0" tint="-0.499984740745262"/>
      <name val="Century Gothic"/>
      <family val="1"/>
    </font>
    <font>
      <sz val="14"/>
      <color theme="0"/>
      <name val="Century Gothic"/>
      <family val="1"/>
    </font>
    <font>
      <b/>
      <i/>
      <sz val="14"/>
      <color theme="1"/>
      <name val="Century Gothic"/>
      <family val="1"/>
    </font>
    <font>
      <b/>
      <sz val="14"/>
      <color rgb="FF7030A0"/>
      <name val="Century Gothic"/>
      <family val="1"/>
    </font>
    <font>
      <b/>
      <sz val="14"/>
      <color rgb="FFC00000"/>
      <name val="Century Gothic"/>
      <family val="1"/>
    </font>
    <font>
      <sz val="24"/>
      <color theme="1"/>
      <name val="Calibri"/>
      <family val="2"/>
      <charset val="204"/>
    </font>
    <font>
      <b/>
      <sz val="24"/>
      <color theme="1"/>
      <name val="Calibri"/>
      <family val="2"/>
      <charset val="204"/>
    </font>
    <font>
      <sz val="24"/>
      <color theme="1"/>
      <name val="Calibri (Основной текст)"/>
      <charset val="204"/>
    </font>
    <font>
      <i/>
      <sz val="24"/>
      <color theme="0"/>
      <name val="Calibri"/>
      <family val="2"/>
      <charset val="204"/>
    </font>
    <font>
      <b/>
      <i/>
      <sz val="14"/>
      <color theme="0"/>
      <name val="Century Gothic"/>
      <family val="1"/>
    </font>
    <font>
      <sz val="12"/>
      <color theme="0"/>
      <name val="Century Gothic"/>
      <family val="1"/>
    </font>
    <font>
      <b/>
      <sz val="12"/>
      <color theme="0"/>
      <name val="Century Gothic"/>
      <family val="1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b/>
      <sz val="9"/>
      <color indexed="81"/>
      <name val="Tahoma"/>
      <family val="2"/>
    </font>
    <font>
      <sz val="16"/>
      <color rgb="FF0000FF"/>
      <name val="Calibri"/>
      <family val="2"/>
      <charset val="204"/>
    </font>
    <font>
      <sz val="20"/>
      <color theme="1"/>
      <name val="Calibri"/>
      <family val="2"/>
    </font>
    <font>
      <b/>
      <sz val="20"/>
      <color theme="0"/>
      <name val="Calibri"/>
      <family val="2"/>
    </font>
    <font>
      <b/>
      <sz val="20"/>
      <color theme="1"/>
      <name val="Calibri"/>
      <family val="2"/>
    </font>
    <font>
      <b/>
      <sz val="20"/>
      <color theme="0"/>
      <name val="Calibri"/>
      <family val="2"/>
      <charset val="204"/>
    </font>
    <font>
      <sz val="20"/>
      <color rgb="FF0000FF"/>
      <name val="Calibri"/>
      <family val="2"/>
    </font>
    <font>
      <sz val="20"/>
      <name val="Calibri"/>
      <family val="2"/>
    </font>
    <font>
      <sz val="20"/>
      <color theme="1"/>
      <name val="Calibri"/>
      <family val="2"/>
      <charset val="204"/>
    </font>
    <font>
      <sz val="20"/>
      <color theme="1"/>
      <name val="Calibri (Основной текст)"/>
      <charset val="204"/>
    </font>
    <font>
      <b/>
      <sz val="20"/>
      <color theme="1"/>
      <name val="Calibri (Основной текст)"/>
      <charset val="204"/>
    </font>
    <font>
      <i/>
      <sz val="20"/>
      <color theme="1"/>
      <name val="Calibri"/>
      <family val="2"/>
    </font>
    <font>
      <i/>
      <sz val="20"/>
      <color theme="1"/>
      <name val="Calibri (Основной текст)"/>
      <charset val="204"/>
    </font>
    <font>
      <b/>
      <i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i/>
      <sz val="20"/>
      <color theme="1"/>
      <name val="Calibri"/>
      <family val="2"/>
      <scheme val="minor"/>
    </font>
    <font>
      <b/>
      <sz val="20"/>
      <color theme="1"/>
      <name val="Calibri"/>
      <family val="2"/>
      <charset val="204"/>
    </font>
    <font>
      <b/>
      <sz val="20"/>
      <color theme="1"/>
      <name val="Calibri"/>
      <family val="2"/>
      <charset val="204"/>
      <scheme val="minor"/>
    </font>
    <font>
      <i/>
      <sz val="20"/>
      <color theme="1"/>
      <name val="Calibri"/>
      <family val="2"/>
      <charset val="204"/>
    </font>
    <font>
      <b/>
      <sz val="20"/>
      <color rgb="FF0000FF"/>
      <name val="Calibri"/>
      <family val="2"/>
    </font>
    <font>
      <b/>
      <i/>
      <sz val="20"/>
      <color theme="1"/>
      <name val="Calibri"/>
      <family val="2"/>
    </font>
    <font>
      <b/>
      <i/>
      <sz val="16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</patternFill>
    </fill>
    <fill>
      <patternFill patternType="solid">
        <fgColor rgb="FF7030A0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0" fontId="1" fillId="5" borderId="6" applyNumberFormat="0" applyFont="0" applyAlignment="0" applyProtection="0"/>
  </cellStyleXfs>
  <cellXfs count="287">
    <xf numFmtId="0" fontId="0" fillId="0" borderId="0" xfId="0"/>
    <xf numFmtId="17" fontId="0" fillId="0" borderId="0" xfId="0" applyNumberFormat="1"/>
    <xf numFmtId="10" fontId="0" fillId="0" borderId="0" xfId="2" applyNumberFormat="1" applyFont="1"/>
    <xf numFmtId="3" fontId="0" fillId="0" borderId="0" xfId="0" applyNumberFormat="1"/>
    <xf numFmtId="169" fontId="0" fillId="0" borderId="0" xfId="0" applyNumberFormat="1"/>
    <xf numFmtId="3" fontId="0" fillId="0" borderId="0" xfId="1" applyNumberFormat="1" applyFont="1" applyAlignment="1">
      <alignment horizontal="center"/>
    </xf>
    <xf numFmtId="9" fontId="0" fillId="0" borderId="0" xfId="2" applyFont="1"/>
    <xf numFmtId="0" fontId="6" fillId="0" borderId="0" xfId="0" applyFont="1" applyAlignment="1" applyProtection="1">
      <alignment horizontal="center" vertical="center"/>
      <protection hidden="1"/>
    </xf>
    <xf numFmtId="0" fontId="5" fillId="4" borderId="0" xfId="0" applyFont="1" applyFill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vertical="center"/>
      <protection hidden="1"/>
    </xf>
    <xf numFmtId="3" fontId="6" fillId="0" borderId="0" xfId="0" applyNumberFormat="1" applyFont="1" applyAlignment="1" applyProtection="1">
      <alignment horizontal="center" vertical="center"/>
      <protection hidden="1"/>
    </xf>
    <xf numFmtId="9" fontId="6" fillId="0" borderId="0" xfId="2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vertical="center"/>
      <protection hidden="1"/>
    </xf>
    <xf numFmtId="164" fontId="6" fillId="0" borderId="0" xfId="2" applyNumberFormat="1" applyFont="1" applyAlignment="1" applyProtection="1">
      <alignment horizontal="center" vertical="center"/>
      <protection hidden="1"/>
    </xf>
    <xf numFmtId="3" fontId="7" fillId="0" borderId="0" xfId="0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0" fontId="9" fillId="0" borderId="1" xfId="0" applyFont="1" applyBorder="1" applyAlignment="1" applyProtection="1">
      <alignment vertical="center"/>
      <protection hidden="1"/>
    </xf>
    <xf numFmtId="3" fontId="9" fillId="0" borderId="1" xfId="0" applyNumberFormat="1" applyFont="1" applyBorder="1" applyAlignment="1" applyProtection="1">
      <alignment horizontal="center" vertical="center"/>
      <protection hidden="1"/>
    </xf>
    <xf numFmtId="9" fontId="9" fillId="0" borderId="1" xfId="2" applyFont="1" applyBorder="1" applyAlignment="1" applyProtection="1">
      <alignment horizontal="center" vertical="center"/>
      <protection hidden="1"/>
    </xf>
    <xf numFmtId="0" fontId="5" fillId="3" borderId="0" xfId="0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17" fontId="5" fillId="4" borderId="0" xfId="0" applyNumberFormat="1" applyFont="1" applyFill="1" applyAlignment="1" applyProtection="1">
      <alignment horizontal="left" vertical="center"/>
      <protection hidden="1"/>
    </xf>
    <xf numFmtId="17" fontId="5" fillId="4" borderId="0" xfId="0" applyNumberFormat="1" applyFont="1" applyFill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 wrapText="1"/>
      <protection hidden="1"/>
    </xf>
    <xf numFmtId="0" fontId="20" fillId="0" borderId="0" xfId="3" applyFont="1" applyProtection="1">
      <protection hidden="1"/>
    </xf>
    <xf numFmtId="0" fontId="20" fillId="0" borderId="0" xfId="3" applyFont="1" applyAlignment="1" applyProtection="1">
      <alignment horizontal="center"/>
      <protection hidden="1"/>
    </xf>
    <xf numFmtId="0" fontId="21" fillId="0" borderId="10" xfId="3" applyFont="1" applyBorder="1" applyProtection="1">
      <protection hidden="1"/>
    </xf>
    <xf numFmtId="0" fontId="20" fillId="0" borderId="10" xfId="3" applyFont="1" applyBorder="1" applyAlignment="1" applyProtection="1">
      <alignment horizontal="center"/>
      <protection hidden="1"/>
    </xf>
    <xf numFmtId="0" fontId="20" fillId="0" borderId="10" xfId="3" applyFont="1" applyBorder="1" applyProtection="1">
      <protection hidden="1"/>
    </xf>
    <xf numFmtId="0" fontId="22" fillId="0" borderId="0" xfId="3" applyFont="1" applyProtection="1">
      <protection hidden="1"/>
    </xf>
    <xf numFmtId="0" fontId="23" fillId="4" borderId="0" xfId="3" applyFont="1" applyFill="1" applyProtection="1">
      <protection hidden="1"/>
    </xf>
    <xf numFmtId="0" fontId="23" fillId="4" borderId="0" xfId="3" applyFont="1" applyFill="1" applyAlignment="1" applyProtection="1">
      <alignment horizontal="center"/>
      <protection hidden="1"/>
    </xf>
    <xf numFmtId="0" fontId="23" fillId="0" borderId="0" xfId="3" applyFont="1" applyAlignment="1" applyProtection="1">
      <alignment horizontal="center"/>
      <protection hidden="1"/>
    </xf>
    <xf numFmtId="0" fontId="24" fillId="0" borderId="0" xfId="3" applyFont="1" applyProtection="1">
      <protection hidden="1"/>
    </xf>
    <xf numFmtId="0" fontId="25" fillId="0" borderId="0" xfId="3" applyFont="1" applyProtection="1">
      <protection hidden="1"/>
    </xf>
    <xf numFmtId="3" fontId="24" fillId="0" borderId="0" xfId="3" applyNumberFormat="1" applyFont="1" applyAlignment="1" applyProtection="1">
      <alignment horizontal="center"/>
      <protection hidden="1"/>
    </xf>
    <xf numFmtId="0" fontId="24" fillId="0" borderId="0" xfId="3" applyFont="1" applyAlignment="1" applyProtection="1">
      <alignment horizontal="center"/>
      <protection hidden="1"/>
    </xf>
    <xf numFmtId="3" fontId="25" fillId="0" borderId="0" xfId="3" applyNumberFormat="1" applyFont="1" applyAlignment="1" applyProtection="1">
      <alignment horizontal="center"/>
      <protection hidden="1"/>
    </xf>
    <xf numFmtId="3" fontId="26" fillId="0" borderId="0" xfId="3" applyNumberFormat="1" applyFont="1" applyAlignment="1" applyProtection="1">
      <alignment horizontal="left"/>
      <protection hidden="1"/>
    </xf>
    <xf numFmtId="0" fontId="27" fillId="0" borderId="0" xfId="3" applyFont="1" applyProtection="1">
      <protection hidden="1"/>
    </xf>
    <xf numFmtId="0" fontId="27" fillId="0" borderId="0" xfId="3" quotePrefix="1" applyFont="1" applyAlignment="1" applyProtection="1">
      <alignment horizontal="center"/>
      <protection hidden="1"/>
    </xf>
    <xf numFmtId="172" fontId="27" fillId="0" borderId="0" xfId="3" applyNumberFormat="1" applyFont="1" applyAlignment="1" applyProtection="1">
      <alignment horizontal="center"/>
      <protection hidden="1"/>
    </xf>
    <xf numFmtId="1" fontId="28" fillId="0" borderId="0" xfId="3" applyNumberFormat="1" applyFont="1" applyAlignment="1" applyProtection="1">
      <alignment horizontal="right"/>
      <protection hidden="1"/>
    </xf>
    <xf numFmtId="14" fontId="28" fillId="0" borderId="0" xfId="3" applyNumberFormat="1" applyFont="1" applyProtection="1">
      <protection hidden="1"/>
    </xf>
    <xf numFmtId="166" fontId="28" fillId="0" borderId="0" xfId="1" applyNumberFormat="1" applyFont="1" applyProtection="1">
      <protection hidden="1"/>
    </xf>
    <xf numFmtId="14" fontId="24" fillId="0" borderId="0" xfId="3" applyNumberFormat="1" applyFont="1" applyProtection="1">
      <protection hidden="1"/>
    </xf>
    <xf numFmtId="3" fontId="26" fillId="0" borderId="11" xfId="3" applyNumberFormat="1" applyFont="1" applyBorder="1" applyAlignment="1" applyProtection="1">
      <alignment horizontal="center"/>
      <protection locked="0"/>
    </xf>
    <xf numFmtId="3" fontId="26" fillId="0" borderId="11" xfId="3" applyNumberFormat="1" applyFont="1" applyBorder="1" applyAlignment="1" applyProtection="1">
      <alignment horizontal="center" vertical="center"/>
      <protection locked="0"/>
    </xf>
    <xf numFmtId="0" fontId="24" fillId="0" borderId="0" xfId="3" quotePrefix="1" applyFont="1" applyAlignment="1" applyProtection="1">
      <alignment horizontal="center"/>
      <protection hidden="1"/>
    </xf>
    <xf numFmtId="164" fontId="25" fillId="0" borderId="0" xfId="4" applyNumberFormat="1" applyFont="1" applyAlignment="1" applyProtection="1">
      <alignment horizontal="center"/>
      <protection hidden="1"/>
    </xf>
    <xf numFmtId="3" fontId="25" fillId="0" borderId="0" xfId="3" applyNumberFormat="1" applyFont="1" applyAlignment="1" applyProtection="1">
      <alignment horizontal="left"/>
      <protection hidden="1"/>
    </xf>
    <xf numFmtId="173" fontId="24" fillId="0" borderId="0" xfId="5" applyNumberFormat="1" applyFont="1" applyProtection="1">
      <protection hidden="1"/>
    </xf>
    <xf numFmtId="174" fontId="24" fillId="0" borderId="0" xfId="5" applyNumberFormat="1" applyFont="1" applyProtection="1">
      <protection hidden="1"/>
    </xf>
    <xf numFmtId="174" fontId="24" fillId="0" borderId="0" xfId="3" applyNumberFormat="1" applyFont="1" applyProtection="1">
      <protection hidden="1"/>
    </xf>
    <xf numFmtId="0" fontId="30" fillId="0" borderId="0" xfId="3" applyFont="1" applyProtection="1">
      <protection hidden="1"/>
    </xf>
    <xf numFmtId="0" fontId="30" fillId="0" borderId="0" xfId="3" applyFont="1" applyAlignment="1" applyProtection="1">
      <alignment horizontal="center"/>
      <protection hidden="1"/>
    </xf>
    <xf numFmtId="3" fontId="30" fillId="0" borderId="0" xfId="3" applyNumberFormat="1" applyFont="1" applyAlignment="1" applyProtection="1">
      <alignment horizontal="center"/>
      <protection hidden="1"/>
    </xf>
    <xf numFmtId="3" fontId="27" fillId="0" borderId="10" xfId="3" applyNumberFormat="1" applyFont="1" applyBorder="1" applyAlignment="1" applyProtection="1">
      <alignment horizontal="left"/>
      <protection hidden="1"/>
    </xf>
    <xf numFmtId="3" fontId="27" fillId="0" borderId="10" xfId="3" quotePrefix="1" applyNumberFormat="1" applyFont="1" applyBorder="1" applyAlignment="1" applyProtection="1">
      <alignment horizontal="center"/>
      <protection hidden="1"/>
    </xf>
    <xf numFmtId="10" fontId="27" fillId="0" borderId="10" xfId="2" applyNumberFormat="1" applyFont="1" applyBorder="1" applyAlignment="1" applyProtection="1">
      <alignment horizontal="center"/>
      <protection hidden="1"/>
    </xf>
    <xf numFmtId="3" fontId="31" fillId="0" borderId="10" xfId="3" applyNumberFormat="1" applyFont="1" applyBorder="1" applyAlignment="1" applyProtection="1">
      <alignment horizontal="left"/>
      <protection hidden="1"/>
    </xf>
    <xf numFmtId="3" fontId="31" fillId="0" borderId="10" xfId="3" applyNumberFormat="1" applyFont="1" applyBorder="1" applyAlignment="1" applyProtection="1">
      <alignment horizontal="center"/>
      <protection hidden="1"/>
    </xf>
    <xf numFmtId="10" fontId="24" fillId="0" borderId="0" xfId="4" applyNumberFormat="1" applyFont="1" applyProtection="1">
      <protection hidden="1"/>
    </xf>
    <xf numFmtId="3" fontId="31" fillId="0" borderId="0" xfId="3" applyNumberFormat="1" applyFont="1" applyAlignment="1" applyProtection="1">
      <alignment horizontal="left"/>
      <protection hidden="1"/>
    </xf>
    <xf numFmtId="3" fontId="31" fillId="0" borderId="0" xfId="3" applyNumberFormat="1" applyFont="1" applyAlignment="1" applyProtection="1">
      <alignment horizontal="center"/>
      <protection hidden="1"/>
    </xf>
    <xf numFmtId="3" fontId="28" fillId="0" borderId="0" xfId="3" applyNumberFormat="1" applyFont="1" applyAlignment="1" applyProtection="1">
      <alignment horizontal="center"/>
      <protection hidden="1"/>
    </xf>
    <xf numFmtId="3" fontId="24" fillId="0" borderId="0" xfId="3" applyNumberFormat="1" applyFont="1" applyProtection="1">
      <protection hidden="1"/>
    </xf>
    <xf numFmtId="3" fontId="20" fillId="0" borderId="0" xfId="3" applyNumberFormat="1" applyFont="1" applyAlignment="1" applyProtection="1">
      <alignment horizontal="center"/>
      <protection hidden="1"/>
    </xf>
    <xf numFmtId="17" fontId="24" fillId="0" borderId="0" xfId="3" applyNumberFormat="1" applyFont="1" applyAlignment="1" applyProtection="1">
      <alignment horizontal="center"/>
      <protection hidden="1"/>
    </xf>
    <xf numFmtId="164" fontId="24" fillId="0" borderId="0" xfId="2" applyNumberFormat="1" applyFont="1" applyProtection="1">
      <protection hidden="1"/>
    </xf>
    <xf numFmtId="0" fontId="32" fillId="0" borderId="0" xfId="0" applyFont="1" applyAlignment="1" applyProtection="1">
      <alignment vertical="center"/>
      <protection hidden="1"/>
    </xf>
    <xf numFmtId="0" fontId="28" fillId="0" borderId="0" xfId="3" applyFont="1" applyProtection="1">
      <protection hidden="1"/>
    </xf>
    <xf numFmtId="0" fontId="28" fillId="0" borderId="0" xfId="3" applyFont="1" applyAlignment="1" applyProtection="1">
      <alignment horizontal="center"/>
      <protection hidden="1"/>
    </xf>
    <xf numFmtId="14" fontId="28" fillId="0" borderId="0" xfId="3" applyNumberFormat="1" applyFont="1" applyAlignment="1" applyProtection="1">
      <alignment horizontal="center"/>
      <protection hidden="1"/>
    </xf>
    <xf numFmtId="3" fontId="23" fillId="0" borderId="0" xfId="3" applyNumberFormat="1" applyFont="1" applyAlignment="1" applyProtection="1">
      <alignment horizontal="left"/>
      <protection hidden="1"/>
    </xf>
    <xf numFmtId="3" fontId="23" fillId="0" borderId="0" xfId="3" applyNumberFormat="1" applyFont="1" applyAlignment="1" applyProtection="1">
      <alignment horizontal="center"/>
      <protection hidden="1"/>
    </xf>
    <xf numFmtId="0" fontId="23" fillId="0" borderId="0" xfId="3" applyFont="1" applyProtection="1">
      <protection hidden="1"/>
    </xf>
    <xf numFmtId="17" fontId="23" fillId="0" borderId="0" xfId="3" applyNumberFormat="1" applyFont="1" applyAlignment="1" applyProtection="1">
      <alignment horizontal="center"/>
      <protection hidden="1"/>
    </xf>
    <xf numFmtId="167" fontId="23" fillId="0" borderId="0" xfId="3" applyNumberFormat="1" applyFont="1" applyAlignment="1" applyProtection="1">
      <alignment horizontal="center"/>
      <protection hidden="1"/>
    </xf>
    <xf numFmtId="0" fontId="36" fillId="0" borderId="0" xfId="3" applyFont="1" applyProtection="1">
      <protection hidden="1"/>
    </xf>
    <xf numFmtId="0" fontId="36" fillId="0" borderId="0" xfId="3" applyFont="1" applyAlignment="1" applyProtection="1">
      <alignment horizontal="center"/>
      <protection hidden="1"/>
    </xf>
    <xf numFmtId="164" fontId="36" fillId="0" borderId="0" xfId="2" applyNumberFormat="1" applyFont="1" applyFill="1" applyBorder="1" applyAlignment="1" applyProtection="1">
      <alignment horizontal="center"/>
      <protection hidden="1"/>
    </xf>
    <xf numFmtId="167" fontId="28" fillId="0" borderId="0" xfId="3" applyNumberFormat="1" applyFont="1" applyAlignment="1" applyProtection="1">
      <alignment horizontal="center"/>
      <protection hidden="1"/>
    </xf>
    <xf numFmtId="14" fontId="23" fillId="0" borderId="0" xfId="3" applyNumberFormat="1" applyFont="1" applyAlignment="1" applyProtection="1">
      <alignment horizontal="center"/>
      <protection hidden="1"/>
    </xf>
    <xf numFmtId="3" fontId="28" fillId="0" borderId="0" xfId="3" applyNumberFormat="1" applyFont="1" applyProtection="1">
      <protection hidden="1"/>
    </xf>
    <xf numFmtId="17" fontId="23" fillId="0" borderId="0" xfId="0" applyNumberFormat="1" applyFont="1" applyAlignment="1" applyProtection="1">
      <alignment horizontal="left"/>
      <protection hidden="1"/>
    </xf>
    <xf numFmtId="3" fontId="37" fillId="0" borderId="0" xfId="3" applyNumberFormat="1" applyFont="1" applyProtection="1">
      <protection hidden="1"/>
    </xf>
    <xf numFmtId="17" fontId="23" fillId="0" borderId="0" xfId="0" applyNumberFormat="1" applyFont="1" applyAlignment="1" applyProtection="1">
      <alignment horizontal="center"/>
      <protection hidden="1"/>
    </xf>
    <xf numFmtId="4" fontId="38" fillId="0" borderId="0" xfId="3" applyNumberFormat="1" applyFont="1" applyProtection="1">
      <protection hidden="1"/>
    </xf>
    <xf numFmtId="167" fontId="14" fillId="0" borderId="0" xfId="0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left" vertical="center"/>
      <protection hidden="1"/>
    </xf>
    <xf numFmtId="167" fontId="6" fillId="0" borderId="0" xfId="0" applyNumberFormat="1" applyFont="1" applyAlignment="1" applyProtection="1">
      <alignment horizontal="center" vertical="center"/>
      <protection hidden="1"/>
    </xf>
    <xf numFmtId="164" fontId="7" fillId="0" borderId="0" xfId="0" applyNumberFormat="1" applyFont="1" applyAlignment="1" applyProtection="1">
      <alignment horizontal="center" vertical="center"/>
      <protection hidden="1"/>
    </xf>
    <xf numFmtId="3" fontId="13" fillId="5" borderId="6" xfId="6" applyNumberFormat="1" applyFont="1" applyAlignment="1" applyProtection="1">
      <alignment horizontal="center" vertical="center"/>
      <protection hidden="1"/>
    </xf>
    <xf numFmtId="167" fontId="17" fillId="0" borderId="0" xfId="0" applyNumberFormat="1" applyFont="1" applyAlignment="1" applyProtection="1">
      <alignment horizontal="center" vertical="center"/>
      <protection hidden="1"/>
    </xf>
    <xf numFmtId="167" fontId="19" fillId="0" borderId="0" xfId="0" applyNumberFormat="1" applyFont="1" applyAlignment="1" applyProtection="1">
      <alignment horizontal="center" vertical="center"/>
      <protection hidden="1"/>
    </xf>
    <xf numFmtId="167" fontId="34" fillId="0" borderId="0" xfId="0" applyNumberFormat="1" applyFont="1" applyAlignment="1" applyProtection="1">
      <alignment horizontal="center" vertical="center"/>
      <protection hidden="1"/>
    </xf>
    <xf numFmtId="0" fontId="6" fillId="4" borderId="0" xfId="0" applyFont="1" applyFill="1" applyAlignment="1" applyProtection="1">
      <alignment vertical="center"/>
      <protection hidden="1"/>
    </xf>
    <xf numFmtId="0" fontId="9" fillId="0" borderId="8" xfId="0" applyFont="1" applyBorder="1" applyAlignment="1" applyProtection="1">
      <alignment vertical="center"/>
      <protection hidden="1"/>
    </xf>
    <xf numFmtId="167" fontId="9" fillId="0" borderId="8" xfId="0" applyNumberFormat="1" applyFont="1" applyBorder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vertical="center"/>
      <protection hidden="1"/>
    </xf>
    <xf numFmtId="0" fontId="32" fillId="0" borderId="0" xfId="0" applyFont="1" applyAlignment="1" applyProtection="1">
      <alignment horizontal="center" vertical="center"/>
      <protection hidden="1"/>
    </xf>
    <xf numFmtId="3" fontId="11" fillId="0" borderId="0" xfId="0" applyNumberFormat="1" applyFont="1" applyAlignment="1" applyProtection="1">
      <alignment horizontal="center" vertical="center"/>
      <protection hidden="1"/>
    </xf>
    <xf numFmtId="167" fontId="6" fillId="0" borderId="0" xfId="0" applyNumberFormat="1" applyFont="1" applyAlignment="1" applyProtection="1">
      <alignment vertical="center"/>
      <protection hidden="1"/>
    </xf>
    <xf numFmtId="164" fontId="6" fillId="0" borderId="0" xfId="0" applyNumberFormat="1" applyFont="1" applyAlignment="1" applyProtection="1">
      <alignment horizontal="center" vertical="center"/>
      <protection hidden="1"/>
    </xf>
    <xf numFmtId="3" fontId="9" fillId="0" borderId="0" xfId="0" applyNumberFormat="1" applyFont="1" applyAlignment="1" applyProtection="1">
      <alignment horizontal="center" vertical="center"/>
      <protection hidden="1"/>
    </xf>
    <xf numFmtId="167" fontId="9" fillId="0" borderId="0" xfId="0" applyNumberFormat="1" applyFont="1" applyAlignment="1" applyProtection="1">
      <alignment horizontal="center" vertical="center"/>
      <protection hidden="1"/>
    </xf>
    <xf numFmtId="3" fontId="6" fillId="0" borderId="0" xfId="0" applyNumberFormat="1" applyFont="1" applyAlignment="1" applyProtection="1">
      <alignment vertical="center"/>
      <protection hidden="1"/>
    </xf>
    <xf numFmtId="0" fontId="10" fillId="0" borderId="0" xfId="0" applyFont="1" applyAlignment="1" applyProtection="1">
      <alignment horizontal="center" vertical="center"/>
      <protection hidden="1"/>
    </xf>
    <xf numFmtId="17" fontId="6" fillId="0" borderId="0" xfId="0" applyNumberFormat="1" applyFont="1" applyAlignment="1" applyProtection="1">
      <alignment vertical="center"/>
      <protection hidden="1"/>
    </xf>
    <xf numFmtId="17" fontId="6" fillId="0" borderId="0" xfId="0" applyNumberFormat="1" applyFont="1" applyAlignment="1" applyProtection="1">
      <alignment horizontal="center" vertical="center"/>
      <protection hidden="1"/>
    </xf>
    <xf numFmtId="3" fontId="13" fillId="0" borderId="0" xfId="0" applyNumberFormat="1" applyFont="1" applyAlignment="1" applyProtection="1">
      <alignment horizontal="center" vertical="center"/>
      <protection hidden="1"/>
    </xf>
    <xf numFmtId="168" fontId="6" fillId="0" borderId="0" xfId="0" applyNumberFormat="1" applyFont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3" fontId="5" fillId="2" borderId="0" xfId="0" applyNumberFormat="1" applyFont="1" applyFill="1" applyAlignment="1" applyProtection="1">
      <alignment horizontal="center" vertical="center"/>
      <protection hidden="1"/>
    </xf>
    <xf numFmtId="164" fontId="5" fillId="6" borderId="0" xfId="0" applyNumberFormat="1" applyFont="1" applyFill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left" vertical="center"/>
      <protection hidden="1"/>
    </xf>
    <xf numFmtId="3" fontId="8" fillId="0" borderId="0" xfId="0" applyNumberFormat="1" applyFont="1" applyAlignment="1" applyProtection="1">
      <alignment horizontal="center" vertical="center"/>
      <protection hidden="1"/>
    </xf>
    <xf numFmtId="165" fontId="7" fillId="0" borderId="0" xfId="0" applyNumberFormat="1" applyFont="1" applyAlignment="1" applyProtection="1">
      <alignment horizontal="center" vertical="center"/>
      <protection hidden="1"/>
    </xf>
    <xf numFmtId="165" fontId="6" fillId="0" borderId="0" xfId="0" applyNumberFormat="1" applyFont="1" applyAlignment="1" applyProtection="1">
      <alignment horizontal="center" vertical="center"/>
      <protection hidden="1"/>
    </xf>
    <xf numFmtId="3" fontId="12" fillId="0" borderId="0" xfId="0" applyNumberFormat="1" applyFont="1" applyAlignment="1" applyProtection="1">
      <alignment horizontal="center" vertical="center"/>
      <protection hidden="1"/>
    </xf>
    <xf numFmtId="14" fontId="7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14" fontId="6" fillId="0" borderId="0" xfId="0" applyNumberFormat="1" applyFont="1" applyAlignment="1" applyProtection="1">
      <alignment horizontal="center" vertical="center"/>
      <protection hidden="1"/>
    </xf>
    <xf numFmtId="3" fontId="18" fillId="0" borderId="0" xfId="0" applyNumberFormat="1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horizontal="center" vertical="center"/>
      <protection hidden="1"/>
    </xf>
    <xf numFmtId="164" fontId="7" fillId="0" borderId="0" xfId="2" applyNumberFormat="1" applyFont="1" applyFill="1" applyAlignment="1" applyProtection="1">
      <alignment horizontal="center" vertical="center"/>
      <protection hidden="1"/>
    </xf>
    <xf numFmtId="164" fontId="9" fillId="0" borderId="0" xfId="0" applyNumberFormat="1" applyFont="1" applyAlignment="1" applyProtection="1">
      <alignment vertical="center"/>
      <protection hidden="1"/>
    </xf>
    <xf numFmtId="166" fontId="6" fillId="0" borderId="0" xfId="1" applyNumberFormat="1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horizontal="center" vertical="center"/>
      <protection hidden="1"/>
    </xf>
    <xf numFmtId="10" fontId="6" fillId="0" borderId="0" xfId="2" applyNumberFormat="1" applyFont="1" applyAlignment="1" applyProtection="1">
      <alignment horizontal="center" vertical="center"/>
      <protection hidden="1"/>
    </xf>
    <xf numFmtId="168" fontId="9" fillId="0" borderId="0" xfId="0" applyNumberFormat="1" applyFont="1" applyAlignment="1" applyProtection="1">
      <alignment horizontal="center" vertical="center"/>
      <protection hidden="1"/>
    </xf>
    <xf numFmtId="164" fontId="6" fillId="0" borderId="0" xfId="0" applyNumberFormat="1" applyFont="1" applyAlignment="1" applyProtection="1">
      <alignment vertical="center"/>
      <protection hidden="1"/>
    </xf>
    <xf numFmtId="3" fontId="42" fillId="0" borderId="0" xfId="0" applyNumberFormat="1" applyFont="1" applyAlignment="1" applyProtection="1">
      <alignment horizontal="center" vertical="center"/>
      <protection hidden="1"/>
    </xf>
    <xf numFmtId="4" fontId="6" fillId="0" borderId="0" xfId="0" applyNumberFormat="1" applyFont="1" applyAlignment="1" applyProtection="1">
      <alignment horizontal="center" vertical="center"/>
      <protection hidden="1"/>
    </xf>
    <xf numFmtId="9" fontId="6" fillId="0" borderId="0" xfId="0" applyNumberFormat="1" applyFont="1" applyAlignment="1" applyProtection="1">
      <alignment vertical="center"/>
      <protection hidden="1"/>
    </xf>
    <xf numFmtId="0" fontId="6" fillId="0" borderId="0" xfId="3" applyFont="1" applyAlignment="1" applyProtection="1">
      <alignment vertical="center"/>
      <protection hidden="1"/>
    </xf>
    <xf numFmtId="10" fontId="7" fillId="0" borderId="0" xfId="2" applyNumberFormat="1" applyFont="1" applyFill="1" applyAlignment="1" applyProtection="1">
      <alignment horizontal="center" vertical="center"/>
      <protection hidden="1"/>
    </xf>
    <xf numFmtId="9" fontId="7" fillId="0" borderId="0" xfId="2" applyFont="1" applyFill="1" applyAlignment="1" applyProtection="1">
      <alignment horizontal="center" vertical="center"/>
      <protection hidden="1"/>
    </xf>
    <xf numFmtId="17" fontId="6" fillId="0" borderId="0" xfId="2" applyNumberFormat="1" applyFont="1" applyFill="1" applyAlignment="1" applyProtection="1">
      <alignment horizontal="center" vertical="center"/>
      <protection hidden="1"/>
    </xf>
    <xf numFmtId="0" fontId="15" fillId="0" borderId="0" xfId="0" applyFont="1" applyAlignment="1" applyProtection="1">
      <alignment vertical="center"/>
      <protection hidden="1"/>
    </xf>
    <xf numFmtId="9" fontId="9" fillId="0" borderId="0" xfId="2" applyFont="1" applyAlignment="1" applyProtection="1">
      <alignment vertical="center"/>
      <protection hidden="1"/>
    </xf>
    <xf numFmtId="164" fontId="9" fillId="0" borderId="0" xfId="2" applyNumberFormat="1" applyFont="1" applyAlignment="1" applyProtection="1">
      <alignment vertical="center"/>
      <protection hidden="1"/>
    </xf>
    <xf numFmtId="43" fontId="9" fillId="0" borderId="0" xfId="1" applyFont="1" applyAlignment="1" applyProtection="1">
      <alignment vertical="center"/>
      <protection hidden="1"/>
    </xf>
    <xf numFmtId="43" fontId="9" fillId="0" borderId="0" xfId="1" applyFont="1" applyAlignment="1" applyProtection="1">
      <alignment horizontal="center" vertical="center"/>
      <protection hidden="1"/>
    </xf>
    <xf numFmtId="3" fontId="6" fillId="0" borderId="0" xfId="3" applyNumberFormat="1" applyFont="1" applyAlignment="1" applyProtection="1">
      <alignment horizontal="center" vertical="center"/>
      <protection hidden="1"/>
    </xf>
    <xf numFmtId="0" fontId="11" fillId="0" borderId="0" xfId="0" applyFont="1" applyAlignment="1" applyProtection="1">
      <alignment horizontal="center" vertical="center"/>
      <protection hidden="1"/>
    </xf>
    <xf numFmtId="164" fontId="6" fillId="0" borderId="0" xfId="4" applyNumberFormat="1" applyFont="1" applyAlignment="1" applyProtection="1">
      <alignment horizontal="center" vertical="center"/>
      <protection hidden="1"/>
    </xf>
    <xf numFmtId="1" fontId="13" fillId="0" borderId="0" xfId="0" applyNumberFormat="1" applyFont="1" applyAlignment="1" applyProtection="1">
      <alignment horizontal="center" vertical="center"/>
      <protection hidden="1"/>
    </xf>
    <xf numFmtId="1" fontId="6" fillId="0" borderId="0" xfId="0" applyNumberFormat="1" applyFont="1" applyAlignment="1" applyProtection="1">
      <alignment horizontal="center" vertical="center"/>
      <protection hidden="1"/>
    </xf>
    <xf numFmtId="9" fontId="13" fillId="5" borderId="9" xfId="6" applyNumberFormat="1" applyFont="1" applyBorder="1" applyAlignment="1" applyProtection="1">
      <alignment horizontal="center" vertical="center"/>
      <protection hidden="1"/>
    </xf>
    <xf numFmtId="167" fontId="17" fillId="5" borderId="9" xfId="6" applyNumberFormat="1" applyFont="1" applyBorder="1" applyAlignment="1" applyProtection="1">
      <alignment horizontal="center" vertical="center"/>
      <protection hidden="1"/>
    </xf>
    <xf numFmtId="164" fontId="16" fillId="5" borderId="9" xfId="2" applyNumberFormat="1" applyFont="1" applyFill="1" applyBorder="1" applyAlignment="1" applyProtection="1">
      <alignment horizontal="center" vertical="center"/>
      <protection hidden="1"/>
    </xf>
    <xf numFmtId="164" fontId="17" fillId="0" borderId="0" xfId="2" applyNumberFormat="1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right" vertical="center"/>
      <protection hidden="1"/>
    </xf>
    <xf numFmtId="43" fontId="6" fillId="0" borderId="0" xfId="1" applyFont="1" applyAlignment="1" applyProtection="1">
      <alignment horizontal="center" vertical="center"/>
      <protection hidden="1"/>
    </xf>
    <xf numFmtId="171" fontId="6" fillId="0" borderId="0" xfId="2" applyNumberFormat="1" applyFont="1" applyAlignment="1" applyProtection="1">
      <alignment horizontal="center" vertical="center"/>
      <protection hidden="1"/>
    </xf>
    <xf numFmtId="0" fontId="35" fillId="0" borderId="0" xfId="0" applyFont="1" applyAlignment="1" applyProtection="1">
      <alignment horizontal="center" vertical="center"/>
      <protection hidden="1"/>
    </xf>
    <xf numFmtId="0" fontId="43" fillId="0" borderId="0" xfId="0" applyFont="1" applyAlignment="1" applyProtection="1">
      <alignment vertical="center"/>
      <protection hidden="1"/>
    </xf>
    <xf numFmtId="17" fontId="44" fillId="4" borderId="0" xfId="0" applyNumberFormat="1" applyFont="1" applyFill="1" applyAlignment="1" applyProtection="1">
      <alignment horizontal="left" vertical="center"/>
      <protection hidden="1"/>
    </xf>
    <xf numFmtId="17" fontId="44" fillId="4" borderId="0" xfId="0" applyNumberFormat="1" applyFont="1" applyFill="1" applyAlignment="1" applyProtection="1">
      <alignment horizontal="center" vertical="center"/>
      <protection hidden="1"/>
    </xf>
    <xf numFmtId="166" fontId="44" fillId="4" borderId="0" xfId="1" applyNumberFormat="1" applyFont="1" applyFill="1" applyAlignment="1" applyProtection="1">
      <alignment horizontal="right" vertical="center"/>
      <protection hidden="1"/>
    </xf>
    <xf numFmtId="17" fontId="44" fillId="2" borderId="3" xfId="0" applyNumberFormat="1" applyFont="1" applyFill="1" applyBorder="1" applyAlignment="1" applyProtection="1">
      <alignment horizontal="center" vertical="center"/>
      <protection hidden="1"/>
    </xf>
    <xf numFmtId="17" fontId="44" fillId="2" borderId="2" xfId="0" applyNumberFormat="1" applyFont="1" applyFill="1" applyBorder="1" applyAlignment="1" applyProtection="1">
      <alignment horizontal="center" vertical="center"/>
      <protection hidden="1"/>
    </xf>
    <xf numFmtId="0" fontId="45" fillId="0" borderId="0" xfId="0" applyFont="1" applyAlignment="1" applyProtection="1">
      <alignment vertical="center"/>
      <protection hidden="1"/>
    </xf>
    <xf numFmtId="17" fontId="46" fillId="4" borderId="0" xfId="0" applyNumberFormat="1" applyFont="1" applyFill="1" applyAlignment="1" applyProtection="1">
      <alignment horizontal="left" vertical="center"/>
      <protection hidden="1"/>
    </xf>
    <xf numFmtId="17" fontId="46" fillId="4" borderId="0" xfId="0" applyNumberFormat="1" applyFont="1" applyFill="1" applyAlignment="1" applyProtection="1">
      <alignment horizontal="center" vertical="center"/>
      <protection hidden="1"/>
    </xf>
    <xf numFmtId="164" fontId="47" fillId="0" borderId="0" xfId="0" applyNumberFormat="1" applyFont="1" applyAlignment="1" applyProtection="1">
      <alignment horizontal="center" vertical="center"/>
      <protection hidden="1"/>
    </xf>
    <xf numFmtId="3" fontId="48" fillId="0" borderId="0" xfId="0" applyNumberFormat="1" applyFont="1" applyAlignment="1" applyProtection="1">
      <alignment horizontal="center" vertical="center"/>
      <protection hidden="1"/>
    </xf>
    <xf numFmtId="3" fontId="43" fillId="0" borderId="2" xfId="0" applyNumberFormat="1" applyFont="1" applyBorder="1" applyAlignment="1" applyProtection="1">
      <alignment horizontal="center" vertical="center"/>
      <protection hidden="1"/>
    </xf>
    <xf numFmtId="3" fontId="43" fillId="0" borderId="0" xfId="0" applyNumberFormat="1" applyFont="1" applyAlignment="1" applyProtection="1">
      <alignment horizontal="center" vertical="center"/>
      <protection hidden="1"/>
    </xf>
    <xf numFmtId="0" fontId="49" fillId="0" borderId="0" xfId="0" applyFont="1" applyAlignment="1" applyProtection="1">
      <alignment vertical="center"/>
      <protection hidden="1"/>
    </xf>
    <xf numFmtId="3" fontId="45" fillId="0" borderId="2" xfId="0" applyNumberFormat="1" applyFont="1" applyBorder="1" applyAlignment="1" applyProtection="1">
      <alignment horizontal="center" vertical="center"/>
      <protection hidden="1"/>
    </xf>
    <xf numFmtId="3" fontId="49" fillId="0" borderId="0" xfId="0" applyNumberFormat="1" applyFont="1" applyAlignment="1" applyProtection="1">
      <alignment horizontal="center" vertical="center"/>
      <protection hidden="1"/>
    </xf>
    <xf numFmtId="3" fontId="50" fillId="0" borderId="5" xfId="0" applyNumberFormat="1" applyFont="1" applyBorder="1" applyAlignment="1" applyProtection="1">
      <alignment horizontal="center" vertical="center"/>
      <protection hidden="1"/>
    </xf>
    <xf numFmtId="164" fontId="50" fillId="0" borderId="0" xfId="2" applyNumberFormat="1" applyFont="1" applyFill="1" applyBorder="1" applyAlignment="1" applyProtection="1">
      <alignment horizontal="center" vertical="center"/>
      <protection hidden="1"/>
    </xf>
    <xf numFmtId="3" fontId="50" fillId="0" borderId="0" xfId="2" applyNumberFormat="1" applyFont="1" applyFill="1" applyBorder="1" applyAlignment="1" applyProtection="1">
      <alignment horizontal="center" vertical="center"/>
      <protection hidden="1"/>
    </xf>
    <xf numFmtId="3" fontId="51" fillId="0" borderId="0" xfId="2" applyNumberFormat="1" applyFont="1" applyFill="1" applyBorder="1" applyAlignment="1" applyProtection="1">
      <alignment horizontal="center" vertical="center"/>
      <protection hidden="1"/>
    </xf>
    <xf numFmtId="3" fontId="45" fillId="0" borderId="1" xfId="0" applyNumberFormat="1" applyFont="1" applyBorder="1" applyAlignment="1" applyProtection="1">
      <alignment horizontal="center" vertical="center"/>
      <protection hidden="1"/>
    </xf>
    <xf numFmtId="3" fontId="51" fillId="0" borderId="3" xfId="0" applyNumberFormat="1" applyFont="1" applyBorder="1" applyAlignment="1" applyProtection="1">
      <alignment horizontal="center" vertical="center"/>
      <protection hidden="1"/>
    </xf>
    <xf numFmtId="3" fontId="51" fillId="0" borderId="1" xfId="0" applyNumberFormat="1" applyFont="1" applyBorder="1" applyAlignment="1" applyProtection="1">
      <alignment horizontal="center" vertical="center"/>
      <protection hidden="1"/>
    </xf>
    <xf numFmtId="3" fontId="51" fillId="0" borderId="1" xfId="0" applyNumberFormat="1" applyFont="1" applyBorder="1" applyAlignment="1" applyProtection="1">
      <alignment horizontal="left" vertical="center"/>
      <protection hidden="1"/>
    </xf>
    <xf numFmtId="0" fontId="52" fillId="0" borderId="0" xfId="0" applyFont="1" applyAlignment="1" applyProtection="1">
      <alignment vertical="center"/>
      <protection hidden="1"/>
    </xf>
    <xf numFmtId="9" fontId="50" fillId="0" borderId="2" xfId="2" applyFont="1" applyFill="1" applyBorder="1" applyAlignment="1" applyProtection="1">
      <alignment horizontal="center" vertical="center"/>
      <protection hidden="1"/>
    </xf>
    <xf numFmtId="164" fontId="53" fillId="0" borderId="0" xfId="2" applyNumberFormat="1" applyFont="1" applyFill="1" applyAlignment="1" applyProtection="1">
      <alignment horizontal="center" vertical="center"/>
      <protection hidden="1"/>
    </xf>
    <xf numFmtId="170" fontId="53" fillId="0" borderId="2" xfId="1" applyNumberFormat="1" applyFont="1" applyFill="1" applyBorder="1" applyAlignment="1" applyProtection="1">
      <alignment horizontal="center" vertical="center"/>
      <protection hidden="1"/>
    </xf>
    <xf numFmtId="3" fontId="53" fillId="0" borderId="0" xfId="0" applyNumberFormat="1" applyFont="1" applyAlignment="1" applyProtection="1">
      <alignment horizontal="center" vertical="center"/>
      <protection hidden="1"/>
    </xf>
    <xf numFmtId="3" fontId="54" fillId="5" borderId="6" xfId="6" applyNumberFormat="1" applyFont="1" applyAlignment="1" applyProtection="1">
      <alignment horizontal="center" vertical="center"/>
      <protection hidden="1"/>
    </xf>
    <xf numFmtId="167" fontId="50" fillId="0" borderId="2" xfId="0" applyNumberFormat="1" applyFont="1" applyBorder="1" applyAlignment="1" applyProtection="1">
      <alignment horizontal="center" vertical="center"/>
      <protection hidden="1"/>
    </xf>
    <xf numFmtId="167" fontId="50" fillId="0" borderId="0" xfId="0" applyNumberFormat="1" applyFont="1" applyAlignment="1" applyProtection="1">
      <alignment horizontal="center" vertical="center"/>
      <protection hidden="1"/>
    </xf>
    <xf numFmtId="17" fontId="49" fillId="0" borderId="0" xfId="0" applyNumberFormat="1" applyFont="1" applyAlignment="1" applyProtection="1">
      <alignment vertical="center"/>
      <protection hidden="1"/>
    </xf>
    <xf numFmtId="167" fontId="51" fillId="0" borderId="1" xfId="0" applyNumberFormat="1" applyFont="1" applyBorder="1" applyAlignment="1" applyProtection="1">
      <alignment horizontal="center" vertical="center"/>
      <protection hidden="1"/>
    </xf>
    <xf numFmtId="167" fontId="51" fillId="0" borderId="1" xfId="0" applyNumberFormat="1" applyFont="1" applyBorder="1" applyAlignment="1" applyProtection="1">
      <alignment horizontal="left" vertical="center"/>
      <protection hidden="1"/>
    </xf>
    <xf numFmtId="167" fontId="55" fillId="0" borderId="0" xfId="0" applyNumberFormat="1" applyFont="1" applyAlignment="1" applyProtection="1">
      <alignment horizontal="center" vertical="center"/>
      <protection hidden="1"/>
    </xf>
    <xf numFmtId="167" fontId="55" fillId="0" borderId="2" xfId="0" applyNumberFormat="1" applyFont="1" applyBorder="1" applyAlignment="1" applyProtection="1">
      <alignment horizontal="center" vertical="center"/>
      <protection hidden="1"/>
    </xf>
    <xf numFmtId="167" fontId="51" fillId="0" borderId="3" xfId="0" applyNumberFormat="1" applyFont="1" applyBorder="1" applyAlignment="1" applyProtection="1">
      <alignment horizontal="center" vertical="center"/>
      <protection hidden="1"/>
    </xf>
    <xf numFmtId="167" fontId="56" fillId="0" borderId="2" xfId="1" applyNumberFormat="1" applyFont="1" applyFill="1" applyBorder="1" applyAlignment="1" applyProtection="1">
      <alignment horizontal="center" vertical="center"/>
      <protection hidden="1"/>
    </xf>
    <xf numFmtId="167" fontId="56" fillId="0" borderId="0" xfId="0" applyNumberFormat="1" applyFont="1" applyAlignment="1" applyProtection="1">
      <alignment horizontal="center" vertical="center"/>
      <protection hidden="1"/>
    </xf>
    <xf numFmtId="167" fontId="43" fillId="0" borderId="0" xfId="0" applyNumberFormat="1" applyFont="1" applyAlignment="1" applyProtection="1">
      <alignment vertical="center"/>
      <protection hidden="1"/>
    </xf>
    <xf numFmtId="167" fontId="49" fillId="0" borderId="0" xfId="0" applyNumberFormat="1" applyFont="1" applyAlignment="1" applyProtection="1">
      <alignment vertical="center"/>
      <protection hidden="1"/>
    </xf>
    <xf numFmtId="0" fontId="57" fillId="0" borderId="0" xfId="0" applyFont="1" applyAlignment="1" applyProtection="1">
      <alignment vertical="center"/>
      <protection hidden="1"/>
    </xf>
    <xf numFmtId="167" fontId="58" fillId="0" borderId="2" xfId="0" applyNumberFormat="1" applyFont="1" applyBorder="1" applyAlignment="1" applyProtection="1">
      <alignment horizontal="center" vertical="center"/>
      <protection hidden="1"/>
    </xf>
    <xf numFmtId="167" fontId="51" fillId="0" borderId="0" xfId="0" applyNumberFormat="1" applyFont="1" applyAlignment="1" applyProtection="1">
      <alignment horizontal="center" vertical="center"/>
      <protection hidden="1"/>
    </xf>
    <xf numFmtId="167" fontId="57" fillId="0" borderId="0" xfId="0" applyNumberFormat="1" applyFont="1" applyAlignment="1" applyProtection="1">
      <alignment vertical="center"/>
      <protection hidden="1"/>
    </xf>
    <xf numFmtId="167" fontId="51" fillId="0" borderId="2" xfId="0" applyNumberFormat="1" applyFont="1" applyBorder="1" applyAlignment="1" applyProtection="1">
      <alignment horizontal="center" vertical="center"/>
      <protection hidden="1"/>
    </xf>
    <xf numFmtId="9" fontId="50" fillId="0" borderId="0" xfId="2" applyFont="1" applyFill="1" applyAlignment="1" applyProtection="1">
      <alignment horizontal="center" vertical="center"/>
      <protection hidden="1"/>
    </xf>
    <xf numFmtId="164" fontId="50" fillId="0" borderId="0" xfId="2" applyNumberFormat="1" applyFont="1" applyFill="1" applyAlignment="1" applyProtection="1">
      <alignment horizontal="center" vertical="center"/>
      <protection hidden="1"/>
    </xf>
    <xf numFmtId="164" fontId="50" fillId="0" borderId="2" xfId="2" applyNumberFormat="1" applyFont="1" applyBorder="1" applyAlignment="1" applyProtection="1">
      <alignment horizontal="center" vertical="center"/>
      <protection hidden="1"/>
    </xf>
    <xf numFmtId="167" fontId="45" fillId="0" borderId="3" xfId="0" applyNumberFormat="1" applyFont="1" applyBorder="1" applyAlignment="1" applyProtection="1">
      <alignment horizontal="center" vertical="center"/>
      <protection hidden="1"/>
    </xf>
    <xf numFmtId="167" fontId="45" fillId="0" borderId="1" xfId="0" applyNumberFormat="1" applyFont="1" applyBorder="1" applyAlignment="1" applyProtection="1">
      <alignment horizontal="center" vertical="center"/>
      <protection hidden="1"/>
    </xf>
    <xf numFmtId="9" fontId="43" fillId="0" borderId="2" xfId="2" applyFont="1" applyFill="1" applyBorder="1" applyAlignment="1" applyProtection="1">
      <alignment horizontal="center" vertical="center"/>
      <protection hidden="1"/>
    </xf>
    <xf numFmtId="164" fontId="52" fillId="0" borderId="0" xfId="2" applyNumberFormat="1" applyFont="1" applyFill="1" applyAlignment="1" applyProtection="1">
      <alignment horizontal="center" vertical="center"/>
      <protection hidden="1"/>
    </xf>
    <xf numFmtId="43" fontId="52" fillId="0" borderId="0" xfId="1" applyFont="1" applyFill="1" applyAlignment="1" applyProtection="1">
      <alignment horizontal="center" vertical="center"/>
      <protection hidden="1"/>
    </xf>
    <xf numFmtId="166" fontId="52" fillId="0" borderId="0" xfId="1" applyNumberFormat="1" applyFont="1" applyFill="1" applyAlignment="1" applyProtection="1">
      <alignment horizontal="center" vertical="center"/>
      <protection hidden="1"/>
    </xf>
    <xf numFmtId="164" fontId="45" fillId="0" borderId="0" xfId="2" applyNumberFormat="1" applyFont="1" applyFill="1" applyBorder="1" applyAlignment="1" applyProtection="1">
      <alignment horizontal="center" vertical="center"/>
      <protection hidden="1"/>
    </xf>
    <xf numFmtId="164" fontId="43" fillId="0" borderId="2" xfId="0" applyNumberFormat="1" applyFont="1" applyBorder="1" applyAlignment="1" applyProtection="1">
      <alignment horizontal="center" vertical="center"/>
      <protection hidden="1"/>
    </xf>
    <xf numFmtId="164" fontId="43" fillId="0" borderId="0" xfId="0" applyNumberFormat="1" applyFont="1" applyAlignment="1" applyProtection="1">
      <alignment horizontal="center" vertical="center"/>
      <protection hidden="1"/>
    </xf>
    <xf numFmtId="167" fontId="45" fillId="0" borderId="9" xfId="6" applyNumberFormat="1" applyFont="1" applyFill="1" applyBorder="1" applyAlignment="1" applyProtection="1">
      <alignment horizontal="center" vertical="center"/>
      <protection hidden="1"/>
    </xf>
    <xf numFmtId="3" fontId="45" fillId="0" borderId="2" xfId="6" applyNumberFormat="1" applyFont="1" applyFill="1" applyBorder="1" applyAlignment="1" applyProtection="1">
      <alignment horizontal="center" vertical="center"/>
      <protection hidden="1"/>
    </xf>
    <xf numFmtId="167" fontId="45" fillId="0" borderId="0" xfId="6" applyNumberFormat="1" applyFont="1" applyFill="1" applyBorder="1" applyAlignment="1" applyProtection="1">
      <alignment horizontal="center" vertical="center"/>
      <protection hidden="1"/>
    </xf>
    <xf numFmtId="164" fontId="52" fillId="0" borderId="0" xfId="2" applyNumberFormat="1" applyFont="1" applyFill="1" applyBorder="1" applyAlignment="1" applyProtection="1">
      <alignment horizontal="center" vertical="center"/>
      <protection hidden="1"/>
    </xf>
    <xf numFmtId="167" fontId="43" fillId="0" borderId="0" xfId="0" applyNumberFormat="1" applyFont="1" applyAlignment="1" applyProtection="1">
      <alignment horizontal="center" vertical="center"/>
      <protection hidden="1"/>
    </xf>
    <xf numFmtId="3" fontId="45" fillId="0" borderId="0" xfId="0" applyNumberFormat="1" applyFont="1" applyAlignment="1" applyProtection="1">
      <alignment horizontal="center" vertical="center"/>
      <protection hidden="1"/>
    </xf>
    <xf numFmtId="0" fontId="59" fillId="0" borderId="0" xfId="0" applyFont="1" applyAlignment="1" applyProtection="1">
      <alignment horizontal="left" vertical="center"/>
      <protection hidden="1"/>
    </xf>
    <xf numFmtId="0" fontId="59" fillId="0" borderId="0" xfId="0" applyFont="1" applyAlignment="1" applyProtection="1">
      <alignment vertical="center"/>
      <protection hidden="1"/>
    </xf>
    <xf numFmtId="3" fontId="59" fillId="0" borderId="0" xfId="0" applyNumberFormat="1" applyFont="1" applyAlignment="1" applyProtection="1">
      <alignment horizontal="center" vertical="center"/>
      <protection hidden="1"/>
    </xf>
    <xf numFmtId="3" fontId="59" fillId="0" borderId="2" xfId="0" applyNumberFormat="1" applyFont="1" applyBorder="1" applyAlignment="1" applyProtection="1">
      <alignment horizontal="center" vertical="center"/>
      <protection hidden="1"/>
    </xf>
    <xf numFmtId="167" fontId="59" fillId="0" borderId="0" xfId="0" applyNumberFormat="1" applyFont="1" applyAlignment="1" applyProtection="1">
      <alignment horizontal="center" vertical="center"/>
      <protection hidden="1"/>
    </xf>
    <xf numFmtId="9" fontId="59" fillId="0" borderId="0" xfId="2" applyFont="1" applyFill="1" applyAlignment="1" applyProtection="1">
      <alignment vertical="center"/>
      <protection hidden="1"/>
    </xf>
    <xf numFmtId="9" fontId="59" fillId="0" borderId="0" xfId="2" applyFont="1" applyFill="1" applyAlignment="1" applyProtection="1">
      <alignment horizontal="center" vertical="center"/>
      <protection hidden="1"/>
    </xf>
    <xf numFmtId="3" fontId="59" fillId="0" borderId="0" xfId="2" applyNumberFormat="1" applyFont="1" applyFill="1" applyAlignment="1" applyProtection="1">
      <alignment horizontal="center" vertical="center"/>
      <protection hidden="1"/>
    </xf>
    <xf numFmtId="17" fontId="59" fillId="0" borderId="0" xfId="3" applyNumberFormat="1" applyFont="1" applyAlignment="1" applyProtection="1">
      <alignment horizontal="left" vertical="center"/>
      <protection hidden="1"/>
    </xf>
    <xf numFmtId="164" fontId="59" fillId="0" borderId="2" xfId="0" applyNumberFormat="1" applyFont="1" applyBorder="1" applyAlignment="1" applyProtection="1">
      <alignment horizontal="center" vertical="center"/>
      <protection hidden="1"/>
    </xf>
    <xf numFmtId="164" fontId="59" fillId="0" borderId="0" xfId="2" applyNumberFormat="1" applyFont="1" applyFill="1" applyAlignment="1" applyProtection="1">
      <alignment horizontal="center" vertical="center"/>
      <protection hidden="1"/>
    </xf>
    <xf numFmtId="9" fontId="52" fillId="0" borderId="2" xfId="2" applyFont="1" applyFill="1" applyBorder="1" applyAlignment="1" applyProtection="1">
      <alignment horizontal="center" vertical="center"/>
      <protection hidden="1"/>
    </xf>
    <xf numFmtId="3" fontId="45" fillId="0" borderId="3" xfId="0" applyNumberFormat="1" applyFont="1" applyBorder="1" applyAlignment="1" applyProtection="1">
      <alignment horizontal="center" vertical="center"/>
      <protection hidden="1"/>
    </xf>
    <xf numFmtId="9" fontId="45" fillId="0" borderId="2" xfId="2" applyFont="1" applyFill="1" applyBorder="1" applyAlignment="1" applyProtection="1">
      <alignment horizontal="center" vertical="center"/>
      <protection hidden="1"/>
    </xf>
    <xf numFmtId="167" fontId="45" fillId="0" borderId="0" xfId="0" applyNumberFormat="1" applyFont="1" applyAlignment="1" applyProtection="1">
      <alignment horizontal="center" vertical="center"/>
      <protection hidden="1"/>
    </xf>
    <xf numFmtId="164" fontId="45" fillId="0" borderId="0" xfId="2" applyNumberFormat="1" applyFont="1" applyFill="1" applyAlignment="1" applyProtection="1">
      <alignment horizontal="center" vertical="center"/>
      <protection hidden="1"/>
    </xf>
    <xf numFmtId="3" fontId="43" fillId="0" borderId="0" xfId="0" applyNumberFormat="1" applyFont="1" applyAlignment="1" applyProtection="1">
      <alignment vertical="center"/>
      <protection hidden="1"/>
    </xf>
    <xf numFmtId="3" fontId="49" fillId="0" borderId="0" xfId="0" applyNumberFormat="1" applyFont="1" applyAlignment="1" applyProtection="1">
      <alignment vertical="center"/>
      <protection hidden="1"/>
    </xf>
    <xf numFmtId="0" fontId="45" fillId="0" borderId="1" xfId="0" applyFont="1" applyBorder="1" applyAlignment="1" applyProtection="1">
      <alignment vertical="center"/>
      <protection hidden="1"/>
    </xf>
    <xf numFmtId="3" fontId="45" fillId="0" borderId="0" xfId="0" applyNumberFormat="1" applyFont="1" applyAlignment="1" applyProtection="1">
      <alignment vertical="center"/>
      <protection hidden="1"/>
    </xf>
    <xf numFmtId="3" fontId="57" fillId="0" borderId="0" xfId="0" applyNumberFormat="1" applyFont="1" applyAlignment="1" applyProtection="1">
      <alignment vertical="center"/>
      <protection hidden="1"/>
    </xf>
    <xf numFmtId="3" fontId="60" fillId="0" borderId="0" xfId="0" applyNumberFormat="1" applyFont="1" applyAlignment="1" applyProtection="1">
      <alignment horizontal="center" vertical="center"/>
      <protection hidden="1"/>
    </xf>
    <xf numFmtId="164" fontId="43" fillId="0" borderId="0" xfId="2" applyNumberFormat="1" applyFont="1" applyFill="1" applyBorder="1" applyAlignment="1" applyProtection="1">
      <alignment horizontal="center" vertical="center"/>
      <protection hidden="1"/>
    </xf>
    <xf numFmtId="3" fontId="45" fillId="0" borderId="1" xfId="0" applyNumberFormat="1" applyFont="1" applyBorder="1" applyAlignment="1" applyProtection="1">
      <alignment horizontal="right" vertical="center"/>
      <protection hidden="1"/>
    </xf>
    <xf numFmtId="17" fontId="59" fillId="0" borderId="0" xfId="3" applyNumberFormat="1" applyFont="1" applyAlignment="1" applyProtection="1">
      <alignment vertical="center"/>
      <protection hidden="1"/>
    </xf>
    <xf numFmtId="9" fontId="53" fillId="0" borderId="2" xfId="2" applyFont="1" applyFill="1" applyBorder="1" applyAlignment="1" applyProtection="1">
      <alignment horizontal="center" vertical="center"/>
      <protection hidden="1"/>
    </xf>
    <xf numFmtId="9" fontId="53" fillId="0" borderId="0" xfId="2" applyFont="1" applyFill="1" applyAlignment="1" applyProtection="1">
      <alignment horizontal="center" vertical="center"/>
      <protection hidden="1"/>
    </xf>
    <xf numFmtId="9" fontId="49" fillId="0" borderId="0" xfId="2" applyFont="1" applyAlignment="1" applyProtection="1">
      <alignment vertical="center"/>
      <protection hidden="1"/>
    </xf>
    <xf numFmtId="164" fontId="49" fillId="0" borderId="0" xfId="2" applyNumberFormat="1" applyFont="1" applyAlignment="1" applyProtection="1">
      <alignment horizontal="center" vertical="center"/>
      <protection hidden="1"/>
    </xf>
    <xf numFmtId="17" fontId="43" fillId="0" borderId="0" xfId="3" applyNumberFormat="1" applyFont="1" applyAlignment="1" applyProtection="1">
      <alignment vertical="center"/>
      <protection hidden="1"/>
    </xf>
    <xf numFmtId="9" fontId="43" fillId="0" borderId="0" xfId="2" applyFont="1" applyAlignment="1" applyProtection="1">
      <alignment vertical="center"/>
      <protection hidden="1"/>
    </xf>
    <xf numFmtId="3" fontId="61" fillId="0" borderId="0" xfId="0" applyNumberFormat="1" applyFont="1" applyAlignment="1" applyProtection="1">
      <alignment horizontal="center" vertical="center"/>
      <protection hidden="1"/>
    </xf>
    <xf numFmtId="17" fontId="52" fillId="0" borderId="0" xfId="3" applyNumberFormat="1" applyFont="1" applyAlignment="1" applyProtection="1">
      <alignment horizontal="left" vertical="center"/>
      <protection hidden="1"/>
    </xf>
    <xf numFmtId="167" fontId="43" fillId="0" borderId="7" xfId="6" applyNumberFormat="1" applyFont="1" applyFill="1" applyBorder="1" applyAlignment="1" applyProtection="1">
      <alignment horizontal="center" vertical="center"/>
      <protection hidden="1"/>
    </xf>
    <xf numFmtId="9" fontId="53" fillId="0" borderId="4" xfId="2" applyFont="1" applyFill="1" applyBorder="1" applyAlignment="1" applyProtection="1">
      <alignment horizontal="center" vertical="center"/>
      <protection hidden="1"/>
    </xf>
    <xf numFmtId="10" fontId="43" fillId="0" borderId="0" xfId="2" applyNumberFormat="1" applyFont="1" applyFill="1" applyBorder="1" applyAlignment="1" applyProtection="1">
      <alignment horizontal="center" vertical="center"/>
      <protection hidden="1"/>
    </xf>
    <xf numFmtId="167" fontId="45" fillId="0" borderId="7" xfId="6" applyNumberFormat="1" applyFont="1" applyFill="1" applyBorder="1" applyAlignment="1" applyProtection="1">
      <alignment horizontal="center" vertical="center"/>
      <protection hidden="1"/>
    </xf>
    <xf numFmtId="3" fontId="52" fillId="0" borderId="0" xfId="0" applyNumberFormat="1" applyFont="1" applyAlignment="1" applyProtection="1">
      <alignment horizontal="center" vertical="center"/>
      <protection hidden="1"/>
    </xf>
    <xf numFmtId="3" fontId="52" fillId="0" borderId="0" xfId="0" applyNumberFormat="1" applyFont="1" applyAlignment="1" applyProtection="1">
      <alignment horizontal="right" vertical="center"/>
      <protection hidden="1"/>
    </xf>
    <xf numFmtId="17" fontId="57" fillId="0" borderId="0" xfId="3" applyNumberFormat="1" applyFont="1" applyAlignment="1" applyProtection="1">
      <alignment vertical="center"/>
      <protection hidden="1"/>
    </xf>
    <xf numFmtId="167" fontId="57" fillId="0" borderId="0" xfId="0" applyNumberFormat="1" applyFont="1" applyAlignment="1" applyProtection="1">
      <alignment horizontal="center" vertical="center"/>
      <protection hidden="1"/>
    </xf>
    <xf numFmtId="164" fontId="49" fillId="0" borderId="0" xfId="0" applyNumberFormat="1" applyFont="1" applyAlignment="1" applyProtection="1">
      <alignment horizontal="center" vertical="center"/>
      <protection hidden="1"/>
    </xf>
    <xf numFmtId="10" fontId="49" fillId="0" borderId="0" xfId="2" applyNumberFormat="1" applyFont="1" applyAlignment="1" applyProtection="1">
      <alignment horizontal="center" vertical="center"/>
      <protection hidden="1"/>
    </xf>
    <xf numFmtId="9" fontId="52" fillId="0" borderId="0" xfId="2" applyFont="1" applyAlignment="1" applyProtection="1">
      <alignment vertical="center"/>
      <protection hidden="1"/>
    </xf>
    <xf numFmtId="9" fontId="52" fillId="0" borderId="0" xfId="2" applyFont="1" applyFill="1" applyAlignment="1" applyProtection="1">
      <alignment horizontal="center" vertical="center"/>
      <protection hidden="1"/>
    </xf>
    <xf numFmtId="9" fontId="59" fillId="0" borderId="0" xfId="2" applyFont="1" applyAlignment="1" applyProtection="1">
      <alignment vertical="center"/>
      <protection hidden="1"/>
    </xf>
    <xf numFmtId="0" fontId="45" fillId="0" borderId="1" xfId="0" applyFont="1" applyBorder="1" applyAlignment="1" applyProtection="1">
      <alignment horizontal="center" vertical="center"/>
      <protection hidden="1"/>
    </xf>
    <xf numFmtId="9" fontId="45" fillId="0" borderId="0" xfId="2" applyFont="1" applyBorder="1" applyAlignment="1" applyProtection="1">
      <alignment vertical="center"/>
      <protection hidden="1"/>
    </xf>
    <xf numFmtId="9" fontId="45" fillId="0" borderId="0" xfId="2" applyFont="1" applyAlignment="1" applyProtection="1">
      <alignment vertical="center"/>
      <protection hidden="1"/>
    </xf>
    <xf numFmtId="10" fontId="45" fillId="0" borderId="0" xfId="2" applyNumberFormat="1" applyFont="1" applyFill="1" applyAlignment="1" applyProtection="1">
      <alignment horizontal="center" vertical="center"/>
      <protection hidden="1"/>
    </xf>
    <xf numFmtId="9" fontId="52" fillId="0" borderId="0" xfId="2" applyFont="1" applyBorder="1" applyAlignment="1" applyProtection="1">
      <alignment horizontal="left" vertical="center"/>
      <protection hidden="1"/>
    </xf>
    <xf numFmtId="164" fontId="59" fillId="0" borderId="0" xfId="2" applyNumberFormat="1" applyFont="1" applyAlignment="1" applyProtection="1">
      <alignment vertical="center"/>
      <protection hidden="1"/>
    </xf>
    <xf numFmtId="167" fontId="43" fillId="0" borderId="2" xfId="0" applyNumberFormat="1" applyFont="1" applyBorder="1" applyAlignment="1" applyProtection="1">
      <alignment horizontal="center" vertical="center"/>
      <protection hidden="1"/>
    </xf>
    <xf numFmtId="0" fontId="62" fillId="0" borderId="0" xfId="0" applyFont="1" applyAlignment="1" applyProtection="1">
      <alignment horizontal="left" vertical="center"/>
      <protection hidden="1"/>
    </xf>
    <xf numFmtId="0" fontId="62" fillId="0" borderId="0" xfId="0" applyFont="1" applyAlignment="1" applyProtection="1">
      <alignment vertical="center"/>
      <protection hidden="1"/>
    </xf>
    <xf numFmtId="167" fontId="62" fillId="0" borderId="0" xfId="0" applyNumberFormat="1" applyFont="1" applyAlignment="1" applyProtection="1">
      <alignment vertical="center"/>
      <protection hidden="1"/>
    </xf>
    <xf numFmtId="0" fontId="62" fillId="0" borderId="0" xfId="0" applyFont="1" applyAlignment="1" applyProtection="1">
      <alignment horizontal="center" vertical="center"/>
      <protection hidden="1"/>
    </xf>
    <xf numFmtId="167" fontId="62" fillId="0" borderId="0" xfId="0" applyNumberFormat="1" applyFont="1" applyAlignment="1" applyProtection="1">
      <alignment horizontal="center" vertical="center"/>
      <protection hidden="1"/>
    </xf>
    <xf numFmtId="0" fontId="9" fillId="4" borderId="0" xfId="0" applyFont="1" applyFill="1" applyAlignment="1" applyProtection="1">
      <alignment vertical="center"/>
      <protection hidden="1"/>
    </xf>
    <xf numFmtId="17" fontId="9" fillId="4" borderId="0" xfId="0" applyNumberFormat="1" applyFont="1" applyFill="1" applyAlignment="1" applyProtection="1">
      <alignment horizontal="center" vertical="center"/>
      <protection hidden="1"/>
    </xf>
    <xf numFmtId="0" fontId="9" fillId="6" borderId="0" xfId="0" applyFont="1" applyFill="1" applyAlignment="1" applyProtection="1">
      <alignment vertical="center"/>
      <protection hidden="1"/>
    </xf>
    <xf numFmtId="164" fontId="9" fillId="6" borderId="0" xfId="2" applyNumberFormat="1" applyFont="1" applyFill="1" applyAlignment="1" applyProtection="1">
      <alignment horizontal="center" vertical="center"/>
      <protection hidden="1"/>
    </xf>
  </cellXfs>
  <cellStyles count="7">
    <cellStyle name="Обычный" xfId="0" builtinId="0"/>
    <cellStyle name="Примечание" xfId="6" builtinId="10"/>
    <cellStyle name="Процентный" xfId="2" builtinId="5"/>
    <cellStyle name="Финансовый" xfId="1" builtinId="3"/>
    <cellStyle name="Comma 2" xfId="5" xr:uid="{00000000-0005-0000-0000-000000000000}"/>
    <cellStyle name="Normal 2" xfId="3" xr:uid="{00000000-0005-0000-0000-000001000000}"/>
    <cellStyle name="Percent 2" xfId="4" xr:uid="{00000000-0005-0000-0000-000002000000}"/>
  </cellStyles>
  <dxfs count="0"/>
  <tableStyles count="0" defaultTableStyle="TableStyleMedium2" defaultPivotStyle="PivotStyleLight16"/>
  <colors>
    <mruColors>
      <color rgb="FF0000FF"/>
      <color rgb="FFE5B1ED"/>
      <color rgb="FFA470D4"/>
      <color rgb="FF942092"/>
      <color rgb="FF9999FF"/>
      <color rgb="FFAD9BD2"/>
      <color rgb="FFFF0000"/>
      <color rgb="FFFF00FF"/>
      <color rgb="FF00CC00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60704518082501E-3"/>
          <c:y val="0.12010465965535241"/>
          <c:w val="0.97264876808837597"/>
          <c:h val="0.766350900687276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инвестора'!$A$39</c:f>
              <c:strCache>
                <c:ptCount val="1"/>
                <c:pt idx="0">
                  <c:v>Стоимость доли </c:v>
                </c:pt>
              </c:strCache>
            </c:strRef>
          </c:tx>
          <c:spPr>
            <a:solidFill>
              <a:srgbClr val="7030A0"/>
            </a:solidFill>
            <a:ln w="3175"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7030A0"/>
              </a:solidFill>
              <a:ln w="3175">
                <a:solidFill>
                  <a:srgbClr val="C00000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6ECD-2A48-8505-F18EBAE4C6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инвестора'!$B$39:$L$39</c:f>
              <c:numCache>
                <c:formatCode>#,##0</c:formatCode>
                <c:ptCount val="11"/>
                <c:pt idx="0">
                  <c:v>1000</c:v>
                </c:pt>
                <c:pt idx="1">
                  <c:v>1105.3760392074023</c:v>
                </c:pt>
                <c:pt idx="2">
                  <c:v>1205.7298220682933</c:v>
                </c:pt>
                <c:pt idx="3">
                  <c:v>1321.1765228850165</c:v>
                </c:pt>
                <c:pt idx="4">
                  <c:v>1455.3787793599504</c:v>
                </c:pt>
                <c:pt idx="5">
                  <c:v>1610.4104922313984</c:v>
                </c:pt>
                <c:pt idx="6">
                  <c:v>1780.2209960841301</c:v>
                </c:pt>
                <c:pt idx="7">
                  <c:v>1966.7208274567961</c:v>
                </c:pt>
                <c:pt idx="8">
                  <c:v>2172.8894648459777</c:v>
                </c:pt>
                <c:pt idx="9">
                  <c:v>2398.0476420973973</c:v>
                </c:pt>
                <c:pt idx="10">
                  <c:v>2649.4097773143371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ECD-2A48-8505-F18EBAE4C6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1.1060481564268353E-2"/>
          <c:y val="0.2224631042238176"/>
          <c:w val="0.97570790467192636"/>
          <c:h val="0.61676914542148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'Калькулятор инвестора'!$A$40</c:f>
              <c:strCache>
                <c:ptCount val="1"/>
                <c:pt idx="0">
                  <c:v>Дивиденды </c:v>
                </c:pt>
              </c:strCache>
            </c:strRef>
          </c:tx>
          <c:spPr>
            <a:solidFill>
              <a:srgbClr val="7030A0"/>
            </a:solidFill>
            <a:ln>
              <a:solidFill>
                <a:srgbClr val="7030A0"/>
              </a:solidFill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9895-9045-9789-066408DA0D2D}"/>
              </c:ext>
            </c:extLst>
          </c:dPt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895-9045-9789-066408DA0D2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chemeClr val="bg1"/>
                    </a:solidFill>
                    <a:latin typeface="Century Gothic" panose="020B0502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'Калькулятор инвестора'!$B$38:$L$38</c:f>
              <c:strCache>
                <c:ptCount val="11"/>
                <c:pt idx="0">
                  <c:v>Покупка</c:v>
                </c:pt>
                <c:pt idx="1">
                  <c:v>1й год</c:v>
                </c:pt>
                <c:pt idx="2">
                  <c:v>2й год</c:v>
                </c:pt>
                <c:pt idx="3">
                  <c:v>3й год</c:v>
                </c:pt>
                <c:pt idx="4">
                  <c:v>4й год</c:v>
                </c:pt>
                <c:pt idx="5">
                  <c:v>5й год</c:v>
                </c:pt>
                <c:pt idx="6">
                  <c:v>6й год</c:v>
                </c:pt>
                <c:pt idx="7">
                  <c:v>7й год</c:v>
                </c:pt>
                <c:pt idx="8">
                  <c:v>8й год</c:v>
                </c:pt>
                <c:pt idx="9">
                  <c:v>9й год</c:v>
                </c:pt>
                <c:pt idx="10">
                  <c:v>10й год</c:v>
                </c:pt>
              </c:strCache>
            </c:strRef>
          </c:cat>
          <c:val>
            <c:numRef>
              <c:f>'Калькулятор инвестора'!$B$40:$L$40</c:f>
              <c:numCache>
                <c:formatCode>#,##0</c:formatCode>
                <c:ptCount val="11"/>
                <c:pt idx="0">
                  <c:v>0</c:v>
                </c:pt>
                <c:pt idx="1">
                  <c:v>74.666666666666657</c:v>
                </c:pt>
                <c:pt idx="2">
                  <c:v>81.777777777777786</c:v>
                </c:pt>
                <c:pt idx="3">
                  <c:v>85.333333333333329</c:v>
                </c:pt>
                <c:pt idx="4">
                  <c:v>87.111111111111114</c:v>
                </c:pt>
                <c:pt idx="5">
                  <c:v>88.888888888888886</c:v>
                </c:pt>
                <c:pt idx="6">
                  <c:v>90.666666666666657</c:v>
                </c:pt>
                <c:pt idx="7">
                  <c:v>97.777777777777786</c:v>
                </c:pt>
                <c:pt idx="8">
                  <c:v>106.66666666666666</c:v>
                </c:pt>
                <c:pt idx="9">
                  <c:v>119.11111111111111</c:v>
                </c:pt>
                <c:pt idx="10">
                  <c:v>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895-9045-9789-066408DA0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687091056"/>
        <c:axId val="687096880"/>
      </c:barChart>
      <c:catAx>
        <c:axId val="687091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bg1">
                    <a:lumMod val="50000"/>
                  </a:schemeClr>
                </a:solidFill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endParaRPr lang="ru-RU"/>
          </a:p>
        </c:txPr>
        <c:crossAx val="687096880"/>
        <c:crosses val="autoZero"/>
        <c:auto val="1"/>
        <c:lblAlgn val="ctr"/>
        <c:lblOffset val="100"/>
        <c:noMultiLvlLbl val="0"/>
      </c:catAx>
      <c:valAx>
        <c:axId val="687096880"/>
        <c:scaling>
          <c:orientation val="minMax"/>
        </c:scaling>
        <c:delete val="1"/>
        <c:axPos val="l"/>
        <c:numFmt formatCode="#,##0" sourceLinked="1"/>
        <c:majorTickMark val="none"/>
        <c:minorTickMark val="none"/>
        <c:tickLblPos val="nextTo"/>
        <c:crossAx val="687091056"/>
        <c:crosses val="autoZero"/>
        <c:crossBetween val="between"/>
      </c:valAx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Century Gothic" panose="020B0502020202020204" pitchFamily="34" charset="0"/>
          <a:cs typeface="Arial" panose="020B0604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'I City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City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091B-8F41-925B-5681A4AF0F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9075808"/>
        <c:axId val="439077520"/>
      </c:barChart>
      <c:catAx>
        <c:axId val="4390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439077520"/>
        <c:crosses val="autoZero"/>
        <c:auto val="1"/>
        <c:lblAlgn val="ctr"/>
        <c:lblOffset val="100"/>
        <c:noMultiLvlLbl val="0"/>
      </c:catAx>
      <c:valAx>
        <c:axId val="439077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9075808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val>
            <c:numRef>
              <c:f>'I City 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'I City '!#REF!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2-E96B-D940-A8BE-C9383106C3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axId val="439075808"/>
        <c:axId val="439077520"/>
      </c:barChart>
      <c:catAx>
        <c:axId val="439075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600" b="1" i="0" u="none" strike="noStrike" kern="1200" baseline="0">
                <a:solidFill>
                  <a:schemeClr val="tx1"/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ru-RU"/>
          </a:p>
        </c:txPr>
        <c:crossAx val="439077520"/>
        <c:crosses val="autoZero"/>
        <c:auto val="1"/>
        <c:lblAlgn val="ctr"/>
        <c:lblOffset val="100"/>
        <c:noMultiLvlLbl val="0"/>
      </c:catAx>
      <c:valAx>
        <c:axId val="4390775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439075808"/>
        <c:crosses val="autoZero"/>
        <c:crossBetween val="between"/>
      </c:valAx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>
          <a:latin typeface="Century Gothic" panose="020B0502020202020204" pitchFamily="34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90918</xdr:rowOff>
    </xdr:from>
    <xdr:to>
      <xdr:col>4</xdr:col>
      <xdr:colOff>120952</xdr:colOff>
      <xdr:row>45</xdr:row>
      <xdr:rowOff>75642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A8A13564-8FE3-B04C-B798-468DD31CBF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246429</xdr:colOff>
      <xdr:row>24</xdr:row>
      <xdr:rowOff>12021</xdr:rowOff>
    </xdr:from>
    <xdr:to>
      <xdr:col>12</xdr:col>
      <xdr:colOff>220133</xdr:colOff>
      <xdr:row>46</xdr:row>
      <xdr:rowOff>29799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CA4266E4-17AE-C241-A258-BB6964459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107587</xdr:colOff>
      <xdr:row>25</xdr:row>
      <xdr:rowOff>80080</xdr:rowOff>
    </xdr:from>
    <xdr:to>
      <xdr:col>9</xdr:col>
      <xdr:colOff>433407</xdr:colOff>
      <xdr:row>27</xdr:row>
      <xdr:rowOff>167266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C11050A1-40FA-5491-48DD-A6CD679B2D44}"/>
            </a:ext>
          </a:extLst>
        </xdr:cNvPr>
        <xdr:cNvSpPr txBox="1"/>
      </xdr:nvSpPr>
      <xdr:spPr>
        <a:xfrm>
          <a:off x="14754920" y="3551413"/>
          <a:ext cx="4694620" cy="5613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800" i="1">
              <a:solidFill>
                <a:srgbClr val="7030A0"/>
              </a:solidFill>
              <a:latin typeface="Century Gothic" panose="020B0502020202020204" pitchFamily="34" charset="0"/>
            </a:rPr>
            <a:t>Дивиденды</a:t>
          </a:r>
          <a:r>
            <a:rPr lang="ru-RU" sz="1800" i="1" baseline="0">
              <a:solidFill>
                <a:srgbClr val="7030A0"/>
              </a:solidFill>
              <a:latin typeface="Century Gothic" panose="020B0502020202020204" pitchFamily="34" charset="0"/>
            </a:rPr>
            <a:t>, тыс. руб.</a:t>
          </a:r>
          <a:endParaRPr lang="ru-RU" sz="1800" i="1">
            <a:solidFill>
              <a:srgbClr val="7030A0"/>
            </a:solidFill>
            <a:latin typeface="Century Gothic" panose="020B0502020202020204" pitchFamily="34" charset="0"/>
          </a:endParaRPr>
        </a:p>
      </xdr:txBody>
    </xdr:sp>
    <xdr:clientData/>
  </xdr:twoCellAnchor>
  <xdr:twoCellAnchor>
    <xdr:from>
      <xdr:col>0</xdr:col>
      <xdr:colOff>3379952</xdr:colOff>
      <xdr:row>25</xdr:row>
      <xdr:rowOff>82197</xdr:rowOff>
    </xdr:from>
    <xdr:to>
      <xdr:col>2</xdr:col>
      <xdr:colOff>535151</xdr:colOff>
      <xdr:row>27</xdr:row>
      <xdr:rowOff>165149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1DD39ABA-472D-F849-A8EC-AA21893A371B}"/>
            </a:ext>
          </a:extLst>
        </xdr:cNvPr>
        <xdr:cNvSpPr txBox="1"/>
      </xdr:nvSpPr>
      <xdr:spPr>
        <a:xfrm>
          <a:off x="3379952" y="3479447"/>
          <a:ext cx="3759199" cy="52745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1800" i="1" baseline="0">
              <a:solidFill>
                <a:srgbClr val="7030A0"/>
              </a:solidFill>
              <a:latin typeface="Century Gothic" panose="020B0502020202020204" pitchFamily="34" charset="0"/>
            </a:rPr>
            <a:t>Стоимость доли, тыс. руб.</a:t>
          </a:r>
          <a:endParaRPr lang="ru-RU" sz="1800" i="1">
            <a:solidFill>
              <a:srgbClr val="7030A0"/>
            </a:solidFill>
            <a:latin typeface="Century Gothic" panose="020B0502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83</xdr:col>
      <xdr:colOff>0</xdr:colOff>
      <xdr:row>220</xdr:row>
      <xdr:rowOff>73479</xdr:rowOff>
    </xdr:from>
    <xdr:to>
      <xdr:col>87</xdr:col>
      <xdr:colOff>10583</xdr:colOff>
      <xdr:row>236</xdr:row>
      <xdr:rowOff>11309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F4ABD5AB-77BC-7840-9A5A-2AD5BE7A05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83</xdr:col>
      <xdr:colOff>0</xdr:colOff>
      <xdr:row>235</xdr:row>
      <xdr:rowOff>113392</xdr:rowOff>
    </xdr:from>
    <xdr:to>
      <xdr:col>88</xdr:col>
      <xdr:colOff>428775</xdr:colOff>
      <xdr:row>243</xdr:row>
      <xdr:rowOff>188685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169507A6-3494-714C-A3CF-B370E82FD2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 2013–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01104-D30A-2347-B855-69F2E488596E}">
  <sheetPr>
    <tabColor rgb="FF7030A0"/>
  </sheetPr>
  <dimension ref="A1:DR90"/>
  <sheetViews>
    <sheetView showGridLines="0" tabSelected="1" topLeftCell="A12" zoomScale="75" zoomScaleNormal="80" workbookViewId="0">
      <selection activeCell="D17" sqref="D17"/>
    </sheetView>
  </sheetViews>
  <sheetFormatPr baseColWidth="10" defaultColWidth="8.83203125" defaultRowHeight="15" customHeight="1" x14ac:dyDescent="0.2"/>
  <cols>
    <col min="1" max="1" width="71.1640625" style="25" customWidth="1"/>
    <col min="2" max="2" width="15.5" style="26" bestFit="1" customWidth="1"/>
    <col min="3" max="3" width="19.5" style="25" customWidth="1"/>
    <col min="4" max="4" width="26.1640625" style="25" customWidth="1"/>
    <col min="5" max="5" width="18.1640625" style="25" customWidth="1"/>
    <col min="6" max="6" width="25.6640625" style="25" customWidth="1"/>
    <col min="7" max="8" width="15.83203125" style="25" customWidth="1"/>
    <col min="9" max="9" width="41.5" style="25" customWidth="1"/>
    <col min="10" max="10" width="14.83203125" style="25" bestFit="1" customWidth="1"/>
    <col min="11" max="12" width="15.83203125" style="25" customWidth="1"/>
    <col min="13" max="13" width="14.6640625" style="25" bestFit="1" customWidth="1"/>
    <col min="14" max="14" width="14.5" style="25" bestFit="1" customWidth="1"/>
    <col min="15" max="15" width="14.5" style="25" customWidth="1"/>
    <col min="16" max="85" width="18.83203125" style="25" customWidth="1"/>
    <col min="86" max="122" width="14.1640625" style="25" customWidth="1"/>
    <col min="123" max="16384" width="8.83203125" style="25"/>
  </cols>
  <sheetData>
    <row r="1" spans="1:15" ht="16" hidden="1" x14ac:dyDescent="0.2">
      <c r="C1" s="25">
        <v>1</v>
      </c>
    </row>
    <row r="2" spans="1:15" ht="16" hidden="1" x14ac:dyDescent="0.2">
      <c r="C2" s="25">
        <v>2</v>
      </c>
    </row>
    <row r="3" spans="1:15" ht="16" hidden="1" x14ac:dyDescent="0.2">
      <c r="C3" s="25">
        <v>3</v>
      </c>
    </row>
    <row r="4" spans="1:15" ht="16" hidden="1" x14ac:dyDescent="0.2">
      <c r="C4" s="25">
        <v>4</v>
      </c>
    </row>
    <row r="5" spans="1:15" ht="16" hidden="1" x14ac:dyDescent="0.2">
      <c r="C5" s="25">
        <v>5</v>
      </c>
    </row>
    <row r="6" spans="1:15" ht="16" hidden="1" x14ac:dyDescent="0.2">
      <c r="C6" s="25">
        <v>6</v>
      </c>
    </row>
    <row r="7" spans="1:15" ht="16" hidden="1" x14ac:dyDescent="0.2">
      <c r="C7" s="25">
        <v>7</v>
      </c>
    </row>
    <row r="8" spans="1:15" ht="16" hidden="1" x14ac:dyDescent="0.2">
      <c r="C8" s="25">
        <v>8</v>
      </c>
    </row>
    <row r="9" spans="1:15" ht="16" hidden="1" x14ac:dyDescent="0.2">
      <c r="C9" s="25">
        <v>9</v>
      </c>
    </row>
    <row r="10" spans="1:15" ht="16" hidden="1" x14ac:dyDescent="0.2">
      <c r="C10" s="25">
        <v>10</v>
      </c>
    </row>
    <row r="11" spans="1:15" ht="15" hidden="1" customHeight="1" x14ac:dyDescent="0.2"/>
    <row r="12" spans="1:15" ht="31" thickBot="1" x14ac:dyDescent="0.35">
      <c r="A12" s="27" t="s">
        <v>204</v>
      </c>
      <c r="B12" s="28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30"/>
    </row>
    <row r="13" spans="1:15" ht="18" x14ac:dyDescent="0.2">
      <c r="M13" s="34"/>
    </row>
    <row r="14" spans="1:15" s="34" customFormat="1" ht="18" x14ac:dyDescent="0.2">
      <c r="A14" s="31" t="s">
        <v>164</v>
      </c>
      <c r="B14" s="31"/>
      <c r="C14" s="32" t="s">
        <v>165</v>
      </c>
      <c r="D14" s="32"/>
      <c r="E14" s="33"/>
      <c r="F14" s="33"/>
      <c r="G14" s="31" t="s">
        <v>166</v>
      </c>
      <c r="H14" s="32"/>
      <c r="I14" s="32"/>
      <c r="J14" s="32" t="s">
        <v>165</v>
      </c>
      <c r="K14" s="32"/>
      <c r="M14" s="25"/>
    </row>
    <row r="15" spans="1:15" s="34" customFormat="1" ht="19" thickBot="1" x14ac:dyDescent="0.25">
      <c r="A15" s="35" t="s">
        <v>167</v>
      </c>
      <c r="C15" s="36" t="s">
        <v>168</v>
      </c>
      <c r="D15" s="69">
        <f>VLOOKUP($D$16,$L$16:$M$19,2)</f>
        <v>46203</v>
      </c>
      <c r="E15" s="37"/>
      <c r="F15" s="36"/>
      <c r="G15" s="35" t="s">
        <v>169</v>
      </c>
      <c r="J15" s="36" t="s">
        <v>139</v>
      </c>
      <c r="K15" s="38">
        <f>MAX($B$31:$DR$31)</f>
        <v>2649409.777314337</v>
      </c>
    </row>
    <row r="16" spans="1:15" s="34" customFormat="1" ht="19" thickBot="1" x14ac:dyDescent="0.25">
      <c r="A16" s="35" t="s">
        <v>170</v>
      </c>
      <c r="C16" s="36"/>
      <c r="D16" s="47">
        <v>3</v>
      </c>
      <c r="E16" s="39" t="s">
        <v>171</v>
      </c>
      <c r="F16" s="36"/>
      <c r="G16" s="40" t="s">
        <v>172</v>
      </c>
      <c r="J16" s="41" t="s">
        <v>168</v>
      </c>
      <c r="K16" s="42">
        <f>K15/D19</f>
        <v>2.6494097773143368</v>
      </c>
      <c r="L16" s="43">
        <v>1</v>
      </c>
      <c r="M16" s="44">
        <f>Модель!F189</f>
        <v>46022</v>
      </c>
      <c r="N16" s="45">
        <f>Модель!C70</f>
        <v>10000</v>
      </c>
      <c r="O16" s="46"/>
    </row>
    <row r="17" spans="1:122" s="34" customFormat="1" ht="19" thickBot="1" x14ac:dyDescent="0.25">
      <c r="A17" s="35" t="s">
        <v>173</v>
      </c>
      <c r="C17" s="37" t="s">
        <v>140</v>
      </c>
      <c r="D17" s="47">
        <v>10</v>
      </c>
      <c r="E17" s="39" t="s">
        <v>174</v>
      </c>
      <c r="G17" s="35" t="s">
        <v>175</v>
      </c>
      <c r="J17" s="36" t="s">
        <v>139</v>
      </c>
      <c r="K17" s="38">
        <f>SUM(B32:DR32)</f>
        <v>960000</v>
      </c>
      <c r="L17" s="43">
        <v>2</v>
      </c>
      <c r="M17" s="44">
        <f>Модель!G85</f>
        <v>46112</v>
      </c>
      <c r="N17" s="45">
        <f>Модель!C71</f>
        <v>10500</v>
      </c>
      <c r="O17" s="46"/>
    </row>
    <row r="18" spans="1:122" s="34" customFormat="1" ht="19" thickBot="1" x14ac:dyDescent="0.25">
      <c r="A18" s="35" t="s">
        <v>205</v>
      </c>
      <c r="D18" s="48">
        <v>1</v>
      </c>
      <c r="E18" s="39" t="s">
        <v>176</v>
      </c>
      <c r="F18" s="36"/>
      <c r="G18" s="35" t="s">
        <v>177</v>
      </c>
      <c r="J18" s="49" t="s">
        <v>168</v>
      </c>
      <c r="K18" s="50">
        <f>XIRR($B$33:$DR$33,$B$30:$DR$30)</f>
        <v>0.1690050423145294</v>
      </c>
      <c r="L18" s="43">
        <v>3</v>
      </c>
      <c r="M18" s="44">
        <f>Модель!H213</f>
        <v>46203</v>
      </c>
      <c r="N18" s="45">
        <f>Модель!C72</f>
        <v>11250</v>
      </c>
      <c r="O18" s="46"/>
    </row>
    <row r="19" spans="1:122" s="34" customFormat="1" ht="19" thickBot="1" x14ac:dyDescent="0.25">
      <c r="A19" s="51" t="s">
        <v>178</v>
      </c>
      <c r="C19" s="36" t="s">
        <v>139</v>
      </c>
      <c r="D19" s="47">
        <v>1000000</v>
      </c>
      <c r="E19" s="39" t="s">
        <v>179</v>
      </c>
      <c r="F19" s="36"/>
      <c r="G19" s="35" t="s">
        <v>180</v>
      </c>
      <c r="J19" s="49" t="s">
        <v>168</v>
      </c>
      <c r="K19" s="50">
        <f>AVERAGEIF($C$34:$DR$34,"&lt;&gt;0",$C$34:$DR$34)</f>
        <v>9.6000000000000002E-2</v>
      </c>
      <c r="L19" s="43">
        <v>4</v>
      </c>
      <c r="M19" s="44">
        <f>Модель!I225</f>
        <v>46295</v>
      </c>
      <c r="N19" s="45">
        <f>Модель!C73</f>
        <v>11750</v>
      </c>
    </row>
    <row r="20" spans="1:122" s="34" customFormat="1" ht="18" x14ac:dyDescent="0.2">
      <c r="E20" s="36"/>
      <c r="F20" s="36"/>
      <c r="G20" s="40" t="s">
        <v>181</v>
      </c>
      <c r="J20" s="41" t="s">
        <v>168</v>
      </c>
      <c r="K20" s="42">
        <f>(K15+K17)/D19</f>
        <v>3.6094097773143368</v>
      </c>
      <c r="L20" s="70"/>
      <c r="P20" s="46"/>
      <c r="Q20" s="46"/>
      <c r="R20" s="46"/>
      <c r="S20" s="52"/>
    </row>
    <row r="21" spans="1:122" s="34" customFormat="1" ht="18" x14ac:dyDescent="0.2">
      <c r="A21" s="51" t="s">
        <v>182</v>
      </c>
      <c r="C21" s="36" t="s">
        <v>139</v>
      </c>
      <c r="D21" s="38">
        <f>VLOOKUP($D$16,$L$16:$N$19,3)</f>
        <v>11250</v>
      </c>
      <c r="E21" s="66">
        <v>1</v>
      </c>
      <c r="F21" s="36"/>
      <c r="P21" s="67"/>
      <c r="Q21" s="53"/>
      <c r="R21" s="54"/>
    </row>
    <row r="22" spans="1:122" s="34" customFormat="1" ht="18" x14ac:dyDescent="0.2">
      <c r="A22" s="51" t="s">
        <v>183</v>
      </c>
      <c r="B22" s="51"/>
      <c r="C22" s="36" t="s">
        <v>184</v>
      </c>
      <c r="D22" s="38">
        <f>$D$19/$D$21</f>
        <v>88.888888888888886</v>
      </c>
      <c r="E22" s="66">
        <v>2</v>
      </c>
      <c r="F22" s="36"/>
      <c r="G22" s="55" t="s">
        <v>185</v>
      </c>
      <c r="J22" s="56" t="s">
        <v>139</v>
      </c>
      <c r="K22" s="57">
        <f>K15+K17</f>
        <v>3609409.777314337</v>
      </c>
      <c r="P22" s="67"/>
    </row>
    <row r="23" spans="1:122" s="34" customFormat="1" ht="19" thickBot="1" x14ac:dyDescent="0.25">
      <c r="A23" s="58" t="s">
        <v>186</v>
      </c>
      <c r="B23" s="58"/>
      <c r="C23" s="59" t="s">
        <v>168</v>
      </c>
      <c r="D23" s="60">
        <f>D22/Модель!$C$74</f>
        <v>3.7043354799338175E-3</v>
      </c>
      <c r="E23" s="66">
        <v>3</v>
      </c>
      <c r="F23" s="36"/>
      <c r="G23" s="61" t="s">
        <v>187</v>
      </c>
      <c r="H23" s="61"/>
      <c r="I23" s="61"/>
      <c r="J23" s="62" t="s">
        <v>139</v>
      </c>
      <c r="K23" s="62">
        <f>K22-D19</f>
        <v>2609409.777314337</v>
      </c>
      <c r="R23" s="63"/>
    </row>
    <row r="24" spans="1:122" s="34" customFormat="1" ht="18.5" customHeight="1" x14ac:dyDescent="0.2">
      <c r="B24" s="37"/>
      <c r="C24" s="36"/>
      <c r="D24" s="36"/>
      <c r="E24" s="36"/>
      <c r="F24" s="36"/>
      <c r="G24" s="64"/>
      <c r="H24" s="64"/>
      <c r="I24" s="64"/>
      <c r="J24" s="65"/>
      <c r="K24" s="65"/>
    </row>
    <row r="25" spans="1:122" s="34" customFormat="1" ht="19.75" customHeight="1" x14ac:dyDescent="0.2">
      <c r="B25" s="37"/>
      <c r="C25" s="36"/>
      <c r="D25" s="36"/>
      <c r="E25" s="36"/>
      <c r="F25" s="36"/>
      <c r="G25" s="51"/>
      <c r="H25" s="51"/>
      <c r="I25" s="51"/>
      <c r="J25" s="38"/>
      <c r="K25" s="38"/>
    </row>
    <row r="26" spans="1:122" s="72" customFormat="1" ht="18" x14ac:dyDescent="0.2">
      <c r="B26" s="73"/>
      <c r="C26" s="74"/>
      <c r="D26" s="66"/>
      <c r="E26" s="66"/>
      <c r="F26" s="66"/>
      <c r="G26" s="75"/>
      <c r="H26" s="75"/>
      <c r="I26" s="75"/>
      <c r="J26" s="76"/>
      <c r="K26" s="76"/>
    </row>
    <row r="27" spans="1:122" s="72" customFormat="1" ht="18" x14ac:dyDescent="0.2">
      <c r="B27" s="73"/>
      <c r="C27" s="66"/>
      <c r="D27" s="66">
        <v>3</v>
      </c>
      <c r="E27" s="66"/>
      <c r="F27" s="66"/>
      <c r="G27" s="75"/>
      <c r="H27" s="76"/>
      <c r="I27" s="76"/>
      <c r="J27" s="76"/>
      <c r="K27" s="76"/>
    </row>
    <row r="28" spans="1:122" s="72" customFormat="1" ht="18" x14ac:dyDescent="0.2">
      <c r="A28" s="77" t="s">
        <v>15</v>
      </c>
      <c r="B28" s="33">
        <v>0</v>
      </c>
      <c r="C28" s="33">
        <v>1</v>
      </c>
      <c r="D28" s="33">
        <v>1</v>
      </c>
      <c r="E28" s="33">
        <v>1</v>
      </c>
      <c r="F28" s="33">
        <v>1</v>
      </c>
      <c r="G28" s="33">
        <v>1</v>
      </c>
      <c r="H28" s="33">
        <v>1</v>
      </c>
      <c r="I28" s="33">
        <v>1</v>
      </c>
      <c r="J28" s="33">
        <v>1</v>
      </c>
      <c r="K28" s="33">
        <v>1</v>
      </c>
      <c r="L28" s="33">
        <v>1</v>
      </c>
      <c r="M28" s="33">
        <v>1</v>
      </c>
      <c r="N28" s="33">
        <f>B28+1</f>
        <v>1</v>
      </c>
      <c r="O28" s="33">
        <f>C28+1</f>
        <v>2</v>
      </c>
      <c r="P28" s="33">
        <f t="shared" ref="P28:BZ28" si="0">D28+1</f>
        <v>2</v>
      </c>
      <c r="Q28" s="33">
        <f t="shared" si="0"/>
        <v>2</v>
      </c>
      <c r="R28" s="33">
        <f t="shared" si="0"/>
        <v>2</v>
      </c>
      <c r="S28" s="33">
        <f t="shared" si="0"/>
        <v>2</v>
      </c>
      <c r="T28" s="33">
        <f t="shared" si="0"/>
        <v>2</v>
      </c>
      <c r="U28" s="33">
        <f t="shared" si="0"/>
        <v>2</v>
      </c>
      <c r="V28" s="33">
        <f t="shared" si="0"/>
        <v>2</v>
      </c>
      <c r="W28" s="33">
        <f t="shared" si="0"/>
        <v>2</v>
      </c>
      <c r="X28" s="33">
        <f t="shared" si="0"/>
        <v>2</v>
      </c>
      <c r="Y28" s="33">
        <f t="shared" si="0"/>
        <v>2</v>
      </c>
      <c r="Z28" s="33">
        <f t="shared" si="0"/>
        <v>2</v>
      </c>
      <c r="AA28" s="33">
        <f t="shared" si="0"/>
        <v>3</v>
      </c>
      <c r="AB28" s="33">
        <f t="shared" si="0"/>
        <v>3</v>
      </c>
      <c r="AC28" s="33">
        <f t="shared" si="0"/>
        <v>3</v>
      </c>
      <c r="AD28" s="33">
        <f t="shared" si="0"/>
        <v>3</v>
      </c>
      <c r="AE28" s="33">
        <f t="shared" si="0"/>
        <v>3</v>
      </c>
      <c r="AF28" s="33">
        <f t="shared" si="0"/>
        <v>3</v>
      </c>
      <c r="AG28" s="33">
        <f t="shared" si="0"/>
        <v>3</v>
      </c>
      <c r="AH28" s="33">
        <f t="shared" si="0"/>
        <v>3</v>
      </c>
      <c r="AI28" s="33">
        <f t="shared" si="0"/>
        <v>3</v>
      </c>
      <c r="AJ28" s="33">
        <f t="shared" si="0"/>
        <v>3</v>
      </c>
      <c r="AK28" s="33">
        <f t="shared" si="0"/>
        <v>3</v>
      </c>
      <c r="AL28" s="33">
        <f t="shared" si="0"/>
        <v>3</v>
      </c>
      <c r="AM28" s="33">
        <f t="shared" si="0"/>
        <v>4</v>
      </c>
      <c r="AN28" s="33">
        <f t="shared" si="0"/>
        <v>4</v>
      </c>
      <c r="AO28" s="33">
        <f t="shared" si="0"/>
        <v>4</v>
      </c>
      <c r="AP28" s="33">
        <f t="shared" si="0"/>
        <v>4</v>
      </c>
      <c r="AQ28" s="33">
        <f t="shared" si="0"/>
        <v>4</v>
      </c>
      <c r="AR28" s="33">
        <f t="shared" si="0"/>
        <v>4</v>
      </c>
      <c r="AS28" s="33">
        <f t="shared" si="0"/>
        <v>4</v>
      </c>
      <c r="AT28" s="33">
        <f t="shared" si="0"/>
        <v>4</v>
      </c>
      <c r="AU28" s="33">
        <f t="shared" si="0"/>
        <v>4</v>
      </c>
      <c r="AV28" s="33">
        <f t="shared" si="0"/>
        <v>4</v>
      </c>
      <c r="AW28" s="33">
        <f t="shared" si="0"/>
        <v>4</v>
      </c>
      <c r="AX28" s="33">
        <f t="shared" si="0"/>
        <v>4</v>
      </c>
      <c r="AY28" s="33">
        <f t="shared" si="0"/>
        <v>5</v>
      </c>
      <c r="AZ28" s="33">
        <f t="shared" si="0"/>
        <v>5</v>
      </c>
      <c r="BA28" s="33">
        <f t="shared" si="0"/>
        <v>5</v>
      </c>
      <c r="BB28" s="33">
        <f t="shared" si="0"/>
        <v>5</v>
      </c>
      <c r="BC28" s="33">
        <f t="shared" si="0"/>
        <v>5</v>
      </c>
      <c r="BD28" s="33">
        <f t="shared" si="0"/>
        <v>5</v>
      </c>
      <c r="BE28" s="33">
        <f t="shared" si="0"/>
        <v>5</v>
      </c>
      <c r="BF28" s="33">
        <f t="shared" si="0"/>
        <v>5</v>
      </c>
      <c r="BG28" s="33">
        <f t="shared" si="0"/>
        <v>5</v>
      </c>
      <c r="BH28" s="33">
        <f t="shared" si="0"/>
        <v>5</v>
      </c>
      <c r="BI28" s="33">
        <f t="shared" si="0"/>
        <v>5</v>
      </c>
      <c r="BJ28" s="33">
        <f t="shared" si="0"/>
        <v>5</v>
      </c>
      <c r="BK28" s="33">
        <f t="shared" si="0"/>
        <v>6</v>
      </c>
      <c r="BL28" s="33">
        <f t="shared" si="0"/>
        <v>6</v>
      </c>
      <c r="BM28" s="33">
        <f t="shared" si="0"/>
        <v>6</v>
      </c>
      <c r="BN28" s="33">
        <f t="shared" si="0"/>
        <v>6</v>
      </c>
      <c r="BO28" s="33">
        <f t="shared" si="0"/>
        <v>6</v>
      </c>
      <c r="BP28" s="33">
        <f t="shared" si="0"/>
        <v>6</v>
      </c>
      <c r="BQ28" s="33">
        <f t="shared" si="0"/>
        <v>6</v>
      </c>
      <c r="BR28" s="33">
        <f t="shared" si="0"/>
        <v>6</v>
      </c>
      <c r="BS28" s="33">
        <f t="shared" si="0"/>
        <v>6</v>
      </c>
      <c r="BT28" s="33">
        <f t="shared" si="0"/>
        <v>6</v>
      </c>
      <c r="BU28" s="33">
        <f t="shared" si="0"/>
        <v>6</v>
      </c>
      <c r="BV28" s="33">
        <f t="shared" si="0"/>
        <v>6</v>
      </c>
      <c r="BW28" s="33">
        <f t="shared" si="0"/>
        <v>7</v>
      </c>
      <c r="BX28" s="33">
        <f t="shared" si="0"/>
        <v>7</v>
      </c>
      <c r="BY28" s="33">
        <f t="shared" si="0"/>
        <v>7</v>
      </c>
      <c r="BZ28" s="33">
        <f t="shared" si="0"/>
        <v>7</v>
      </c>
      <c r="CA28" s="33">
        <f t="shared" ref="CA28:DR28" si="1">BO28+1</f>
        <v>7</v>
      </c>
      <c r="CB28" s="33">
        <f t="shared" si="1"/>
        <v>7</v>
      </c>
      <c r="CC28" s="33">
        <f t="shared" si="1"/>
        <v>7</v>
      </c>
      <c r="CD28" s="33">
        <f t="shared" si="1"/>
        <v>7</v>
      </c>
      <c r="CE28" s="33">
        <f t="shared" si="1"/>
        <v>7</v>
      </c>
      <c r="CF28" s="33">
        <f t="shared" si="1"/>
        <v>7</v>
      </c>
      <c r="CG28" s="33">
        <f t="shared" si="1"/>
        <v>7</v>
      </c>
      <c r="CH28" s="33">
        <f t="shared" si="1"/>
        <v>7</v>
      </c>
      <c r="CI28" s="33">
        <f t="shared" si="1"/>
        <v>8</v>
      </c>
      <c r="CJ28" s="33">
        <f t="shared" si="1"/>
        <v>8</v>
      </c>
      <c r="CK28" s="33">
        <f t="shared" si="1"/>
        <v>8</v>
      </c>
      <c r="CL28" s="33">
        <f t="shared" si="1"/>
        <v>8</v>
      </c>
      <c r="CM28" s="33">
        <f t="shared" si="1"/>
        <v>8</v>
      </c>
      <c r="CN28" s="33">
        <f t="shared" si="1"/>
        <v>8</v>
      </c>
      <c r="CO28" s="33">
        <f t="shared" si="1"/>
        <v>8</v>
      </c>
      <c r="CP28" s="33">
        <f t="shared" si="1"/>
        <v>8</v>
      </c>
      <c r="CQ28" s="33">
        <f t="shared" si="1"/>
        <v>8</v>
      </c>
      <c r="CR28" s="33">
        <f t="shared" si="1"/>
        <v>8</v>
      </c>
      <c r="CS28" s="33">
        <f t="shared" si="1"/>
        <v>8</v>
      </c>
      <c r="CT28" s="33">
        <f t="shared" si="1"/>
        <v>8</v>
      </c>
      <c r="CU28" s="33">
        <f t="shared" si="1"/>
        <v>9</v>
      </c>
      <c r="CV28" s="33">
        <f t="shared" si="1"/>
        <v>9</v>
      </c>
      <c r="CW28" s="33">
        <f t="shared" si="1"/>
        <v>9</v>
      </c>
      <c r="CX28" s="33">
        <f t="shared" si="1"/>
        <v>9</v>
      </c>
      <c r="CY28" s="33">
        <f t="shared" si="1"/>
        <v>9</v>
      </c>
      <c r="CZ28" s="33">
        <f t="shared" si="1"/>
        <v>9</v>
      </c>
      <c r="DA28" s="33">
        <f t="shared" si="1"/>
        <v>9</v>
      </c>
      <c r="DB28" s="33">
        <f t="shared" si="1"/>
        <v>9</v>
      </c>
      <c r="DC28" s="33">
        <f t="shared" si="1"/>
        <v>9</v>
      </c>
      <c r="DD28" s="33">
        <f t="shared" si="1"/>
        <v>9</v>
      </c>
      <c r="DE28" s="33">
        <f t="shared" si="1"/>
        <v>9</v>
      </c>
      <c r="DF28" s="33">
        <f t="shared" si="1"/>
        <v>9</v>
      </c>
      <c r="DG28" s="33">
        <f t="shared" si="1"/>
        <v>10</v>
      </c>
      <c r="DH28" s="33">
        <f t="shared" si="1"/>
        <v>10</v>
      </c>
      <c r="DI28" s="33">
        <f t="shared" si="1"/>
        <v>10</v>
      </c>
      <c r="DJ28" s="33">
        <f t="shared" si="1"/>
        <v>10</v>
      </c>
      <c r="DK28" s="33">
        <f t="shared" si="1"/>
        <v>10</v>
      </c>
      <c r="DL28" s="33">
        <f t="shared" si="1"/>
        <v>10</v>
      </c>
      <c r="DM28" s="33">
        <f t="shared" si="1"/>
        <v>10</v>
      </c>
      <c r="DN28" s="33">
        <f t="shared" si="1"/>
        <v>10</v>
      </c>
      <c r="DO28" s="33">
        <f t="shared" si="1"/>
        <v>10</v>
      </c>
      <c r="DP28" s="33">
        <f t="shared" si="1"/>
        <v>10</v>
      </c>
      <c r="DQ28" s="33">
        <f t="shared" si="1"/>
        <v>10</v>
      </c>
      <c r="DR28" s="33">
        <f t="shared" si="1"/>
        <v>10</v>
      </c>
    </row>
    <row r="29" spans="1:122" s="72" customFormat="1" ht="18" x14ac:dyDescent="0.2">
      <c r="A29" s="77" t="s">
        <v>188</v>
      </c>
      <c r="B29" s="33">
        <v>0</v>
      </c>
      <c r="C29" s="76">
        <f>B29+1</f>
        <v>1</v>
      </c>
      <c r="D29" s="76">
        <f t="shared" ref="D29:BO29" si="2">C29+1</f>
        <v>2</v>
      </c>
      <c r="E29" s="76">
        <f t="shared" si="2"/>
        <v>3</v>
      </c>
      <c r="F29" s="76">
        <f t="shared" si="2"/>
        <v>4</v>
      </c>
      <c r="G29" s="76">
        <f t="shared" si="2"/>
        <v>5</v>
      </c>
      <c r="H29" s="76">
        <f t="shared" si="2"/>
        <v>6</v>
      </c>
      <c r="I29" s="76">
        <f t="shared" si="2"/>
        <v>7</v>
      </c>
      <c r="J29" s="76">
        <f t="shared" si="2"/>
        <v>8</v>
      </c>
      <c r="K29" s="76">
        <f t="shared" si="2"/>
        <v>9</v>
      </c>
      <c r="L29" s="76">
        <f t="shared" si="2"/>
        <v>10</v>
      </c>
      <c r="M29" s="76">
        <f t="shared" si="2"/>
        <v>11</v>
      </c>
      <c r="N29" s="76">
        <f t="shared" si="2"/>
        <v>12</v>
      </c>
      <c r="O29" s="76">
        <f t="shared" si="2"/>
        <v>13</v>
      </c>
      <c r="P29" s="76">
        <f t="shared" si="2"/>
        <v>14</v>
      </c>
      <c r="Q29" s="76">
        <f t="shared" si="2"/>
        <v>15</v>
      </c>
      <c r="R29" s="76">
        <f t="shared" si="2"/>
        <v>16</v>
      </c>
      <c r="S29" s="76">
        <f t="shared" si="2"/>
        <v>17</v>
      </c>
      <c r="T29" s="76">
        <f t="shared" si="2"/>
        <v>18</v>
      </c>
      <c r="U29" s="76">
        <f t="shared" si="2"/>
        <v>19</v>
      </c>
      <c r="V29" s="76">
        <f t="shared" si="2"/>
        <v>20</v>
      </c>
      <c r="W29" s="76">
        <f t="shared" si="2"/>
        <v>21</v>
      </c>
      <c r="X29" s="76">
        <f t="shared" si="2"/>
        <v>22</v>
      </c>
      <c r="Y29" s="76">
        <f t="shared" si="2"/>
        <v>23</v>
      </c>
      <c r="Z29" s="76">
        <f t="shared" si="2"/>
        <v>24</v>
      </c>
      <c r="AA29" s="76">
        <f t="shared" si="2"/>
        <v>25</v>
      </c>
      <c r="AB29" s="76">
        <f t="shared" si="2"/>
        <v>26</v>
      </c>
      <c r="AC29" s="76">
        <f t="shared" si="2"/>
        <v>27</v>
      </c>
      <c r="AD29" s="76">
        <f t="shared" si="2"/>
        <v>28</v>
      </c>
      <c r="AE29" s="76">
        <f t="shared" si="2"/>
        <v>29</v>
      </c>
      <c r="AF29" s="76">
        <f t="shared" si="2"/>
        <v>30</v>
      </c>
      <c r="AG29" s="76">
        <f t="shared" si="2"/>
        <v>31</v>
      </c>
      <c r="AH29" s="76">
        <f t="shared" si="2"/>
        <v>32</v>
      </c>
      <c r="AI29" s="76">
        <f t="shared" si="2"/>
        <v>33</v>
      </c>
      <c r="AJ29" s="76">
        <f t="shared" si="2"/>
        <v>34</v>
      </c>
      <c r="AK29" s="76">
        <f t="shared" si="2"/>
        <v>35</v>
      </c>
      <c r="AL29" s="76">
        <f t="shared" si="2"/>
        <v>36</v>
      </c>
      <c r="AM29" s="76">
        <f t="shared" si="2"/>
        <v>37</v>
      </c>
      <c r="AN29" s="76">
        <f t="shared" si="2"/>
        <v>38</v>
      </c>
      <c r="AO29" s="76">
        <f t="shared" si="2"/>
        <v>39</v>
      </c>
      <c r="AP29" s="76">
        <f t="shared" si="2"/>
        <v>40</v>
      </c>
      <c r="AQ29" s="76">
        <f t="shared" si="2"/>
        <v>41</v>
      </c>
      <c r="AR29" s="76">
        <f t="shared" si="2"/>
        <v>42</v>
      </c>
      <c r="AS29" s="76">
        <f t="shared" si="2"/>
        <v>43</v>
      </c>
      <c r="AT29" s="76">
        <f t="shared" si="2"/>
        <v>44</v>
      </c>
      <c r="AU29" s="76">
        <f t="shared" si="2"/>
        <v>45</v>
      </c>
      <c r="AV29" s="76">
        <f t="shared" si="2"/>
        <v>46</v>
      </c>
      <c r="AW29" s="76">
        <f t="shared" si="2"/>
        <v>47</v>
      </c>
      <c r="AX29" s="76">
        <f t="shared" si="2"/>
        <v>48</v>
      </c>
      <c r="AY29" s="76">
        <f t="shared" si="2"/>
        <v>49</v>
      </c>
      <c r="AZ29" s="76">
        <f t="shared" si="2"/>
        <v>50</v>
      </c>
      <c r="BA29" s="76">
        <f t="shared" si="2"/>
        <v>51</v>
      </c>
      <c r="BB29" s="76">
        <f t="shared" si="2"/>
        <v>52</v>
      </c>
      <c r="BC29" s="76">
        <f t="shared" si="2"/>
        <v>53</v>
      </c>
      <c r="BD29" s="76">
        <f t="shared" si="2"/>
        <v>54</v>
      </c>
      <c r="BE29" s="76">
        <f t="shared" si="2"/>
        <v>55</v>
      </c>
      <c r="BF29" s="76">
        <f t="shared" si="2"/>
        <v>56</v>
      </c>
      <c r="BG29" s="76">
        <f t="shared" si="2"/>
        <v>57</v>
      </c>
      <c r="BH29" s="76">
        <f t="shared" si="2"/>
        <v>58</v>
      </c>
      <c r="BI29" s="76">
        <f t="shared" si="2"/>
        <v>59</v>
      </c>
      <c r="BJ29" s="76">
        <f t="shared" si="2"/>
        <v>60</v>
      </c>
      <c r="BK29" s="76">
        <f t="shared" si="2"/>
        <v>61</v>
      </c>
      <c r="BL29" s="76">
        <f t="shared" si="2"/>
        <v>62</v>
      </c>
      <c r="BM29" s="76">
        <f t="shared" si="2"/>
        <v>63</v>
      </c>
      <c r="BN29" s="76">
        <f t="shared" si="2"/>
        <v>64</v>
      </c>
      <c r="BO29" s="76">
        <f t="shared" si="2"/>
        <v>65</v>
      </c>
      <c r="BP29" s="76">
        <f t="shared" ref="BP29:DR29" si="3">BO29+1</f>
        <v>66</v>
      </c>
      <c r="BQ29" s="76">
        <f t="shared" si="3"/>
        <v>67</v>
      </c>
      <c r="BR29" s="76">
        <f t="shared" si="3"/>
        <v>68</v>
      </c>
      <c r="BS29" s="76">
        <f t="shared" si="3"/>
        <v>69</v>
      </c>
      <c r="BT29" s="76">
        <f t="shared" si="3"/>
        <v>70</v>
      </c>
      <c r="BU29" s="76">
        <f t="shared" si="3"/>
        <v>71</v>
      </c>
      <c r="BV29" s="76">
        <f t="shared" si="3"/>
        <v>72</v>
      </c>
      <c r="BW29" s="76">
        <f t="shared" si="3"/>
        <v>73</v>
      </c>
      <c r="BX29" s="76">
        <f t="shared" si="3"/>
        <v>74</v>
      </c>
      <c r="BY29" s="76">
        <f t="shared" si="3"/>
        <v>75</v>
      </c>
      <c r="BZ29" s="76">
        <f t="shared" si="3"/>
        <v>76</v>
      </c>
      <c r="CA29" s="76">
        <f t="shared" si="3"/>
        <v>77</v>
      </c>
      <c r="CB29" s="76">
        <f t="shared" si="3"/>
        <v>78</v>
      </c>
      <c r="CC29" s="76">
        <f t="shared" si="3"/>
        <v>79</v>
      </c>
      <c r="CD29" s="76">
        <f t="shared" si="3"/>
        <v>80</v>
      </c>
      <c r="CE29" s="76">
        <f t="shared" si="3"/>
        <v>81</v>
      </c>
      <c r="CF29" s="76">
        <f t="shared" si="3"/>
        <v>82</v>
      </c>
      <c r="CG29" s="76">
        <f t="shared" si="3"/>
        <v>83</v>
      </c>
      <c r="CH29" s="76">
        <f t="shared" si="3"/>
        <v>84</v>
      </c>
      <c r="CI29" s="76">
        <f t="shared" si="3"/>
        <v>85</v>
      </c>
      <c r="CJ29" s="76">
        <f t="shared" si="3"/>
        <v>86</v>
      </c>
      <c r="CK29" s="76">
        <f t="shared" si="3"/>
        <v>87</v>
      </c>
      <c r="CL29" s="76">
        <f t="shared" si="3"/>
        <v>88</v>
      </c>
      <c r="CM29" s="76">
        <f t="shared" si="3"/>
        <v>89</v>
      </c>
      <c r="CN29" s="76">
        <f t="shared" si="3"/>
        <v>90</v>
      </c>
      <c r="CO29" s="76">
        <f t="shared" si="3"/>
        <v>91</v>
      </c>
      <c r="CP29" s="76">
        <f t="shared" si="3"/>
        <v>92</v>
      </c>
      <c r="CQ29" s="76">
        <f t="shared" si="3"/>
        <v>93</v>
      </c>
      <c r="CR29" s="76">
        <f t="shared" si="3"/>
        <v>94</v>
      </c>
      <c r="CS29" s="76">
        <f t="shared" si="3"/>
        <v>95</v>
      </c>
      <c r="CT29" s="76">
        <f t="shared" si="3"/>
        <v>96</v>
      </c>
      <c r="CU29" s="76">
        <f t="shared" si="3"/>
        <v>97</v>
      </c>
      <c r="CV29" s="76">
        <f t="shared" si="3"/>
        <v>98</v>
      </c>
      <c r="CW29" s="76">
        <f t="shared" si="3"/>
        <v>99</v>
      </c>
      <c r="CX29" s="76">
        <f t="shared" si="3"/>
        <v>100</v>
      </c>
      <c r="CY29" s="76">
        <f t="shared" si="3"/>
        <v>101</v>
      </c>
      <c r="CZ29" s="76">
        <f t="shared" si="3"/>
        <v>102</v>
      </c>
      <c r="DA29" s="76">
        <f t="shared" si="3"/>
        <v>103</v>
      </c>
      <c r="DB29" s="76">
        <f t="shared" si="3"/>
        <v>104</v>
      </c>
      <c r="DC29" s="76">
        <f t="shared" si="3"/>
        <v>105</v>
      </c>
      <c r="DD29" s="76">
        <f t="shared" si="3"/>
        <v>106</v>
      </c>
      <c r="DE29" s="76">
        <f t="shared" si="3"/>
        <v>107</v>
      </c>
      <c r="DF29" s="76">
        <f t="shared" si="3"/>
        <v>108</v>
      </c>
      <c r="DG29" s="76">
        <f t="shared" si="3"/>
        <v>109</v>
      </c>
      <c r="DH29" s="76">
        <f t="shared" si="3"/>
        <v>110</v>
      </c>
      <c r="DI29" s="76">
        <f t="shared" si="3"/>
        <v>111</v>
      </c>
      <c r="DJ29" s="76">
        <f t="shared" si="3"/>
        <v>112</v>
      </c>
      <c r="DK29" s="76">
        <f t="shared" si="3"/>
        <v>113</v>
      </c>
      <c r="DL29" s="76">
        <f t="shared" si="3"/>
        <v>114</v>
      </c>
      <c r="DM29" s="76">
        <f t="shared" si="3"/>
        <v>115</v>
      </c>
      <c r="DN29" s="76">
        <f t="shared" si="3"/>
        <v>116</v>
      </c>
      <c r="DO29" s="76">
        <f t="shared" si="3"/>
        <v>117</v>
      </c>
      <c r="DP29" s="76">
        <f t="shared" si="3"/>
        <v>118</v>
      </c>
      <c r="DQ29" s="76">
        <f t="shared" si="3"/>
        <v>119</v>
      </c>
      <c r="DR29" s="76">
        <f t="shared" si="3"/>
        <v>120</v>
      </c>
    </row>
    <row r="30" spans="1:122" s="72" customFormat="1" ht="18" x14ac:dyDescent="0.2">
      <c r="A30" s="77" t="s">
        <v>189</v>
      </c>
      <c r="B30" s="78">
        <f>EOMONTH(D15,0)</f>
        <v>46203</v>
      </c>
      <c r="C30" s="78">
        <f>EOMONTH(B30,1)</f>
        <v>46234</v>
      </c>
      <c r="D30" s="78">
        <f>EOMONTH(C30,1)</f>
        <v>46265</v>
      </c>
      <c r="E30" s="78">
        <f t="shared" ref="E30:BP30" si="4">EOMONTH(D30,1)</f>
        <v>46295</v>
      </c>
      <c r="F30" s="78">
        <f t="shared" si="4"/>
        <v>46326</v>
      </c>
      <c r="G30" s="78">
        <f t="shared" si="4"/>
        <v>46356</v>
      </c>
      <c r="H30" s="78">
        <f t="shared" si="4"/>
        <v>46387</v>
      </c>
      <c r="I30" s="78">
        <f t="shared" si="4"/>
        <v>46418</v>
      </c>
      <c r="J30" s="78">
        <f t="shared" si="4"/>
        <v>46446</v>
      </c>
      <c r="K30" s="78">
        <f>EOMONTH(J30,1)</f>
        <v>46477</v>
      </c>
      <c r="L30" s="78">
        <f t="shared" si="4"/>
        <v>46507</v>
      </c>
      <c r="M30" s="78">
        <f t="shared" si="4"/>
        <v>46538</v>
      </c>
      <c r="N30" s="78">
        <f t="shared" si="4"/>
        <v>46568</v>
      </c>
      <c r="O30" s="78">
        <f t="shared" si="4"/>
        <v>46599</v>
      </c>
      <c r="P30" s="78">
        <f t="shared" si="4"/>
        <v>46630</v>
      </c>
      <c r="Q30" s="78">
        <f t="shared" si="4"/>
        <v>46660</v>
      </c>
      <c r="R30" s="78">
        <f t="shared" si="4"/>
        <v>46691</v>
      </c>
      <c r="S30" s="78">
        <f t="shared" si="4"/>
        <v>46721</v>
      </c>
      <c r="T30" s="78">
        <f t="shared" si="4"/>
        <v>46752</v>
      </c>
      <c r="U30" s="78">
        <f t="shared" si="4"/>
        <v>46783</v>
      </c>
      <c r="V30" s="78">
        <f t="shared" si="4"/>
        <v>46812</v>
      </c>
      <c r="W30" s="78">
        <f t="shared" si="4"/>
        <v>46843</v>
      </c>
      <c r="X30" s="78">
        <f t="shared" si="4"/>
        <v>46873</v>
      </c>
      <c r="Y30" s="78">
        <f t="shared" si="4"/>
        <v>46904</v>
      </c>
      <c r="Z30" s="78">
        <f t="shared" si="4"/>
        <v>46934</v>
      </c>
      <c r="AA30" s="78">
        <f t="shared" si="4"/>
        <v>46965</v>
      </c>
      <c r="AB30" s="78">
        <f t="shared" si="4"/>
        <v>46996</v>
      </c>
      <c r="AC30" s="78">
        <f t="shared" si="4"/>
        <v>47026</v>
      </c>
      <c r="AD30" s="78">
        <f t="shared" si="4"/>
        <v>47057</v>
      </c>
      <c r="AE30" s="78">
        <f t="shared" si="4"/>
        <v>47087</v>
      </c>
      <c r="AF30" s="78">
        <f t="shared" si="4"/>
        <v>47118</v>
      </c>
      <c r="AG30" s="78">
        <f t="shared" si="4"/>
        <v>47149</v>
      </c>
      <c r="AH30" s="78">
        <f t="shared" si="4"/>
        <v>47177</v>
      </c>
      <c r="AI30" s="78">
        <f t="shared" si="4"/>
        <v>47208</v>
      </c>
      <c r="AJ30" s="78">
        <f t="shared" si="4"/>
        <v>47238</v>
      </c>
      <c r="AK30" s="78">
        <f t="shared" si="4"/>
        <v>47269</v>
      </c>
      <c r="AL30" s="78">
        <f t="shared" si="4"/>
        <v>47299</v>
      </c>
      <c r="AM30" s="78">
        <f t="shared" si="4"/>
        <v>47330</v>
      </c>
      <c r="AN30" s="78">
        <f t="shared" si="4"/>
        <v>47361</v>
      </c>
      <c r="AO30" s="78">
        <f t="shared" si="4"/>
        <v>47391</v>
      </c>
      <c r="AP30" s="78">
        <f t="shared" si="4"/>
        <v>47422</v>
      </c>
      <c r="AQ30" s="78">
        <f t="shared" si="4"/>
        <v>47452</v>
      </c>
      <c r="AR30" s="78">
        <f t="shared" si="4"/>
        <v>47483</v>
      </c>
      <c r="AS30" s="78">
        <f t="shared" si="4"/>
        <v>47514</v>
      </c>
      <c r="AT30" s="78">
        <f t="shared" si="4"/>
        <v>47542</v>
      </c>
      <c r="AU30" s="78">
        <f t="shared" si="4"/>
        <v>47573</v>
      </c>
      <c r="AV30" s="78">
        <f t="shared" si="4"/>
        <v>47603</v>
      </c>
      <c r="AW30" s="78">
        <f t="shared" si="4"/>
        <v>47634</v>
      </c>
      <c r="AX30" s="78">
        <f t="shared" si="4"/>
        <v>47664</v>
      </c>
      <c r="AY30" s="78">
        <f t="shared" si="4"/>
        <v>47695</v>
      </c>
      <c r="AZ30" s="78">
        <f t="shared" si="4"/>
        <v>47726</v>
      </c>
      <c r="BA30" s="78">
        <f t="shared" si="4"/>
        <v>47756</v>
      </c>
      <c r="BB30" s="78">
        <f t="shared" si="4"/>
        <v>47787</v>
      </c>
      <c r="BC30" s="78">
        <f t="shared" si="4"/>
        <v>47817</v>
      </c>
      <c r="BD30" s="78">
        <f t="shared" si="4"/>
        <v>47848</v>
      </c>
      <c r="BE30" s="78">
        <f t="shared" si="4"/>
        <v>47879</v>
      </c>
      <c r="BF30" s="78">
        <f t="shared" si="4"/>
        <v>47907</v>
      </c>
      <c r="BG30" s="78">
        <f t="shared" si="4"/>
        <v>47938</v>
      </c>
      <c r="BH30" s="78">
        <f t="shared" si="4"/>
        <v>47968</v>
      </c>
      <c r="BI30" s="78">
        <f t="shared" si="4"/>
        <v>47999</v>
      </c>
      <c r="BJ30" s="78">
        <f t="shared" si="4"/>
        <v>48029</v>
      </c>
      <c r="BK30" s="78">
        <f t="shared" si="4"/>
        <v>48060</v>
      </c>
      <c r="BL30" s="78">
        <f t="shared" si="4"/>
        <v>48091</v>
      </c>
      <c r="BM30" s="78">
        <f t="shared" si="4"/>
        <v>48121</v>
      </c>
      <c r="BN30" s="78">
        <f t="shared" si="4"/>
        <v>48152</v>
      </c>
      <c r="BO30" s="78">
        <f t="shared" si="4"/>
        <v>48182</v>
      </c>
      <c r="BP30" s="78">
        <f t="shared" si="4"/>
        <v>48213</v>
      </c>
      <c r="BQ30" s="78">
        <f t="shared" ref="BQ30:DP30" si="5">EOMONTH(BP30,1)</f>
        <v>48244</v>
      </c>
      <c r="BR30" s="78">
        <f t="shared" si="5"/>
        <v>48273</v>
      </c>
      <c r="BS30" s="78">
        <f t="shared" si="5"/>
        <v>48304</v>
      </c>
      <c r="BT30" s="78">
        <f t="shared" si="5"/>
        <v>48334</v>
      </c>
      <c r="BU30" s="78">
        <f t="shared" si="5"/>
        <v>48365</v>
      </c>
      <c r="BV30" s="78">
        <f t="shared" si="5"/>
        <v>48395</v>
      </c>
      <c r="BW30" s="78">
        <f t="shared" si="5"/>
        <v>48426</v>
      </c>
      <c r="BX30" s="78">
        <f t="shared" si="5"/>
        <v>48457</v>
      </c>
      <c r="BY30" s="78">
        <f t="shared" si="5"/>
        <v>48487</v>
      </c>
      <c r="BZ30" s="78">
        <f t="shared" si="5"/>
        <v>48518</v>
      </c>
      <c r="CA30" s="78">
        <f t="shared" si="5"/>
        <v>48548</v>
      </c>
      <c r="CB30" s="78">
        <f t="shared" si="5"/>
        <v>48579</v>
      </c>
      <c r="CC30" s="78">
        <f t="shared" si="5"/>
        <v>48610</v>
      </c>
      <c r="CD30" s="78">
        <f t="shared" si="5"/>
        <v>48638</v>
      </c>
      <c r="CE30" s="78">
        <f t="shared" si="5"/>
        <v>48669</v>
      </c>
      <c r="CF30" s="78">
        <f t="shared" si="5"/>
        <v>48699</v>
      </c>
      <c r="CG30" s="78">
        <f t="shared" si="5"/>
        <v>48730</v>
      </c>
      <c r="CH30" s="78">
        <f t="shared" si="5"/>
        <v>48760</v>
      </c>
      <c r="CI30" s="78">
        <f t="shared" si="5"/>
        <v>48791</v>
      </c>
      <c r="CJ30" s="78">
        <f t="shared" si="5"/>
        <v>48822</v>
      </c>
      <c r="CK30" s="78">
        <f t="shared" si="5"/>
        <v>48852</v>
      </c>
      <c r="CL30" s="78">
        <f t="shared" si="5"/>
        <v>48883</v>
      </c>
      <c r="CM30" s="78">
        <f t="shared" si="5"/>
        <v>48913</v>
      </c>
      <c r="CN30" s="78">
        <f t="shared" si="5"/>
        <v>48944</v>
      </c>
      <c r="CO30" s="78">
        <f t="shared" si="5"/>
        <v>48975</v>
      </c>
      <c r="CP30" s="78">
        <f t="shared" si="5"/>
        <v>49003</v>
      </c>
      <c r="CQ30" s="78">
        <f t="shared" si="5"/>
        <v>49034</v>
      </c>
      <c r="CR30" s="78">
        <f t="shared" si="5"/>
        <v>49064</v>
      </c>
      <c r="CS30" s="78">
        <f t="shared" si="5"/>
        <v>49095</v>
      </c>
      <c r="CT30" s="78">
        <f t="shared" si="5"/>
        <v>49125</v>
      </c>
      <c r="CU30" s="78">
        <f t="shared" si="5"/>
        <v>49156</v>
      </c>
      <c r="CV30" s="78">
        <f t="shared" si="5"/>
        <v>49187</v>
      </c>
      <c r="CW30" s="78">
        <f t="shared" si="5"/>
        <v>49217</v>
      </c>
      <c r="CX30" s="78">
        <f t="shared" si="5"/>
        <v>49248</v>
      </c>
      <c r="CY30" s="78">
        <f t="shared" si="5"/>
        <v>49278</v>
      </c>
      <c r="CZ30" s="78">
        <f t="shared" si="5"/>
        <v>49309</v>
      </c>
      <c r="DA30" s="78">
        <f t="shared" si="5"/>
        <v>49340</v>
      </c>
      <c r="DB30" s="78">
        <f t="shared" si="5"/>
        <v>49368</v>
      </c>
      <c r="DC30" s="78">
        <f t="shared" si="5"/>
        <v>49399</v>
      </c>
      <c r="DD30" s="78">
        <f t="shared" si="5"/>
        <v>49429</v>
      </c>
      <c r="DE30" s="78">
        <f t="shared" si="5"/>
        <v>49460</v>
      </c>
      <c r="DF30" s="78">
        <f t="shared" si="5"/>
        <v>49490</v>
      </c>
      <c r="DG30" s="78">
        <f t="shared" si="5"/>
        <v>49521</v>
      </c>
      <c r="DH30" s="78">
        <f t="shared" si="5"/>
        <v>49552</v>
      </c>
      <c r="DI30" s="78">
        <f t="shared" si="5"/>
        <v>49582</v>
      </c>
      <c r="DJ30" s="78">
        <f t="shared" si="5"/>
        <v>49613</v>
      </c>
      <c r="DK30" s="78">
        <f t="shared" si="5"/>
        <v>49643</v>
      </c>
      <c r="DL30" s="78">
        <f t="shared" si="5"/>
        <v>49674</v>
      </c>
      <c r="DM30" s="78">
        <f t="shared" si="5"/>
        <v>49705</v>
      </c>
      <c r="DN30" s="78">
        <f t="shared" si="5"/>
        <v>49734</v>
      </c>
      <c r="DO30" s="78">
        <f t="shared" si="5"/>
        <v>49765</v>
      </c>
      <c r="DP30" s="78">
        <f t="shared" si="5"/>
        <v>49795</v>
      </c>
      <c r="DQ30" s="78">
        <f>EOMONTH(DP30,1)</f>
        <v>49826</v>
      </c>
      <c r="DR30" s="78">
        <f>EOMONTH(DQ30,1)</f>
        <v>49856</v>
      </c>
    </row>
    <row r="31" spans="1:122" s="72" customFormat="1" ht="18" x14ac:dyDescent="0.2">
      <c r="A31" s="72" t="s">
        <v>190</v>
      </c>
      <c r="B31" s="76">
        <f>$D$19</f>
        <v>1000000</v>
      </c>
      <c r="C31" s="66">
        <f>IFERROR(HLOOKUP('Калькулятор инвестора'!C$30,Модель!$F$189:$AZ$191,3,0)*'Калькулятор инвестора'!$D$22,'Калькулятор инвестора'!B31)*(C29&lt;=($D$17*12))</f>
        <v>1000000</v>
      </c>
      <c r="D31" s="66">
        <f>IFERROR(HLOOKUP('Калькулятор инвестора'!D$30,Модель!$F$189:$AZ$191,3,0)*'Калькулятор инвестора'!$D$22,'Калькулятор инвестора'!C31)*(D29&lt;=($D$17*12))</f>
        <v>1000000</v>
      </c>
      <c r="E31" s="66">
        <f>IFERROR(HLOOKUP('Калькулятор инвестора'!E$30,Модель!$F$189:$AZ$191,3,0)*'Калькулятор инвестора'!$D$22,'Калькулятор инвестора'!D31)*(E29&lt;=($D$17*12))</f>
        <v>1044444.4444444444</v>
      </c>
      <c r="F31" s="66">
        <f>IFERROR(HLOOKUP('Калькулятор инвестора'!F$30,Модель!$F$189:$AZ$191,3,0)*'Калькулятор инвестора'!$D$22,'Калькулятор инвестора'!E31)*(F29&lt;=($D$17*12))</f>
        <v>1044444.4444444444</v>
      </c>
      <c r="G31" s="66">
        <f>IFERROR(HLOOKUP('Калькулятор инвестора'!G$30,Модель!$F$189:$AZ$191,3,0)*'Калькулятор инвестора'!$D$22,'Калькулятор инвестора'!F31)*(G29&lt;=($D$17*12))</f>
        <v>1044444.4444444444</v>
      </c>
      <c r="H31" s="66">
        <f>IFERROR(HLOOKUP('Калькулятор инвестора'!H$30,Модель!$F$189:$AZ$191,3,0)*'Калькулятор инвестора'!$D$22,'Калькулятор инвестора'!G31)*(H29&lt;=($D$17*12))</f>
        <v>1044444.4444444444</v>
      </c>
      <c r="I31" s="66">
        <f>IFERROR(HLOOKUP('Калькулятор инвестора'!I$30,Модель!$F$189:$AZ$191,3,0)*'Калькулятор инвестора'!$D$22,'Калькулятор инвестора'!H31)*(I29&lt;=($D$17*12))</f>
        <v>1044444.4444444444</v>
      </c>
      <c r="J31" s="66">
        <f>IFERROR(HLOOKUP('Калькулятор инвестора'!J$30,Модель!$F$189:$AZ$191,3,0)*'Калькулятор инвестора'!$D$22,'Калькулятор инвестора'!I31)*(J29&lt;=($D$17*12))</f>
        <v>1044444.4444444444</v>
      </c>
      <c r="K31" s="66">
        <f>IFERROR(HLOOKUP('Калькулятор инвестора'!K$30,Модель!$F$189:$AZ$191,3,0)*'Калькулятор инвестора'!$D$22,'Калькулятор инвестора'!J31)*(K29&lt;=($D$17*12))</f>
        <v>1082732.8292760523</v>
      </c>
      <c r="L31" s="66">
        <f>IFERROR(HLOOKUP('Калькулятор инвестора'!L$30,Модель!$F$189:$AZ$191,3,0)*'Калькулятор инвестора'!$D$22,'Калькулятор инвестора'!K31)*(L29&lt;=($D$17*12))</f>
        <v>1082732.8292760523</v>
      </c>
      <c r="M31" s="66">
        <f>IFERROR(HLOOKUP('Калькулятор инвестора'!M$30,Модель!$F$189:$AZ$191,3,0)*'Калькулятор инвестора'!$D$22,'Калькулятор инвестора'!L31)*(M29&lt;=($D$17*12))</f>
        <v>1082732.8292760523</v>
      </c>
      <c r="N31" s="66">
        <f>IFERROR(HLOOKUP('Калькулятор инвестора'!N$30,Модель!$F$189:$AZ$191,3,0)*'Калькулятор инвестора'!$D$22,'Калькулятор инвестора'!M31)*(N29&lt;=($D$17*12))</f>
        <v>1105376.0392074024</v>
      </c>
      <c r="O31" s="66">
        <f>IFERROR(HLOOKUP('Калькулятор инвестора'!O$30,Модель!$F$189:$AZ$191,3,0)*'Калькулятор инвестора'!$D$22,'Калькулятор инвестора'!N31)*(O29&lt;=($D$17*12))</f>
        <v>1105376.0392074024</v>
      </c>
      <c r="P31" s="66">
        <f>IFERROR(HLOOKUP('Калькулятор инвестора'!P$30,Модель!$F$189:$AZ$191,3,0)*'Калькулятор инвестора'!$D$22,'Калькулятор инвестора'!O31)*(P29&lt;=($D$17*12))</f>
        <v>1105376.0392074024</v>
      </c>
      <c r="Q31" s="66">
        <f>IFERROR(HLOOKUP('Калькулятор инвестора'!Q$30,Модель!$F$189:$AZ$191,3,0)*'Калькулятор инвестора'!$D$22,'Калькулятор инвестора'!P31)*(Q29&lt;=($D$17*12))</f>
        <v>1130744.8499986373</v>
      </c>
      <c r="R31" s="66">
        <f>IFERROR(HLOOKUP('Калькулятор инвестора'!R$30,Модель!$F$189:$AZ$191,3,0)*'Калькулятор инвестора'!$D$22,'Калькулятор инвестора'!Q31)*(R29&lt;=($D$17*12))</f>
        <v>1130744.8499986373</v>
      </c>
      <c r="S31" s="66">
        <f>IFERROR(HLOOKUP('Калькулятор инвестора'!S$30,Модель!$F$189:$AZ$191,3,0)*'Калькулятор инвестора'!$D$22,'Калькулятор инвестора'!R31)*(S29&lt;=($D$17*12))</f>
        <v>1130744.8499986373</v>
      </c>
      <c r="T31" s="66">
        <f>IFERROR(HLOOKUP('Калькулятор инвестора'!T$30,Модель!$F$189:$AZ$191,3,0)*'Калькулятор инвестора'!$D$22,'Калькулятор инвестора'!S31)*(T29&lt;=($D$17*12))</f>
        <v>1156050.608311621</v>
      </c>
      <c r="U31" s="66">
        <f>IFERROR(HLOOKUP('Калькулятор инвестора'!U$30,Модель!$F$189:$AZ$191,3,0)*'Калькулятор инвестора'!$D$22,'Калькулятор инвестора'!T31)*(U29&lt;=($D$17*12))</f>
        <v>1156050.608311621</v>
      </c>
      <c r="V31" s="66">
        <f>IFERROR(HLOOKUP('Калькулятор инвестора'!V$30,Модель!$F$189:$AZ$191,3,0)*'Калькулятор инвестора'!$D$22,'Калькулятор инвестора'!U31)*(V29&lt;=($D$17*12))</f>
        <v>1156050.608311621</v>
      </c>
      <c r="W31" s="66">
        <f>IFERROR(HLOOKUP('Калькулятор инвестора'!W$30,Модель!$F$189:$AZ$191,3,0)*'Калькулятор инвестора'!$D$22,'Калькулятор инвестора'!V31)*(W29&lt;=($D$17*12))</f>
        <v>1180625.8924066897</v>
      </c>
      <c r="X31" s="66">
        <f>IFERROR(HLOOKUP('Калькулятор инвестора'!X$30,Модель!$F$189:$AZ$191,3,0)*'Калькулятор инвестора'!$D$22,'Калькулятор инвестора'!W31)*(X29&lt;=($D$17*12))</f>
        <v>1180625.8924066897</v>
      </c>
      <c r="Y31" s="66">
        <f>IFERROR(HLOOKUP('Калькулятор инвестора'!Y$30,Модель!$F$189:$AZ$191,3,0)*'Калькулятор инвестора'!$D$22,'Калькулятор инвестора'!X31)*(Y29&lt;=($D$17*12))</f>
        <v>1180625.8924066897</v>
      </c>
      <c r="Z31" s="66">
        <f>IFERROR(HLOOKUP('Калькулятор инвестора'!Z$30,Модель!$F$189:$AZ$191,3,0)*'Калькулятор инвестора'!$D$22,'Калькулятор инвестора'!Y31)*(Z29&lt;=($D$17*12))</f>
        <v>1205729.8220682933</v>
      </c>
      <c r="AA31" s="66">
        <f>IFERROR(HLOOKUP('Калькулятор инвестора'!AA$30,Модель!$F$189:$AZ$191,3,0)*'Калькулятор инвестора'!$D$22,'Калькулятор инвестора'!Z31)*(AA29&lt;=($D$17*12))</f>
        <v>1205729.8220682933</v>
      </c>
      <c r="AB31" s="66">
        <f>IFERROR(HLOOKUP('Калькулятор инвестора'!AB$30,Модель!$F$189:$AZ$191,3,0)*'Калькулятор инвестора'!$D$22,'Калькулятор инвестора'!AA31)*(AB29&lt;=($D$17*12))</f>
        <v>1205729.8220682933</v>
      </c>
      <c r="AC31" s="66">
        <f>IFERROR(HLOOKUP('Калькулятор инвестора'!AC$30,Модель!$F$189:$AZ$191,3,0)*'Калькулятор инвестора'!$D$22,'Калькулятор инвестора'!AB31)*(AC29&lt;=($D$17*12))</f>
        <v>1234898.4668720819</v>
      </c>
      <c r="AD31" s="66">
        <f>IFERROR(HLOOKUP('Калькулятор инвестора'!AD$30,Модель!$F$189:$AZ$191,3,0)*'Калькулятор инвестора'!$D$22,'Калькулятор инвестора'!AC31)*(AD29&lt;=($D$17*12))</f>
        <v>1234898.4668720819</v>
      </c>
      <c r="AE31" s="66">
        <f>IFERROR(HLOOKUP('Калькулятор инвестора'!AE$30,Модель!$F$189:$AZ$191,3,0)*'Калькулятор инвестора'!$D$22,'Калькулятор инвестора'!AD31)*(AE29&lt;=($D$17*12))</f>
        <v>1234898.4668720819</v>
      </c>
      <c r="AF31" s="66">
        <f>IFERROR(HLOOKUP('Калькулятор инвестора'!AF$30,Модель!$F$189:$AZ$191,3,0)*'Калькулятор инвестора'!$D$22,'Калькулятор инвестора'!AE31)*(AF29&lt;=($D$17*12))</f>
        <v>1263997.6414794403</v>
      </c>
      <c r="AG31" s="66">
        <f>IFERROR(HLOOKUP('Калькулятор инвестора'!AG$30,Модель!$F$189:$AZ$191,3,0)*'Калькулятор инвестора'!$D$22,'Калькулятор инвестора'!AF31)*(AG29&lt;=($D$17*12))</f>
        <v>1263997.6414794403</v>
      </c>
      <c r="AH31" s="66">
        <f>IFERROR(HLOOKUP('Калькулятор инвестора'!AH$30,Модель!$F$189:$AZ$191,3,0)*'Калькулятор инвестора'!$D$22,'Калькулятор инвестора'!AG31)*(AH29&lt;=($D$17*12))</f>
        <v>1263997.6414794403</v>
      </c>
      <c r="AI31" s="66">
        <f>IFERROR(HLOOKUP('Калькулятор инвестора'!AI$30,Модель!$F$189:$AZ$191,3,0)*'Калькулятор инвестора'!$D$22,'Калькулятор инвестора'!AH31)*(AI29&lt;=($D$17*12))</f>
        <v>1292294.1713451291</v>
      </c>
      <c r="AJ31" s="66">
        <f>IFERROR(HLOOKUP('Калькулятор инвестора'!AJ$30,Модель!$F$189:$AZ$191,3,0)*'Калькулятор инвестора'!$D$22,'Калькулятор инвестора'!AI31)*(AJ29&lt;=($D$17*12))</f>
        <v>1292294.1713451291</v>
      </c>
      <c r="AK31" s="66">
        <f>IFERROR(HLOOKUP('Калькулятор инвестора'!AK$30,Модель!$F$189:$AZ$191,3,0)*'Калькулятор инвестора'!$D$22,'Калькулятор инвестора'!AJ31)*(AK29&lt;=($D$17*12))</f>
        <v>1292294.1713451291</v>
      </c>
      <c r="AL31" s="66">
        <f>IFERROR(HLOOKUP('Калькулятор инвестора'!AL$30,Модель!$F$189:$AZ$191,3,0)*'Калькулятор инвестора'!$D$22,'Калькулятор инвестора'!AK31)*(AL29&lt;=($D$17*12))</f>
        <v>1321176.5228850166</v>
      </c>
      <c r="AM31" s="66">
        <f>IFERROR(HLOOKUP('Калькулятор инвестора'!AM$30,Модель!$F$189:$AZ$191,3,0)*'Калькулятор инвестора'!$D$22,'Калькулятор инвестора'!AL31)*(AM29&lt;=($D$17*12))</f>
        <v>1321176.5228850166</v>
      </c>
      <c r="AN31" s="66">
        <f>IFERROR(HLOOKUP('Калькулятор инвестора'!AN$30,Модель!$F$189:$AZ$191,3,0)*'Калькулятор инвестора'!$D$22,'Калькулятор инвестора'!AM31)*(AN29&lt;=($D$17*12))</f>
        <v>1321176.5228850166</v>
      </c>
      <c r="AO31" s="66">
        <f>IFERROR(HLOOKUP('Калькулятор инвестора'!AO$30,Модель!$F$189:$AZ$191,3,0)*'Калькулятор инвестора'!$D$22,'Калькулятор инвестора'!AN31)*(AO29&lt;=($D$17*12))</f>
        <v>1355063.2791325292</v>
      </c>
      <c r="AP31" s="66">
        <f>IFERROR(HLOOKUP('Калькулятор инвестора'!AP$30,Модель!$F$189:$AZ$191,3,0)*'Калькулятор инвестора'!$D$22,'Калькулятор инвестора'!AO31)*(AP29&lt;=($D$17*12))</f>
        <v>1355063.2791325292</v>
      </c>
      <c r="AQ31" s="66">
        <f>IFERROR(HLOOKUP('Калькулятор инвестора'!AQ$30,Модель!$F$189:$AZ$191,3,0)*'Калькулятор инвестора'!$D$22,'Калькулятор инвестора'!AP31)*(AQ29&lt;=($D$17*12))</f>
        <v>1355063.2791325292</v>
      </c>
      <c r="AR31" s="66">
        <f>IFERROR(HLOOKUP('Калькулятор инвестора'!AR$30,Модель!$F$189:$AZ$191,3,0)*'Калькулятор инвестора'!$D$22,'Калькулятор инвестора'!AQ31)*(AR29&lt;=($D$17*12))</f>
        <v>1388873.5028818557</v>
      </c>
      <c r="AS31" s="66">
        <f>IFERROR(HLOOKUP('Калькулятор инвестора'!AS$30,Модель!$F$189:$AZ$191,3,0)*'Калькулятор инвестора'!$D$22,'Калькулятор инвестора'!AR31)*(AS29&lt;=($D$17*12))</f>
        <v>1388873.5028818557</v>
      </c>
      <c r="AT31" s="66">
        <f>IFERROR(HLOOKUP('Калькулятор инвестора'!AT$30,Модель!$F$189:$AZ$191,3,0)*'Калькулятор инвестора'!$D$22,'Калькулятор инвестора'!AS31)*(AT29&lt;=($D$17*12))</f>
        <v>1388873.5028818557</v>
      </c>
      <c r="AU31" s="66">
        <f>IFERROR(HLOOKUP('Калькулятор инвестора'!AU$30,Модель!$F$189:$AZ$191,3,0)*'Калькулятор инвестора'!$D$22,'Калькулятор инвестора'!AT31)*(AU29&lt;=($D$17*12))</f>
        <v>1421801.7295302008</v>
      </c>
      <c r="AV31" s="66">
        <f>IFERROR(HLOOKUP('Калькулятор инвестора'!AV$30,Модель!$F$189:$AZ$191,3,0)*'Калькулятор инвестора'!$D$22,'Калькулятор инвестора'!AU31)*(AV29&lt;=($D$17*12))</f>
        <v>1421801.7295302008</v>
      </c>
      <c r="AW31" s="66">
        <f>IFERROR(HLOOKUP('Калькулятор инвестора'!AW$30,Модель!$F$189:$AZ$191,3,0)*'Калькулятор инвестора'!$D$22,'Калькулятор инвестора'!AV31)*(AW29&lt;=($D$17*12))</f>
        <v>1421801.7295302008</v>
      </c>
      <c r="AX31" s="66">
        <f>IFERROR(HLOOKUP('Калькулятор инвестора'!AX$30,Модель!$F$189:$AZ$191,3,0)*'Калькулятор инвестора'!$D$22,'Калькулятор инвестора'!AW31)*(AX29&lt;=($D$17*12))</f>
        <v>1455378.7793599505</v>
      </c>
      <c r="AY31" s="66">
        <f>IFERROR(HLOOKUP('Калькулятор инвестора'!AY$30,Модель!$F$189:$AZ$191,3,0)*'Калькулятор инвестора'!$D$22,'Калькулятор инвестора'!AX31)*(AY29&lt;=($D$17*12))</f>
        <v>1455378.7793599505</v>
      </c>
      <c r="AZ31" s="66">
        <f>IFERROR(HLOOKUP('Калькулятор инвестора'!AZ$30,Модель!$F$189:$AZ$191,3,0)*'Калькулятор инвестора'!$D$22,'Калькулятор инвестора'!AY31)*(AZ29&lt;=($D$17*12))</f>
        <v>1455378.7793599505</v>
      </c>
      <c r="BA31" s="66">
        <f>IFERROR(HLOOKUP('Калькулятор инвестора'!BA$30,Модель!$F$189:$AZ$191,3,0)*'Калькулятор инвестора'!$D$22,'Калькулятор инвестора'!AZ31)*(BA29&lt;=($D$17*12))</f>
        <v>1494505.0006483665</v>
      </c>
      <c r="BB31" s="66">
        <f>IFERROR(HLOOKUP('Калькулятор инвестора'!BB$30,Модель!$F$189:$AZ$191,3,0)*'Калькулятор инвестора'!$D$22,'Калькулятор инвестора'!BA31)*(BB29&lt;=($D$17*12))</f>
        <v>1494505.0006483665</v>
      </c>
      <c r="BC31" s="66">
        <f>IFERROR(HLOOKUP('Калькулятор инвестора'!BC$30,Модель!$F$189:$AZ$191,3,0)*'Калькулятор инвестора'!$D$22,'Калькулятор инвестора'!BB31)*(BC29&lt;=($D$17*12))</f>
        <v>1494505.0006483665</v>
      </c>
      <c r="BD31" s="66">
        <f>IFERROR(HLOOKUP('Калькулятор инвестора'!BD$30,Модель!$F$189:$AZ$191,3,0)*'Калькулятор инвестора'!$D$22,'Калькулятор инвестора'!BC31)*(BD29&lt;=($D$17*12))</f>
        <v>1533546.9180246126</v>
      </c>
      <c r="BE31" s="66">
        <f>IFERROR(HLOOKUP('Калькулятор инвестора'!BE$30,Модель!$F$189:$AZ$191,3,0)*'Калькулятор инвестора'!$D$22,'Калькулятор инвестора'!BD31)*(BE29&lt;=($D$17*12))</f>
        <v>1533546.9180246126</v>
      </c>
      <c r="BF31" s="66">
        <f>IFERROR(HLOOKUP('Калькулятор инвестора'!BF$30,Модель!$F$189:$AZ$191,3,0)*'Калькулятор инвестора'!$D$22,'Калькулятор инвестора'!BE31)*(BF29&lt;=($D$17*12))</f>
        <v>1533546.9180246126</v>
      </c>
      <c r="BG31" s="66">
        <f>IFERROR(HLOOKUP('Калькулятор инвестора'!BG$30,Модель!$F$189:$AZ$191,3,0)*'Калькулятор инвестора'!$D$22,'Калькулятор инвестора'!BF31)*(BG29&lt;=($D$17*12))</f>
        <v>1571619.5874665922</v>
      </c>
      <c r="BH31" s="66">
        <f>IFERROR(HLOOKUP('Калькулятор инвестора'!BH$30,Модель!$F$189:$AZ$191,3,0)*'Калькулятор инвестора'!$D$22,'Калькулятор инвестора'!BG31)*(BH29&lt;=($D$17*12))</f>
        <v>1571619.5874665922</v>
      </c>
      <c r="BI31" s="66">
        <f>IFERROR(HLOOKUP('Калькулятор инвестора'!BI$30,Модель!$F$189:$AZ$191,3,0)*'Калькулятор инвестора'!$D$22,'Калькулятор инвестора'!BH31)*(BI29&lt;=($D$17*12))</f>
        <v>1571619.5874665922</v>
      </c>
      <c r="BJ31" s="66">
        <f>IFERROR(HLOOKUP('Калькулятор инвестора'!BJ$30,Модель!$F$189:$AZ$191,3,0)*'Калькулятор инвестора'!$D$22,'Калькулятор инвестора'!BI31)*(BJ29&lt;=($D$17*12))</f>
        <v>1610410.4922313984</v>
      </c>
      <c r="BK31" s="66">
        <f>IFERROR(HLOOKUP('Калькулятор инвестора'!BK$30,Модель!$F$189:$AZ$191,3,0)*'Калькулятор инвестора'!$D$22,'Калькулятор инвестора'!BJ31)*(BK29&lt;=($D$17*12))</f>
        <v>1610410.4922313984</v>
      </c>
      <c r="BL31" s="66">
        <f>IFERROR(HLOOKUP('Калькулятор инвестора'!BL$30,Модель!$F$189:$AZ$191,3,0)*'Калькулятор инвестора'!$D$22,'Калькулятор инвестора'!BK31)*(BL29&lt;=($D$17*12))</f>
        <v>1610410.4922313984</v>
      </c>
      <c r="BM31" s="66">
        <f>IFERROR(HLOOKUP('Калькулятор инвестора'!BM$30,Модель!$F$189:$AZ$191,3,0)*'Калькулятор инвестора'!$D$22,'Калькулятор инвестора'!BL31)*(BM29&lt;=($D$17*12))</f>
        <v>1654817.59181826</v>
      </c>
      <c r="BN31" s="66">
        <f>IFERROR(HLOOKUP('Калькулятор инвестора'!BN$30,Модель!$F$189:$AZ$191,3,0)*'Калькулятор инвестора'!$D$22,'Калькулятор инвестора'!BM31)*(BN29&lt;=($D$17*12))</f>
        <v>1654817.59181826</v>
      </c>
      <c r="BO31" s="66">
        <f>IFERROR(HLOOKUP('Калькулятор инвестора'!BO$30,Модель!$F$189:$AZ$191,3,0)*'Калькулятор инвестора'!$D$22,'Калькулятор инвестора'!BN31)*(BO29&lt;=($D$17*12))</f>
        <v>1654817.59181826</v>
      </c>
      <c r="BP31" s="66">
        <f>IFERROR(HLOOKUP('Калькулятор инвестора'!BP$30,Модель!$F$189:$AZ$191,3,0)*'Калькулятор инвестора'!$D$22,'Калькулятор инвестора'!BO31)*(BP29&lt;=($D$17*12))</f>
        <v>1697002.1479621017</v>
      </c>
      <c r="BQ31" s="66">
        <f>IFERROR(HLOOKUP('Калькулятор инвестора'!BQ$30,Модель!$F$189:$AZ$191,3,0)*'Калькулятор инвестора'!$D$22,'Калькулятор инвестора'!BP31)*(BQ29&lt;=($D$17*12))</f>
        <v>1697002.1479621017</v>
      </c>
      <c r="BR31" s="66">
        <f>IFERROR(HLOOKUP('Калькулятор инвестора'!BR$30,Модель!$F$189:$AZ$191,3,0)*'Калькулятор инвестора'!$D$22,'Калькулятор инвестора'!BQ31)*(BR29&lt;=($D$17*12))</f>
        <v>1697002.1479621017</v>
      </c>
      <c r="BS31" s="66">
        <f>IFERROR(HLOOKUP('Калькулятор инвестора'!BS$30,Модель!$F$189:$AZ$191,3,0)*'Калькулятор инвестора'!$D$22,'Калькулятор инвестора'!BR31)*(BS29&lt;=($D$17*12))</f>
        <v>1738270.9854842713</v>
      </c>
      <c r="BT31" s="66">
        <f>IFERROR(HLOOKUP('Калькулятор инвестора'!BT$30,Модель!$F$189:$AZ$191,3,0)*'Калькулятор инвестора'!$D$22,'Калькулятор инвестора'!BS31)*(BT29&lt;=($D$17*12))</f>
        <v>1738270.9854842713</v>
      </c>
      <c r="BU31" s="66">
        <f>IFERROR(HLOOKUP('Калькулятор инвестора'!BU$30,Модель!$F$189:$AZ$191,3,0)*'Калькулятор инвестора'!$D$22,'Калькулятор инвестора'!BT31)*(BU29&lt;=($D$17*12))</f>
        <v>1738270.9854842713</v>
      </c>
      <c r="BV31" s="66">
        <f>IFERROR(HLOOKUP('Калькулятор инвестора'!BV$30,Модель!$F$189:$AZ$191,3,0)*'Калькулятор инвестора'!$D$22,'Калькулятор инвестора'!BU31)*(BV29&lt;=($D$17*12))</f>
        <v>1780220.9960841301</v>
      </c>
      <c r="BW31" s="66">
        <f>IFERROR(HLOOKUP('Калькулятор инвестора'!BW$30,Модель!$F$189:$AZ$191,3,0)*'Калькулятор инвестора'!$D$22,'Калькулятор инвестора'!BV31)*(BW29&lt;=($D$17*12))</f>
        <v>1780220.9960841301</v>
      </c>
      <c r="BX31" s="66">
        <f>IFERROR(HLOOKUP('Калькулятор инвестора'!BX$30,Модель!$F$189:$AZ$191,3,0)*'Калькулятор инвестора'!$D$22,'Калькулятор инвестора'!BW31)*(BX29&lt;=($D$17*12))</f>
        <v>1780220.9960841301</v>
      </c>
      <c r="BY31" s="66">
        <f>IFERROR(HLOOKUP('Калькулятор инвестора'!BY$30,Модель!$F$189:$AZ$191,3,0)*'Калькулятор инвестора'!$D$22,'Калькулятор инвестора'!BX31)*(BY29&lt;=($D$17*12))</f>
        <v>1827226.4569855162</v>
      </c>
      <c r="BZ31" s="66">
        <f>IFERROR(HLOOKUP('Калькулятор инвестора'!BZ$30,Модель!$F$189:$AZ$191,3,0)*'Калькулятор инвестора'!$D$22,'Калькулятор инвестора'!BY31)*(BZ29&lt;=($D$17*12))</f>
        <v>1827226.4569855162</v>
      </c>
      <c r="CA31" s="66">
        <f>IFERROR(HLOOKUP('Калькулятор инвестора'!CA$30,Модель!$F$189:$AZ$191,3,0)*'Калькулятор инвестора'!$D$22,'Калькулятор инвестора'!BZ31)*(CA29&lt;=($D$17*12))</f>
        <v>1827226.4569855162</v>
      </c>
      <c r="CB31" s="66">
        <f>IFERROR(HLOOKUP('Калькулятор инвестора'!CB$30,Модель!$F$189:$AZ$191,3,0)*'Калькулятор инвестора'!$D$22,'Калькулятор инвестора'!CA31)*(CB29&lt;=($D$17*12))</f>
        <v>1874144.2620782892</v>
      </c>
      <c r="CC31" s="66">
        <f>IFERROR(HLOOKUP('Калькулятор инвестора'!CC$30,Модель!$F$189:$AZ$191,3,0)*'Калькулятор инвестора'!$D$22,'Калькулятор инвестора'!CB31)*(CC29&lt;=($D$17*12))</f>
        <v>1874144.2620782892</v>
      </c>
      <c r="CD31" s="66">
        <f>IFERROR(HLOOKUP('Калькулятор инвестора'!CD$30,Модель!$F$189:$AZ$191,3,0)*'Калькулятор инвестора'!$D$22,'Калькулятор инвестора'!CC31)*(CD29&lt;=($D$17*12))</f>
        <v>1874144.2620782892</v>
      </c>
      <c r="CE31" s="66">
        <f>IFERROR(HLOOKUP('Калькулятор инвестора'!CE$30,Модель!$F$189:$AZ$191,3,0)*'Калькулятор инвестора'!$D$22,'Калькулятор инвестора'!CD31)*(CE29&lt;=($D$17*12))</f>
        <v>1920055.8599409913</v>
      </c>
      <c r="CF31" s="66">
        <f>IFERROR(HLOOKUP('Калькулятор инвестора'!CF$30,Модель!$F$189:$AZ$191,3,0)*'Калькулятор инвестора'!$D$22,'Калькулятор инвестора'!CE31)*(CF29&lt;=($D$17*12))</f>
        <v>1920055.8599409913</v>
      </c>
      <c r="CG31" s="66">
        <f>IFERROR(HLOOKUP('Калькулятор инвестора'!CG$30,Модель!$F$189:$AZ$191,3,0)*'Калькулятор инвестора'!$D$22,'Калькулятор инвестора'!CF31)*(CG29&lt;=($D$17*12))</f>
        <v>1920055.8599409913</v>
      </c>
      <c r="CH31" s="66">
        <f>IFERROR(HLOOKUP('Калькулятор инвестора'!CH$30,Модель!$F$189:$AZ$191,3,0)*'Калькулятор инвестора'!$D$22,'Калькулятор инвестора'!CG31)*(CH29&lt;=($D$17*12))</f>
        <v>1966720.8274567961</v>
      </c>
      <c r="CI31" s="66">
        <f>IFERROR(HLOOKUP('Калькулятор инвестора'!CI$30,Модель!$F$189:$AZ$191,3,0)*'Калькулятор инвестора'!$D$22,'Калькулятор инвестора'!CH31)*(CI29&lt;=($D$17*12))</f>
        <v>1966720.8274567961</v>
      </c>
      <c r="CJ31" s="66">
        <f>IFERROR(HLOOKUP('Калькулятор инвестора'!CJ$30,Модель!$F$189:$AZ$191,3,0)*'Калькулятор инвестора'!$D$22,'Калькулятор инвестора'!CI31)*(CJ29&lt;=($D$17*12))</f>
        <v>1966720.8274567961</v>
      </c>
      <c r="CK31" s="66">
        <f>IFERROR(HLOOKUP('Калькулятор инвестора'!CK$30,Модель!$F$189:$AZ$191,3,0)*'Калькулятор инвестора'!$D$22,'Калькулятор инвестора'!CJ31)*(CK29&lt;=($D$17*12))</f>
        <v>2018680.0145662858</v>
      </c>
      <c r="CL31" s="66">
        <f>IFERROR(HLOOKUP('Калькулятор инвестора'!CL$30,Модель!$F$189:$AZ$191,3,0)*'Калькулятор инвестора'!$D$22,'Калькулятор инвестора'!CK31)*(CL29&lt;=($D$17*12))</f>
        <v>2018680.0145662858</v>
      </c>
      <c r="CM31" s="66">
        <f>IFERROR(HLOOKUP('Калькулятор инвестора'!CM$30,Модель!$F$189:$AZ$191,3,0)*'Калькулятор инвестора'!$D$22,'Калькулятор инвестора'!CL31)*(CM29&lt;=($D$17*12))</f>
        <v>2018680.0145662858</v>
      </c>
      <c r="CN31" s="66">
        <f>IFERROR(HLOOKUP('Калькулятор инвестора'!CN$30,Модель!$F$189:$AZ$191,3,0)*'Калькулятор инвестора'!$D$22,'Калькулятор инвестора'!CM31)*(CN29&lt;=($D$17*12))</f>
        <v>2070542.6712149747</v>
      </c>
      <c r="CO31" s="66">
        <f>IFERROR(HLOOKUP('Калькулятор инвестора'!CO$30,Модель!$F$189:$AZ$191,3,0)*'Калькулятор инвестора'!$D$22,'Калькулятор инвестора'!CN31)*(CO29&lt;=($D$17*12))</f>
        <v>2070542.6712149747</v>
      </c>
      <c r="CP31" s="66">
        <f>IFERROR(HLOOKUP('Калькулятор инвестора'!CP$30,Модель!$F$189:$AZ$191,3,0)*'Калькулятор инвестора'!$D$22,'Калькулятор инвестора'!CO31)*(CP29&lt;=($D$17*12))</f>
        <v>2070542.6712149747</v>
      </c>
      <c r="CQ31" s="66">
        <f>IFERROR(HLOOKUP('Калькулятор инвестора'!CQ$30,Модель!$F$189:$AZ$191,3,0)*'Калькулятор инвестора'!$D$22,'Калькулятор инвестора'!CP31)*(CQ29&lt;=($D$17*12))</f>
        <v>2121299.6240966022</v>
      </c>
      <c r="CR31" s="66">
        <f>IFERROR(HLOOKUP('Калькулятор инвестора'!CR$30,Модель!$F$189:$AZ$191,3,0)*'Калькулятор инвестора'!$D$22,'Калькулятор инвестора'!CQ31)*(CR29&lt;=($D$17*12))</f>
        <v>2121299.6240966022</v>
      </c>
      <c r="CS31" s="66">
        <f>IFERROR(HLOOKUP('Калькулятор инвестора'!CS$30,Модель!$F$189:$AZ$191,3,0)*'Калькулятор инвестора'!$D$22,'Калькулятор инвестора'!CR31)*(CS29&lt;=($D$17*12))</f>
        <v>2121299.6240966022</v>
      </c>
      <c r="CT31" s="66">
        <f>IFERROR(HLOOKUP('Калькулятор инвестора'!CT$30,Модель!$F$189:$AZ$191,3,0)*'Калькулятор инвестора'!$D$22,'Калькулятор инвестора'!CS31)*(CT29&lt;=($D$17*12))</f>
        <v>2172889.4648459777</v>
      </c>
      <c r="CU31" s="66">
        <f>IFERROR(HLOOKUP('Калькулятор инвестора'!CU$30,Модель!$F$189:$AZ$191,3,0)*'Калькулятор инвестора'!$D$22,'Калькулятор инвестора'!CT31)*(CU29&lt;=($D$17*12))</f>
        <v>2172889.4648459777</v>
      </c>
      <c r="CV31" s="66">
        <f>IFERROR(HLOOKUP('Калькулятор инвестора'!CV$30,Модель!$F$189:$AZ$191,3,0)*'Калькулятор инвестора'!$D$22,'Калькулятор инвестора'!CU31)*(CV29&lt;=($D$17*12))</f>
        <v>2172889.4648459777</v>
      </c>
      <c r="CW31" s="66">
        <f>IFERROR(HLOOKUP('Калькулятор инвестора'!CW$30,Модель!$F$189:$AZ$191,3,0)*'Калькулятор инвестора'!$D$22,'Калькулятор инвестора'!CV31)*(CW29&lt;=($D$17*12))</f>
        <v>2229636.1686836295</v>
      </c>
      <c r="CX31" s="66">
        <f>IFERROR(HLOOKUP('Калькулятор инвестора'!CX$30,Модель!$F$189:$AZ$191,3,0)*'Калькулятор инвестора'!$D$22,'Калькулятор инвестора'!CW31)*(CX29&lt;=($D$17*12))</f>
        <v>2229636.1686836295</v>
      </c>
      <c r="CY31" s="66">
        <f>IFERROR(HLOOKUP('Калькулятор инвестора'!CY$30,Модель!$F$189:$AZ$191,3,0)*'Калькулятор инвестора'!$D$22,'Калькулятор инвестора'!CX31)*(CY29&lt;=($D$17*12))</f>
        <v>2229636.1686836295</v>
      </c>
      <c r="CZ31" s="66">
        <f>IFERROR(HLOOKUP('Калькулятор инвестора'!CZ$30,Модель!$F$189:$AZ$191,3,0)*'Калькулятор инвестора'!$D$22,'Калькулятор инвестора'!CY31)*(CZ29&lt;=($D$17*12))</f>
        <v>2286276.5772162895</v>
      </c>
      <c r="DA31" s="66">
        <f>IFERROR(HLOOKUP('Калькулятор инвестора'!DA$30,Модель!$F$189:$AZ$191,3,0)*'Калькулятор инвестора'!$D$22,'Калькулятор инвестора'!CZ31)*(DA29&lt;=($D$17*12))</f>
        <v>2286276.5772162895</v>
      </c>
      <c r="DB31" s="66">
        <f>IFERROR(HLOOKUP('Калькулятор инвестора'!DB$30,Модель!$F$189:$AZ$191,3,0)*'Калькулятор инвестора'!$D$22,'Калькулятор инвестора'!DA31)*(DB29&lt;=($D$17*12))</f>
        <v>2286276.5772162895</v>
      </c>
      <c r="DC31" s="66">
        <f>IFERROR(HLOOKUP('Калькулятор инвестора'!DC$30,Модель!$F$189:$AZ$191,3,0)*'Калькулятор инвестора'!$D$22,'Калькулятор инвестора'!DB31)*(DC29&lt;=($D$17*12))</f>
        <v>2341701.8784392979</v>
      </c>
      <c r="DD31" s="66">
        <f>IFERROR(HLOOKUP('Калькулятор инвестора'!DD$30,Модель!$F$189:$AZ$191,3,0)*'Калькулятор инвестора'!$D$22,'Калькулятор инвестора'!DC31)*(DD29&lt;=($D$17*12))</f>
        <v>2341701.8784392979</v>
      </c>
      <c r="DE31" s="66">
        <f>IFERROR(HLOOKUP('Калькулятор инвестора'!DE$30,Модель!$F$189:$AZ$191,3,0)*'Калькулятор инвестора'!$D$22,'Калькулятор инвестора'!DD31)*(DE29&lt;=($D$17*12))</f>
        <v>2341701.8784392979</v>
      </c>
      <c r="DF31" s="66">
        <f>IFERROR(HLOOKUP('Калькулятор инвестора'!DF$30,Модель!$F$189:$AZ$191,3,0)*'Калькулятор инвестора'!$D$22,'Калькулятор инвестора'!DE31)*(DF29&lt;=($D$17*12))</f>
        <v>2398047.6420973972</v>
      </c>
      <c r="DG31" s="66">
        <f>IFERROR(HLOOKUP('Калькулятор инвестора'!DG$30,Модель!$F$189:$AZ$191,3,0)*'Калькулятор инвестора'!$D$22,'Калькулятор инвестора'!DF31)*(DG29&lt;=($D$17*12))</f>
        <v>2398047.6420973972</v>
      </c>
      <c r="DH31" s="66">
        <f>IFERROR(HLOOKUP('Калькулятор инвестора'!DH$30,Модель!$F$189:$AZ$191,3,0)*'Калькулятор инвестора'!$D$22,'Калькулятор инвестора'!DG31)*(DH29&lt;=($D$17*12))</f>
        <v>2398047.6420973972</v>
      </c>
      <c r="DI31" s="66">
        <f>IFERROR(HLOOKUP('Калькулятор инвестора'!DI$30,Модель!$F$189:$AZ$191,3,0)*'Калькулятор инвестора'!$D$22,'Калькулятор инвестора'!DH31)*(DI29&lt;=($D$17*12))</f>
        <v>2461265.8405595375</v>
      </c>
      <c r="DJ31" s="66">
        <f>IFERROR(HLOOKUP('Калькулятор инвестора'!DJ$30,Модель!$F$189:$AZ$191,3,0)*'Калькулятор инвестора'!$D$22,'Калькулятор инвестора'!DI31)*(DJ29&lt;=($D$17*12))</f>
        <v>2461265.8405595375</v>
      </c>
      <c r="DK31" s="66">
        <f>IFERROR(HLOOKUP('Калькулятор инвестора'!DK$30,Модель!$F$189:$AZ$191,3,0)*'Калькулятор инвестора'!$D$22,'Калькулятор инвестора'!DJ31)*(DK29&lt;=($D$17*12))</f>
        <v>2461265.8405595375</v>
      </c>
      <c r="DL31" s="66">
        <f>IFERROR(HLOOKUP('Калькулятор инвестора'!DL$30,Модель!$F$189:$AZ$191,3,0)*'Калькулятор инвестора'!$D$22,'Калькулятор инвестора'!DK31)*(DL29&lt;=($D$17*12))</f>
        <v>2524366.9995931238</v>
      </c>
      <c r="DM31" s="66">
        <f>IFERROR(HLOOKUP('Калькулятор инвестора'!DM$30,Модель!$F$189:$AZ$191,3,0)*'Калькулятор инвестора'!$D$22,'Калькулятор инвестора'!DL31)*(DM29&lt;=($D$17*12))</f>
        <v>2524366.9995931238</v>
      </c>
      <c r="DN31" s="66">
        <f>IFERROR(HLOOKUP('Калькулятор инвестора'!DN$30,Модель!$F$189:$AZ$191,3,0)*'Калькулятор инвестора'!$D$22,'Калькулятор инвестора'!DM31)*(DN29&lt;=($D$17*12))</f>
        <v>2524366.9995931238</v>
      </c>
      <c r="DO31" s="66">
        <f>IFERROR(HLOOKUP('Калькулятор инвестора'!DO$30,Модель!$F$189:$AZ$191,3,0)*'Калькулятор инвестора'!$D$22,'Калькулятор инвестора'!DN31)*(DO29&lt;=($D$17*12))</f>
        <v>2586132.7518616826</v>
      </c>
      <c r="DP31" s="66">
        <f>IFERROR(HLOOKUP('Калькулятор инвестора'!DP$30,Модель!$F$189:$AZ$191,3,0)*'Калькулятор инвестора'!$D$22,'Калькулятор инвестора'!DO31)*(DP29&lt;=($D$17*12))</f>
        <v>2586132.7518616826</v>
      </c>
      <c r="DQ31" s="66">
        <f>IFERROR(HLOOKUP('Калькулятор инвестора'!DQ$30,Модель!$F$189:$AZ$191,3,0)*'Калькулятор инвестора'!$D$22,'Калькулятор инвестора'!DP31)*(DQ29&lt;=($D$17*12))</f>
        <v>2586132.7518616826</v>
      </c>
      <c r="DR31" s="66">
        <f>IFERROR(HLOOKUP('Калькулятор инвестора'!DR$30,Модель!$F$189:$AZ$191,3,0)*'Калькулятор инвестора'!$D$22,'Калькулятор инвестора'!DQ31)*(DR29&lt;=($D$17*12))</f>
        <v>2649409.777314337</v>
      </c>
    </row>
    <row r="32" spans="1:122" s="72" customFormat="1" ht="18" x14ac:dyDescent="0.2">
      <c r="A32" s="72" t="s">
        <v>27</v>
      </c>
      <c r="B32" s="76">
        <v>0</v>
      </c>
      <c r="C32" s="66">
        <f>IFERROR(HLOOKUP('Калькулятор инвестора'!C$30,Модель!$F$189:$AZ$192,4,0),0)*$D$22*(C29&lt;=($D$17*12))</f>
        <v>0</v>
      </c>
      <c r="D32" s="66">
        <f>IFERROR(HLOOKUP('Калькулятор инвестора'!D$30,Модель!$F$189:$AZ$192,4,0),0)*$D$22*(D29&lt;=($D$17*12))</f>
        <v>0</v>
      </c>
      <c r="E32" s="66">
        <f>IFERROR(HLOOKUP('Калькулятор инвестора'!E$30,Модель!$F$189:$AZ$192,4,0),0)*$D$22*(E29&lt;=($D$17*12))</f>
        <v>18666.666666666664</v>
      </c>
      <c r="F32" s="66">
        <f>IFERROR(HLOOKUP('Калькулятор инвестора'!F$30,Модель!$F$189:$AZ$192,4,0),0)*$D$22*(F29&lt;=($D$17*12))</f>
        <v>0</v>
      </c>
      <c r="G32" s="66">
        <f>IFERROR(HLOOKUP('Калькулятор инвестора'!G$30,Модель!$F$189:$AZ$192,4,0),0)*$D$22*(G29&lt;=($D$17*12))</f>
        <v>0</v>
      </c>
      <c r="H32" s="66">
        <f>IFERROR(HLOOKUP('Калькулятор инвестора'!H$30,Модель!$F$189:$AZ$192,4,0),0)*$D$22*(H29&lt;=($D$17*12))</f>
        <v>18666.666666666664</v>
      </c>
      <c r="I32" s="66">
        <f>IFERROR(HLOOKUP('Калькулятор инвестора'!I$30,Модель!$F$189:$AZ$192,4,0),0)*$D$22*(I29&lt;=($D$17*12))</f>
        <v>0</v>
      </c>
      <c r="J32" s="66">
        <f>IFERROR(HLOOKUP('Калькулятор инвестора'!J$30,Модель!$F$189:$AZ$192,4,0),0)*$D$22*(J29&lt;=($D$17*12))</f>
        <v>0</v>
      </c>
      <c r="K32" s="66">
        <f>IFERROR(HLOOKUP('Калькулятор инвестора'!K$30,Модель!$F$189:$AZ$192,4,0),0)*$D$22*(K29&lt;=($D$17*12))</f>
        <v>18666.666666666664</v>
      </c>
      <c r="L32" s="66">
        <f>IFERROR(HLOOKUP('Калькулятор инвестора'!L$30,Модель!$F$189:$AZ$192,4,0),0)*$D$22*(L29&lt;=($D$17*12))</f>
        <v>0</v>
      </c>
      <c r="M32" s="66">
        <f>IFERROR(HLOOKUP('Калькулятор инвестора'!M$30,Модель!$F$189:$AZ$192,4,0),0)*$D$22*(M29&lt;=($D$17*12))</f>
        <v>0</v>
      </c>
      <c r="N32" s="66">
        <f>IFERROR(HLOOKUP('Калькулятор инвестора'!N$30,Модель!$F$189:$AZ$192,4,0),0)*$D$22*(N29&lt;=($D$17*12))</f>
        <v>18666.666666666664</v>
      </c>
      <c r="O32" s="66">
        <f>IFERROR(HLOOKUP('Калькулятор инвестора'!O$30,Модель!$F$189:$AZ$192,4,0),0)*$D$22*(O29&lt;=($D$17*12))</f>
        <v>0</v>
      </c>
      <c r="P32" s="66">
        <f>IFERROR(HLOOKUP('Калькулятор инвестора'!P$30,Модель!$F$189:$AZ$192,4,0),0)*$D$22*(P29&lt;=($D$17*12))</f>
        <v>0</v>
      </c>
      <c r="Q32" s="66">
        <f>IFERROR(HLOOKUP('Калькулятор инвестора'!Q$30,Модель!$F$189:$AZ$192,4,0),0)*$D$22*(Q29&lt;=($D$17*12))</f>
        <v>20444.444444444445</v>
      </c>
      <c r="R32" s="66">
        <f>IFERROR(HLOOKUP('Калькулятор инвестора'!R$30,Модель!$F$189:$AZ$192,4,0),0)*$D$22*(R29&lt;=($D$17*12))</f>
        <v>0</v>
      </c>
      <c r="S32" s="66">
        <f>IFERROR(HLOOKUP('Калькулятор инвестора'!S$30,Модель!$F$189:$AZ$192,4,0),0)*$D$22*(S29&lt;=($D$17*12))</f>
        <v>0</v>
      </c>
      <c r="T32" s="66">
        <f>IFERROR(HLOOKUP('Калькулятор инвестора'!T$30,Модель!$F$189:$AZ$192,4,0),0)*$D$22*(T29&lt;=($D$17*12))</f>
        <v>20444.444444444445</v>
      </c>
      <c r="U32" s="66">
        <f>IFERROR(HLOOKUP('Калькулятор инвестора'!U$30,Модель!$F$189:$AZ$192,4,0),0)*$D$22*(U29&lt;=($D$17*12))</f>
        <v>0</v>
      </c>
      <c r="V32" s="66">
        <f>IFERROR(HLOOKUP('Калькулятор инвестора'!V$30,Модель!$F$189:$AZ$192,4,0),0)*$D$22*(V29&lt;=($D$17*12))</f>
        <v>0</v>
      </c>
      <c r="W32" s="66">
        <f>IFERROR(HLOOKUP('Калькулятор инвестора'!W$30,Модель!$F$189:$AZ$192,4,0),0)*$D$22*(W29&lt;=($D$17*12))</f>
        <v>20444.444444444445</v>
      </c>
      <c r="X32" s="66">
        <f>IFERROR(HLOOKUP('Калькулятор инвестора'!X$30,Модель!$F$189:$AZ$192,4,0),0)*$D$22*(X29&lt;=($D$17*12))</f>
        <v>0</v>
      </c>
      <c r="Y32" s="66">
        <f>IFERROR(HLOOKUP('Калькулятор инвестора'!Y$30,Модель!$F$189:$AZ$192,4,0),0)*$D$22*(Y29&lt;=($D$17*12))</f>
        <v>0</v>
      </c>
      <c r="Z32" s="66">
        <f>IFERROR(HLOOKUP('Калькулятор инвестора'!Z$30,Модель!$F$189:$AZ$192,4,0),0)*$D$22*(Z29&lt;=($D$17*12))</f>
        <v>20444.444444444445</v>
      </c>
      <c r="AA32" s="66">
        <f>IFERROR(HLOOKUP('Калькулятор инвестора'!AA$30,Модель!$F$189:$AZ$192,4,0),0)*$D$22*(AA29&lt;=($D$17*12))</f>
        <v>0</v>
      </c>
      <c r="AB32" s="66">
        <f>IFERROR(HLOOKUP('Калькулятор инвестора'!AB$30,Модель!$F$189:$AZ$192,4,0),0)*$D$22*(AB29&lt;=($D$17*12))</f>
        <v>0</v>
      </c>
      <c r="AC32" s="66">
        <f>IFERROR(HLOOKUP('Калькулятор инвестора'!AC$30,Модель!$F$189:$AZ$192,4,0),0)*$D$22*(AC29&lt;=($D$17*12))</f>
        <v>21333.333333333332</v>
      </c>
      <c r="AD32" s="66">
        <f>IFERROR(HLOOKUP('Калькулятор инвестора'!AD$30,Модель!$F$189:$AZ$192,4,0),0)*$D$22*(AD29&lt;=($D$17*12))</f>
        <v>0</v>
      </c>
      <c r="AE32" s="66">
        <f>IFERROR(HLOOKUP('Калькулятор инвестора'!AE$30,Модель!$F$189:$AZ$192,4,0),0)*$D$22*(AE29&lt;=($D$17*12))</f>
        <v>0</v>
      </c>
      <c r="AF32" s="66">
        <f>IFERROR(HLOOKUP('Калькулятор инвестора'!AF$30,Модель!$F$189:$AZ$192,4,0),0)*$D$22*(AF29&lt;=($D$17*12))</f>
        <v>21333.333333333332</v>
      </c>
      <c r="AG32" s="66">
        <f>IFERROR(HLOOKUP('Калькулятор инвестора'!AG$30,Модель!$F$189:$AZ$192,4,0),0)*$D$22*(AG29&lt;=($D$17*12))</f>
        <v>0</v>
      </c>
      <c r="AH32" s="66">
        <f>IFERROR(HLOOKUP('Калькулятор инвестора'!AH$30,Модель!$F$189:$AZ$192,4,0),0)*$D$22*(AH29&lt;=($D$17*12))</f>
        <v>0</v>
      </c>
      <c r="AI32" s="66">
        <f>IFERROR(HLOOKUP('Калькулятор инвестора'!AI$30,Модель!$F$189:$AZ$192,4,0),0)*$D$22*(AI29&lt;=($D$17*12))</f>
        <v>21333.333333333332</v>
      </c>
      <c r="AJ32" s="66">
        <f>IFERROR(HLOOKUP('Калькулятор инвестора'!AJ$30,Модель!$F$189:$AZ$192,4,0),0)*$D$22*(AJ29&lt;=($D$17*12))</f>
        <v>0</v>
      </c>
      <c r="AK32" s="66">
        <f>IFERROR(HLOOKUP('Калькулятор инвестора'!AK$30,Модель!$F$189:$AZ$192,4,0),0)*$D$22*(AK29&lt;=($D$17*12))</f>
        <v>0</v>
      </c>
      <c r="AL32" s="66">
        <f>IFERROR(HLOOKUP('Калькулятор инвестора'!AL$30,Модель!$F$189:$AZ$192,4,0),0)*$D$22*(AL29&lt;=($D$17*12))</f>
        <v>21333.333333333332</v>
      </c>
      <c r="AM32" s="66">
        <f>IFERROR(HLOOKUP('Калькулятор инвестора'!AM$30,Модель!$F$189:$AZ$192,4,0),0)*$D$22*(AM29&lt;=($D$17*12))</f>
        <v>0</v>
      </c>
      <c r="AN32" s="66">
        <f>IFERROR(HLOOKUP('Калькулятор инвестора'!AN$30,Модель!$F$189:$AZ$192,4,0),0)*$D$22*(AN29&lt;=($D$17*12))</f>
        <v>0</v>
      </c>
      <c r="AO32" s="66">
        <f>IFERROR(HLOOKUP('Калькулятор инвестора'!AO$30,Модель!$F$189:$AZ$192,4,0),0)*$D$22*(AO29&lt;=($D$17*12))</f>
        <v>21777.777777777777</v>
      </c>
      <c r="AP32" s="66">
        <f>IFERROR(HLOOKUP('Калькулятор инвестора'!AP$30,Модель!$F$189:$AZ$192,4,0),0)*$D$22*(AP29&lt;=($D$17*12))</f>
        <v>0</v>
      </c>
      <c r="AQ32" s="66">
        <f>IFERROR(HLOOKUP('Калькулятор инвестора'!AQ$30,Модель!$F$189:$AZ$192,4,0),0)*$D$22*(AQ29&lt;=($D$17*12))</f>
        <v>0</v>
      </c>
      <c r="AR32" s="66">
        <f>IFERROR(HLOOKUP('Калькулятор инвестора'!AR$30,Модель!$F$189:$AZ$192,4,0),0)*$D$22*(AR29&lt;=($D$17*12))</f>
        <v>21777.777777777777</v>
      </c>
      <c r="AS32" s="66">
        <f>IFERROR(HLOOKUP('Калькулятор инвестора'!AS$30,Модель!$F$189:$AZ$192,4,0),0)*$D$22*(AS29&lt;=($D$17*12))</f>
        <v>0</v>
      </c>
      <c r="AT32" s="66">
        <f>IFERROR(HLOOKUP('Калькулятор инвестора'!AT$30,Модель!$F$189:$AZ$192,4,0),0)*$D$22*(AT29&lt;=($D$17*12))</f>
        <v>0</v>
      </c>
      <c r="AU32" s="66">
        <f>IFERROR(HLOOKUP('Калькулятор инвестора'!AU$30,Модель!$F$189:$AZ$192,4,0),0)*$D$22*(AU29&lt;=($D$17*12))</f>
        <v>21777.777777777777</v>
      </c>
      <c r="AV32" s="66">
        <f>IFERROR(HLOOKUP('Калькулятор инвестора'!AV$30,Модель!$F$189:$AZ$192,4,0),0)*$D$22*(AV29&lt;=($D$17*12))</f>
        <v>0</v>
      </c>
      <c r="AW32" s="66">
        <f>IFERROR(HLOOKUP('Калькулятор инвестора'!AW$30,Модель!$F$189:$AZ$192,4,0),0)*$D$22*(AW29&lt;=($D$17*12))</f>
        <v>0</v>
      </c>
      <c r="AX32" s="66">
        <f>IFERROR(HLOOKUP('Калькулятор инвестора'!AX$30,Модель!$F$189:$AZ$192,4,0),0)*$D$22*(AX29&lt;=($D$17*12))</f>
        <v>21777.777777777777</v>
      </c>
      <c r="AY32" s="66">
        <f>IFERROR(HLOOKUP('Калькулятор инвестора'!AY$30,Модель!$F$189:$AZ$192,4,0),0)*$D$22*(AY29&lt;=($D$17*12))</f>
        <v>0</v>
      </c>
      <c r="AZ32" s="66">
        <f>IFERROR(HLOOKUP('Калькулятор инвестора'!AZ$30,Модель!$F$189:$AZ$192,4,0),0)*$D$22*(AZ29&lt;=($D$17*12))</f>
        <v>0</v>
      </c>
      <c r="BA32" s="66">
        <f>IFERROR(HLOOKUP('Калькулятор инвестора'!BA$30,Модель!$F$189:$AZ$192,4,0),0)*$D$22*(BA29&lt;=($D$17*12))</f>
        <v>22222.222222222223</v>
      </c>
      <c r="BB32" s="66">
        <f>IFERROR(HLOOKUP('Калькулятор инвестора'!BB$30,Модель!$F$189:$AZ$192,4,0),0)*$D$22*(BB29&lt;=($D$17*12))</f>
        <v>0</v>
      </c>
      <c r="BC32" s="66">
        <f>IFERROR(HLOOKUP('Калькулятор инвестора'!BC$30,Модель!$F$189:$AZ$192,4,0),0)*$D$22*(BC29&lt;=($D$17*12))</f>
        <v>0</v>
      </c>
      <c r="BD32" s="66">
        <f>IFERROR(HLOOKUP('Калькулятор инвестора'!BD$30,Модель!$F$189:$AZ$192,4,0),0)*$D$22*(BD29&lt;=($D$17*12))</f>
        <v>22222.222222222223</v>
      </c>
      <c r="BE32" s="66">
        <f>IFERROR(HLOOKUP('Калькулятор инвестора'!BE$30,Модель!$F$189:$AZ$192,4,0),0)*$D$22*(BE29&lt;=($D$17*12))</f>
        <v>0</v>
      </c>
      <c r="BF32" s="66">
        <f>IFERROR(HLOOKUP('Калькулятор инвестора'!BF$30,Модель!$F$189:$AZ$192,4,0),0)*$D$22*(BF29&lt;=($D$17*12))</f>
        <v>0</v>
      </c>
      <c r="BG32" s="66">
        <f>IFERROR(HLOOKUP('Калькулятор инвестора'!BG$30,Модель!$F$189:$AZ$192,4,0),0)*$D$22*(BG29&lt;=($D$17*12))</f>
        <v>22222.222222222223</v>
      </c>
      <c r="BH32" s="66">
        <f>IFERROR(HLOOKUP('Калькулятор инвестора'!BH$30,Модель!$F$189:$AZ$192,4,0),0)*$D$22*(BH29&lt;=($D$17*12))</f>
        <v>0</v>
      </c>
      <c r="BI32" s="66">
        <f>IFERROR(HLOOKUP('Калькулятор инвестора'!BI$30,Модель!$F$189:$AZ$192,4,0),0)*$D$22*(BI29&lt;=($D$17*12))</f>
        <v>0</v>
      </c>
      <c r="BJ32" s="66">
        <f>IFERROR(HLOOKUP('Калькулятор инвестора'!BJ$30,Модель!$F$189:$AZ$192,4,0),0)*$D$22*(BJ29&lt;=($D$17*12))</f>
        <v>22222.222222222223</v>
      </c>
      <c r="BK32" s="66">
        <f>IFERROR(HLOOKUP('Калькулятор инвестора'!BK$30,Модель!$F$189:$AZ$192,4,0),0)*$D$22*(BK29&lt;=($D$17*12))</f>
        <v>0</v>
      </c>
      <c r="BL32" s="66">
        <f>IFERROR(HLOOKUP('Калькулятор инвестора'!BL$30,Модель!$F$189:$AZ$192,4,0),0)*$D$22*(BL29&lt;=($D$17*12))</f>
        <v>0</v>
      </c>
      <c r="BM32" s="66">
        <f>IFERROR(HLOOKUP('Калькулятор инвестора'!BM$30,Модель!$F$189:$AZ$192,4,0),0)*$D$22*(BM29&lt;=($D$17*12))</f>
        <v>22666.666666666664</v>
      </c>
      <c r="BN32" s="66">
        <f>IFERROR(HLOOKUP('Калькулятор инвестора'!BN$30,Модель!$F$189:$AZ$192,4,0),0)*$D$22*(BN29&lt;=($D$17*12))</f>
        <v>0</v>
      </c>
      <c r="BO32" s="66">
        <f>IFERROR(HLOOKUP('Калькулятор инвестора'!BO$30,Модель!$F$189:$AZ$192,4,0),0)*$D$22*(BO29&lt;=($D$17*12))</f>
        <v>0</v>
      </c>
      <c r="BP32" s="66">
        <f>IFERROR(HLOOKUP('Калькулятор инвестора'!BP$30,Модель!$F$189:$AZ$192,4,0),0)*$D$22*(BP29&lt;=($D$17*12))</f>
        <v>22666.666666666664</v>
      </c>
      <c r="BQ32" s="66">
        <f>IFERROR(HLOOKUP('Калькулятор инвестора'!BQ$30,Модель!$F$189:$AZ$192,4,0),0)*$D$22*(BQ29&lt;=($D$17*12))</f>
        <v>0</v>
      </c>
      <c r="BR32" s="66">
        <f>IFERROR(HLOOKUP('Калькулятор инвестора'!BR$30,Модель!$F$189:$AZ$192,4,0),0)*$D$22*(BR29&lt;=($D$17*12))</f>
        <v>0</v>
      </c>
      <c r="BS32" s="66">
        <f>IFERROR(HLOOKUP('Калькулятор инвестора'!BS$30,Модель!$F$189:$AZ$192,4,0),0)*$D$22*(BS29&lt;=($D$17*12))</f>
        <v>22666.666666666664</v>
      </c>
      <c r="BT32" s="66">
        <f>IFERROR(HLOOKUP('Калькулятор инвестора'!BT$30,Модель!$F$189:$AZ$192,4,0),0)*$D$22*(BT29&lt;=($D$17*12))</f>
        <v>0</v>
      </c>
      <c r="BU32" s="66">
        <f>IFERROR(HLOOKUP('Калькулятор инвестора'!BU$30,Модель!$F$189:$AZ$192,4,0),0)*$D$22*(BU29&lt;=($D$17*12))</f>
        <v>0</v>
      </c>
      <c r="BV32" s="66">
        <f>IFERROR(HLOOKUP('Калькулятор инвестора'!BV$30,Модель!$F$189:$AZ$192,4,0),0)*$D$22*(BV29&lt;=($D$17*12))</f>
        <v>22666.666666666664</v>
      </c>
      <c r="BW32" s="66">
        <f>IFERROR(HLOOKUP('Калькулятор инвестора'!BW$30,Модель!$F$189:$AZ$192,4,0),0)*$D$22*(BW29&lt;=($D$17*12))</f>
        <v>0</v>
      </c>
      <c r="BX32" s="66">
        <f>IFERROR(HLOOKUP('Калькулятор инвестора'!BX$30,Модель!$F$189:$AZ$192,4,0),0)*$D$22*(BX29&lt;=($D$17*12))</f>
        <v>0</v>
      </c>
      <c r="BY32" s="66">
        <f>IFERROR(HLOOKUP('Калькулятор инвестора'!BY$30,Модель!$F$189:$AZ$192,4,0),0)*$D$22*(BY29&lt;=($D$17*12))</f>
        <v>24444.444444444445</v>
      </c>
      <c r="BZ32" s="66">
        <f>IFERROR(HLOOKUP('Калькулятор инвестора'!BZ$30,Модель!$F$189:$AZ$192,4,0),0)*$D$22*(BZ29&lt;=($D$17*12))</f>
        <v>0</v>
      </c>
      <c r="CA32" s="66">
        <f>IFERROR(HLOOKUP('Калькулятор инвестора'!CA$30,Модель!$F$189:$AZ$192,4,0),0)*$D$22*(CA29&lt;=($D$17*12))</f>
        <v>0</v>
      </c>
      <c r="CB32" s="66">
        <f>IFERROR(HLOOKUP('Калькулятор инвестора'!CB$30,Модель!$F$189:$AZ$192,4,0),0)*$D$22*(CB29&lt;=($D$17*12))</f>
        <v>24444.444444444445</v>
      </c>
      <c r="CC32" s="66">
        <f>IFERROR(HLOOKUP('Калькулятор инвестора'!CC$30,Модель!$F$189:$AZ$192,4,0),0)*$D$22*(CC29&lt;=($D$17*12))</f>
        <v>0</v>
      </c>
      <c r="CD32" s="66">
        <f>IFERROR(HLOOKUP('Калькулятор инвестора'!CD$30,Модель!$F$189:$AZ$192,4,0),0)*$D$22*(CD29&lt;=($D$17*12))</f>
        <v>0</v>
      </c>
      <c r="CE32" s="66">
        <f>IFERROR(HLOOKUP('Калькулятор инвестора'!CE$30,Модель!$F$189:$AZ$192,4,0),0)*$D$22*(CE29&lt;=($D$17*12))</f>
        <v>24444.444444444445</v>
      </c>
      <c r="CF32" s="66">
        <f>IFERROR(HLOOKUP('Калькулятор инвестора'!CF$30,Модель!$F$189:$AZ$192,4,0),0)*$D$22*(CF29&lt;=($D$17*12))</f>
        <v>0</v>
      </c>
      <c r="CG32" s="66">
        <f>IFERROR(HLOOKUP('Калькулятор инвестора'!CG$30,Модель!$F$189:$AZ$192,4,0),0)*$D$22*(CG29&lt;=($D$17*12))</f>
        <v>0</v>
      </c>
      <c r="CH32" s="66">
        <f>IFERROR(HLOOKUP('Калькулятор инвестора'!CH$30,Модель!$F$189:$AZ$192,4,0),0)*$D$22*(CH29&lt;=($D$17*12))</f>
        <v>24444.444444444445</v>
      </c>
      <c r="CI32" s="66">
        <f>IFERROR(HLOOKUP('Калькулятор инвестора'!CI$30,Модель!$F$189:$AZ$192,4,0),0)*$D$22*(CI29&lt;=($D$17*12))</f>
        <v>0</v>
      </c>
      <c r="CJ32" s="66">
        <f>IFERROR(HLOOKUP('Калькулятор инвестора'!CJ$30,Модель!$F$189:$AZ$192,4,0),0)*$D$22*(CJ29&lt;=($D$17*12))</f>
        <v>0</v>
      </c>
      <c r="CK32" s="66">
        <f>IFERROR(HLOOKUP('Калькулятор инвестора'!CK$30,Модель!$F$189:$AZ$192,4,0),0)*$D$22*(CK29&lt;=($D$17*12))</f>
        <v>26666.666666666664</v>
      </c>
      <c r="CL32" s="66">
        <f>IFERROR(HLOOKUP('Калькулятор инвестора'!CL$30,Модель!$F$189:$AZ$192,4,0),0)*$D$22*(CL29&lt;=($D$17*12))</f>
        <v>0</v>
      </c>
      <c r="CM32" s="66">
        <f>IFERROR(HLOOKUP('Калькулятор инвестора'!CM$30,Модель!$F$189:$AZ$192,4,0),0)*$D$22*(CM29&lt;=($D$17*12))</f>
        <v>0</v>
      </c>
      <c r="CN32" s="66">
        <f>IFERROR(HLOOKUP('Калькулятор инвестора'!CN$30,Модель!$F$189:$AZ$192,4,0),0)*$D$22*(CN29&lt;=($D$17*12))</f>
        <v>26666.666666666664</v>
      </c>
      <c r="CO32" s="66">
        <f>IFERROR(HLOOKUP('Калькулятор инвестора'!CO$30,Модель!$F$189:$AZ$192,4,0),0)*$D$22*(CO29&lt;=($D$17*12))</f>
        <v>0</v>
      </c>
      <c r="CP32" s="66">
        <f>IFERROR(HLOOKUP('Калькулятор инвестора'!CP$30,Модель!$F$189:$AZ$192,4,0),0)*$D$22*(CP29&lt;=($D$17*12))</f>
        <v>0</v>
      </c>
      <c r="CQ32" s="66">
        <f>IFERROR(HLOOKUP('Калькулятор инвестора'!CQ$30,Модель!$F$189:$AZ$192,4,0),0)*$D$22*(CQ29&lt;=($D$17*12))</f>
        <v>26666.666666666664</v>
      </c>
      <c r="CR32" s="66">
        <f>IFERROR(HLOOKUP('Калькулятор инвестора'!CR$30,Модель!$F$189:$AZ$192,4,0),0)*$D$22*(CR29&lt;=($D$17*12))</f>
        <v>0</v>
      </c>
      <c r="CS32" s="66">
        <f>IFERROR(HLOOKUP('Калькулятор инвестора'!CS$30,Модель!$F$189:$AZ$192,4,0),0)*$D$22*(CS29&lt;=($D$17*12))</f>
        <v>0</v>
      </c>
      <c r="CT32" s="66">
        <f>IFERROR(HLOOKUP('Калькулятор инвестора'!CT$30,Модель!$F$189:$AZ$192,4,0),0)*$D$22*(CT29&lt;=($D$17*12))</f>
        <v>26666.666666666664</v>
      </c>
      <c r="CU32" s="66">
        <f>IFERROR(HLOOKUP('Калькулятор инвестора'!CU$30,Модель!$F$189:$AZ$192,4,0),0)*$D$22*(CU29&lt;=($D$17*12))</f>
        <v>0</v>
      </c>
      <c r="CV32" s="66">
        <f>IFERROR(HLOOKUP('Калькулятор инвестора'!CV$30,Модель!$F$189:$AZ$192,4,0),0)*$D$22*(CV29&lt;=($D$17*12))</f>
        <v>0</v>
      </c>
      <c r="CW32" s="66">
        <f>IFERROR(HLOOKUP('Калькулятор инвестора'!CW$30,Модель!$F$189:$AZ$192,4,0),0)*$D$22*(CW29&lt;=($D$17*12))</f>
        <v>29777.777777777777</v>
      </c>
      <c r="CX32" s="66">
        <f>IFERROR(HLOOKUP('Калькулятор инвестора'!CX$30,Модель!$F$189:$AZ$192,4,0),0)*$D$22*(CX29&lt;=($D$17*12))</f>
        <v>0</v>
      </c>
      <c r="CY32" s="66">
        <f>IFERROR(HLOOKUP('Калькулятор инвестора'!CY$30,Модель!$F$189:$AZ$192,4,0),0)*$D$22*(CY29&lt;=($D$17*12))</f>
        <v>0</v>
      </c>
      <c r="CZ32" s="66">
        <f>IFERROR(HLOOKUP('Калькулятор инвестора'!CZ$30,Модель!$F$189:$AZ$192,4,0),0)*$D$22*(CZ29&lt;=($D$17*12))</f>
        <v>29777.777777777777</v>
      </c>
      <c r="DA32" s="66">
        <f>IFERROR(HLOOKUP('Калькулятор инвестора'!DA$30,Модель!$F$189:$AZ$192,4,0),0)*$D$22*(DA29&lt;=($D$17*12))</f>
        <v>0</v>
      </c>
      <c r="DB32" s="66">
        <f>IFERROR(HLOOKUP('Калькулятор инвестора'!DB$30,Модель!$F$189:$AZ$192,4,0),0)*$D$22*(DB29&lt;=($D$17*12))</f>
        <v>0</v>
      </c>
      <c r="DC32" s="66">
        <f>IFERROR(HLOOKUP('Калькулятор инвестора'!DC$30,Модель!$F$189:$AZ$192,4,0),0)*$D$22*(DC29&lt;=($D$17*12))</f>
        <v>29777.777777777777</v>
      </c>
      <c r="DD32" s="66">
        <f>IFERROR(HLOOKUP('Калькулятор инвестора'!DD$30,Модель!$F$189:$AZ$192,4,0),0)*$D$22*(DD29&lt;=($D$17*12))</f>
        <v>0</v>
      </c>
      <c r="DE32" s="66">
        <f>IFERROR(HLOOKUP('Калькулятор инвестора'!DE$30,Модель!$F$189:$AZ$192,4,0),0)*$D$22*(DE29&lt;=($D$17*12))</f>
        <v>0</v>
      </c>
      <c r="DF32" s="66">
        <f>IFERROR(HLOOKUP('Калькулятор инвестора'!DF$30,Модель!$F$189:$AZ$192,4,0),0)*$D$22*(DF29&lt;=($D$17*12))</f>
        <v>29777.777777777777</v>
      </c>
      <c r="DG32" s="66">
        <f>IFERROR(HLOOKUP('Калькулятор инвестора'!DG$30,Модель!$F$189:$AZ$192,4,0),0)*$D$22*(DG29&lt;=($D$17*12))</f>
        <v>0</v>
      </c>
      <c r="DH32" s="66">
        <f>IFERROR(HLOOKUP('Калькулятор инвестора'!DH$30,Модель!$F$189:$AZ$192,4,0),0)*$D$22*(DH29&lt;=($D$17*12))</f>
        <v>0</v>
      </c>
      <c r="DI32" s="66">
        <f>IFERROR(HLOOKUP('Калькулятор инвестора'!DI$30,Модель!$F$189:$AZ$192,4,0),0)*$D$22*(DI29&lt;=($D$17*12))</f>
        <v>32000</v>
      </c>
      <c r="DJ32" s="66">
        <f>IFERROR(HLOOKUP('Калькулятор инвестора'!DJ$30,Модель!$F$189:$AZ$192,4,0),0)*$D$22*(DJ29&lt;=($D$17*12))</f>
        <v>0</v>
      </c>
      <c r="DK32" s="66">
        <f>IFERROR(HLOOKUP('Калькулятор инвестора'!DK$30,Модель!$F$189:$AZ$192,4,0),0)*$D$22*(DK29&lt;=($D$17*12))</f>
        <v>0</v>
      </c>
      <c r="DL32" s="66">
        <f>IFERROR(HLOOKUP('Калькулятор инвестора'!DL$30,Модель!$F$189:$AZ$192,4,0),0)*$D$22*(DL29&lt;=($D$17*12))</f>
        <v>32000</v>
      </c>
      <c r="DM32" s="66">
        <f>IFERROR(HLOOKUP('Калькулятор инвестора'!DM$30,Модель!$F$189:$AZ$192,4,0),0)*$D$22*(DM29&lt;=($D$17*12))</f>
        <v>0</v>
      </c>
      <c r="DN32" s="66">
        <f>IFERROR(HLOOKUP('Калькулятор инвестора'!DN$30,Модель!$F$189:$AZ$192,4,0),0)*$D$22*(DN29&lt;=($D$17*12))</f>
        <v>0</v>
      </c>
      <c r="DO32" s="66">
        <f>IFERROR(HLOOKUP('Калькулятор инвестора'!DO$30,Модель!$F$189:$AZ$192,4,0),0)*$D$22*(DO29&lt;=($D$17*12))</f>
        <v>32000</v>
      </c>
      <c r="DP32" s="66">
        <f>IFERROR(HLOOKUP('Калькулятор инвестора'!DP$30,Модель!$F$189:$AZ$192,4,0),0)*$D$22*(DP29&lt;=($D$17*12))</f>
        <v>0</v>
      </c>
      <c r="DQ32" s="66">
        <f>IFERROR(HLOOKUP('Калькулятор инвестора'!DQ$30,Модель!$F$189:$AZ$192,4,0),0)*$D$22*(DQ29&lt;=($D$17*12))</f>
        <v>0</v>
      </c>
      <c r="DR32" s="66">
        <f>IFERROR(HLOOKUP('Калькулятор инвестора'!DR$30,Модель!$F$189:$AZ$192,4,0),0)*$D$22*(DR29&lt;=($D$17*12))</f>
        <v>32000</v>
      </c>
    </row>
    <row r="33" spans="1:122" s="77" customFormat="1" ht="18" x14ac:dyDescent="0.2">
      <c r="A33" s="77" t="s">
        <v>191</v>
      </c>
      <c r="B33" s="79">
        <f>-B31+B32</f>
        <v>-1000000</v>
      </c>
      <c r="C33" s="79">
        <f>IF(C$29&lt;=($D$17*12),C32,0) + (C29=$D$17*12)*C31</f>
        <v>0</v>
      </c>
      <c r="D33" s="79">
        <f>IF(D$29&lt;=($D$17*12),D32,0) + (D29=$D$17*12)*D31</f>
        <v>0</v>
      </c>
      <c r="E33" s="79">
        <f>IF(E$29&lt;=($D$17*12),E32,0) + (E29=$D$17*12)*E31</f>
        <v>18666.666666666664</v>
      </c>
      <c r="F33" s="79">
        <f>IF(F$29&lt;=($D$17*12),F32,0) + (F29=$D$17*12)*F31</f>
        <v>0</v>
      </c>
      <c r="G33" s="79">
        <f t="shared" ref="G33:BN33" si="6">IF(G$29&lt;=($D$17*12),G32,0) + (G29=$D$17*12)*G31</f>
        <v>0</v>
      </c>
      <c r="H33" s="79">
        <f t="shared" si="6"/>
        <v>18666.666666666664</v>
      </c>
      <c r="I33" s="79">
        <f t="shared" si="6"/>
        <v>0</v>
      </c>
      <c r="J33" s="79">
        <f t="shared" si="6"/>
        <v>0</v>
      </c>
      <c r="K33" s="79">
        <f t="shared" si="6"/>
        <v>18666.666666666664</v>
      </c>
      <c r="L33" s="79">
        <f t="shared" si="6"/>
        <v>0</v>
      </c>
      <c r="M33" s="79">
        <f t="shared" si="6"/>
        <v>0</v>
      </c>
      <c r="N33" s="79">
        <f t="shared" si="6"/>
        <v>18666.666666666664</v>
      </c>
      <c r="O33" s="79">
        <f t="shared" si="6"/>
        <v>0</v>
      </c>
      <c r="P33" s="79">
        <f t="shared" si="6"/>
        <v>0</v>
      </c>
      <c r="Q33" s="79">
        <f t="shared" si="6"/>
        <v>20444.444444444445</v>
      </c>
      <c r="R33" s="79">
        <f t="shared" si="6"/>
        <v>0</v>
      </c>
      <c r="S33" s="79">
        <f t="shared" si="6"/>
        <v>0</v>
      </c>
      <c r="T33" s="79">
        <f t="shared" si="6"/>
        <v>20444.444444444445</v>
      </c>
      <c r="U33" s="79">
        <f t="shared" si="6"/>
        <v>0</v>
      </c>
      <c r="V33" s="79">
        <f t="shared" si="6"/>
        <v>0</v>
      </c>
      <c r="W33" s="79">
        <f t="shared" si="6"/>
        <v>20444.444444444445</v>
      </c>
      <c r="X33" s="79">
        <f t="shared" si="6"/>
        <v>0</v>
      </c>
      <c r="Y33" s="79">
        <f t="shared" si="6"/>
        <v>0</v>
      </c>
      <c r="Z33" s="79">
        <f t="shared" si="6"/>
        <v>20444.444444444445</v>
      </c>
      <c r="AA33" s="79">
        <f t="shared" si="6"/>
        <v>0</v>
      </c>
      <c r="AB33" s="79">
        <f t="shared" si="6"/>
        <v>0</v>
      </c>
      <c r="AC33" s="79">
        <f t="shared" si="6"/>
        <v>21333.333333333332</v>
      </c>
      <c r="AD33" s="79">
        <f t="shared" si="6"/>
        <v>0</v>
      </c>
      <c r="AE33" s="79">
        <f t="shared" si="6"/>
        <v>0</v>
      </c>
      <c r="AF33" s="79">
        <f t="shared" si="6"/>
        <v>21333.333333333332</v>
      </c>
      <c r="AG33" s="79">
        <f t="shared" si="6"/>
        <v>0</v>
      </c>
      <c r="AH33" s="79">
        <f t="shared" si="6"/>
        <v>0</v>
      </c>
      <c r="AI33" s="79">
        <f t="shared" si="6"/>
        <v>21333.333333333332</v>
      </c>
      <c r="AJ33" s="79">
        <f t="shared" si="6"/>
        <v>0</v>
      </c>
      <c r="AK33" s="79">
        <f t="shared" si="6"/>
        <v>0</v>
      </c>
      <c r="AL33" s="79">
        <f t="shared" si="6"/>
        <v>21333.333333333332</v>
      </c>
      <c r="AM33" s="79">
        <f t="shared" si="6"/>
        <v>0</v>
      </c>
      <c r="AN33" s="79">
        <f t="shared" si="6"/>
        <v>0</v>
      </c>
      <c r="AO33" s="79">
        <f t="shared" si="6"/>
        <v>21777.777777777777</v>
      </c>
      <c r="AP33" s="79">
        <f t="shared" si="6"/>
        <v>0</v>
      </c>
      <c r="AQ33" s="79">
        <f t="shared" si="6"/>
        <v>0</v>
      </c>
      <c r="AR33" s="79">
        <f t="shared" si="6"/>
        <v>21777.777777777777</v>
      </c>
      <c r="AS33" s="79">
        <f t="shared" si="6"/>
        <v>0</v>
      </c>
      <c r="AT33" s="79">
        <f t="shared" si="6"/>
        <v>0</v>
      </c>
      <c r="AU33" s="79">
        <f t="shared" si="6"/>
        <v>21777.777777777777</v>
      </c>
      <c r="AV33" s="79">
        <f t="shared" si="6"/>
        <v>0</v>
      </c>
      <c r="AW33" s="79">
        <f t="shared" si="6"/>
        <v>0</v>
      </c>
      <c r="AX33" s="79">
        <f t="shared" si="6"/>
        <v>21777.777777777777</v>
      </c>
      <c r="AY33" s="79">
        <f t="shared" si="6"/>
        <v>0</v>
      </c>
      <c r="AZ33" s="79">
        <f t="shared" si="6"/>
        <v>0</v>
      </c>
      <c r="BA33" s="79">
        <f t="shared" si="6"/>
        <v>22222.222222222223</v>
      </c>
      <c r="BB33" s="79">
        <f t="shared" si="6"/>
        <v>0</v>
      </c>
      <c r="BC33" s="79">
        <f t="shared" si="6"/>
        <v>0</v>
      </c>
      <c r="BD33" s="79">
        <f t="shared" si="6"/>
        <v>22222.222222222223</v>
      </c>
      <c r="BE33" s="79">
        <f t="shared" si="6"/>
        <v>0</v>
      </c>
      <c r="BF33" s="79">
        <f t="shared" si="6"/>
        <v>0</v>
      </c>
      <c r="BG33" s="79">
        <f t="shared" si="6"/>
        <v>22222.222222222223</v>
      </c>
      <c r="BH33" s="79">
        <f t="shared" si="6"/>
        <v>0</v>
      </c>
      <c r="BI33" s="79">
        <f t="shared" si="6"/>
        <v>0</v>
      </c>
      <c r="BJ33" s="79">
        <f t="shared" si="6"/>
        <v>22222.222222222223</v>
      </c>
      <c r="BK33" s="79">
        <f t="shared" si="6"/>
        <v>0</v>
      </c>
      <c r="BL33" s="79">
        <f t="shared" si="6"/>
        <v>0</v>
      </c>
      <c r="BM33" s="79">
        <f t="shared" si="6"/>
        <v>22666.666666666664</v>
      </c>
      <c r="BN33" s="79">
        <f t="shared" si="6"/>
        <v>0</v>
      </c>
      <c r="BO33" s="79">
        <f t="shared" ref="BO33:DR33" si="7">IF(BO$29&lt;=($D$17*12),BO32,0) + (BO29=$D$17*12)*BO31</f>
        <v>0</v>
      </c>
      <c r="BP33" s="79">
        <f t="shared" si="7"/>
        <v>22666.666666666664</v>
      </c>
      <c r="BQ33" s="79">
        <f t="shared" si="7"/>
        <v>0</v>
      </c>
      <c r="BR33" s="79">
        <f t="shared" si="7"/>
        <v>0</v>
      </c>
      <c r="BS33" s="79">
        <f t="shared" si="7"/>
        <v>22666.666666666664</v>
      </c>
      <c r="BT33" s="79">
        <f t="shared" si="7"/>
        <v>0</v>
      </c>
      <c r="BU33" s="79">
        <f t="shared" si="7"/>
        <v>0</v>
      </c>
      <c r="BV33" s="79">
        <f t="shared" si="7"/>
        <v>22666.666666666664</v>
      </c>
      <c r="BW33" s="79">
        <f t="shared" si="7"/>
        <v>0</v>
      </c>
      <c r="BX33" s="79">
        <f t="shared" si="7"/>
        <v>0</v>
      </c>
      <c r="BY33" s="79">
        <f t="shared" si="7"/>
        <v>24444.444444444445</v>
      </c>
      <c r="BZ33" s="79">
        <f t="shared" si="7"/>
        <v>0</v>
      </c>
      <c r="CA33" s="79">
        <f t="shared" si="7"/>
        <v>0</v>
      </c>
      <c r="CB33" s="79">
        <f t="shared" si="7"/>
        <v>24444.444444444445</v>
      </c>
      <c r="CC33" s="79">
        <f t="shared" si="7"/>
        <v>0</v>
      </c>
      <c r="CD33" s="79">
        <f t="shared" si="7"/>
        <v>0</v>
      </c>
      <c r="CE33" s="79">
        <f t="shared" si="7"/>
        <v>24444.444444444445</v>
      </c>
      <c r="CF33" s="79">
        <f t="shared" si="7"/>
        <v>0</v>
      </c>
      <c r="CG33" s="79">
        <f t="shared" si="7"/>
        <v>0</v>
      </c>
      <c r="CH33" s="79">
        <f t="shared" si="7"/>
        <v>24444.444444444445</v>
      </c>
      <c r="CI33" s="79">
        <f t="shared" si="7"/>
        <v>0</v>
      </c>
      <c r="CJ33" s="79">
        <f t="shared" si="7"/>
        <v>0</v>
      </c>
      <c r="CK33" s="79">
        <f t="shared" si="7"/>
        <v>26666.666666666664</v>
      </c>
      <c r="CL33" s="79">
        <f t="shared" si="7"/>
        <v>0</v>
      </c>
      <c r="CM33" s="79">
        <f t="shared" si="7"/>
        <v>0</v>
      </c>
      <c r="CN33" s="79">
        <f t="shared" si="7"/>
        <v>26666.666666666664</v>
      </c>
      <c r="CO33" s="79">
        <f t="shared" si="7"/>
        <v>0</v>
      </c>
      <c r="CP33" s="79">
        <f t="shared" si="7"/>
        <v>0</v>
      </c>
      <c r="CQ33" s="79">
        <f t="shared" si="7"/>
        <v>26666.666666666664</v>
      </c>
      <c r="CR33" s="79">
        <f t="shared" si="7"/>
        <v>0</v>
      </c>
      <c r="CS33" s="79">
        <f t="shared" si="7"/>
        <v>0</v>
      </c>
      <c r="CT33" s="79">
        <f t="shared" si="7"/>
        <v>26666.666666666664</v>
      </c>
      <c r="CU33" s="79">
        <f t="shared" si="7"/>
        <v>0</v>
      </c>
      <c r="CV33" s="79">
        <f t="shared" si="7"/>
        <v>0</v>
      </c>
      <c r="CW33" s="79">
        <f t="shared" si="7"/>
        <v>29777.777777777777</v>
      </c>
      <c r="CX33" s="79">
        <f t="shared" si="7"/>
        <v>0</v>
      </c>
      <c r="CY33" s="79">
        <f t="shared" si="7"/>
        <v>0</v>
      </c>
      <c r="CZ33" s="79">
        <f t="shared" si="7"/>
        <v>29777.777777777777</v>
      </c>
      <c r="DA33" s="79">
        <f t="shared" si="7"/>
        <v>0</v>
      </c>
      <c r="DB33" s="79">
        <f t="shared" si="7"/>
        <v>0</v>
      </c>
      <c r="DC33" s="79">
        <f t="shared" si="7"/>
        <v>29777.777777777777</v>
      </c>
      <c r="DD33" s="79">
        <f t="shared" si="7"/>
        <v>0</v>
      </c>
      <c r="DE33" s="79">
        <f t="shared" si="7"/>
        <v>0</v>
      </c>
      <c r="DF33" s="79">
        <f t="shared" si="7"/>
        <v>29777.777777777777</v>
      </c>
      <c r="DG33" s="79">
        <f t="shared" si="7"/>
        <v>0</v>
      </c>
      <c r="DH33" s="79">
        <f t="shared" si="7"/>
        <v>0</v>
      </c>
      <c r="DI33" s="79">
        <f t="shared" si="7"/>
        <v>32000</v>
      </c>
      <c r="DJ33" s="79">
        <f t="shared" si="7"/>
        <v>0</v>
      </c>
      <c r="DK33" s="79">
        <f t="shared" si="7"/>
        <v>0</v>
      </c>
      <c r="DL33" s="79">
        <f t="shared" si="7"/>
        <v>32000</v>
      </c>
      <c r="DM33" s="79">
        <f t="shared" si="7"/>
        <v>0</v>
      </c>
      <c r="DN33" s="79">
        <f t="shared" si="7"/>
        <v>0</v>
      </c>
      <c r="DO33" s="79">
        <f t="shared" si="7"/>
        <v>32000</v>
      </c>
      <c r="DP33" s="79">
        <f t="shared" si="7"/>
        <v>0</v>
      </c>
      <c r="DQ33" s="79">
        <f t="shared" si="7"/>
        <v>0</v>
      </c>
      <c r="DR33" s="79">
        <f t="shared" si="7"/>
        <v>2681409.777314337</v>
      </c>
    </row>
    <row r="34" spans="1:122" s="80" customFormat="1" ht="18" x14ac:dyDescent="0.2">
      <c r="A34" s="80" t="s">
        <v>156</v>
      </c>
      <c r="B34" s="81"/>
      <c r="C34" s="82">
        <f>IFERROR(C32/$B$31*4,0)</f>
        <v>0</v>
      </c>
      <c r="D34" s="82">
        <f t="shared" ref="D34:BO34" si="8">IFERROR(D32/$B$31*4,0)</f>
        <v>0</v>
      </c>
      <c r="E34" s="82">
        <f t="shared" si="8"/>
        <v>7.4666666666666659E-2</v>
      </c>
      <c r="F34" s="82">
        <f t="shared" si="8"/>
        <v>0</v>
      </c>
      <c r="G34" s="82">
        <f t="shared" si="8"/>
        <v>0</v>
      </c>
      <c r="H34" s="82">
        <f t="shared" si="8"/>
        <v>7.4666666666666659E-2</v>
      </c>
      <c r="I34" s="82">
        <f t="shared" si="8"/>
        <v>0</v>
      </c>
      <c r="J34" s="82">
        <f t="shared" si="8"/>
        <v>0</v>
      </c>
      <c r="K34" s="82">
        <f t="shared" si="8"/>
        <v>7.4666666666666659E-2</v>
      </c>
      <c r="L34" s="82">
        <f t="shared" si="8"/>
        <v>0</v>
      </c>
      <c r="M34" s="82">
        <f t="shared" si="8"/>
        <v>0</v>
      </c>
      <c r="N34" s="82">
        <f t="shared" si="8"/>
        <v>7.4666666666666659E-2</v>
      </c>
      <c r="O34" s="82">
        <f t="shared" si="8"/>
        <v>0</v>
      </c>
      <c r="P34" s="82">
        <f t="shared" si="8"/>
        <v>0</v>
      </c>
      <c r="Q34" s="82">
        <f t="shared" si="8"/>
        <v>8.1777777777777783E-2</v>
      </c>
      <c r="R34" s="82">
        <f t="shared" si="8"/>
        <v>0</v>
      </c>
      <c r="S34" s="82">
        <f t="shared" si="8"/>
        <v>0</v>
      </c>
      <c r="T34" s="82">
        <f t="shared" si="8"/>
        <v>8.1777777777777783E-2</v>
      </c>
      <c r="U34" s="82">
        <f t="shared" si="8"/>
        <v>0</v>
      </c>
      <c r="V34" s="82">
        <f t="shared" si="8"/>
        <v>0</v>
      </c>
      <c r="W34" s="82">
        <f t="shared" si="8"/>
        <v>8.1777777777777783E-2</v>
      </c>
      <c r="X34" s="82">
        <f t="shared" si="8"/>
        <v>0</v>
      </c>
      <c r="Y34" s="82">
        <f t="shared" si="8"/>
        <v>0</v>
      </c>
      <c r="Z34" s="82">
        <f t="shared" si="8"/>
        <v>8.1777777777777783E-2</v>
      </c>
      <c r="AA34" s="82">
        <f t="shared" si="8"/>
        <v>0</v>
      </c>
      <c r="AB34" s="82">
        <f t="shared" si="8"/>
        <v>0</v>
      </c>
      <c r="AC34" s="82">
        <f t="shared" si="8"/>
        <v>8.533333333333333E-2</v>
      </c>
      <c r="AD34" s="82">
        <f t="shared" si="8"/>
        <v>0</v>
      </c>
      <c r="AE34" s="82">
        <f t="shared" si="8"/>
        <v>0</v>
      </c>
      <c r="AF34" s="82">
        <f t="shared" si="8"/>
        <v>8.533333333333333E-2</v>
      </c>
      <c r="AG34" s="82">
        <f t="shared" si="8"/>
        <v>0</v>
      </c>
      <c r="AH34" s="82">
        <f t="shared" si="8"/>
        <v>0</v>
      </c>
      <c r="AI34" s="82">
        <f t="shared" si="8"/>
        <v>8.533333333333333E-2</v>
      </c>
      <c r="AJ34" s="82">
        <f t="shared" si="8"/>
        <v>0</v>
      </c>
      <c r="AK34" s="82">
        <f t="shared" si="8"/>
        <v>0</v>
      </c>
      <c r="AL34" s="82">
        <f t="shared" si="8"/>
        <v>8.533333333333333E-2</v>
      </c>
      <c r="AM34" s="82">
        <f t="shared" si="8"/>
        <v>0</v>
      </c>
      <c r="AN34" s="82">
        <f t="shared" si="8"/>
        <v>0</v>
      </c>
      <c r="AO34" s="82">
        <f t="shared" si="8"/>
        <v>8.7111111111111111E-2</v>
      </c>
      <c r="AP34" s="82">
        <f t="shared" si="8"/>
        <v>0</v>
      </c>
      <c r="AQ34" s="82">
        <f t="shared" si="8"/>
        <v>0</v>
      </c>
      <c r="AR34" s="82">
        <f t="shared" si="8"/>
        <v>8.7111111111111111E-2</v>
      </c>
      <c r="AS34" s="82">
        <f t="shared" si="8"/>
        <v>0</v>
      </c>
      <c r="AT34" s="82">
        <f t="shared" si="8"/>
        <v>0</v>
      </c>
      <c r="AU34" s="82">
        <f t="shared" si="8"/>
        <v>8.7111111111111111E-2</v>
      </c>
      <c r="AV34" s="82">
        <f t="shared" si="8"/>
        <v>0</v>
      </c>
      <c r="AW34" s="82">
        <f t="shared" si="8"/>
        <v>0</v>
      </c>
      <c r="AX34" s="82">
        <f t="shared" si="8"/>
        <v>8.7111111111111111E-2</v>
      </c>
      <c r="AY34" s="82">
        <f t="shared" si="8"/>
        <v>0</v>
      </c>
      <c r="AZ34" s="82">
        <f t="shared" si="8"/>
        <v>0</v>
      </c>
      <c r="BA34" s="82">
        <f t="shared" si="8"/>
        <v>8.8888888888888892E-2</v>
      </c>
      <c r="BB34" s="82">
        <f t="shared" si="8"/>
        <v>0</v>
      </c>
      <c r="BC34" s="82">
        <f t="shared" si="8"/>
        <v>0</v>
      </c>
      <c r="BD34" s="82">
        <f t="shared" si="8"/>
        <v>8.8888888888888892E-2</v>
      </c>
      <c r="BE34" s="82">
        <f t="shared" si="8"/>
        <v>0</v>
      </c>
      <c r="BF34" s="82">
        <f t="shared" si="8"/>
        <v>0</v>
      </c>
      <c r="BG34" s="82">
        <f t="shared" si="8"/>
        <v>8.8888888888888892E-2</v>
      </c>
      <c r="BH34" s="82">
        <f t="shared" si="8"/>
        <v>0</v>
      </c>
      <c r="BI34" s="82">
        <f t="shared" si="8"/>
        <v>0</v>
      </c>
      <c r="BJ34" s="82">
        <f t="shared" si="8"/>
        <v>8.8888888888888892E-2</v>
      </c>
      <c r="BK34" s="82">
        <f t="shared" si="8"/>
        <v>0</v>
      </c>
      <c r="BL34" s="82">
        <f t="shared" si="8"/>
        <v>0</v>
      </c>
      <c r="BM34" s="82">
        <f t="shared" si="8"/>
        <v>9.0666666666666659E-2</v>
      </c>
      <c r="BN34" s="82">
        <f t="shared" si="8"/>
        <v>0</v>
      </c>
      <c r="BO34" s="82">
        <f t="shared" si="8"/>
        <v>0</v>
      </c>
      <c r="BP34" s="82">
        <f t="shared" ref="BP34:DR34" si="9">IFERROR(BP32/$B$31*4,0)</f>
        <v>9.0666666666666659E-2</v>
      </c>
      <c r="BQ34" s="82">
        <f t="shared" si="9"/>
        <v>0</v>
      </c>
      <c r="BR34" s="82">
        <f t="shared" si="9"/>
        <v>0</v>
      </c>
      <c r="BS34" s="82">
        <f t="shared" si="9"/>
        <v>9.0666666666666659E-2</v>
      </c>
      <c r="BT34" s="82">
        <f t="shared" si="9"/>
        <v>0</v>
      </c>
      <c r="BU34" s="82">
        <f t="shared" si="9"/>
        <v>0</v>
      </c>
      <c r="BV34" s="82">
        <f t="shared" si="9"/>
        <v>9.0666666666666659E-2</v>
      </c>
      <c r="BW34" s="82">
        <f t="shared" si="9"/>
        <v>0</v>
      </c>
      <c r="BX34" s="82">
        <f t="shared" si="9"/>
        <v>0</v>
      </c>
      <c r="BY34" s="82">
        <f t="shared" si="9"/>
        <v>9.7777777777777783E-2</v>
      </c>
      <c r="BZ34" s="82">
        <f t="shared" si="9"/>
        <v>0</v>
      </c>
      <c r="CA34" s="82">
        <f t="shared" si="9"/>
        <v>0</v>
      </c>
      <c r="CB34" s="82">
        <f t="shared" si="9"/>
        <v>9.7777777777777783E-2</v>
      </c>
      <c r="CC34" s="82">
        <f t="shared" si="9"/>
        <v>0</v>
      </c>
      <c r="CD34" s="82">
        <f t="shared" si="9"/>
        <v>0</v>
      </c>
      <c r="CE34" s="82">
        <f t="shared" si="9"/>
        <v>9.7777777777777783E-2</v>
      </c>
      <c r="CF34" s="82">
        <f t="shared" si="9"/>
        <v>0</v>
      </c>
      <c r="CG34" s="82">
        <f t="shared" si="9"/>
        <v>0</v>
      </c>
      <c r="CH34" s="82">
        <f t="shared" si="9"/>
        <v>9.7777777777777783E-2</v>
      </c>
      <c r="CI34" s="82">
        <f t="shared" si="9"/>
        <v>0</v>
      </c>
      <c r="CJ34" s="82">
        <f t="shared" si="9"/>
        <v>0</v>
      </c>
      <c r="CK34" s="82">
        <f t="shared" si="9"/>
        <v>0.10666666666666666</v>
      </c>
      <c r="CL34" s="82">
        <f t="shared" si="9"/>
        <v>0</v>
      </c>
      <c r="CM34" s="82">
        <f t="shared" si="9"/>
        <v>0</v>
      </c>
      <c r="CN34" s="82">
        <f t="shared" si="9"/>
        <v>0.10666666666666666</v>
      </c>
      <c r="CO34" s="82">
        <f t="shared" si="9"/>
        <v>0</v>
      </c>
      <c r="CP34" s="82">
        <f t="shared" si="9"/>
        <v>0</v>
      </c>
      <c r="CQ34" s="82">
        <f t="shared" si="9"/>
        <v>0.10666666666666666</v>
      </c>
      <c r="CR34" s="82">
        <f t="shared" si="9"/>
        <v>0</v>
      </c>
      <c r="CS34" s="82">
        <f t="shared" si="9"/>
        <v>0</v>
      </c>
      <c r="CT34" s="82">
        <f t="shared" si="9"/>
        <v>0.10666666666666666</v>
      </c>
      <c r="CU34" s="82">
        <f t="shared" si="9"/>
        <v>0</v>
      </c>
      <c r="CV34" s="82">
        <f t="shared" si="9"/>
        <v>0</v>
      </c>
      <c r="CW34" s="82">
        <f t="shared" si="9"/>
        <v>0.11911111111111111</v>
      </c>
      <c r="CX34" s="82">
        <f t="shared" si="9"/>
        <v>0</v>
      </c>
      <c r="CY34" s="82">
        <f t="shared" si="9"/>
        <v>0</v>
      </c>
      <c r="CZ34" s="82">
        <f t="shared" si="9"/>
        <v>0.11911111111111111</v>
      </c>
      <c r="DA34" s="82">
        <f t="shared" si="9"/>
        <v>0</v>
      </c>
      <c r="DB34" s="82">
        <f t="shared" si="9"/>
        <v>0</v>
      </c>
      <c r="DC34" s="82">
        <f t="shared" si="9"/>
        <v>0.11911111111111111</v>
      </c>
      <c r="DD34" s="82">
        <f t="shared" si="9"/>
        <v>0</v>
      </c>
      <c r="DE34" s="82">
        <f t="shared" si="9"/>
        <v>0</v>
      </c>
      <c r="DF34" s="82">
        <f t="shared" si="9"/>
        <v>0.11911111111111111</v>
      </c>
      <c r="DG34" s="82">
        <f t="shared" si="9"/>
        <v>0</v>
      </c>
      <c r="DH34" s="82">
        <f t="shared" si="9"/>
        <v>0</v>
      </c>
      <c r="DI34" s="82">
        <f t="shared" si="9"/>
        <v>0.128</v>
      </c>
      <c r="DJ34" s="82">
        <f t="shared" si="9"/>
        <v>0</v>
      </c>
      <c r="DK34" s="82">
        <f t="shared" si="9"/>
        <v>0</v>
      </c>
      <c r="DL34" s="82">
        <f t="shared" si="9"/>
        <v>0.128</v>
      </c>
      <c r="DM34" s="82">
        <f t="shared" si="9"/>
        <v>0</v>
      </c>
      <c r="DN34" s="82">
        <f t="shared" si="9"/>
        <v>0</v>
      </c>
      <c r="DO34" s="82">
        <f t="shared" si="9"/>
        <v>0.128</v>
      </c>
      <c r="DP34" s="82">
        <f t="shared" si="9"/>
        <v>0</v>
      </c>
      <c r="DQ34" s="82">
        <f t="shared" si="9"/>
        <v>0</v>
      </c>
      <c r="DR34" s="82">
        <f t="shared" si="9"/>
        <v>0.128</v>
      </c>
    </row>
    <row r="35" spans="1:122" s="72" customFormat="1" ht="18" x14ac:dyDescent="0.2">
      <c r="B35" s="83"/>
      <c r="C35" s="83">
        <v>1</v>
      </c>
      <c r="D35" s="83">
        <v>2</v>
      </c>
      <c r="E35" s="83">
        <f>D35+1</f>
        <v>3</v>
      </c>
      <c r="F35" s="83">
        <f t="shared" ref="F35:L35" si="10">E35+1</f>
        <v>4</v>
      </c>
      <c r="G35" s="83">
        <f t="shared" si="10"/>
        <v>5</v>
      </c>
      <c r="H35" s="83">
        <f t="shared" si="10"/>
        <v>6</v>
      </c>
      <c r="I35" s="83">
        <f t="shared" si="10"/>
        <v>7</v>
      </c>
      <c r="J35" s="83">
        <f t="shared" si="10"/>
        <v>8</v>
      </c>
      <c r="K35" s="83">
        <f t="shared" si="10"/>
        <v>9</v>
      </c>
      <c r="L35" s="83">
        <f t="shared" si="10"/>
        <v>10</v>
      </c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83"/>
      <c r="AE35" s="83"/>
      <c r="AF35" s="83"/>
      <c r="AG35" s="83"/>
      <c r="AH35" s="83"/>
      <c r="AI35" s="83"/>
      <c r="AJ35" s="83"/>
      <c r="AK35" s="83"/>
      <c r="AL35" s="83"/>
      <c r="AM35" s="83"/>
      <c r="AN35" s="83"/>
      <c r="AO35" s="83"/>
      <c r="AP35" s="83"/>
      <c r="AQ35" s="83"/>
      <c r="AR35" s="83"/>
      <c r="AS35" s="83"/>
      <c r="AT35" s="83"/>
      <c r="AU35" s="83"/>
      <c r="AV35" s="83"/>
      <c r="AW35" s="83"/>
      <c r="AX35" s="83"/>
      <c r="AY35" s="83"/>
      <c r="AZ35" s="83"/>
      <c r="BA35" s="83"/>
      <c r="BB35" s="83"/>
      <c r="BC35" s="83"/>
      <c r="BD35" s="83"/>
      <c r="BE35" s="83"/>
      <c r="BF35" s="83"/>
      <c r="BG35" s="83"/>
      <c r="BH35" s="83"/>
      <c r="BI35" s="83"/>
      <c r="BJ35" s="83"/>
    </row>
    <row r="36" spans="1:122" s="72" customFormat="1" ht="18" x14ac:dyDescent="0.2">
      <c r="A36" s="77" t="s">
        <v>192</v>
      </c>
      <c r="B36" s="33" t="s">
        <v>192</v>
      </c>
      <c r="C36" s="84">
        <f>EOMONTH(B30,12)</f>
        <v>46568</v>
      </c>
      <c r="D36" s="84">
        <f>EOMONTH(C36,12)</f>
        <v>46934</v>
      </c>
      <c r="E36" s="84">
        <f t="shared" ref="E36:L36" si="11">EOMONTH(D36,12)</f>
        <v>47299</v>
      </c>
      <c r="F36" s="84">
        <f t="shared" si="11"/>
        <v>47664</v>
      </c>
      <c r="G36" s="84">
        <f t="shared" si="11"/>
        <v>48029</v>
      </c>
      <c r="H36" s="84">
        <f t="shared" si="11"/>
        <v>48395</v>
      </c>
      <c r="I36" s="84">
        <f t="shared" si="11"/>
        <v>48760</v>
      </c>
      <c r="J36" s="84">
        <f t="shared" si="11"/>
        <v>49125</v>
      </c>
      <c r="K36" s="84">
        <f t="shared" si="11"/>
        <v>49490</v>
      </c>
      <c r="L36" s="84">
        <f t="shared" si="11"/>
        <v>49856</v>
      </c>
    </row>
    <row r="37" spans="1:122" s="72" customFormat="1" ht="18" x14ac:dyDescent="0.2">
      <c r="A37" s="77" t="s">
        <v>15</v>
      </c>
      <c r="B37" s="33" t="s">
        <v>15</v>
      </c>
      <c r="C37" s="33">
        <v>12</v>
      </c>
      <c r="D37" s="33">
        <f>C37+12</f>
        <v>24</v>
      </c>
      <c r="E37" s="33">
        <f t="shared" ref="E37:L37" si="12">D37+12</f>
        <v>36</v>
      </c>
      <c r="F37" s="33">
        <f t="shared" si="12"/>
        <v>48</v>
      </c>
      <c r="G37" s="33">
        <f t="shared" si="12"/>
        <v>60</v>
      </c>
      <c r="H37" s="33">
        <f t="shared" si="12"/>
        <v>72</v>
      </c>
      <c r="I37" s="33">
        <f t="shared" si="12"/>
        <v>84</v>
      </c>
      <c r="J37" s="33">
        <f t="shared" si="12"/>
        <v>96</v>
      </c>
      <c r="K37" s="33">
        <f t="shared" si="12"/>
        <v>108</v>
      </c>
      <c r="L37" s="33">
        <f t="shared" si="12"/>
        <v>120</v>
      </c>
      <c r="DR37" s="85"/>
    </row>
    <row r="38" spans="1:122" s="72" customFormat="1" ht="18" x14ac:dyDescent="0.2">
      <c r="A38" s="77" t="s">
        <v>189</v>
      </c>
      <c r="B38" s="33" t="s">
        <v>193</v>
      </c>
      <c r="C38" s="33" t="s">
        <v>194</v>
      </c>
      <c r="D38" s="33" t="s">
        <v>195</v>
      </c>
      <c r="E38" s="33" t="s">
        <v>196</v>
      </c>
      <c r="F38" s="33" t="s">
        <v>197</v>
      </c>
      <c r="G38" s="33" t="s">
        <v>198</v>
      </c>
      <c r="H38" s="33" t="s">
        <v>199</v>
      </c>
      <c r="I38" s="33" t="s">
        <v>200</v>
      </c>
      <c r="J38" s="33" t="s">
        <v>201</v>
      </c>
      <c r="K38" s="33" t="s">
        <v>202</v>
      </c>
      <c r="L38" s="33" t="s">
        <v>203</v>
      </c>
    </row>
    <row r="39" spans="1:122" s="72" customFormat="1" ht="18" x14ac:dyDescent="0.2">
      <c r="A39" s="77" t="str">
        <f>A31</f>
        <v xml:space="preserve">Стоимость доли </v>
      </c>
      <c r="B39" s="76">
        <f>B31/1000</f>
        <v>1000</v>
      </c>
      <c r="C39" s="76">
        <f>HLOOKUP(C$37,$B$29:$DR$31,3,FALSE)/1000</f>
        <v>1105.3760392074023</v>
      </c>
      <c r="D39" s="76">
        <f t="shared" ref="D39:K39" si="13">HLOOKUP(D$37,$B$29:$DR$31,3,FALSE)/1000</f>
        <v>1205.7298220682933</v>
      </c>
      <c r="E39" s="76">
        <f t="shared" si="13"/>
        <v>1321.1765228850165</v>
      </c>
      <c r="F39" s="76">
        <f>HLOOKUP(F$37,$B$29:$DR$31,3,FALSE)/1000</f>
        <v>1455.3787793599504</v>
      </c>
      <c r="G39" s="76">
        <f t="shared" si="13"/>
        <v>1610.4104922313984</v>
      </c>
      <c r="H39" s="76">
        <f>HLOOKUP(H$37,$B$29:$DR$31,3,FALSE)/1000</f>
        <v>1780.2209960841301</v>
      </c>
      <c r="I39" s="76">
        <f t="shared" si="13"/>
        <v>1966.7208274567961</v>
      </c>
      <c r="J39" s="76">
        <f t="shared" si="13"/>
        <v>2172.8894648459777</v>
      </c>
      <c r="K39" s="76">
        <f t="shared" si="13"/>
        <v>2398.0476420973973</v>
      </c>
      <c r="L39" s="76">
        <f>HLOOKUP(L$37,$B$29:$DR$31,3,FALSE)/1000</f>
        <v>2649.4097773143371</v>
      </c>
      <c r="N39" s="85"/>
    </row>
    <row r="40" spans="1:122" s="72" customFormat="1" ht="18" x14ac:dyDescent="0.2">
      <c r="A40" s="77" t="s">
        <v>58</v>
      </c>
      <c r="B40" s="76">
        <f>B32</f>
        <v>0</v>
      </c>
      <c r="C40" s="76">
        <f>SUMIF($C$28:$DR$28,C$35,$C$32:$DR$32)/1000</f>
        <v>74.666666666666657</v>
      </c>
      <c r="D40" s="76">
        <f>SUMIF($C$28:$DR$28,D$35,$C$32:$DR$32)/1000</f>
        <v>81.777777777777786</v>
      </c>
      <c r="E40" s="76">
        <f t="shared" ref="E40:K40" si="14">SUMIF($C$28:$DR$28,E$35,$C$32:$DR$32)/1000</f>
        <v>85.333333333333329</v>
      </c>
      <c r="F40" s="76">
        <f t="shared" si="14"/>
        <v>87.111111111111114</v>
      </c>
      <c r="G40" s="76">
        <f t="shared" si="14"/>
        <v>88.888888888888886</v>
      </c>
      <c r="H40" s="76">
        <f t="shared" si="14"/>
        <v>90.666666666666657</v>
      </c>
      <c r="I40" s="76">
        <f t="shared" si="14"/>
        <v>97.777777777777786</v>
      </c>
      <c r="J40" s="76">
        <f t="shared" si="14"/>
        <v>106.66666666666666</v>
      </c>
      <c r="K40" s="76">
        <f t="shared" si="14"/>
        <v>119.11111111111111</v>
      </c>
      <c r="L40" s="76">
        <f>SUMIF($C$28:$DR$28,L$35,$C$32:$DR$32)/1000</f>
        <v>128</v>
      </c>
      <c r="M40" s="86"/>
      <c r="N40" s="87"/>
    </row>
    <row r="41" spans="1:122" s="72" customFormat="1" ht="18" x14ac:dyDescent="0.2">
      <c r="A41" s="77"/>
      <c r="B41" s="76"/>
      <c r="C41" s="76"/>
      <c r="D41" s="88"/>
      <c r="E41" s="88"/>
      <c r="F41" s="88"/>
      <c r="G41" s="88"/>
      <c r="H41" s="88"/>
      <c r="I41" s="88"/>
      <c r="J41" s="88"/>
      <c r="K41" s="88"/>
      <c r="L41" s="88"/>
      <c r="M41" s="86"/>
      <c r="N41" s="89"/>
    </row>
    <row r="42" spans="1:122" s="72" customFormat="1" ht="18" x14ac:dyDescent="0.2">
      <c r="A42" s="77"/>
      <c r="B42" s="76"/>
      <c r="C42" s="76"/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</row>
    <row r="43" spans="1:122" s="34" customFormat="1" ht="18" x14ac:dyDescent="0.2">
      <c r="A43" s="35"/>
      <c r="B43" s="38"/>
      <c r="C43" s="38"/>
      <c r="D43" s="38"/>
      <c r="E43" s="38"/>
      <c r="G43" s="38"/>
      <c r="H43" s="38"/>
      <c r="I43" s="38"/>
      <c r="J43" s="38"/>
      <c r="K43" s="38"/>
      <c r="L43" s="38"/>
      <c r="M43" s="38"/>
      <c r="N43" s="38"/>
    </row>
    <row r="44" spans="1:122" s="34" customFormat="1" ht="18" x14ac:dyDescent="0.2">
      <c r="A44" s="35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</row>
    <row r="45" spans="1:122" s="34" customFormat="1" ht="18" x14ac:dyDescent="0.2">
      <c r="A45" s="35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</row>
    <row r="46" spans="1:122" s="34" customFormat="1" ht="18" x14ac:dyDescent="0.2">
      <c r="A46" s="35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</row>
    <row r="47" spans="1:122" s="34" customFormat="1" ht="18" x14ac:dyDescent="0.2">
      <c r="A47" s="35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</row>
    <row r="48" spans="1:122" s="34" customFormat="1" ht="18" x14ac:dyDescent="0.2">
      <c r="A48" s="35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</row>
    <row r="49" spans="3:9" ht="16" x14ac:dyDescent="0.2">
      <c r="C49" s="68"/>
      <c r="D49" s="68"/>
      <c r="E49" s="68"/>
      <c r="F49" s="68"/>
      <c r="G49" s="68"/>
      <c r="H49" s="68"/>
      <c r="I49" s="68"/>
    </row>
    <row r="50" spans="3:9" ht="16" x14ac:dyDescent="0.2">
      <c r="C50" s="68"/>
      <c r="D50" s="68"/>
      <c r="E50" s="68"/>
      <c r="F50" s="68"/>
      <c r="G50" s="68"/>
      <c r="H50" s="68"/>
      <c r="I50" s="68"/>
    </row>
    <row r="51" spans="3:9" ht="16" x14ac:dyDescent="0.2">
      <c r="C51" s="68"/>
      <c r="D51" s="68"/>
      <c r="E51" s="68"/>
      <c r="F51" s="68"/>
      <c r="G51" s="68"/>
      <c r="H51" s="68"/>
      <c r="I51" s="68"/>
    </row>
    <row r="52" spans="3:9" ht="16" x14ac:dyDescent="0.2">
      <c r="C52" s="68"/>
      <c r="D52" s="68"/>
      <c r="E52" s="68"/>
      <c r="F52" s="68"/>
      <c r="G52" s="68"/>
      <c r="H52" s="68"/>
      <c r="I52" s="68"/>
    </row>
    <row r="53" spans="3:9" ht="16" x14ac:dyDescent="0.2">
      <c r="C53" s="68"/>
      <c r="D53" s="68"/>
      <c r="E53" s="68"/>
      <c r="F53" s="68"/>
      <c r="G53" s="68"/>
      <c r="H53" s="68"/>
      <c r="I53" s="68"/>
    </row>
    <row r="54" spans="3:9" ht="16" x14ac:dyDescent="0.2">
      <c r="C54" s="68"/>
      <c r="D54" s="68"/>
      <c r="E54" s="68"/>
      <c r="F54" s="68"/>
      <c r="G54" s="68"/>
      <c r="H54" s="68"/>
      <c r="I54" s="68"/>
    </row>
    <row r="55" spans="3:9" ht="16" x14ac:dyDescent="0.2">
      <c r="C55" s="68"/>
      <c r="D55" s="68"/>
      <c r="E55" s="68"/>
      <c r="F55" s="68"/>
      <c r="G55" s="68"/>
      <c r="H55" s="68"/>
      <c r="I55" s="68"/>
    </row>
    <row r="56" spans="3:9" ht="16" x14ac:dyDescent="0.2">
      <c r="C56" s="68"/>
      <c r="D56" s="68"/>
      <c r="E56" s="68"/>
      <c r="F56" s="68"/>
      <c r="G56" s="68"/>
      <c r="H56" s="68"/>
      <c r="I56" s="68"/>
    </row>
    <row r="57" spans="3:9" ht="16" x14ac:dyDescent="0.2">
      <c r="C57" s="68"/>
      <c r="D57" s="68"/>
      <c r="E57" s="68"/>
      <c r="F57" s="68"/>
      <c r="G57" s="68"/>
      <c r="H57" s="68"/>
      <c r="I57" s="68"/>
    </row>
    <row r="58" spans="3:9" ht="16" x14ac:dyDescent="0.2">
      <c r="C58" s="68"/>
      <c r="D58" s="68"/>
      <c r="E58" s="68"/>
      <c r="F58" s="68"/>
      <c r="G58" s="68"/>
      <c r="H58" s="68"/>
      <c r="I58" s="68"/>
    </row>
    <row r="59" spans="3:9" ht="16" x14ac:dyDescent="0.2">
      <c r="C59" s="68"/>
      <c r="D59" s="68"/>
      <c r="E59" s="68"/>
      <c r="F59" s="68"/>
      <c r="G59" s="68"/>
      <c r="H59" s="68"/>
      <c r="I59" s="68"/>
    </row>
    <row r="60" spans="3:9" ht="16" x14ac:dyDescent="0.2">
      <c r="C60" s="68"/>
      <c r="D60" s="68"/>
      <c r="E60" s="68"/>
      <c r="F60" s="68"/>
      <c r="G60" s="68"/>
      <c r="H60" s="68"/>
      <c r="I60" s="68"/>
    </row>
    <row r="61" spans="3:9" ht="16" x14ac:dyDescent="0.2">
      <c r="C61" s="68"/>
      <c r="D61" s="68"/>
      <c r="E61" s="68"/>
      <c r="F61" s="68"/>
      <c r="G61" s="68"/>
      <c r="H61" s="68"/>
      <c r="I61" s="68"/>
    </row>
    <row r="62" spans="3:9" ht="16" x14ac:dyDescent="0.2">
      <c r="C62" s="68"/>
      <c r="D62" s="68"/>
      <c r="E62" s="68"/>
      <c r="F62" s="68"/>
      <c r="G62" s="68"/>
      <c r="H62" s="68"/>
      <c r="I62" s="68"/>
    </row>
    <row r="63" spans="3:9" ht="16" x14ac:dyDescent="0.2">
      <c r="C63" s="68"/>
      <c r="D63" s="68"/>
      <c r="E63" s="68"/>
      <c r="F63" s="68"/>
      <c r="G63" s="68"/>
      <c r="H63" s="68"/>
      <c r="I63" s="68"/>
    </row>
    <row r="64" spans="3:9" ht="16" x14ac:dyDescent="0.2">
      <c r="C64" s="68"/>
      <c r="D64" s="68"/>
      <c r="E64" s="68"/>
      <c r="F64" s="68"/>
      <c r="G64" s="68"/>
      <c r="H64" s="68"/>
      <c r="I64" s="68"/>
    </row>
    <row r="65" spans="3:9" ht="16" x14ac:dyDescent="0.2">
      <c r="C65" s="68"/>
      <c r="D65" s="68"/>
      <c r="E65" s="68"/>
      <c r="F65" s="68"/>
      <c r="G65" s="68"/>
      <c r="H65" s="68"/>
      <c r="I65" s="68"/>
    </row>
    <row r="66" spans="3:9" ht="16" x14ac:dyDescent="0.2">
      <c r="C66" s="68"/>
      <c r="D66" s="68"/>
      <c r="E66" s="68"/>
      <c r="F66" s="68"/>
      <c r="G66" s="68"/>
      <c r="H66" s="68"/>
      <c r="I66" s="68"/>
    </row>
    <row r="67" spans="3:9" ht="16" x14ac:dyDescent="0.2">
      <c r="C67" s="68"/>
      <c r="D67" s="68"/>
      <c r="E67" s="68"/>
      <c r="F67" s="68"/>
      <c r="G67" s="68"/>
      <c r="H67" s="68"/>
      <c r="I67" s="68"/>
    </row>
    <row r="68" spans="3:9" ht="16" x14ac:dyDescent="0.2">
      <c r="C68" s="68"/>
      <c r="D68" s="68"/>
      <c r="E68" s="68"/>
      <c r="F68" s="68"/>
      <c r="G68" s="68"/>
      <c r="H68" s="68"/>
      <c r="I68" s="68"/>
    </row>
    <row r="69" spans="3:9" ht="16" x14ac:dyDescent="0.2">
      <c r="C69" s="68"/>
      <c r="D69" s="68"/>
      <c r="E69" s="68"/>
      <c r="F69" s="68"/>
      <c r="G69" s="68"/>
      <c r="H69" s="68"/>
      <c r="I69" s="68"/>
    </row>
    <row r="70" spans="3:9" ht="16" x14ac:dyDescent="0.2">
      <c r="C70" s="68"/>
      <c r="D70" s="68"/>
      <c r="E70" s="68"/>
      <c r="F70" s="68"/>
      <c r="G70" s="68"/>
      <c r="H70" s="68"/>
      <c r="I70" s="68"/>
    </row>
    <row r="71" spans="3:9" ht="16" x14ac:dyDescent="0.2">
      <c r="C71" s="68"/>
      <c r="D71" s="68"/>
      <c r="E71" s="68"/>
      <c r="F71" s="68"/>
      <c r="G71" s="68"/>
      <c r="H71" s="68"/>
      <c r="I71" s="68"/>
    </row>
    <row r="72" spans="3:9" ht="16" x14ac:dyDescent="0.2">
      <c r="C72" s="68"/>
      <c r="D72" s="68"/>
      <c r="E72" s="68"/>
      <c r="F72" s="68"/>
      <c r="G72" s="68"/>
      <c r="H72" s="68"/>
      <c r="I72" s="68"/>
    </row>
    <row r="73" spans="3:9" ht="16" x14ac:dyDescent="0.2">
      <c r="C73" s="68"/>
      <c r="D73" s="68"/>
      <c r="E73" s="68"/>
      <c r="F73" s="68"/>
      <c r="G73" s="68"/>
      <c r="H73" s="68"/>
      <c r="I73" s="68"/>
    </row>
    <row r="74" spans="3:9" ht="16" x14ac:dyDescent="0.2">
      <c r="C74" s="68"/>
      <c r="D74" s="68"/>
      <c r="E74" s="68"/>
      <c r="F74" s="68"/>
      <c r="G74" s="68"/>
      <c r="H74" s="68"/>
      <c r="I74" s="68"/>
    </row>
    <row r="75" spans="3:9" ht="16" x14ac:dyDescent="0.2">
      <c r="C75" s="68"/>
      <c r="D75" s="68"/>
      <c r="E75" s="68"/>
      <c r="F75" s="68"/>
      <c r="G75" s="68"/>
      <c r="H75" s="68"/>
      <c r="I75" s="68"/>
    </row>
    <row r="76" spans="3:9" ht="16" x14ac:dyDescent="0.2">
      <c r="C76" s="68"/>
      <c r="D76" s="68"/>
      <c r="E76" s="68"/>
      <c r="F76" s="68"/>
      <c r="G76" s="68"/>
      <c r="H76" s="68"/>
      <c r="I76" s="68"/>
    </row>
    <row r="77" spans="3:9" ht="16" x14ac:dyDescent="0.2">
      <c r="C77" s="68"/>
      <c r="D77" s="68"/>
      <c r="E77" s="68"/>
      <c r="F77" s="68"/>
      <c r="G77" s="68"/>
      <c r="H77" s="68"/>
      <c r="I77" s="68"/>
    </row>
    <row r="78" spans="3:9" ht="16" x14ac:dyDescent="0.2">
      <c r="C78" s="68"/>
      <c r="D78" s="68"/>
      <c r="E78" s="68"/>
      <c r="F78" s="68"/>
      <c r="G78" s="68"/>
      <c r="H78" s="68"/>
      <c r="I78" s="68"/>
    </row>
    <row r="79" spans="3:9" ht="16" x14ac:dyDescent="0.2">
      <c r="C79" s="68"/>
      <c r="D79" s="68"/>
      <c r="E79" s="68"/>
      <c r="F79" s="68"/>
      <c r="G79" s="68"/>
      <c r="H79" s="68"/>
      <c r="I79" s="68"/>
    </row>
    <row r="80" spans="3:9" ht="16" x14ac:dyDescent="0.2">
      <c r="C80" s="68"/>
      <c r="D80" s="68"/>
      <c r="E80" s="68"/>
      <c r="F80" s="68"/>
      <c r="G80" s="68"/>
      <c r="H80" s="68"/>
      <c r="I80" s="68"/>
    </row>
    <row r="81" spans="3:9" ht="16" x14ac:dyDescent="0.2">
      <c r="C81" s="68"/>
      <c r="D81" s="68"/>
      <c r="E81" s="68"/>
      <c r="F81" s="68"/>
      <c r="G81" s="68"/>
      <c r="H81" s="68"/>
      <c r="I81" s="68"/>
    </row>
    <row r="82" spans="3:9" ht="16" x14ac:dyDescent="0.2">
      <c r="C82" s="68"/>
      <c r="D82" s="68"/>
      <c r="E82" s="68"/>
      <c r="F82" s="68"/>
      <c r="G82" s="68"/>
      <c r="H82" s="68"/>
      <c r="I82" s="68"/>
    </row>
    <row r="83" spans="3:9" ht="16" x14ac:dyDescent="0.2">
      <c r="C83" s="68"/>
      <c r="D83" s="68"/>
      <c r="E83" s="68"/>
      <c r="F83" s="68"/>
      <c r="G83" s="68"/>
      <c r="H83" s="68"/>
      <c r="I83" s="68"/>
    </row>
    <row r="84" spans="3:9" ht="16" x14ac:dyDescent="0.2">
      <c r="C84" s="68"/>
      <c r="D84" s="68"/>
      <c r="E84" s="68"/>
      <c r="F84" s="68"/>
      <c r="G84" s="68"/>
      <c r="H84" s="68"/>
      <c r="I84" s="68"/>
    </row>
    <row r="85" spans="3:9" ht="16" x14ac:dyDescent="0.2">
      <c r="C85" s="68"/>
      <c r="D85" s="68"/>
      <c r="E85" s="68"/>
      <c r="F85" s="68"/>
      <c r="G85" s="68"/>
      <c r="H85" s="68"/>
      <c r="I85" s="68"/>
    </row>
    <row r="86" spans="3:9" ht="16" x14ac:dyDescent="0.2">
      <c r="C86" s="68"/>
      <c r="D86" s="68"/>
      <c r="E86" s="68"/>
      <c r="F86" s="68"/>
      <c r="G86" s="68"/>
      <c r="H86" s="68"/>
      <c r="I86" s="68"/>
    </row>
    <row r="87" spans="3:9" ht="16" x14ac:dyDescent="0.2">
      <c r="C87" s="68"/>
      <c r="D87" s="68"/>
      <c r="E87" s="68"/>
      <c r="F87" s="68"/>
      <c r="G87" s="68"/>
      <c r="H87" s="68"/>
      <c r="I87" s="68"/>
    </row>
    <row r="88" spans="3:9" ht="16" x14ac:dyDescent="0.2">
      <c r="C88" s="68"/>
      <c r="D88" s="68"/>
      <c r="E88" s="68"/>
      <c r="F88" s="68"/>
      <c r="G88" s="68"/>
      <c r="H88" s="68"/>
      <c r="I88" s="68"/>
    </row>
    <row r="89" spans="3:9" ht="16" x14ac:dyDescent="0.2">
      <c r="C89" s="68"/>
      <c r="D89" s="68"/>
      <c r="E89" s="68"/>
      <c r="F89" s="68"/>
      <c r="G89" s="68"/>
      <c r="H89" s="68"/>
      <c r="I89" s="68"/>
    </row>
    <row r="90" spans="3:9" ht="16" x14ac:dyDescent="0.2">
      <c r="C90" s="68"/>
      <c r="D90" s="68"/>
      <c r="E90" s="68"/>
      <c r="F90" s="68"/>
      <c r="G90" s="68"/>
      <c r="H90" s="68"/>
      <c r="I90" s="68"/>
    </row>
  </sheetData>
  <sheetProtection algorithmName="SHA-512" hashValue="ITfXSU5WYZ1Vr47BniuaTbQcAf0HESyKTXaSgxgzOZFmZJ5oJAIAWIIqaDvV9MXcx05DKsLEfILkFPdsonmu+Q==" saltValue="+4IP+IGeGxPt9e9bd1ip6w==" spinCount="100000" sheet="1" selectLockedCells="1"/>
  <dataValidations count="5">
    <dataValidation type="whole" allowBlank="1" showInputMessage="1" showErrorMessage="1" sqref="D17" xr:uid="{0CB373C3-7043-3141-A9C5-0E250F5F85BD}">
      <formula1>1</formula1>
      <formula2>10</formula2>
    </dataValidation>
    <dataValidation type="list" allowBlank="1" showInputMessage="1" showErrorMessage="1" sqref="D18" xr:uid="{0A74F762-329A-9243-9EFC-93F9D12EAC1E}">
      <formula1>$E$21:$E$23</formula1>
    </dataValidation>
    <dataValidation type="list" allowBlank="1" showInputMessage="1" showErrorMessage="1" sqref="D16" xr:uid="{CFE40470-A8F8-4A4E-B5D7-EDF74132B15D}">
      <formula1>$L$16:$L$19</formula1>
    </dataValidation>
    <dataValidation type="whole" allowBlank="1" showInputMessage="1" showErrorMessage="1" promptTitle="Уведомление для инвесторов " prompt="Если вы инвестируете в 1ом раунде, то сумма инвестиций не должна быть меньше 5 млн руб." sqref="D19" xr:uid="{B32B90DD-BE54-FA40-A9EC-0BAC7F026F2D}">
      <formula1>100000</formula1>
      <formula2>210000000</formula2>
    </dataValidation>
    <dataValidation allowBlank="1" showErrorMessage="1" promptTitle="Уведомление для инвесторов " prompt="Дата расчитывается в зависимости от раунда (даты начала каждого раунда см. на листе с моделью)_x000a_" sqref="D15" xr:uid="{A502E4AC-9CAE-5345-B48A-A98FFF1B02FE}"/>
  </dataValidation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1:DD288"/>
  <sheetViews>
    <sheetView showGridLines="0" zoomScale="40" zoomScaleNormal="130" workbookViewId="0">
      <pane ySplit="1" topLeftCell="A121" activePane="bottomLeft" state="frozen"/>
      <selection pane="bottomLeft" activeCell="W130" sqref="W130"/>
    </sheetView>
  </sheetViews>
  <sheetFormatPr baseColWidth="10" defaultColWidth="0" defaultRowHeight="31" zeroHeight="1" outlineLevelRow="2" outlineLevelCol="1" x14ac:dyDescent="0.15"/>
  <cols>
    <col min="1" max="1" width="5.1640625" style="10" customWidth="1"/>
    <col min="2" max="2" width="52.83203125" style="10" customWidth="1"/>
    <col min="3" max="3" width="26.5" style="10" customWidth="1"/>
    <col min="4" max="4" width="2.5" style="10" hidden="1" customWidth="1" outlineLevel="1"/>
    <col min="5" max="5" width="19.83203125" style="10" hidden="1" customWidth="1" outlineLevel="1"/>
    <col min="6" max="6" width="23.33203125" style="7" customWidth="1" collapsed="1"/>
    <col min="7" max="7" width="23.1640625" style="7" customWidth="1"/>
    <col min="8" max="8" width="18.6640625" style="7" customWidth="1"/>
    <col min="9" max="9" width="24.5" style="7" customWidth="1"/>
    <col min="10" max="10" width="19.83203125" style="7" customWidth="1"/>
    <col min="11" max="11" width="24.5" style="7" customWidth="1"/>
    <col min="12" max="12" width="20.83203125" style="7" customWidth="1"/>
    <col min="13" max="13" width="19.5" style="7" customWidth="1"/>
    <col min="14" max="14" width="18.5" style="7" customWidth="1"/>
    <col min="15" max="15" width="20.1640625" style="7" bestFit="1" customWidth="1"/>
    <col min="16" max="16" width="19" style="7" customWidth="1"/>
    <col min="17" max="17" width="20.1640625" style="7" bestFit="1" customWidth="1"/>
    <col min="18" max="18" width="18.5" style="7" customWidth="1"/>
    <col min="19" max="19" width="20.1640625" style="7" bestFit="1" customWidth="1"/>
    <col min="20" max="20" width="21" style="7" customWidth="1"/>
    <col min="21" max="21" width="21.6640625" style="7" customWidth="1"/>
    <col min="22" max="49" width="20.1640625" style="7" bestFit="1" customWidth="1"/>
    <col min="50" max="52" width="18.1640625" style="7" customWidth="1" outlineLevel="1"/>
    <col min="53" max="53" width="13" style="10" customWidth="1"/>
    <col min="54" max="54" width="20.6640625" style="10" customWidth="1"/>
    <col min="55" max="55" width="73.1640625" style="71" hidden="1" customWidth="1"/>
    <col min="56" max="65" width="43.33203125" style="71" hidden="1" customWidth="1"/>
    <col min="66" max="66" width="18.83203125" style="10" hidden="1" customWidth="1"/>
    <col min="67" max="67" width="13" style="10" hidden="1" customWidth="1"/>
    <col min="68" max="83" width="9.83203125" style="10" hidden="1" customWidth="1"/>
    <col min="84" max="108" width="8.83203125" style="10" hidden="1" customWidth="1"/>
    <col min="109" max="16384" width="0" style="10" hidden="1"/>
  </cols>
  <sheetData>
    <row r="1" spans="1:52" ht="20" hidden="1" customHeight="1" x14ac:dyDescent="0.15">
      <c r="A1" s="114"/>
      <c r="B1" s="115" t="s">
        <v>111</v>
      </c>
      <c r="C1" s="116">
        <f>'Калькулятор инвестора'!$D$18</f>
        <v>1</v>
      </c>
      <c r="D1" s="105"/>
      <c r="E1" s="117">
        <f>C196</f>
        <v>0.17564173340797429</v>
      </c>
      <c r="F1" s="117">
        <f>C197</f>
        <v>0.10610526315789473</v>
      </c>
      <c r="J1" s="105"/>
      <c r="K1" s="105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</row>
    <row r="2" spans="1:52" ht="20" hidden="1" customHeight="1" x14ac:dyDescent="0.15"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</row>
    <row r="3" spans="1:52" ht="20" hidden="1" customHeight="1" x14ac:dyDescent="0.15">
      <c r="B3" s="20" t="s">
        <v>0</v>
      </c>
      <c r="C3" s="20"/>
      <c r="D3" s="20"/>
      <c r="E3" s="20"/>
      <c r="F3" s="21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</row>
    <row r="4" spans="1:52" ht="20" hidden="1" customHeight="1" x14ac:dyDescent="0.15">
      <c r="E4" s="7"/>
      <c r="F4" s="10"/>
      <c r="G4" s="10"/>
      <c r="H4" s="10"/>
      <c r="I4" s="10"/>
      <c r="J4" s="10"/>
      <c r="K4" s="10"/>
      <c r="L4" s="10"/>
      <c r="M4" s="10"/>
      <c r="N4" s="11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</row>
    <row r="5" spans="1:52" ht="20" hidden="1" customHeight="1" x14ac:dyDescent="0.15">
      <c r="B5" s="8" t="s">
        <v>1</v>
      </c>
      <c r="C5" s="9"/>
      <c r="E5" s="7"/>
      <c r="F5" s="10"/>
      <c r="G5" s="10"/>
      <c r="I5" s="8" t="s">
        <v>4</v>
      </c>
      <c r="J5" s="9" t="s">
        <v>5</v>
      </c>
      <c r="K5" s="9" t="s">
        <v>6</v>
      </c>
      <c r="L5" s="8" t="s">
        <v>7</v>
      </c>
      <c r="M5" s="8"/>
      <c r="N5" s="9" t="s">
        <v>5</v>
      </c>
      <c r="O5" s="9" t="s">
        <v>6</v>
      </c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</row>
    <row r="6" spans="1:52" ht="20" hidden="1" customHeight="1" x14ac:dyDescent="0.15">
      <c r="B6" s="10" t="s">
        <v>99</v>
      </c>
      <c r="C6" s="11">
        <f>SUM(C7:C7)</f>
        <v>234081855.00000003</v>
      </c>
      <c r="D6" s="7"/>
      <c r="E6" s="15"/>
      <c r="F6" s="15"/>
      <c r="G6" s="15"/>
      <c r="I6" s="10" t="s">
        <v>129</v>
      </c>
      <c r="J6" s="11">
        <f>J13</f>
        <v>259999999.99999997</v>
      </c>
      <c r="K6" s="12">
        <f>J6/$J$13</f>
        <v>1</v>
      </c>
      <c r="L6" s="10" t="s">
        <v>32</v>
      </c>
      <c r="M6" s="13"/>
      <c r="N6" s="15">
        <f>$C$6/(1+20%)</f>
        <v>195068212.50000003</v>
      </c>
      <c r="O6" s="14">
        <f>N6/$N$13</f>
        <v>0.75026235576923095</v>
      </c>
      <c r="P6" s="10"/>
      <c r="Q6" s="10"/>
      <c r="R6" s="10"/>
      <c r="S6" s="10"/>
      <c r="T6" s="10"/>
      <c r="U6" s="10"/>
      <c r="V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</row>
    <row r="7" spans="1:52" ht="20" hidden="1" customHeight="1" x14ac:dyDescent="0.15">
      <c r="B7" s="118" t="s">
        <v>128</v>
      </c>
      <c r="C7" s="119">
        <f>C8*C9</f>
        <v>234081855.00000003</v>
      </c>
      <c r="D7" s="7"/>
      <c r="E7" s="15"/>
      <c r="F7" s="15"/>
      <c r="G7" s="15"/>
      <c r="I7" s="91"/>
      <c r="J7" s="11"/>
      <c r="K7" s="12"/>
      <c r="L7" s="91" t="s">
        <v>97</v>
      </c>
      <c r="N7" s="11">
        <f>$C$22*$C$8/(1+$C$57)</f>
        <v>32786885.245901641</v>
      </c>
      <c r="O7" s="14">
        <f>N7/$N$13</f>
        <v>0.12610340479192941</v>
      </c>
      <c r="P7" s="10"/>
      <c r="Q7" s="108"/>
      <c r="R7" s="108"/>
      <c r="S7" s="108"/>
      <c r="T7" s="10"/>
      <c r="U7" s="10"/>
      <c r="V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</row>
    <row r="8" spans="1:52" ht="20" hidden="1" customHeight="1" x14ac:dyDescent="0.15">
      <c r="B8" s="10" t="s">
        <v>80</v>
      </c>
      <c r="C8" s="120">
        <v>296.10000000000002</v>
      </c>
      <c r="D8" s="121"/>
      <c r="E8" s="11"/>
      <c r="F8" s="11"/>
      <c r="G8" s="11"/>
      <c r="H8" s="11"/>
      <c r="I8" s="10"/>
      <c r="J8" s="15"/>
      <c r="K8" s="12"/>
      <c r="L8" s="10" t="s">
        <v>22</v>
      </c>
      <c r="N8" s="15">
        <v>1000000</v>
      </c>
      <c r="O8" s="14">
        <f>N8/$N$13</f>
        <v>3.8461538461538468E-3</v>
      </c>
      <c r="P8" s="10"/>
      <c r="Q8" s="10"/>
      <c r="R8" s="10"/>
      <c r="S8" s="10"/>
      <c r="T8" s="10"/>
      <c r="U8" s="10"/>
      <c r="V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</row>
    <row r="9" spans="1:52" ht="20" hidden="1" customHeight="1" x14ac:dyDescent="0.15">
      <c r="B9" s="118" t="s">
        <v>31</v>
      </c>
      <c r="C9" s="122">
        <v>790550</v>
      </c>
      <c r="D9" s="121"/>
      <c r="E9" s="7"/>
      <c r="F9" s="11"/>
      <c r="L9" s="10" t="s">
        <v>41</v>
      </c>
      <c r="M9" s="10"/>
      <c r="N9" s="15">
        <v>1000000</v>
      </c>
      <c r="O9" s="14">
        <f t="shared" ref="O9:O12" si="0">N9/$N$13</f>
        <v>3.8461538461538468E-3</v>
      </c>
      <c r="Q9" s="10"/>
      <c r="R9" s="10"/>
      <c r="S9" s="10"/>
      <c r="T9" s="10"/>
      <c r="U9" s="10"/>
      <c r="V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</row>
    <row r="10" spans="1:52" ht="20" hidden="1" customHeight="1" x14ac:dyDescent="0.15">
      <c r="B10" s="10" t="s">
        <v>3</v>
      </c>
      <c r="C10" s="123">
        <v>46022</v>
      </c>
      <c r="D10" s="124"/>
      <c r="E10" s="7"/>
      <c r="F10" s="11"/>
      <c r="I10" s="10"/>
      <c r="J10" s="15"/>
      <c r="K10" s="12"/>
      <c r="L10" s="91" t="s">
        <v>221</v>
      </c>
      <c r="N10" s="15">
        <v>900000</v>
      </c>
      <c r="O10" s="14">
        <f t="shared" si="0"/>
        <v>3.4615384615384621E-3</v>
      </c>
      <c r="P10" s="10"/>
      <c r="Q10" s="10"/>
      <c r="R10" s="10"/>
      <c r="S10" s="10"/>
      <c r="T10" s="10"/>
      <c r="U10" s="10"/>
      <c r="V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</row>
    <row r="11" spans="1:52" ht="20" hidden="1" customHeight="1" x14ac:dyDescent="0.15">
      <c r="B11" s="10" t="s">
        <v>81</v>
      </c>
      <c r="C11" s="122">
        <f>29375716.8</f>
        <v>29375716.800000001</v>
      </c>
      <c r="D11" s="125"/>
      <c r="E11" s="7"/>
      <c r="L11" s="91" t="s">
        <v>14</v>
      </c>
      <c r="N11" s="11">
        <f>SUM(N6:N7,N18:N19)*$C$42</f>
        <v>13704092.750000004</v>
      </c>
      <c r="O11" s="14">
        <f t="shared" si="0"/>
        <v>5.270804903846156E-2</v>
      </c>
      <c r="P11" s="10"/>
      <c r="Q11" s="10"/>
      <c r="R11" s="10"/>
      <c r="S11" s="10"/>
      <c r="T11" s="10"/>
      <c r="U11" s="10"/>
      <c r="V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</row>
    <row r="12" spans="1:52" ht="20" hidden="1" customHeight="1" x14ac:dyDescent="0.15">
      <c r="B12" s="118" t="s">
        <v>44</v>
      </c>
      <c r="C12" s="119">
        <f>C11/C8</f>
        <v>99208.770010131702</v>
      </c>
      <c r="D12" s="125"/>
      <c r="E12" s="119"/>
      <c r="F12" s="119"/>
      <c r="G12" s="119"/>
      <c r="H12" s="119"/>
      <c r="I12" s="10"/>
      <c r="J12" s="10"/>
      <c r="K12" s="10"/>
      <c r="L12" s="10" t="s">
        <v>222</v>
      </c>
      <c r="M12" s="10"/>
      <c r="N12" s="15">
        <v>15540809.5040983</v>
      </c>
      <c r="O12" s="14">
        <f t="shared" si="0"/>
        <v>5.9772344246531932E-2</v>
      </c>
      <c r="P12" s="10"/>
      <c r="Q12" s="10"/>
      <c r="R12" s="10"/>
      <c r="S12" s="10"/>
      <c r="T12" s="10"/>
      <c r="U12" s="10"/>
      <c r="V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</row>
    <row r="13" spans="1:52" ht="20" hidden="1" customHeight="1" x14ac:dyDescent="0.15">
      <c r="B13" s="10" t="s">
        <v>83</v>
      </c>
      <c r="C13" s="123">
        <v>45838</v>
      </c>
      <c r="D13" s="125"/>
      <c r="E13" s="119"/>
      <c r="F13" s="119"/>
      <c r="G13" s="119"/>
      <c r="H13" s="119"/>
      <c r="I13" s="17" t="s">
        <v>9</v>
      </c>
      <c r="J13" s="18">
        <f>N13</f>
        <v>259999999.99999997</v>
      </c>
      <c r="K13" s="19">
        <f>SUM(K6:K12)</f>
        <v>1</v>
      </c>
      <c r="L13" s="17" t="s">
        <v>9</v>
      </c>
      <c r="M13" s="17"/>
      <c r="N13" s="18">
        <f>SUM(N6:N12)</f>
        <v>259999999.99999997</v>
      </c>
      <c r="O13" s="19">
        <f>SUM(O6:O12)</f>
        <v>1</v>
      </c>
      <c r="P13" s="10"/>
      <c r="Q13" s="10"/>
      <c r="R13" s="10"/>
      <c r="S13" s="10"/>
      <c r="T13" s="10"/>
      <c r="U13" s="10"/>
      <c r="V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</row>
    <row r="14" spans="1:52" ht="20" hidden="1" customHeight="1" x14ac:dyDescent="0.15">
      <c r="A14" s="114">
        <v>1</v>
      </c>
      <c r="B14" s="10" t="s">
        <v>95</v>
      </c>
      <c r="C14" s="112" t="s">
        <v>112</v>
      </c>
      <c r="D14" s="125"/>
      <c r="E14" s="119"/>
      <c r="F14" s="119"/>
      <c r="G14" s="119"/>
      <c r="H14" s="119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</row>
    <row r="15" spans="1:52" ht="2" hidden="1" customHeight="1" x14ac:dyDescent="0.15">
      <c r="A15" s="114">
        <v>2</v>
      </c>
      <c r="B15" s="118" t="s">
        <v>44</v>
      </c>
      <c r="C15" s="126" t="s">
        <v>112</v>
      </c>
      <c r="D15" s="7"/>
      <c r="E15" s="7"/>
      <c r="I15" s="10"/>
      <c r="J15" s="10"/>
      <c r="K15" s="10"/>
      <c r="P15" s="10"/>
      <c r="Q15" s="10"/>
      <c r="R15" s="10"/>
      <c r="S15" s="10"/>
      <c r="T15" s="10"/>
      <c r="U15" s="10"/>
      <c r="V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0"/>
      <c r="AR15" s="10"/>
      <c r="AS15" s="10"/>
      <c r="AT15" s="10"/>
      <c r="AU15" s="10"/>
      <c r="AV15" s="10"/>
      <c r="AW15" s="10"/>
      <c r="AX15" s="10"/>
      <c r="AY15" s="10"/>
      <c r="AZ15" s="10"/>
    </row>
    <row r="16" spans="1:52" ht="1" hidden="1" customHeight="1" x14ac:dyDescent="0.15">
      <c r="A16" s="114"/>
      <c r="B16" s="7"/>
      <c r="C16" s="7"/>
      <c r="D16" s="7"/>
      <c r="E16" s="7"/>
      <c r="I16" s="10"/>
      <c r="J16" s="10"/>
      <c r="K16" s="10"/>
      <c r="L16" s="10"/>
      <c r="M16" s="10"/>
      <c r="N16" s="108"/>
      <c r="O16" s="10"/>
      <c r="P16" s="10"/>
      <c r="Q16" s="10"/>
      <c r="R16" s="10"/>
      <c r="S16" s="10"/>
      <c r="T16" s="10"/>
      <c r="U16" s="10"/>
      <c r="V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</row>
    <row r="17" spans="2:52" ht="1" hidden="1" customHeight="1" x14ac:dyDescent="0.15">
      <c r="B17" s="8" t="s">
        <v>82</v>
      </c>
      <c r="C17" s="127"/>
      <c r="D17" s="125"/>
      <c r="E17" s="9" t="s">
        <v>2</v>
      </c>
      <c r="F17" s="9" t="s">
        <v>78</v>
      </c>
      <c r="G17" s="9" t="s">
        <v>79</v>
      </c>
      <c r="I17" s="10"/>
      <c r="J17" s="10"/>
      <c r="K17" s="10"/>
      <c r="L17" s="8" t="s">
        <v>223</v>
      </c>
      <c r="M17" s="8"/>
      <c r="N17" s="9" t="s">
        <v>5</v>
      </c>
      <c r="O17" s="9" t="s">
        <v>6</v>
      </c>
      <c r="P17" s="10"/>
      <c r="Q17" s="10"/>
      <c r="R17" s="10"/>
      <c r="S17" s="10"/>
      <c r="T17" s="10"/>
      <c r="V17" s="10"/>
      <c r="W17" s="10"/>
      <c r="X17" s="10"/>
      <c r="Y17" s="10"/>
      <c r="Z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0"/>
      <c r="AR17" s="10"/>
      <c r="AS17" s="10"/>
      <c r="AT17" s="10"/>
      <c r="AU17" s="10"/>
      <c r="AV17" s="10"/>
      <c r="AW17" s="10"/>
      <c r="AX17" s="10"/>
      <c r="AY17" s="10"/>
      <c r="AZ17" s="10"/>
    </row>
    <row r="18" spans="2:52" ht="1" hidden="1" customHeight="1" x14ac:dyDescent="0.15">
      <c r="B18" s="10" t="s">
        <v>84</v>
      </c>
      <c r="C18" s="128" t="s">
        <v>96</v>
      </c>
      <c r="E18" s="7"/>
      <c r="I18" s="10"/>
      <c r="J18" s="10"/>
      <c r="K18" s="10"/>
      <c r="L18" s="91" t="s">
        <v>114</v>
      </c>
      <c r="N18" s="11">
        <f>N6*20%</f>
        <v>39013642.500000007</v>
      </c>
      <c r="O18" s="14">
        <f>N18/$N$20</f>
        <v>0.84396234599694175</v>
      </c>
      <c r="P18" s="10"/>
      <c r="Q18" s="10"/>
      <c r="R18" s="10"/>
      <c r="S18" s="10"/>
      <c r="T18" s="10"/>
      <c r="V18" s="10"/>
      <c r="W18" s="10"/>
      <c r="X18" s="10"/>
      <c r="Y18" s="10"/>
      <c r="Z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0"/>
      <c r="AR18" s="10"/>
      <c r="AS18" s="10"/>
      <c r="AT18" s="10"/>
      <c r="AU18" s="10"/>
      <c r="AV18" s="10"/>
      <c r="AW18" s="10"/>
      <c r="AX18" s="10"/>
      <c r="AY18" s="10"/>
      <c r="AZ18" s="10"/>
    </row>
    <row r="19" spans="2:52" ht="1" hidden="1" customHeight="1" x14ac:dyDescent="0.15">
      <c r="B19" s="118" t="s">
        <v>86</v>
      </c>
      <c r="C19" s="122">
        <v>6</v>
      </c>
      <c r="E19" s="7"/>
      <c r="I19" s="10"/>
      <c r="J19" s="10"/>
      <c r="K19" s="10"/>
      <c r="L19" s="91" t="s">
        <v>115</v>
      </c>
      <c r="N19" s="11">
        <f>N7*$C$57</f>
        <v>7213114.7540983614</v>
      </c>
      <c r="O19" s="14">
        <f>N19/$N$20</f>
        <v>0.15603765400305819</v>
      </c>
      <c r="P19" s="10"/>
      <c r="Q19" s="10"/>
      <c r="R19" s="10"/>
      <c r="S19" s="10"/>
      <c r="T19" s="10"/>
      <c r="V19" s="10"/>
      <c r="W19" s="10"/>
      <c r="X19" s="10"/>
      <c r="Y19" s="10"/>
      <c r="Z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0"/>
      <c r="AR19" s="10"/>
      <c r="AS19" s="10"/>
      <c r="AT19" s="10"/>
      <c r="AU19" s="10"/>
      <c r="AV19" s="10"/>
      <c r="AW19" s="10"/>
      <c r="AX19" s="10"/>
      <c r="AY19" s="10"/>
      <c r="AZ19" s="10"/>
    </row>
    <row r="20" spans="2:52" ht="1" hidden="1" customHeight="1" x14ac:dyDescent="0.15">
      <c r="B20" s="10" t="s">
        <v>85</v>
      </c>
      <c r="C20" s="125">
        <f>EOMONTH(C10,C19)+1</f>
        <v>46204</v>
      </c>
      <c r="D20" s="109"/>
      <c r="E20" s="7"/>
      <c r="I20" s="10"/>
      <c r="J20" s="10"/>
      <c r="K20" s="10"/>
      <c r="L20" s="17" t="s">
        <v>9</v>
      </c>
      <c r="M20" s="17"/>
      <c r="N20" s="18">
        <f>SUM(N18:N19)</f>
        <v>46226757.254098371</v>
      </c>
      <c r="O20" s="19">
        <f>SUM(O18:O19)</f>
        <v>1</v>
      </c>
      <c r="P20" s="10"/>
      <c r="Q20" s="10"/>
      <c r="S20" s="10"/>
      <c r="T20" s="10"/>
      <c r="U20" s="24"/>
      <c r="V20" s="110"/>
      <c r="W20" s="111"/>
      <c r="X20" s="111"/>
      <c r="Z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</row>
    <row r="21" spans="2:52" ht="1" hidden="1" customHeight="1" x14ac:dyDescent="0.15">
      <c r="B21" s="10" t="s">
        <v>208</v>
      </c>
      <c r="C21" s="15">
        <v>40000000</v>
      </c>
      <c r="D21" s="109"/>
      <c r="E21" s="11"/>
      <c r="F21" s="11"/>
      <c r="G21" s="11"/>
      <c r="I21" s="10"/>
      <c r="J21" s="10"/>
      <c r="K21" s="10"/>
      <c r="L21" s="10"/>
      <c r="M21" s="10"/>
      <c r="N21" s="10"/>
      <c r="O21" s="10"/>
      <c r="P21" s="10"/>
      <c r="Q21" s="10"/>
      <c r="S21" s="10"/>
      <c r="T21" s="10"/>
      <c r="U21" s="24"/>
      <c r="V21" s="110"/>
      <c r="W21" s="111"/>
      <c r="X21" s="111"/>
      <c r="Z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0"/>
      <c r="AR21" s="10"/>
      <c r="AS21" s="10"/>
      <c r="AT21" s="10"/>
      <c r="AU21" s="10"/>
      <c r="AV21" s="10"/>
      <c r="AW21" s="10"/>
      <c r="AX21" s="10"/>
      <c r="AY21" s="10"/>
      <c r="AZ21" s="10"/>
    </row>
    <row r="22" spans="2:52" ht="1" hidden="1" customHeight="1" x14ac:dyDescent="0.15">
      <c r="B22" s="118" t="s">
        <v>98</v>
      </c>
      <c r="C22" s="11">
        <f>C21/C8</f>
        <v>135089.49679162443</v>
      </c>
      <c r="D22" s="109"/>
      <c r="E22" s="15"/>
      <c r="F22" s="11"/>
      <c r="G22" s="11"/>
      <c r="I22" s="10"/>
      <c r="J22" s="10"/>
      <c r="K22" s="10"/>
      <c r="L22" s="10"/>
      <c r="M22" s="10"/>
      <c r="N22" s="10"/>
      <c r="O22" s="10"/>
      <c r="P22" s="10"/>
      <c r="Q22" s="10"/>
      <c r="S22" s="10"/>
      <c r="T22" s="10"/>
      <c r="U22" s="24"/>
      <c r="V22" s="110"/>
      <c r="W22" s="111"/>
      <c r="X22" s="111"/>
      <c r="Z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0"/>
      <c r="AR22" s="10"/>
      <c r="AS22" s="10"/>
      <c r="AT22" s="10"/>
      <c r="AU22" s="10"/>
      <c r="AV22" s="10"/>
      <c r="AW22" s="10"/>
      <c r="AX22" s="10"/>
      <c r="AY22" s="10"/>
      <c r="AZ22" s="10"/>
    </row>
    <row r="23" spans="2:52" ht="5" hidden="1" customHeight="1" x14ac:dyDescent="0.15">
      <c r="C23" s="15"/>
      <c r="D23" s="109"/>
      <c r="E23" s="15"/>
      <c r="F23" s="15"/>
      <c r="G23" s="15"/>
      <c r="I23" s="10"/>
      <c r="J23" s="10"/>
      <c r="K23" s="10"/>
      <c r="L23" s="10"/>
      <c r="M23" s="10"/>
      <c r="N23" s="104"/>
      <c r="O23" s="10"/>
      <c r="P23" s="10"/>
      <c r="Q23" s="10"/>
      <c r="S23" s="10"/>
      <c r="T23" s="10"/>
      <c r="U23" s="24"/>
      <c r="V23" s="110"/>
      <c r="W23" s="111"/>
      <c r="X23" s="111"/>
      <c r="Z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0"/>
      <c r="AR23" s="10"/>
      <c r="AS23" s="10"/>
      <c r="AT23" s="10"/>
      <c r="AU23" s="10"/>
      <c r="AV23" s="10"/>
      <c r="AW23" s="10"/>
      <c r="AX23" s="10"/>
      <c r="AY23" s="10"/>
      <c r="AZ23" s="10"/>
    </row>
    <row r="24" spans="2:52" ht="1" hidden="1" customHeight="1" x14ac:dyDescent="0.15">
      <c r="C24" s="125"/>
      <c r="D24" s="109"/>
      <c r="E24" s="7"/>
      <c r="I24" s="10"/>
      <c r="J24" s="10"/>
      <c r="K24" s="10"/>
      <c r="L24" s="10"/>
      <c r="M24" s="10"/>
      <c r="N24" s="10"/>
      <c r="O24" s="10"/>
      <c r="P24" s="10"/>
      <c r="Q24" s="10"/>
      <c r="S24" s="10"/>
      <c r="T24" s="10"/>
      <c r="U24" s="24"/>
      <c r="V24" s="110"/>
      <c r="W24" s="111"/>
      <c r="X24" s="111"/>
      <c r="Z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</row>
    <row r="25" spans="2:52" ht="1" hidden="1" customHeight="1" x14ac:dyDescent="0.15">
      <c r="B25" s="10" t="s">
        <v>110</v>
      </c>
      <c r="C25" s="11">
        <f>CHOOSE($C$1,E25,F25,G25)</f>
        <v>95484</v>
      </c>
      <c r="D25" s="109"/>
      <c r="E25" s="11">
        <f>E27-E26</f>
        <v>95484</v>
      </c>
      <c r="F25" s="11">
        <f>F27-F26</f>
        <v>100484</v>
      </c>
      <c r="G25" s="11">
        <f>G27-G26</f>
        <v>90484</v>
      </c>
      <c r="I25" s="10"/>
      <c r="J25" s="10"/>
      <c r="K25" s="10"/>
      <c r="L25" s="10"/>
      <c r="M25" s="10"/>
      <c r="N25" s="10"/>
      <c r="O25" s="10"/>
      <c r="P25" s="10"/>
      <c r="Q25" s="10"/>
      <c r="S25" s="10"/>
      <c r="T25" s="10"/>
      <c r="U25" s="24"/>
      <c r="V25" s="110"/>
      <c r="W25" s="111"/>
      <c r="X25" s="111"/>
      <c r="Z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0"/>
      <c r="AR25" s="10"/>
      <c r="AS25" s="10"/>
      <c r="AT25" s="10"/>
      <c r="AU25" s="10"/>
      <c r="AV25" s="10"/>
      <c r="AW25" s="10"/>
      <c r="AX25" s="10"/>
      <c r="AY25" s="10"/>
      <c r="AZ25" s="10"/>
    </row>
    <row r="26" spans="2:52" ht="1" hidden="1" customHeight="1" x14ac:dyDescent="0.15">
      <c r="B26" s="91" t="s">
        <v>101</v>
      </c>
      <c r="C26" s="11">
        <f>CHOOSE($C$1,E26,F26,G26)</f>
        <v>9516</v>
      </c>
      <c r="D26" s="109"/>
      <c r="E26" s="15">
        <v>9516</v>
      </c>
      <c r="F26" s="15">
        <v>9516</v>
      </c>
      <c r="G26" s="15">
        <v>9516</v>
      </c>
      <c r="I26" s="10"/>
      <c r="J26" s="10"/>
      <c r="K26" s="10"/>
      <c r="L26" s="10"/>
      <c r="M26" s="10"/>
      <c r="N26" s="10"/>
      <c r="O26" s="10"/>
      <c r="P26" s="10"/>
      <c r="Q26" s="10"/>
      <c r="S26" s="10"/>
      <c r="T26" s="10"/>
      <c r="U26" s="24"/>
      <c r="V26" s="110"/>
      <c r="W26" s="111"/>
      <c r="X26" s="111"/>
      <c r="Z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0"/>
      <c r="AR26" s="10"/>
      <c r="AS26" s="10"/>
      <c r="AT26" s="10"/>
      <c r="AU26" s="10"/>
      <c r="AV26" s="10"/>
      <c r="AW26" s="10"/>
      <c r="AX26" s="10"/>
      <c r="AY26" s="10"/>
      <c r="AZ26" s="10"/>
    </row>
    <row r="27" spans="2:52" ht="8" hidden="1" customHeight="1" x14ac:dyDescent="0.15">
      <c r="B27" s="16" t="s">
        <v>109</v>
      </c>
      <c r="C27" s="106">
        <f>C25+C26</f>
        <v>105000</v>
      </c>
      <c r="D27" s="109"/>
      <c r="E27" s="112">
        <v>105000</v>
      </c>
      <c r="F27" s="112">
        <v>110000</v>
      </c>
      <c r="G27" s="112">
        <v>100000</v>
      </c>
      <c r="I27" s="10"/>
      <c r="J27" s="10"/>
      <c r="K27" s="10"/>
      <c r="L27" s="10"/>
      <c r="M27" s="10"/>
      <c r="N27" s="10"/>
      <c r="O27" s="10"/>
      <c r="P27" s="10"/>
      <c r="Q27" s="10"/>
      <c r="S27" s="113"/>
      <c r="T27" s="113"/>
      <c r="U27" s="24"/>
      <c r="V27" s="110"/>
      <c r="W27" s="111"/>
      <c r="X27" s="111"/>
      <c r="Z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0"/>
      <c r="AR27" s="10"/>
      <c r="AS27" s="10"/>
      <c r="AT27" s="10"/>
      <c r="AU27" s="10"/>
      <c r="AV27" s="10"/>
      <c r="AW27" s="10"/>
      <c r="AX27" s="10"/>
      <c r="AY27" s="10"/>
      <c r="AZ27" s="10"/>
    </row>
    <row r="28" spans="2:52" ht="1" hidden="1" customHeight="1" x14ac:dyDescent="0.15">
      <c r="C28" s="11"/>
      <c r="D28" s="109"/>
      <c r="E28" s="7"/>
      <c r="I28" s="10"/>
      <c r="J28" s="10"/>
      <c r="K28" s="10"/>
      <c r="L28" s="10"/>
      <c r="M28" s="10"/>
      <c r="N28" s="10"/>
      <c r="O28" s="10"/>
      <c r="P28" s="10"/>
      <c r="Q28" s="10"/>
      <c r="S28" s="10"/>
      <c r="T28" s="10"/>
      <c r="U28" s="24"/>
      <c r="V28" s="110"/>
      <c r="W28" s="111"/>
      <c r="X28" s="111"/>
      <c r="Z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0"/>
      <c r="AR28" s="10"/>
      <c r="AS28" s="10"/>
      <c r="AT28" s="10"/>
      <c r="AU28" s="10"/>
      <c r="AV28" s="10"/>
      <c r="AW28" s="10"/>
      <c r="AX28" s="10"/>
      <c r="AY28" s="10"/>
      <c r="AZ28" s="10"/>
    </row>
    <row r="29" spans="2:52" ht="1" hidden="1" customHeight="1" x14ac:dyDescent="0.15">
      <c r="B29" s="10" t="s">
        <v>105</v>
      </c>
      <c r="C29" s="14">
        <f>CHOOSE($C$1,E29,F29,G29)</f>
        <v>0.1</v>
      </c>
      <c r="D29" s="109"/>
      <c r="E29" s="128">
        <v>0.1</v>
      </c>
      <c r="F29" s="128">
        <v>0.15</v>
      </c>
      <c r="G29" s="128">
        <v>7.0000000000000007E-2</v>
      </c>
      <c r="I29" s="16"/>
      <c r="J29" s="129"/>
      <c r="K29" s="130"/>
      <c r="L29" s="130"/>
      <c r="M29" s="130"/>
      <c r="N29" s="10"/>
      <c r="O29" s="10"/>
      <c r="P29" s="131"/>
      <c r="Q29" s="16"/>
      <c r="S29" s="10"/>
      <c r="T29" s="10"/>
      <c r="U29" s="24"/>
      <c r="V29" s="110"/>
      <c r="W29" s="111"/>
      <c r="X29" s="111"/>
      <c r="Z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0"/>
      <c r="AR29" s="10"/>
      <c r="AS29" s="10"/>
      <c r="AT29" s="10"/>
      <c r="AU29" s="10"/>
      <c r="AV29" s="10"/>
      <c r="AW29" s="10"/>
      <c r="AX29" s="10"/>
      <c r="AY29" s="10"/>
      <c r="AZ29" s="10"/>
    </row>
    <row r="30" spans="2:52" ht="20" hidden="1" customHeight="1" x14ac:dyDescent="0.15">
      <c r="D30" s="7"/>
      <c r="E30" s="7"/>
      <c r="I30" s="10"/>
      <c r="J30" s="10"/>
      <c r="K30" s="130"/>
      <c r="L30" s="130"/>
      <c r="M30" s="132"/>
      <c r="N30" s="132"/>
      <c r="O30" s="10"/>
      <c r="P30" s="133"/>
      <c r="Q30" s="16"/>
      <c r="S30" s="10"/>
      <c r="T30" s="10"/>
      <c r="U30" s="10"/>
      <c r="V30" s="10"/>
      <c r="W30" s="10"/>
      <c r="X30" s="10"/>
      <c r="Y30" s="10"/>
      <c r="Z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0"/>
      <c r="AR30" s="10"/>
      <c r="AS30" s="10"/>
      <c r="AT30" s="10"/>
      <c r="AU30" s="10"/>
      <c r="AV30" s="10"/>
      <c r="AW30" s="10"/>
      <c r="AX30" s="10"/>
      <c r="AY30" s="10"/>
      <c r="AZ30" s="10"/>
    </row>
    <row r="31" spans="2:52" ht="1" hidden="1" customHeight="1" x14ac:dyDescent="0.15">
      <c r="B31" s="8" t="s">
        <v>10</v>
      </c>
      <c r="C31" s="9"/>
      <c r="E31" s="11"/>
      <c r="F31" s="11"/>
      <c r="G31" s="11"/>
      <c r="I31" s="10"/>
      <c r="J31" s="10"/>
      <c r="K31" s="130"/>
      <c r="L31" s="130"/>
      <c r="M31" s="130"/>
      <c r="N31" s="10"/>
      <c r="O31" s="10"/>
      <c r="P31" s="10"/>
      <c r="Q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11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0"/>
      <c r="AR31" s="10"/>
      <c r="AS31" s="10"/>
      <c r="AT31" s="10"/>
      <c r="AU31" s="10"/>
      <c r="AV31" s="10"/>
      <c r="AW31" s="10"/>
      <c r="AX31" s="10"/>
      <c r="AY31" s="10"/>
      <c r="AZ31" s="10"/>
    </row>
    <row r="32" spans="2:52" ht="1" hidden="1" customHeight="1" x14ac:dyDescent="0.15">
      <c r="B32" s="10" t="s">
        <v>76</v>
      </c>
      <c r="C32" s="93">
        <v>1.4999999999999999E-2</v>
      </c>
      <c r="E32" s="7"/>
      <c r="I32" s="10"/>
      <c r="J32" s="134"/>
      <c r="K32" s="130"/>
      <c r="L32" s="130"/>
      <c r="M32" s="130"/>
      <c r="N32" s="10"/>
      <c r="O32" s="10"/>
      <c r="P32" s="10"/>
      <c r="Q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11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0"/>
      <c r="AR32" s="10"/>
      <c r="AS32" s="10"/>
      <c r="AT32" s="10"/>
      <c r="AU32" s="10"/>
      <c r="AV32" s="10"/>
      <c r="AW32" s="10"/>
      <c r="AX32" s="10"/>
      <c r="AY32" s="10"/>
      <c r="AZ32" s="10"/>
    </row>
    <row r="33" spans="2:52" ht="20" hidden="1" customHeight="1" x14ac:dyDescent="0.15">
      <c r="B33" s="10" t="s">
        <v>68</v>
      </c>
      <c r="C33" s="135">
        <v>0</v>
      </c>
      <c r="E33" s="7"/>
      <c r="I33" s="10"/>
      <c r="J33" s="134"/>
      <c r="K33" s="134"/>
      <c r="L33" s="10"/>
      <c r="M33" s="10"/>
      <c r="N33" s="10"/>
      <c r="O33" s="10"/>
      <c r="P33" s="10"/>
      <c r="Q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11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</row>
    <row r="34" spans="2:52" ht="1" hidden="1" customHeight="1" x14ac:dyDescent="0.15">
      <c r="B34" s="10" t="s">
        <v>75</v>
      </c>
      <c r="C34" s="93">
        <v>0.02</v>
      </c>
      <c r="D34" s="7"/>
      <c r="E34" s="136"/>
      <c r="F34" s="11"/>
      <c r="G34" s="11"/>
      <c r="I34" s="10"/>
      <c r="J34" s="134"/>
      <c r="K34" s="137"/>
      <c r="L34" s="10"/>
      <c r="M34" s="10"/>
      <c r="N34" s="10"/>
      <c r="O34" s="10"/>
      <c r="P34" s="10"/>
      <c r="Q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11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</row>
    <row r="35" spans="2:52" ht="20" hidden="1" customHeight="1" x14ac:dyDescent="0.15">
      <c r="B35" s="10" t="s">
        <v>69</v>
      </c>
      <c r="C35" s="11">
        <f>C11*$C$34</f>
        <v>587514.33600000001</v>
      </c>
      <c r="D35" s="7"/>
      <c r="E35" s="7"/>
      <c r="I35" s="16"/>
      <c r="J35" s="134"/>
      <c r="K35" s="137"/>
      <c r="L35" s="10"/>
      <c r="M35" s="10"/>
      <c r="N35" s="10"/>
      <c r="O35" s="10"/>
      <c r="P35" s="10"/>
      <c r="Q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11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</row>
    <row r="36" spans="2:52" ht="17" hidden="1" customHeight="1" x14ac:dyDescent="0.15">
      <c r="B36" s="10" t="s">
        <v>103</v>
      </c>
      <c r="C36" s="11">
        <f>C26*C8</f>
        <v>2817687.6</v>
      </c>
      <c r="D36" s="7"/>
      <c r="E36" s="7"/>
      <c r="I36" s="10"/>
      <c r="J36" s="10"/>
      <c r="K36" s="10"/>
      <c r="L36" s="10"/>
      <c r="M36" s="10"/>
      <c r="N36" s="10"/>
      <c r="O36" s="10"/>
      <c r="P36" s="10"/>
      <c r="Q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11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</row>
    <row r="37" spans="2:52" ht="1" hidden="1" customHeight="1" x14ac:dyDescent="0.15">
      <c r="B37" s="118" t="s">
        <v>209</v>
      </c>
      <c r="C37" s="119">
        <f>(C36+C35+C33)/C8</f>
        <v>11500.175400202634</v>
      </c>
      <c r="D37" s="7"/>
      <c r="E37" s="11"/>
      <c r="F37" s="11"/>
      <c r="G37" s="11"/>
      <c r="H37" s="11"/>
      <c r="I37" s="10"/>
      <c r="J37" s="10"/>
      <c r="K37" s="10"/>
      <c r="L37" s="10"/>
      <c r="M37" s="10"/>
      <c r="N37" s="10"/>
      <c r="O37" s="10"/>
      <c r="P37" s="10"/>
      <c r="Q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11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</row>
    <row r="38" spans="2:52" ht="1" hidden="1" customHeight="1" x14ac:dyDescent="0.15">
      <c r="B38" s="17" t="s">
        <v>42</v>
      </c>
      <c r="C38" s="18">
        <f>C33+C35+C36</f>
        <v>3405201.9360000002</v>
      </c>
      <c r="E38" s="11"/>
      <c r="F38" s="11"/>
      <c r="G38" s="11"/>
      <c r="H38" s="11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11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  <c r="AV38" s="10"/>
      <c r="AW38" s="10"/>
      <c r="AX38" s="10"/>
      <c r="AY38" s="10"/>
      <c r="AZ38" s="10"/>
    </row>
    <row r="39" spans="2:52" ht="20" hidden="1" customHeight="1" x14ac:dyDescent="0.15">
      <c r="B39" s="110" t="s">
        <v>70</v>
      </c>
      <c r="C39" s="15">
        <v>250000</v>
      </c>
      <c r="E39" s="7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11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  <c r="AV39" s="10"/>
      <c r="AW39" s="10"/>
      <c r="AX39" s="10"/>
      <c r="AY39" s="10"/>
      <c r="AZ39" s="10"/>
    </row>
    <row r="40" spans="2:52" ht="20" hidden="1" customHeight="1" x14ac:dyDescent="0.15">
      <c r="D40" s="7"/>
      <c r="E40" s="7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  <c r="AV40" s="10"/>
      <c r="AW40" s="10"/>
      <c r="AX40" s="10"/>
      <c r="AY40" s="10"/>
      <c r="AZ40" s="10"/>
    </row>
    <row r="41" spans="2:52" ht="20" hidden="1" customHeight="1" x14ac:dyDescent="0.15">
      <c r="B41" s="8" t="s">
        <v>8</v>
      </c>
      <c r="C41" s="9"/>
      <c r="D41" s="15"/>
      <c r="E41" s="11"/>
      <c r="F41" s="11"/>
      <c r="G41" s="11"/>
      <c r="H41" s="11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  <c r="AV41" s="10"/>
      <c r="AW41" s="10"/>
      <c r="AX41" s="10"/>
      <c r="AY41" s="10"/>
      <c r="AZ41" s="10"/>
    </row>
    <row r="42" spans="2:52" ht="20" hidden="1" customHeight="1" x14ac:dyDescent="0.15">
      <c r="B42" s="10" t="s">
        <v>11</v>
      </c>
      <c r="C42" s="128">
        <v>0.05</v>
      </c>
      <c r="D42" s="15"/>
      <c r="E42" s="7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0"/>
      <c r="AR42" s="10"/>
      <c r="AS42" s="10"/>
      <c r="AT42" s="10"/>
      <c r="AU42" s="10"/>
      <c r="AV42" s="10"/>
      <c r="AW42" s="10"/>
      <c r="AX42" s="10"/>
      <c r="AY42" s="10"/>
      <c r="AZ42" s="10"/>
    </row>
    <row r="43" spans="2:52" ht="20" hidden="1" customHeight="1" x14ac:dyDescent="0.15">
      <c r="B43" s="10" t="s">
        <v>12</v>
      </c>
      <c r="C43" s="128">
        <v>0.01</v>
      </c>
      <c r="D43" s="15"/>
      <c r="E43" s="7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0"/>
      <c r="AR43" s="10"/>
      <c r="AS43" s="10"/>
      <c r="AT43" s="10"/>
      <c r="AU43" s="10"/>
      <c r="AV43" s="10"/>
      <c r="AW43" s="10"/>
      <c r="AX43" s="10"/>
      <c r="AY43" s="10"/>
      <c r="AZ43" s="10"/>
    </row>
    <row r="44" spans="2:52" ht="5" hidden="1" customHeight="1" x14ac:dyDescent="0.15">
      <c r="B44" s="10" t="s">
        <v>77</v>
      </c>
      <c r="C44" s="128">
        <v>0.05</v>
      </c>
      <c r="D44" s="122"/>
      <c r="E44" s="7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0"/>
      <c r="AR44" s="10"/>
      <c r="AS44" s="10"/>
      <c r="AT44" s="10"/>
      <c r="AU44" s="10"/>
      <c r="AV44" s="10"/>
      <c r="AW44" s="10"/>
      <c r="AX44" s="10"/>
      <c r="AY44" s="10"/>
      <c r="AZ44" s="10"/>
    </row>
    <row r="45" spans="2:52" ht="1" hidden="1" customHeight="1" x14ac:dyDescent="0.15">
      <c r="C45" s="93"/>
      <c r="D45" s="112"/>
      <c r="E45" s="7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0"/>
      <c r="AR45" s="10"/>
      <c r="AS45" s="10"/>
      <c r="AT45" s="10"/>
      <c r="AU45" s="10"/>
      <c r="AV45" s="10"/>
      <c r="AW45" s="10"/>
      <c r="AX45" s="10"/>
      <c r="AY45" s="10"/>
      <c r="AZ45" s="10"/>
    </row>
    <row r="46" spans="2:52" ht="20" hidden="1" customHeight="1" x14ac:dyDescent="0.15">
      <c r="B46" s="8" t="s">
        <v>74</v>
      </c>
      <c r="C46" s="9"/>
      <c r="D46" s="15"/>
      <c r="E46" s="7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1"/>
      <c r="U46" s="11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0"/>
      <c r="AR46" s="10"/>
      <c r="AS46" s="10"/>
      <c r="AT46" s="10"/>
      <c r="AU46" s="10"/>
      <c r="AV46" s="10"/>
      <c r="AW46" s="10"/>
      <c r="AX46" s="10"/>
      <c r="AY46" s="10"/>
      <c r="AZ46" s="10"/>
    </row>
    <row r="47" spans="2:52" ht="20" hidden="1" customHeight="1" x14ac:dyDescent="0.15">
      <c r="B47" s="16" t="s">
        <v>141</v>
      </c>
      <c r="C47" s="128"/>
      <c r="D47" s="105"/>
      <c r="E47" s="128"/>
      <c r="F47" s="128"/>
      <c r="G47" s="128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4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0"/>
      <c r="AR47" s="10"/>
      <c r="AS47" s="10"/>
      <c r="AT47" s="10"/>
      <c r="AU47" s="10"/>
      <c r="AV47" s="10"/>
      <c r="AW47" s="10"/>
      <c r="AX47" s="10"/>
      <c r="AY47" s="10"/>
      <c r="AZ47" s="10"/>
    </row>
    <row r="48" spans="2:52" ht="20" hidden="1" customHeight="1" x14ac:dyDescent="0.15">
      <c r="B48" s="10" t="s">
        <v>142</v>
      </c>
      <c r="C48" s="128">
        <v>0.3</v>
      </c>
      <c r="D48" s="105"/>
      <c r="E48" s="128"/>
      <c r="F48" s="128"/>
      <c r="G48" s="128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4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0"/>
      <c r="AR48" s="10"/>
      <c r="AS48" s="10"/>
      <c r="AT48" s="10"/>
      <c r="AU48" s="10"/>
      <c r="AV48" s="10"/>
      <c r="AW48" s="10"/>
      <c r="AX48" s="10"/>
      <c r="AY48" s="10"/>
      <c r="AZ48" s="10"/>
    </row>
    <row r="49" spans="2:65" ht="20" hidden="1" customHeight="1" x14ac:dyDescent="0.15">
      <c r="B49" s="10" t="s">
        <v>143</v>
      </c>
      <c r="C49" s="15">
        <v>1</v>
      </c>
      <c r="D49" s="105"/>
      <c r="E49" s="128"/>
      <c r="F49" s="128"/>
      <c r="G49" s="128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4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0"/>
      <c r="AR49" s="10"/>
      <c r="AS49" s="10"/>
      <c r="AT49" s="10"/>
      <c r="AU49" s="10"/>
      <c r="AV49" s="10"/>
      <c r="AW49" s="10"/>
      <c r="AX49" s="10"/>
      <c r="AY49" s="10"/>
      <c r="AZ49" s="10"/>
    </row>
    <row r="50" spans="2:65" ht="16" hidden="1" customHeight="1" x14ac:dyDescent="0.15">
      <c r="B50" s="10" t="s">
        <v>144</v>
      </c>
      <c r="C50" s="123">
        <f>EDATE(C10,12*C49)</f>
        <v>46387</v>
      </c>
      <c r="D50" s="105"/>
      <c r="E50" s="128"/>
      <c r="F50" s="128"/>
      <c r="G50" s="128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4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0"/>
      <c r="AR50" s="10"/>
      <c r="AS50" s="10"/>
      <c r="AT50" s="10"/>
      <c r="AU50" s="10"/>
      <c r="AV50" s="10"/>
      <c r="AW50" s="10"/>
      <c r="AX50" s="10"/>
      <c r="AY50" s="10"/>
      <c r="AZ50" s="10"/>
    </row>
    <row r="51" spans="2:65" ht="1" hidden="1" customHeight="1" x14ac:dyDescent="0.15">
      <c r="C51" s="128"/>
      <c r="D51" s="105"/>
      <c r="E51" s="128"/>
      <c r="F51" s="128"/>
      <c r="G51" s="128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4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0"/>
      <c r="AR51" s="10"/>
      <c r="AS51" s="10"/>
      <c r="AT51" s="10"/>
      <c r="AU51" s="10"/>
      <c r="AV51" s="10"/>
      <c r="AW51" s="10"/>
      <c r="AX51" s="10"/>
      <c r="AY51" s="10"/>
      <c r="AZ51" s="10"/>
    </row>
    <row r="52" spans="2:65" ht="20" hidden="1" customHeight="1" x14ac:dyDescent="0.15">
      <c r="C52" s="128"/>
      <c r="D52" s="105"/>
      <c r="E52" s="128"/>
      <c r="F52" s="128"/>
      <c r="G52" s="128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4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  <c r="AL52" s="10"/>
      <c r="AM52" s="10"/>
      <c r="AN52" s="10"/>
      <c r="AO52" s="10"/>
      <c r="AP52" s="10"/>
      <c r="AQ52" s="10"/>
      <c r="AR52" s="10"/>
      <c r="AS52" s="10"/>
      <c r="AT52" s="10"/>
      <c r="AU52" s="10"/>
      <c r="AV52" s="10"/>
      <c r="AW52" s="10"/>
      <c r="AX52" s="10"/>
      <c r="AY52" s="10"/>
      <c r="AZ52" s="10"/>
    </row>
    <row r="53" spans="2:65" ht="13" hidden="1" customHeight="1" x14ac:dyDescent="0.15">
      <c r="D53" s="105"/>
      <c r="E53" s="128"/>
      <c r="F53" s="128"/>
      <c r="G53" s="128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12"/>
      <c r="U53" s="112"/>
      <c r="V53" s="112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0"/>
      <c r="AR53" s="10"/>
      <c r="AS53" s="10"/>
      <c r="AT53" s="10"/>
      <c r="AU53" s="10"/>
      <c r="AV53" s="10"/>
      <c r="AW53" s="10"/>
      <c r="AX53" s="10"/>
      <c r="AY53" s="10"/>
      <c r="AZ53" s="10"/>
    </row>
    <row r="54" spans="2:65" ht="20" hidden="1" customHeight="1" x14ac:dyDescent="0.15">
      <c r="B54" s="8" t="s">
        <v>72</v>
      </c>
      <c r="C54" s="9"/>
      <c r="D54" s="7"/>
      <c r="E54" s="9" t="s">
        <v>2</v>
      </c>
      <c r="F54" s="9" t="s">
        <v>78</v>
      </c>
      <c r="G54" s="9" t="s">
        <v>79</v>
      </c>
      <c r="R54" s="11"/>
      <c r="S54" s="11"/>
      <c r="T54" s="11"/>
      <c r="U54" s="11"/>
      <c r="V54" s="11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0"/>
      <c r="AR54" s="10"/>
      <c r="AS54" s="10"/>
      <c r="AT54" s="10"/>
      <c r="AU54" s="10"/>
      <c r="AV54" s="10"/>
      <c r="AW54" s="10"/>
      <c r="AX54" s="10"/>
      <c r="AY54" s="10"/>
      <c r="AZ54" s="10"/>
    </row>
    <row r="55" spans="2:65" ht="20" hidden="1" customHeight="1" x14ac:dyDescent="0.15">
      <c r="B55" s="138" t="s">
        <v>13</v>
      </c>
      <c r="C55" s="139">
        <v>5.9999999999999995E-4</v>
      </c>
      <c r="D55" s="7"/>
      <c r="E55" s="128"/>
      <c r="F55" s="128"/>
      <c r="G55" s="128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</row>
    <row r="56" spans="2:65" ht="10" hidden="1" customHeight="1" x14ac:dyDescent="0.15">
      <c r="B56" s="10" t="s">
        <v>100</v>
      </c>
      <c r="C56" s="140">
        <v>0.25</v>
      </c>
      <c r="D56" s="7"/>
      <c r="E56" s="15"/>
      <c r="F56" s="15"/>
      <c r="G56" s="15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</row>
    <row r="57" spans="2:65" ht="1" hidden="1" customHeight="1" x14ac:dyDescent="0.15">
      <c r="B57" s="10" t="s">
        <v>102</v>
      </c>
      <c r="C57" s="140">
        <v>0.22</v>
      </c>
      <c r="D57" s="7"/>
      <c r="E57" s="15"/>
      <c r="F57" s="15"/>
      <c r="G57" s="15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0"/>
      <c r="AR57" s="10"/>
      <c r="AS57" s="10"/>
      <c r="AT57" s="10"/>
      <c r="AU57" s="10"/>
      <c r="AV57" s="10"/>
      <c r="AW57" s="10"/>
      <c r="AX57" s="10"/>
      <c r="AY57" s="10"/>
      <c r="AZ57" s="10"/>
    </row>
    <row r="58" spans="2:65" ht="20" hidden="1" customHeight="1" x14ac:dyDescent="0.15">
      <c r="B58" s="10" t="s">
        <v>116</v>
      </c>
      <c r="C58" s="141">
        <f>SUMPRODUCT($F$99:$AZ$99,$F$85:$AZ$85)</f>
        <v>46387</v>
      </c>
      <c r="D58" s="7"/>
      <c r="E58" s="15"/>
      <c r="F58" s="15"/>
      <c r="G58" s="15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0"/>
      <c r="AR58" s="10"/>
      <c r="AS58" s="10"/>
      <c r="AT58" s="10"/>
      <c r="AU58" s="10"/>
      <c r="AV58" s="10"/>
      <c r="AW58" s="10"/>
      <c r="AX58" s="10"/>
      <c r="AY58" s="10"/>
      <c r="AZ58" s="10"/>
    </row>
    <row r="59" spans="2:65" ht="5" hidden="1" customHeight="1" x14ac:dyDescent="0.15">
      <c r="B59" s="10" t="s">
        <v>88</v>
      </c>
      <c r="C59" s="128">
        <v>0.05</v>
      </c>
      <c r="D59" s="7"/>
      <c r="E59" s="7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0"/>
      <c r="AR59" s="10"/>
      <c r="AS59" s="10"/>
      <c r="AT59" s="10"/>
      <c r="AU59" s="10"/>
      <c r="AV59" s="10"/>
      <c r="AW59" s="10"/>
      <c r="AX59" s="10"/>
      <c r="AY59" s="10"/>
      <c r="AZ59" s="10"/>
    </row>
    <row r="60" spans="2:65" s="16" customFormat="1" ht="1" hidden="1" customHeight="1" x14ac:dyDescent="0.15">
      <c r="B60" s="10" t="s">
        <v>127</v>
      </c>
      <c r="C60" s="14">
        <f>CHOOSE($C$1,E60,F60,G60)</f>
        <v>0.08</v>
      </c>
      <c r="D60" s="109"/>
      <c r="E60" s="128">
        <v>0.08</v>
      </c>
      <c r="F60" s="128">
        <f>E60-0.5%</f>
        <v>7.4999999999999997E-2</v>
      </c>
      <c r="G60" s="139">
        <f>E60+0.25%</f>
        <v>8.2500000000000004E-2</v>
      </c>
      <c r="M60" s="7"/>
      <c r="N60" s="7"/>
      <c r="O60" s="7"/>
      <c r="BC60" s="101"/>
      <c r="BD60" s="101"/>
      <c r="BE60" s="101"/>
      <c r="BF60" s="101"/>
      <c r="BG60" s="101"/>
      <c r="BH60" s="101"/>
      <c r="BI60" s="101"/>
      <c r="BJ60" s="101"/>
      <c r="BK60" s="101"/>
      <c r="BL60" s="101"/>
      <c r="BM60" s="101"/>
    </row>
    <row r="61" spans="2:65" s="16" customFormat="1" ht="20" hidden="1" customHeight="1" x14ac:dyDescent="0.15">
      <c r="B61" s="138" t="s">
        <v>220</v>
      </c>
      <c r="C61" s="15">
        <f>400000*C8</f>
        <v>118440000.00000001</v>
      </c>
      <c r="D61" s="109"/>
      <c r="E61" s="128"/>
      <c r="F61" s="128"/>
      <c r="G61" s="139"/>
      <c r="M61" s="7"/>
      <c r="N61" s="7"/>
      <c r="O61" s="7"/>
      <c r="BC61" s="101"/>
      <c r="BD61" s="101"/>
      <c r="BE61" s="101"/>
      <c r="BF61" s="101"/>
      <c r="BG61" s="101"/>
      <c r="BH61" s="101"/>
      <c r="BI61" s="101"/>
      <c r="BJ61" s="101"/>
      <c r="BK61" s="101"/>
      <c r="BL61" s="101"/>
      <c r="BM61" s="101"/>
    </row>
    <row r="62" spans="2:65" s="16" customFormat="1" ht="1" hidden="1" customHeight="1" x14ac:dyDescent="0.15">
      <c r="B62" s="10"/>
      <c r="C62" s="10"/>
      <c r="D62" s="7"/>
      <c r="M62" s="7"/>
      <c r="N62" s="7"/>
      <c r="O62" s="7"/>
      <c r="BC62" s="101"/>
      <c r="BD62" s="101"/>
      <c r="BE62" s="101"/>
      <c r="BF62" s="101"/>
      <c r="BG62" s="101"/>
      <c r="BH62" s="101"/>
      <c r="BI62" s="101"/>
      <c r="BJ62" s="101"/>
      <c r="BK62" s="101"/>
      <c r="BL62" s="101"/>
      <c r="BM62" s="101"/>
    </row>
    <row r="63" spans="2:65" s="16" customFormat="1" ht="20" hidden="1" customHeight="1" x14ac:dyDescent="0.15">
      <c r="B63" s="8" t="s">
        <v>130</v>
      </c>
      <c r="C63" s="9"/>
      <c r="D63" s="7"/>
      <c r="M63" s="7"/>
      <c r="N63" s="7"/>
      <c r="O63" s="7"/>
      <c r="BC63" s="101"/>
      <c r="BD63" s="101"/>
      <c r="BE63" s="101"/>
      <c r="BF63" s="101"/>
      <c r="BG63" s="101"/>
      <c r="BH63" s="101"/>
      <c r="BI63" s="101"/>
      <c r="BJ63" s="101"/>
      <c r="BK63" s="101"/>
      <c r="BL63" s="101"/>
      <c r="BM63" s="101"/>
    </row>
    <row r="64" spans="2:65" s="16" customFormat="1" ht="20" hidden="1" customHeight="1" x14ac:dyDescent="0.15">
      <c r="B64" s="17" t="s">
        <v>134</v>
      </c>
      <c r="C64" s="18">
        <f>SUM(C65:C68)</f>
        <v>259999999.99999997</v>
      </c>
      <c r="D64" s="7"/>
      <c r="M64" s="7"/>
      <c r="N64" s="7"/>
      <c r="O64" s="7"/>
      <c r="BC64" s="101"/>
      <c r="BD64" s="101"/>
      <c r="BE64" s="101"/>
      <c r="BF64" s="101"/>
      <c r="BG64" s="101"/>
      <c r="BH64" s="101"/>
      <c r="BI64" s="101"/>
      <c r="BJ64" s="101"/>
      <c r="BK64" s="101"/>
      <c r="BL64" s="101"/>
      <c r="BM64" s="101"/>
    </row>
    <row r="65" spans="1:65" s="16" customFormat="1" ht="8" hidden="1" customHeight="1" x14ac:dyDescent="0.15">
      <c r="B65" s="10" t="s">
        <v>131</v>
      </c>
      <c r="C65" s="11">
        <f>SUMIF($F$104:$K$104,A70,$F$105:$K$105)</f>
        <v>86800000</v>
      </c>
      <c r="D65" s="7"/>
      <c r="M65" s="7"/>
      <c r="N65" s="7"/>
      <c r="O65" s="7"/>
      <c r="BC65" s="101"/>
      <c r="BD65" s="101"/>
      <c r="BE65" s="101"/>
      <c r="BF65" s="101"/>
      <c r="BG65" s="101"/>
      <c r="BH65" s="101"/>
      <c r="BI65" s="101"/>
      <c r="BJ65" s="101"/>
      <c r="BK65" s="101"/>
      <c r="BL65" s="101"/>
      <c r="BM65" s="101"/>
    </row>
    <row r="66" spans="1:65" s="16" customFormat="1" ht="20" hidden="1" customHeight="1" x14ac:dyDescent="0.15">
      <c r="B66" s="10" t="s">
        <v>132</v>
      </c>
      <c r="C66" s="11">
        <f>SUMIF($F$104:$K$104,A71,$F$105:$K$105)</f>
        <v>40000000</v>
      </c>
      <c r="D66" s="7"/>
      <c r="M66" s="7"/>
      <c r="N66" s="7"/>
      <c r="O66" s="7"/>
      <c r="BC66" s="101"/>
      <c r="BD66" s="101"/>
      <c r="BE66" s="101"/>
      <c r="BF66" s="101"/>
      <c r="BG66" s="101"/>
      <c r="BH66" s="101"/>
      <c r="BI66" s="101"/>
      <c r="BJ66" s="101"/>
      <c r="BK66" s="101"/>
      <c r="BL66" s="101"/>
      <c r="BM66" s="101"/>
    </row>
    <row r="67" spans="1:65" s="16" customFormat="1" ht="20" hidden="1" customHeight="1" x14ac:dyDescent="0.15">
      <c r="B67" s="10" t="s">
        <v>133</v>
      </c>
      <c r="C67" s="11">
        <f>SUMIF($F$104:$K$104,A72,$F$105:$K$105)</f>
        <v>45000000</v>
      </c>
      <c r="D67" s="7"/>
      <c r="M67" s="7"/>
      <c r="N67" s="7"/>
      <c r="O67" s="7"/>
      <c r="BC67" s="101"/>
      <c r="BD67" s="101"/>
      <c r="BE67" s="101"/>
      <c r="BF67" s="101"/>
      <c r="BG67" s="101"/>
      <c r="BH67" s="101"/>
      <c r="BI67" s="101"/>
      <c r="BJ67" s="101"/>
      <c r="BK67" s="101"/>
      <c r="BL67" s="101"/>
      <c r="BM67" s="101"/>
    </row>
    <row r="68" spans="1:65" s="16" customFormat="1" ht="20" hidden="1" customHeight="1" x14ac:dyDescent="0.15">
      <c r="B68" s="10" t="s">
        <v>214</v>
      </c>
      <c r="C68" s="11">
        <f>SUMIF($F$104:$K$104,A73,$F$105:$K$105)</f>
        <v>88199999.99999997</v>
      </c>
      <c r="D68" s="7"/>
      <c r="M68" s="7"/>
      <c r="N68" s="7"/>
      <c r="O68" s="7"/>
      <c r="BC68" s="101"/>
      <c r="BD68" s="101"/>
      <c r="BE68" s="101"/>
      <c r="BF68" s="101"/>
      <c r="BG68" s="101"/>
      <c r="BH68" s="101"/>
      <c r="BI68" s="101"/>
      <c r="BJ68" s="101"/>
      <c r="BK68" s="101"/>
      <c r="BL68" s="101"/>
      <c r="BM68" s="101"/>
    </row>
    <row r="69" spans="1:65" s="16" customFormat="1" ht="10" hidden="1" customHeight="1" x14ac:dyDescent="0.15">
      <c r="B69" s="17" t="s">
        <v>60</v>
      </c>
      <c r="C69" s="18">
        <f>SUM(C70:C73)/4</f>
        <v>10875</v>
      </c>
      <c r="D69" s="7"/>
      <c r="M69" s="7"/>
      <c r="N69" s="7"/>
      <c r="O69" s="7"/>
      <c r="BC69" s="101"/>
      <c r="BD69" s="101"/>
      <c r="BE69" s="101"/>
      <c r="BF69" s="101"/>
      <c r="BG69" s="101"/>
      <c r="BH69" s="101"/>
      <c r="BI69" s="101"/>
      <c r="BJ69" s="101"/>
      <c r="BK69" s="101"/>
      <c r="BL69" s="101"/>
      <c r="BM69" s="101"/>
    </row>
    <row r="70" spans="1:65" s="16" customFormat="1" ht="1" hidden="1" customHeight="1" x14ac:dyDescent="0.15">
      <c r="A70" s="142">
        <v>1</v>
      </c>
      <c r="B70" s="10" t="s">
        <v>131</v>
      </c>
      <c r="C70" s="15">
        <v>10000</v>
      </c>
      <c r="D70" s="7"/>
      <c r="M70" s="7"/>
      <c r="N70" s="7"/>
      <c r="O70" s="7"/>
      <c r="BC70" s="101"/>
      <c r="BD70" s="101"/>
      <c r="BE70" s="101"/>
      <c r="BF70" s="101"/>
      <c r="BG70" s="101"/>
      <c r="BH70" s="101"/>
      <c r="BI70" s="101"/>
      <c r="BJ70" s="101"/>
      <c r="BK70" s="101"/>
      <c r="BL70" s="101"/>
      <c r="BM70" s="101"/>
    </row>
    <row r="71" spans="1:65" s="16" customFormat="1" ht="20" hidden="1" customHeight="1" x14ac:dyDescent="0.15">
      <c r="A71" s="142">
        <v>2</v>
      </c>
      <c r="B71" s="10" t="s">
        <v>132</v>
      </c>
      <c r="C71" s="15">
        <v>10500</v>
      </c>
      <c r="D71" s="7"/>
      <c r="E71" s="143"/>
      <c r="M71" s="7"/>
      <c r="N71" s="7"/>
      <c r="O71" s="7"/>
      <c r="BC71" s="101"/>
      <c r="BD71" s="101"/>
      <c r="BE71" s="101"/>
      <c r="BF71" s="101"/>
      <c r="BG71" s="101"/>
      <c r="BH71" s="101"/>
      <c r="BI71" s="101"/>
      <c r="BJ71" s="101"/>
      <c r="BK71" s="101"/>
      <c r="BL71" s="101"/>
      <c r="BM71" s="101"/>
    </row>
    <row r="72" spans="1:65" s="16" customFormat="1" ht="20" hidden="1" customHeight="1" x14ac:dyDescent="0.15">
      <c r="A72" s="142">
        <v>3</v>
      </c>
      <c r="B72" s="10" t="s">
        <v>133</v>
      </c>
      <c r="C72" s="15">
        <v>11250</v>
      </c>
      <c r="D72" s="7"/>
      <c r="E72" s="144"/>
      <c r="M72" s="7"/>
      <c r="N72" s="7"/>
      <c r="O72" s="7"/>
      <c r="BC72" s="101"/>
      <c r="BD72" s="101"/>
      <c r="BE72" s="101"/>
      <c r="BF72" s="101"/>
      <c r="BG72" s="101"/>
      <c r="BH72" s="101"/>
      <c r="BI72" s="101"/>
      <c r="BJ72" s="101"/>
      <c r="BK72" s="101"/>
      <c r="BL72" s="101"/>
      <c r="BM72" s="101"/>
    </row>
    <row r="73" spans="1:65" s="16" customFormat="1" ht="1" hidden="1" customHeight="1" x14ac:dyDescent="0.15">
      <c r="A73" s="142">
        <v>4</v>
      </c>
      <c r="B73" s="10" t="s">
        <v>214</v>
      </c>
      <c r="C73" s="15">
        <v>11750</v>
      </c>
      <c r="D73" s="7"/>
      <c r="E73" s="144"/>
      <c r="M73" s="7"/>
      <c r="N73" s="7"/>
      <c r="O73" s="7"/>
      <c r="BC73" s="101"/>
      <c r="BD73" s="101"/>
      <c r="BE73" s="101"/>
      <c r="BF73" s="101"/>
      <c r="BG73" s="101"/>
      <c r="BH73" s="101"/>
      <c r="BI73" s="101"/>
      <c r="BJ73" s="101"/>
      <c r="BK73" s="101"/>
      <c r="BL73" s="101"/>
      <c r="BM73" s="101"/>
    </row>
    <row r="74" spans="1:65" s="16" customFormat="1" ht="1" hidden="1" customHeight="1" x14ac:dyDescent="0.15">
      <c r="B74" s="17" t="s">
        <v>135</v>
      </c>
      <c r="C74" s="18">
        <f>SUM(C75:C78)</f>
        <v>23995.906788247212</v>
      </c>
      <c r="D74" s="7"/>
      <c r="M74" s="7"/>
      <c r="N74" s="7"/>
      <c r="O74" s="7"/>
      <c r="BC74" s="101"/>
      <c r="BD74" s="101"/>
      <c r="BE74" s="101"/>
      <c r="BF74" s="101"/>
      <c r="BG74" s="101"/>
      <c r="BH74" s="101"/>
      <c r="BI74" s="101"/>
      <c r="BJ74" s="101"/>
      <c r="BK74" s="101"/>
      <c r="BL74" s="101"/>
      <c r="BM74" s="101"/>
    </row>
    <row r="75" spans="1:65" s="16" customFormat="1" ht="15" hidden="1" customHeight="1" x14ac:dyDescent="0.15">
      <c r="B75" s="10" t="s">
        <v>131</v>
      </c>
      <c r="C75" s="11">
        <f>SUMIF($F$104:$K$104,A70,$F$107:$K$107)</f>
        <v>8680</v>
      </c>
      <c r="D75" s="7"/>
      <c r="M75" s="7"/>
      <c r="N75" s="7"/>
      <c r="O75" s="7"/>
      <c r="BC75" s="101"/>
      <c r="BD75" s="101"/>
      <c r="BE75" s="101"/>
      <c r="BF75" s="101"/>
      <c r="BG75" s="101"/>
      <c r="BH75" s="101"/>
      <c r="BI75" s="101"/>
      <c r="BJ75" s="101"/>
      <c r="BK75" s="101"/>
      <c r="BL75" s="101"/>
      <c r="BM75" s="101"/>
    </row>
    <row r="76" spans="1:65" s="16" customFormat="1" ht="1" hidden="1" customHeight="1" x14ac:dyDescent="0.15">
      <c r="B76" s="10" t="s">
        <v>132</v>
      </c>
      <c r="C76" s="11">
        <f>SUMIF($F$104:$K$104,A71,$F$107:$K$107)</f>
        <v>3809.5238095238096</v>
      </c>
      <c r="D76" s="7"/>
      <c r="M76" s="7"/>
      <c r="N76" s="7"/>
      <c r="O76" s="7"/>
      <c r="BC76" s="101"/>
      <c r="BD76" s="101"/>
      <c r="BE76" s="101"/>
      <c r="BF76" s="101"/>
      <c r="BG76" s="101"/>
      <c r="BH76" s="101"/>
      <c r="BI76" s="101"/>
      <c r="BJ76" s="101"/>
      <c r="BK76" s="101"/>
      <c r="BL76" s="101"/>
      <c r="BM76" s="101"/>
    </row>
    <row r="77" spans="1:65" s="16" customFormat="1" ht="15" hidden="1" customHeight="1" x14ac:dyDescent="0.15">
      <c r="B77" s="10" t="s">
        <v>133</v>
      </c>
      <c r="C77" s="11">
        <f>SUMIF($F$104:$K$104,A72,$F$107:$K$107)</f>
        <v>4000</v>
      </c>
      <c r="D77" s="7"/>
      <c r="K77" s="145"/>
      <c r="M77" s="7"/>
      <c r="N77" s="7"/>
      <c r="O77" s="7"/>
      <c r="BC77" s="101"/>
      <c r="BD77" s="101"/>
      <c r="BE77" s="101"/>
      <c r="BF77" s="101"/>
      <c r="BG77" s="101"/>
      <c r="BH77" s="101"/>
      <c r="BI77" s="101"/>
      <c r="BJ77" s="101"/>
      <c r="BK77" s="101"/>
      <c r="BL77" s="101"/>
      <c r="BM77" s="101"/>
    </row>
    <row r="78" spans="1:65" s="16" customFormat="1" ht="1" hidden="1" customHeight="1" x14ac:dyDescent="0.15">
      <c r="B78" s="10" t="s">
        <v>214</v>
      </c>
      <c r="C78" s="11">
        <f>SUMIF($F$104:$K$104,A73,$F$107:$K$107)</f>
        <v>7506.3829787234017</v>
      </c>
      <c r="D78" s="7"/>
      <c r="M78" s="7"/>
      <c r="N78" s="7"/>
      <c r="O78" s="7"/>
      <c r="BC78" s="101"/>
      <c r="BD78" s="101"/>
      <c r="BE78" s="101"/>
      <c r="BF78" s="101"/>
      <c r="BG78" s="101"/>
      <c r="BH78" s="101"/>
      <c r="BI78" s="101"/>
      <c r="BJ78" s="101"/>
      <c r="BK78" s="101"/>
      <c r="BL78" s="101"/>
      <c r="BM78" s="101"/>
    </row>
    <row r="79" spans="1:65" s="16" customFormat="1" ht="20" hidden="1" customHeight="1" x14ac:dyDescent="0.15">
      <c r="B79" s="10"/>
      <c r="C79" s="10"/>
      <c r="D79" s="7"/>
      <c r="F79" s="146"/>
      <c r="G79" s="146"/>
      <c r="H79" s="146"/>
      <c r="I79" s="146"/>
      <c r="J79" s="146"/>
      <c r="K79" s="146"/>
      <c r="M79" s="7"/>
      <c r="N79" s="7"/>
      <c r="O79" s="7"/>
      <c r="BC79" s="101"/>
      <c r="BD79" s="101"/>
      <c r="BE79" s="101"/>
      <c r="BF79" s="101"/>
      <c r="BG79" s="101"/>
      <c r="BH79" s="101"/>
      <c r="BI79" s="101"/>
      <c r="BJ79" s="101"/>
      <c r="BK79" s="101"/>
      <c r="BL79" s="101"/>
      <c r="BM79" s="101"/>
    </row>
    <row r="80" spans="1:65" s="16" customFormat="1" ht="13" hidden="1" customHeight="1" x14ac:dyDescent="0.15">
      <c r="B80" s="10"/>
      <c r="C80" s="10"/>
      <c r="D80" s="7"/>
      <c r="M80" s="7"/>
      <c r="N80" s="7"/>
      <c r="O80" s="7"/>
      <c r="BC80" s="101"/>
      <c r="BD80" s="101"/>
      <c r="BE80" s="101"/>
      <c r="BF80" s="101"/>
      <c r="BG80" s="101"/>
      <c r="BH80" s="101"/>
      <c r="BI80" s="101"/>
      <c r="BJ80" s="101"/>
      <c r="BK80" s="101"/>
      <c r="BL80" s="101"/>
      <c r="BM80" s="101"/>
    </row>
    <row r="81" spans="1:52" ht="1" hidden="1" customHeight="1" x14ac:dyDescent="0.15">
      <c r="A81" s="90"/>
      <c r="E81" s="7"/>
      <c r="G81" s="147"/>
      <c r="H81" s="147"/>
      <c r="O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0"/>
      <c r="AR81" s="10"/>
      <c r="AS81" s="10"/>
      <c r="AT81" s="10"/>
      <c r="AU81" s="10"/>
      <c r="AV81" s="10"/>
      <c r="AW81" s="10"/>
      <c r="AX81" s="10"/>
      <c r="AY81" s="10"/>
      <c r="AZ81" s="10"/>
    </row>
    <row r="82" spans="1:52" ht="15" hidden="1" customHeight="1" x14ac:dyDescent="0.15">
      <c r="B82" s="22" t="s">
        <v>45</v>
      </c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</row>
    <row r="83" spans="1:52" ht="1" hidden="1" customHeight="1" x14ac:dyDescent="0.15">
      <c r="B83" s="10" t="s">
        <v>15</v>
      </c>
      <c r="C83" s="93"/>
      <c r="D83" s="7"/>
      <c r="E83" s="93"/>
      <c r="F83" s="148">
        <f>YEAR(F85)</f>
        <v>2025</v>
      </c>
      <c r="G83" s="148">
        <f>YEAR(G85)</f>
        <v>2026</v>
      </c>
      <c r="H83" s="148">
        <f>YEAR(H85)</f>
        <v>2026</v>
      </c>
      <c r="I83" s="148">
        <f>YEAR(I85)</f>
        <v>2026</v>
      </c>
      <c r="J83" s="148">
        <f t="shared" ref="J83:AD83" si="1">YEAR(J85)</f>
        <v>2026</v>
      </c>
      <c r="K83" s="148">
        <f>YEAR(K85)</f>
        <v>2027</v>
      </c>
      <c r="L83" s="148">
        <f t="shared" si="1"/>
        <v>2027</v>
      </c>
      <c r="M83" s="148">
        <f t="shared" si="1"/>
        <v>2027</v>
      </c>
      <c r="N83" s="148">
        <f t="shared" si="1"/>
        <v>2027</v>
      </c>
      <c r="O83" s="148">
        <f t="shared" si="1"/>
        <v>2028</v>
      </c>
      <c r="P83" s="148">
        <f t="shared" si="1"/>
        <v>2028</v>
      </c>
      <c r="Q83" s="148">
        <f t="shared" si="1"/>
        <v>2028</v>
      </c>
      <c r="R83" s="148">
        <f t="shared" si="1"/>
        <v>2028</v>
      </c>
      <c r="S83" s="148">
        <f t="shared" si="1"/>
        <v>2029</v>
      </c>
      <c r="T83" s="148">
        <f t="shared" si="1"/>
        <v>2029</v>
      </c>
      <c r="U83" s="148">
        <f t="shared" si="1"/>
        <v>2029</v>
      </c>
      <c r="V83" s="148">
        <f t="shared" si="1"/>
        <v>2029</v>
      </c>
      <c r="W83" s="148">
        <f t="shared" si="1"/>
        <v>2030</v>
      </c>
      <c r="X83" s="148">
        <f t="shared" si="1"/>
        <v>2030</v>
      </c>
      <c r="Y83" s="148">
        <f t="shared" si="1"/>
        <v>2030</v>
      </c>
      <c r="Z83" s="148">
        <f t="shared" si="1"/>
        <v>2030</v>
      </c>
      <c r="AA83" s="148">
        <f t="shared" si="1"/>
        <v>2031</v>
      </c>
      <c r="AB83" s="148">
        <f t="shared" si="1"/>
        <v>2031</v>
      </c>
      <c r="AC83" s="148">
        <f t="shared" si="1"/>
        <v>2031</v>
      </c>
      <c r="AD83" s="148">
        <f t="shared" si="1"/>
        <v>2031</v>
      </c>
      <c r="AE83" s="148">
        <f t="shared" ref="AE83:AT83" si="2">YEAR(AE85)</f>
        <v>2032</v>
      </c>
      <c r="AF83" s="148">
        <f t="shared" si="2"/>
        <v>2032</v>
      </c>
      <c r="AG83" s="148">
        <f t="shared" si="2"/>
        <v>2032</v>
      </c>
      <c r="AH83" s="148">
        <f t="shared" si="2"/>
        <v>2032</v>
      </c>
      <c r="AI83" s="148">
        <f t="shared" si="2"/>
        <v>2033</v>
      </c>
      <c r="AJ83" s="148">
        <f t="shared" si="2"/>
        <v>2033</v>
      </c>
      <c r="AK83" s="148">
        <f t="shared" si="2"/>
        <v>2033</v>
      </c>
      <c r="AL83" s="148">
        <f t="shared" si="2"/>
        <v>2033</v>
      </c>
      <c r="AM83" s="148">
        <f t="shared" si="2"/>
        <v>2034</v>
      </c>
      <c r="AN83" s="148">
        <f t="shared" si="2"/>
        <v>2034</v>
      </c>
      <c r="AO83" s="148">
        <f t="shared" si="2"/>
        <v>2034</v>
      </c>
      <c r="AP83" s="148">
        <f t="shared" si="2"/>
        <v>2034</v>
      </c>
      <c r="AQ83" s="148">
        <f t="shared" si="2"/>
        <v>2035</v>
      </c>
      <c r="AR83" s="148">
        <f t="shared" si="2"/>
        <v>2035</v>
      </c>
      <c r="AS83" s="148">
        <f t="shared" si="2"/>
        <v>2035</v>
      </c>
      <c r="AT83" s="148">
        <f t="shared" si="2"/>
        <v>2035</v>
      </c>
      <c r="AU83" s="148">
        <f t="shared" ref="AU83:AZ83" si="3">YEAR(AU85)</f>
        <v>2036</v>
      </c>
      <c r="AV83" s="148">
        <f t="shared" si="3"/>
        <v>2036</v>
      </c>
      <c r="AW83" s="148">
        <f t="shared" si="3"/>
        <v>2036</v>
      </c>
      <c r="AX83" s="148">
        <f t="shared" si="3"/>
        <v>2036</v>
      </c>
      <c r="AY83" s="148">
        <f t="shared" si="3"/>
        <v>2037</v>
      </c>
      <c r="AZ83" s="148">
        <f t="shared" si="3"/>
        <v>2037</v>
      </c>
    </row>
    <row r="84" spans="1:52" ht="1" hidden="1" customHeight="1" x14ac:dyDescent="0.15">
      <c r="B84" s="10" t="s">
        <v>16</v>
      </c>
      <c r="C84" s="93"/>
      <c r="D84" s="149"/>
      <c r="E84" s="93"/>
      <c r="F84" s="11" t="s">
        <v>17</v>
      </c>
      <c r="G84" s="11" t="s">
        <v>33</v>
      </c>
      <c r="H84" s="11" t="s">
        <v>40</v>
      </c>
      <c r="I84" s="11" t="s">
        <v>43</v>
      </c>
      <c r="J84" s="11" t="str">
        <f>F84</f>
        <v>4 кв.</v>
      </c>
      <c r="K84" s="11" t="str">
        <f>G84</f>
        <v>1 кв.</v>
      </c>
      <c r="L84" s="11" t="str">
        <f>H84</f>
        <v>2 кв.</v>
      </c>
      <c r="M84" s="11" t="str">
        <f t="shared" ref="M84:AT84" si="4">I84</f>
        <v>3 кв.</v>
      </c>
      <c r="N84" s="11" t="str">
        <f t="shared" si="4"/>
        <v>4 кв.</v>
      </c>
      <c r="O84" s="11" t="str">
        <f t="shared" si="4"/>
        <v>1 кв.</v>
      </c>
      <c r="P84" s="11" t="str">
        <f t="shared" si="4"/>
        <v>2 кв.</v>
      </c>
      <c r="Q84" s="11" t="str">
        <f t="shared" si="4"/>
        <v>3 кв.</v>
      </c>
      <c r="R84" s="11" t="str">
        <f t="shared" si="4"/>
        <v>4 кв.</v>
      </c>
      <c r="S84" s="11" t="str">
        <f t="shared" si="4"/>
        <v>1 кв.</v>
      </c>
      <c r="T84" s="11" t="str">
        <f t="shared" si="4"/>
        <v>2 кв.</v>
      </c>
      <c r="U84" s="11" t="str">
        <f t="shared" si="4"/>
        <v>3 кв.</v>
      </c>
      <c r="V84" s="11" t="str">
        <f t="shared" si="4"/>
        <v>4 кв.</v>
      </c>
      <c r="W84" s="11" t="str">
        <f t="shared" si="4"/>
        <v>1 кв.</v>
      </c>
      <c r="X84" s="11" t="str">
        <f t="shared" si="4"/>
        <v>2 кв.</v>
      </c>
      <c r="Y84" s="11" t="str">
        <f t="shared" si="4"/>
        <v>3 кв.</v>
      </c>
      <c r="Z84" s="11" t="str">
        <f t="shared" si="4"/>
        <v>4 кв.</v>
      </c>
      <c r="AA84" s="11" t="str">
        <f t="shared" si="4"/>
        <v>1 кв.</v>
      </c>
      <c r="AB84" s="11" t="str">
        <f t="shared" si="4"/>
        <v>2 кв.</v>
      </c>
      <c r="AC84" s="11" t="str">
        <f t="shared" si="4"/>
        <v>3 кв.</v>
      </c>
      <c r="AD84" s="11" t="str">
        <f t="shared" si="4"/>
        <v>4 кв.</v>
      </c>
      <c r="AE84" s="11" t="str">
        <f t="shared" si="4"/>
        <v>1 кв.</v>
      </c>
      <c r="AF84" s="11" t="str">
        <f t="shared" si="4"/>
        <v>2 кв.</v>
      </c>
      <c r="AG84" s="11" t="str">
        <f t="shared" si="4"/>
        <v>3 кв.</v>
      </c>
      <c r="AH84" s="11" t="str">
        <f t="shared" si="4"/>
        <v>4 кв.</v>
      </c>
      <c r="AI84" s="11" t="str">
        <f t="shared" si="4"/>
        <v>1 кв.</v>
      </c>
      <c r="AJ84" s="11" t="str">
        <f t="shared" si="4"/>
        <v>2 кв.</v>
      </c>
      <c r="AK84" s="11" t="str">
        <f t="shared" si="4"/>
        <v>3 кв.</v>
      </c>
      <c r="AL84" s="11" t="str">
        <f t="shared" si="4"/>
        <v>4 кв.</v>
      </c>
      <c r="AM84" s="11" t="str">
        <f t="shared" si="4"/>
        <v>1 кв.</v>
      </c>
      <c r="AN84" s="11" t="str">
        <f t="shared" si="4"/>
        <v>2 кв.</v>
      </c>
      <c r="AO84" s="11" t="str">
        <f t="shared" si="4"/>
        <v>3 кв.</v>
      </c>
      <c r="AP84" s="11" t="str">
        <f t="shared" si="4"/>
        <v>4 кв.</v>
      </c>
      <c r="AQ84" s="11" t="str">
        <f t="shared" si="4"/>
        <v>1 кв.</v>
      </c>
      <c r="AR84" s="11" t="str">
        <f t="shared" si="4"/>
        <v>2 кв.</v>
      </c>
      <c r="AS84" s="11" t="str">
        <f t="shared" si="4"/>
        <v>3 кв.</v>
      </c>
      <c r="AT84" s="11" t="str">
        <f t="shared" si="4"/>
        <v>4 кв.</v>
      </c>
      <c r="AU84" s="11" t="str">
        <f t="shared" ref="AU84" si="5">AQ84</f>
        <v>1 кв.</v>
      </c>
      <c r="AV84" s="11" t="str">
        <f t="shared" ref="AV84" si="6">AR84</f>
        <v>2 кв.</v>
      </c>
      <c r="AW84" s="11" t="str">
        <f t="shared" ref="AW84" si="7">AS84</f>
        <v>3 кв.</v>
      </c>
      <c r="AX84" s="11" t="str">
        <f t="shared" ref="AX84" si="8">AT84</f>
        <v>4 кв.</v>
      </c>
      <c r="AY84" s="11" t="str">
        <f t="shared" ref="AY84" si="9">AU84</f>
        <v>1 кв.</v>
      </c>
      <c r="AZ84" s="11" t="str">
        <f t="shared" ref="AZ84" si="10">AV84</f>
        <v>2 кв.</v>
      </c>
    </row>
    <row r="85" spans="1:52" ht="20" hidden="1" customHeight="1" x14ac:dyDescent="0.15">
      <c r="B85" s="10" t="s">
        <v>34</v>
      </c>
      <c r="C85" s="93"/>
      <c r="E85" s="93"/>
      <c r="F85" s="111">
        <f>C10</f>
        <v>46022</v>
      </c>
      <c r="G85" s="111">
        <f>EOMONTH(F85,3)</f>
        <v>46112</v>
      </c>
      <c r="H85" s="111">
        <f t="shared" ref="H85:AZ85" si="11">EOMONTH(G85,3)</f>
        <v>46203</v>
      </c>
      <c r="I85" s="111">
        <f t="shared" si="11"/>
        <v>46295</v>
      </c>
      <c r="J85" s="111">
        <f t="shared" si="11"/>
        <v>46387</v>
      </c>
      <c r="K85" s="111">
        <f t="shared" si="11"/>
        <v>46477</v>
      </c>
      <c r="L85" s="111">
        <f t="shared" si="11"/>
        <v>46568</v>
      </c>
      <c r="M85" s="111">
        <f t="shared" si="11"/>
        <v>46660</v>
      </c>
      <c r="N85" s="111">
        <f t="shared" si="11"/>
        <v>46752</v>
      </c>
      <c r="O85" s="111">
        <f t="shared" si="11"/>
        <v>46843</v>
      </c>
      <c r="P85" s="111">
        <f t="shared" si="11"/>
        <v>46934</v>
      </c>
      <c r="Q85" s="111">
        <f t="shared" si="11"/>
        <v>47026</v>
      </c>
      <c r="R85" s="111">
        <f t="shared" si="11"/>
        <v>47118</v>
      </c>
      <c r="S85" s="111">
        <f t="shared" si="11"/>
        <v>47208</v>
      </c>
      <c r="T85" s="111">
        <f t="shared" si="11"/>
        <v>47299</v>
      </c>
      <c r="U85" s="111">
        <f t="shared" si="11"/>
        <v>47391</v>
      </c>
      <c r="V85" s="111">
        <f t="shared" si="11"/>
        <v>47483</v>
      </c>
      <c r="W85" s="111">
        <f t="shared" si="11"/>
        <v>47573</v>
      </c>
      <c r="X85" s="111">
        <f t="shared" si="11"/>
        <v>47664</v>
      </c>
      <c r="Y85" s="111">
        <f t="shared" si="11"/>
        <v>47756</v>
      </c>
      <c r="Z85" s="111">
        <f t="shared" si="11"/>
        <v>47848</v>
      </c>
      <c r="AA85" s="111">
        <f t="shared" si="11"/>
        <v>47938</v>
      </c>
      <c r="AB85" s="111">
        <f t="shared" si="11"/>
        <v>48029</v>
      </c>
      <c r="AC85" s="111">
        <f t="shared" si="11"/>
        <v>48121</v>
      </c>
      <c r="AD85" s="111">
        <f t="shared" si="11"/>
        <v>48213</v>
      </c>
      <c r="AE85" s="111">
        <f t="shared" si="11"/>
        <v>48304</v>
      </c>
      <c r="AF85" s="111">
        <f t="shared" si="11"/>
        <v>48395</v>
      </c>
      <c r="AG85" s="111">
        <f t="shared" si="11"/>
        <v>48487</v>
      </c>
      <c r="AH85" s="111">
        <f t="shared" si="11"/>
        <v>48579</v>
      </c>
      <c r="AI85" s="111">
        <f t="shared" si="11"/>
        <v>48669</v>
      </c>
      <c r="AJ85" s="111">
        <f t="shared" si="11"/>
        <v>48760</v>
      </c>
      <c r="AK85" s="111">
        <f t="shared" si="11"/>
        <v>48852</v>
      </c>
      <c r="AL85" s="111">
        <f t="shared" si="11"/>
        <v>48944</v>
      </c>
      <c r="AM85" s="111">
        <f t="shared" si="11"/>
        <v>49034</v>
      </c>
      <c r="AN85" s="111">
        <f t="shared" si="11"/>
        <v>49125</v>
      </c>
      <c r="AO85" s="111">
        <f t="shared" si="11"/>
        <v>49217</v>
      </c>
      <c r="AP85" s="111">
        <f t="shared" si="11"/>
        <v>49309</v>
      </c>
      <c r="AQ85" s="111">
        <f t="shared" si="11"/>
        <v>49399</v>
      </c>
      <c r="AR85" s="111">
        <f t="shared" si="11"/>
        <v>49490</v>
      </c>
      <c r="AS85" s="111">
        <f t="shared" si="11"/>
        <v>49582</v>
      </c>
      <c r="AT85" s="111">
        <f t="shared" si="11"/>
        <v>49674</v>
      </c>
      <c r="AU85" s="111">
        <f t="shared" si="11"/>
        <v>49765</v>
      </c>
      <c r="AV85" s="111">
        <f t="shared" si="11"/>
        <v>49856</v>
      </c>
      <c r="AW85" s="111">
        <f t="shared" si="11"/>
        <v>49948</v>
      </c>
      <c r="AX85" s="111">
        <f t="shared" si="11"/>
        <v>50040</v>
      </c>
      <c r="AY85" s="111">
        <f t="shared" si="11"/>
        <v>50130</v>
      </c>
      <c r="AZ85" s="111">
        <f t="shared" si="11"/>
        <v>50221</v>
      </c>
    </row>
    <row r="86" spans="1:52" ht="6" hidden="1" customHeight="1" x14ac:dyDescent="0.15">
      <c r="B86" s="10" t="s">
        <v>94</v>
      </c>
      <c r="C86" s="93"/>
      <c r="E86" s="93"/>
      <c r="F86" s="150">
        <v>1</v>
      </c>
      <c r="G86" s="150">
        <v>1</v>
      </c>
      <c r="H86" s="150">
        <v>1</v>
      </c>
      <c r="I86" s="150">
        <v>1</v>
      </c>
      <c r="J86" s="150">
        <v>1</v>
      </c>
      <c r="K86" s="151">
        <f>G86+1</f>
        <v>2</v>
      </c>
      <c r="L86" s="151">
        <f t="shared" ref="L86:R86" si="12">H86+1</f>
        <v>2</v>
      </c>
      <c r="M86" s="151">
        <f t="shared" si="12"/>
        <v>2</v>
      </c>
      <c r="N86" s="151">
        <f t="shared" si="12"/>
        <v>2</v>
      </c>
      <c r="O86" s="151">
        <f t="shared" si="12"/>
        <v>3</v>
      </c>
      <c r="P86" s="151">
        <f t="shared" si="12"/>
        <v>3</v>
      </c>
      <c r="Q86" s="151">
        <f t="shared" si="12"/>
        <v>3</v>
      </c>
      <c r="R86" s="151">
        <f t="shared" si="12"/>
        <v>3</v>
      </c>
      <c r="S86" s="151">
        <f>O86+1</f>
        <v>4</v>
      </c>
      <c r="T86" s="151">
        <f t="shared" ref="T86" si="13">P86+1</f>
        <v>4</v>
      </c>
      <c r="U86" s="151">
        <f t="shared" ref="U86:AS86" si="14">Q86+1</f>
        <v>4</v>
      </c>
      <c r="V86" s="151">
        <f t="shared" si="14"/>
        <v>4</v>
      </c>
      <c r="W86" s="151">
        <f t="shared" si="14"/>
        <v>5</v>
      </c>
      <c r="X86" s="151">
        <f t="shared" si="14"/>
        <v>5</v>
      </c>
      <c r="Y86" s="151">
        <f t="shared" si="14"/>
        <v>5</v>
      </c>
      <c r="Z86" s="151">
        <f t="shared" si="14"/>
        <v>5</v>
      </c>
      <c r="AA86" s="151">
        <f t="shared" si="14"/>
        <v>6</v>
      </c>
      <c r="AB86" s="151">
        <f t="shared" si="14"/>
        <v>6</v>
      </c>
      <c r="AC86" s="151">
        <f t="shared" si="14"/>
        <v>6</v>
      </c>
      <c r="AD86" s="151">
        <f t="shared" si="14"/>
        <v>6</v>
      </c>
      <c r="AE86" s="151">
        <f t="shared" si="14"/>
        <v>7</v>
      </c>
      <c r="AF86" s="151">
        <f t="shared" si="14"/>
        <v>7</v>
      </c>
      <c r="AG86" s="151">
        <f t="shared" si="14"/>
        <v>7</v>
      </c>
      <c r="AH86" s="151">
        <f t="shared" si="14"/>
        <v>7</v>
      </c>
      <c r="AI86" s="151">
        <f t="shared" si="14"/>
        <v>8</v>
      </c>
      <c r="AJ86" s="151">
        <f t="shared" si="14"/>
        <v>8</v>
      </c>
      <c r="AK86" s="151">
        <f t="shared" si="14"/>
        <v>8</v>
      </c>
      <c r="AL86" s="151">
        <f t="shared" si="14"/>
        <v>8</v>
      </c>
      <c r="AM86" s="151">
        <f t="shared" si="14"/>
        <v>9</v>
      </c>
      <c r="AN86" s="151">
        <f t="shared" si="14"/>
        <v>9</v>
      </c>
      <c r="AO86" s="151">
        <f t="shared" si="14"/>
        <v>9</v>
      </c>
      <c r="AP86" s="151">
        <f t="shared" si="14"/>
        <v>9</v>
      </c>
      <c r="AQ86" s="151">
        <f t="shared" si="14"/>
        <v>10</v>
      </c>
      <c r="AR86" s="151">
        <f t="shared" si="14"/>
        <v>10</v>
      </c>
      <c r="AS86" s="151">
        <f t="shared" si="14"/>
        <v>10</v>
      </c>
      <c r="AT86" s="151">
        <f>AP86+1</f>
        <v>10</v>
      </c>
      <c r="AU86" s="151">
        <f t="shared" ref="AU86" si="15">AQ86+1</f>
        <v>11</v>
      </c>
      <c r="AV86" s="151">
        <f t="shared" ref="AV86" si="16">AR86+1</f>
        <v>11</v>
      </c>
      <c r="AW86" s="151">
        <f t="shared" ref="AW86" si="17">AS86+1</f>
        <v>11</v>
      </c>
      <c r="AX86" s="151">
        <f t="shared" ref="AX86" si="18">AT86+1</f>
        <v>11</v>
      </c>
      <c r="AY86" s="151">
        <f t="shared" ref="AY86" si="19">AU86+1</f>
        <v>12</v>
      </c>
      <c r="AZ86" s="151">
        <f t="shared" ref="AZ86" si="20">AV86+1</f>
        <v>12</v>
      </c>
    </row>
    <row r="87" spans="1:52" ht="1" hidden="1" customHeight="1" x14ac:dyDescent="0.15">
      <c r="C87" s="93"/>
      <c r="E87" s="93"/>
      <c r="F87" s="111"/>
      <c r="G87" s="111"/>
      <c r="H87" s="111"/>
      <c r="I87" s="111"/>
      <c r="J87" s="111"/>
      <c r="K87" s="111"/>
      <c r="L87" s="111"/>
      <c r="M87" s="111"/>
      <c r="N87" s="111"/>
      <c r="O87" s="111"/>
      <c r="P87" s="111"/>
      <c r="Q87" s="111"/>
      <c r="R87" s="111"/>
      <c r="S87" s="111"/>
      <c r="T87" s="111"/>
      <c r="U87" s="111"/>
      <c r="V87" s="111"/>
      <c r="W87" s="111"/>
      <c r="X87" s="111"/>
      <c r="Y87" s="111"/>
      <c r="Z87" s="111"/>
      <c r="AA87" s="111"/>
      <c r="AB87" s="111"/>
      <c r="AC87" s="111"/>
      <c r="AD87" s="111"/>
      <c r="AE87" s="111"/>
      <c r="AF87" s="111"/>
      <c r="AG87" s="111"/>
      <c r="AH87" s="111"/>
      <c r="AI87" s="111"/>
      <c r="AJ87" s="111"/>
      <c r="AK87" s="111"/>
      <c r="AL87" s="111"/>
      <c r="AM87" s="111"/>
      <c r="AN87" s="111"/>
      <c r="AO87" s="111"/>
      <c r="AP87" s="111"/>
      <c r="AQ87" s="111"/>
      <c r="AR87" s="111"/>
      <c r="AS87" s="111"/>
      <c r="AT87" s="111"/>
      <c r="AU87" s="111"/>
      <c r="AV87" s="111"/>
      <c r="AW87" s="111"/>
      <c r="AX87" s="111"/>
      <c r="AY87" s="111"/>
      <c r="AZ87" s="111"/>
    </row>
    <row r="88" spans="1:52" ht="1" hidden="1" customHeight="1" x14ac:dyDescent="0.15">
      <c r="B88" s="22" t="s">
        <v>87</v>
      </c>
      <c r="C88" s="23"/>
      <c r="D88" s="23"/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E88" s="23"/>
      <c r="AF88" s="23"/>
      <c r="AG88" s="23"/>
      <c r="AH88" s="23"/>
      <c r="AI88" s="23"/>
      <c r="AJ88" s="23"/>
      <c r="AK88" s="23"/>
      <c r="AL88" s="23"/>
      <c r="AM88" s="23"/>
      <c r="AN88" s="23"/>
      <c r="AO88" s="23"/>
      <c r="AP88" s="23"/>
      <c r="AQ88" s="23"/>
      <c r="AR88" s="23"/>
      <c r="AS88" s="23"/>
      <c r="AT88" s="23"/>
      <c r="AU88" s="23"/>
      <c r="AV88" s="23"/>
      <c r="AW88" s="23"/>
      <c r="AX88" s="23"/>
      <c r="AY88" s="23"/>
      <c r="AZ88" s="23"/>
    </row>
    <row r="89" spans="1:52" ht="16" hidden="1" customHeight="1" x14ac:dyDescent="0.15">
      <c r="B89" s="10" t="s">
        <v>106</v>
      </c>
      <c r="C89" s="93"/>
      <c r="E89" s="93"/>
      <c r="F89" s="151">
        <f>(F90=0)*1</f>
        <v>0</v>
      </c>
      <c r="G89" s="151">
        <f t="shared" ref="G89:AT89" si="21">(G90=0)*1</f>
        <v>0</v>
      </c>
      <c r="H89" s="151">
        <f>(H90=0)*1</f>
        <v>0</v>
      </c>
      <c r="I89" s="151">
        <f>(I90=0)*1</f>
        <v>1</v>
      </c>
      <c r="J89" s="151">
        <f t="shared" si="21"/>
        <v>1</v>
      </c>
      <c r="K89" s="151">
        <f t="shared" si="21"/>
        <v>1</v>
      </c>
      <c r="L89" s="151">
        <f t="shared" si="21"/>
        <v>1</v>
      </c>
      <c r="M89" s="151">
        <f t="shared" si="21"/>
        <v>1</v>
      </c>
      <c r="N89" s="151">
        <f t="shared" si="21"/>
        <v>1</v>
      </c>
      <c r="O89" s="151">
        <f t="shared" si="21"/>
        <v>1</v>
      </c>
      <c r="P89" s="151">
        <f t="shared" si="21"/>
        <v>1</v>
      </c>
      <c r="Q89" s="151">
        <f t="shared" si="21"/>
        <v>1</v>
      </c>
      <c r="R89" s="151">
        <f t="shared" si="21"/>
        <v>1</v>
      </c>
      <c r="S89" s="151">
        <f t="shared" si="21"/>
        <v>1</v>
      </c>
      <c r="T89" s="151">
        <f t="shared" si="21"/>
        <v>1</v>
      </c>
      <c r="U89" s="151">
        <f t="shared" si="21"/>
        <v>1</v>
      </c>
      <c r="V89" s="151">
        <f t="shared" si="21"/>
        <v>1</v>
      </c>
      <c r="W89" s="151">
        <f t="shared" si="21"/>
        <v>1</v>
      </c>
      <c r="X89" s="151">
        <f t="shared" si="21"/>
        <v>1</v>
      </c>
      <c r="Y89" s="151">
        <f t="shared" si="21"/>
        <v>1</v>
      </c>
      <c r="Z89" s="151">
        <f t="shared" si="21"/>
        <v>1</v>
      </c>
      <c r="AA89" s="151">
        <f t="shared" si="21"/>
        <v>1</v>
      </c>
      <c r="AB89" s="151">
        <f t="shared" si="21"/>
        <v>1</v>
      </c>
      <c r="AC89" s="151">
        <f t="shared" si="21"/>
        <v>1</v>
      </c>
      <c r="AD89" s="151">
        <f t="shared" si="21"/>
        <v>1</v>
      </c>
      <c r="AE89" s="151">
        <f t="shared" si="21"/>
        <v>1</v>
      </c>
      <c r="AF89" s="151">
        <f t="shared" si="21"/>
        <v>1</v>
      </c>
      <c r="AG89" s="151">
        <f t="shared" si="21"/>
        <v>1</v>
      </c>
      <c r="AH89" s="151">
        <f t="shared" si="21"/>
        <v>1</v>
      </c>
      <c r="AI89" s="151">
        <f t="shared" si="21"/>
        <v>1</v>
      </c>
      <c r="AJ89" s="151">
        <f t="shared" si="21"/>
        <v>1</v>
      </c>
      <c r="AK89" s="151">
        <f t="shared" si="21"/>
        <v>1</v>
      </c>
      <c r="AL89" s="151">
        <f t="shared" si="21"/>
        <v>1</v>
      </c>
      <c r="AM89" s="151">
        <f t="shared" si="21"/>
        <v>1</v>
      </c>
      <c r="AN89" s="151">
        <f t="shared" si="21"/>
        <v>1</v>
      </c>
      <c r="AO89" s="151">
        <f t="shared" si="21"/>
        <v>1</v>
      </c>
      <c r="AP89" s="151">
        <f t="shared" si="21"/>
        <v>1</v>
      </c>
      <c r="AQ89" s="151">
        <f t="shared" si="21"/>
        <v>1</v>
      </c>
      <c r="AR89" s="151">
        <f t="shared" si="21"/>
        <v>1</v>
      </c>
      <c r="AS89" s="151">
        <f t="shared" si="21"/>
        <v>1</v>
      </c>
      <c r="AT89" s="151">
        <f t="shared" si="21"/>
        <v>1</v>
      </c>
      <c r="AU89" s="151">
        <f t="shared" ref="AU89" si="22">(AU90=0)*1</f>
        <v>1</v>
      </c>
      <c r="AV89" s="151">
        <f t="shared" ref="AV89" si="23">(AV90=0)*1</f>
        <v>1</v>
      </c>
      <c r="AW89" s="151">
        <f t="shared" ref="AW89" si="24">(AW90=0)*1</f>
        <v>1</v>
      </c>
      <c r="AX89" s="151">
        <f t="shared" ref="AX89" si="25">(AX90=0)*1</f>
        <v>1</v>
      </c>
      <c r="AY89" s="151">
        <f t="shared" ref="AY89" si="26">(AY90=0)*1</f>
        <v>1</v>
      </c>
      <c r="AZ89" s="151">
        <f t="shared" ref="AZ89" si="27">(AZ90=0)*1</f>
        <v>1</v>
      </c>
    </row>
    <row r="90" spans="1:52" ht="1" hidden="1" customHeight="1" x14ac:dyDescent="0.15">
      <c r="B90" s="10" t="s">
        <v>104</v>
      </c>
      <c r="C90" s="93"/>
      <c r="E90" s="93"/>
      <c r="F90" s="151">
        <f t="shared" ref="F90:AZ90" si="28">IF(F$85&gt;=$C$20,0,1)</f>
        <v>1</v>
      </c>
      <c r="G90" s="151">
        <f t="shared" si="28"/>
        <v>1</v>
      </c>
      <c r="H90" s="151">
        <f t="shared" si="28"/>
        <v>1</v>
      </c>
      <c r="I90" s="151">
        <f t="shared" si="28"/>
        <v>0</v>
      </c>
      <c r="J90" s="151">
        <f t="shared" si="28"/>
        <v>0</v>
      </c>
      <c r="K90" s="151">
        <f t="shared" si="28"/>
        <v>0</v>
      </c>
      <c r="L90" s="151">
        <f t="shared" si="28"/>
        <v>0</v>
      </c>
      <c r="M90" s="151">
        <f t="shared" si="28"/>
        <v>0</v>
      </c>
      <c r="N90" s="151">
        <f t="shared" si="28"/>
        <v>0</v>
      </c>
      <c r="O90" s="151">
        <f t="shared" si="28"/>
        <v>0</v>
      </c>
      <c r="P90" s="151">
        <f t="shared" si="28"/>
        <v>0</v>
      </c>
      <c r="Q90" s="151">
        <f t="shared" si="28"/>
        <v>0</v>
      </c>
      <c r="R90" s="151">
        <f t="shared" si="28"/>
        <v>0</v>
      </c>
      <c r="S90" s="151">
        <f t="shared" si="28"/>
        <v>0</v>
      </c>
      <c r="T90" s="151">
        <f t="shared" si="28"/>
        <v>0</v>
      </c>
      <c r="U90" s="151">
        <f t="shared" si="28"/>
        <v>0</v>
      </c>
      <c r="V90" s="151">
        <f t="shared" si="28"/>
        <v>0</v>
      </c>
      <c r="W90" s="151">
        <f t="shared" si="28"/>
        <v>0</v>
      </c>
      <c r="X90" s="151">
        <f t="shared" si="28"/>
        <v>0</v>
      </c>
      <c r="Y90" s="151">
        <f t="shared" si="28"/>
        <v>0</v>
      </c>
      <c r="Z90" s="151">
        <f t="shared" si="28"/>
        <v>0</v>
      </c>
      <c r="AA90" s="151">
        <f t="shared" si="28"/>
        <v>0</v>
      </c>
      <c r="AB90" s="151">
        <f t="shared" si="28"/>
        <v>0</v>
      </c>
      <c r="AC90" s="151">
        <f t="shared" si="28"/>
        <v>0</v>
      </c>
      <c r="AD90" s="151">
        <f t="shared" si="28"/>
        <v>0</v>
      </c>
      <c r="AE90" s="151">
        <f t="shared" si="28"/>
        <v>0</v>
      </c>
      <c r="AF90" s="151">
        <f t="shared" si="28"/>
        <v>0</v>
      </c>
      <c r="AG90" s="151">
        <f t="shared" si="28"/>
        <v>0</v>
      </c>
      <c r="AH90" s="151">
        <f t="shared" si="28"/>
        <v>0</v>
      </c>
      <c r="AI90" s="151">
        <f t="shared" si="28"/>
        <v>0</v>
      </c>
      <c r="AJ90" s="151">
        <f t="shared" si="28"/>
        <v>0</v>
      </c>
      <c r="AK90" s="151">
        <f t="shared" si="28"/>
        <v>0</v>
      </c>
      <c r="AL90" s="151">
        <f t="shared" si="28"/>
        <v>0</v>
      </c>
      <c r="AM90" s="151">
        <f t="shared" si="28"/>
        <v>0</v>
      </c>
      <c r="AN90" s="151">
        <f t="shared" si="28"/>
        <v>0</v>
      </c>
      <c r="AO90" s="151">
        <f t="shared" si="28"/>
        <v>0</v>
      </c>
      <c r="AP90" s="151">
        <f t="shared" si="28"/>
        <v>0</v>
      </c>
      <c r="AQ90" s="151">
        <f t="shared" si="28"/>
        <v>0</v>
      </c>
      <c r="AR90" s="151">
        <f t="shared" si="28"/>
        <v>0</v>
      </c>
      <c r="AS90" s="151">
        <f t="shared" si="28"/>
        <v>0</v>
      </c>
      <c r="AT90" s="151">
        <f t="shared" si="28"/>
        <v>0</v>
      </c>
      <c r="AU90" s="151">
        <f t="shared" si="28"/>
        <v>0</v>
      </c>
      <c r="AV90" s="151">
        <f t="shared" si="28"/>
        <v>0</v>
      </c>
      <c r="AW90" s="151">
        <f t="shared" si="28"/>
        <v>0</v>
      </c>
      <c r="AX90" s="151">
        <f t="shared" si="28"/>
        <v>0</v>
      </c>
      <c r="AY90" s="151">
        <f t="shared" si="28"/>
        <v>0</v>
      </c>
      <c r="AZ90" s="151">
        <f t="shared" si="28"/>
        <v>0</v>
      </c>
    </row>
    <row r="91" spans="1:52" ht="1" hidden="1" customHeight="1" x14ac:dyDescent="0.15">
      <c r="B91" s="10" t="s">
        <v>107</v>
      </c>
      <c r="C91" s="93"/>
      <c r="E91" s="93"/>
      <c r="F91" s="151">
        <f>IF(AND(YEAR(F85)&gt;YEAR($C$20),F84="3 кв."),1,0)</f>
        <v>0</v>
      </c>
      <c r="G91" s="151">
        <f t="shared" ref="G91:AZ91" si="29">IF(AND(YEAR(G85)&gt;YEAR($C$20),G84="3 кв."),1,0)</f>
        <v>0</v>
      </c>
      <c r="H91" s="151">
        <f>IF(AND(YEAR(H85)&gt;YEAR($C$20),H84="3 кв."),1,0)</f>
        <v>0</v>
      </c>
      <c r="I91" s="151">
        <f t="shared" si="29"/>
        <v>0</v>
      </c>
      <c r="J91" s="151">
        <f t="shared" si="29"/>
        <v>0</v>
      </c>
      <c r="K91" s="151">
        <f t="shared" si="29"/>
        <v>0</v>
      </c>
      <c r="L91" s="151">
        <f t="shared" si="29"/>
        <v>0</v>
      </c>
      <c r="M91" s="151">
        <f t="shared" si="29"/>
        <v>1</v>
      </c>
      <c r="N91" s="151">
        <f>IF(AND(YEAR(N85)&gt;YEAR($C$20),N84="3 кв."),1,0)</f>
        <v>0</v>
      </c>
      <c r="O91" s="151">
        <f t="shared" si="29"/>
        <v>0</v>
      </c>
      <c r="P91" s="151">
        <f t="shared" si="29"/>
        <v>0</v>
      </c>
      <c r="Q91" s="151">
        <f t="shared" si="29"/>
        <v>1</v>
      </c>
      <c r="R91" s="151">
        <f t="shared" si="29"/>
        <v>0</v>
      </c>
      <c r="S91" s="151">
        <f t="shared" si="29"/>
        <v>0</v>
      </c>
      <c r="T91" s="151">
        <f t="shared" si="29"/>
        <v>0</v>
      </c>
      <c r="U91" s="151">
        <f t="shared" si="29"/>
        <v>1</v>
      </c>
      <c r="V91" s="151">
        <f t="shared" si="29"/>
        <v>0</v>
      </c>
      <c r="W91" s="151">
        <f t="shared" si="29"/>
        <v>0</v>
      </c>
      <c r="X91" s="151">
        <f t="shared" si="29"/>
        <v>0</v>
      </c>
      <c r="Y91" s="151">
        <f t="shared" si="29"/>
        <v>1</v>
      </c>
      <c r="Z91" s="151">
        <f t="shared" si="29"/>
        <v>0</v>
      </c>
      <c r="AA91" s="151">
        <f t="shared" si="29"/>
        <v>0</v>
      </c>
      <c r="AB91" s="151">
        <f t="shared" si="29"/>
        <v>0</v>
      </c>
      <c r="AC91" s="151">
        <f t="shared" si="29"/>
        <v>1</v>
      </c>
      <c r="AD91" s="151">
        <f t="shared" si="29"/>
        <v>0</v>
      </c>
      <c r="AE91" s="151">
        <f t="shared" si="29"/>
        <v>0</v>
      </c>
      <c r="AF91" s="151">
        <f t="shared" si="29"/>
        <v>0</v>
      </c>
      <c r="AG91" s="151">
        <f t="shared" si="29"/>
        <v>1</v>
      </c>
      <c r="AH91" s="151">
        <f t="shared" si="29"/>
        <v>0</v>
      </c>
      <c r="AI91" s="151">
        <f t="shared" si="29"/>
        <v>0</v>
      </c>
      <c r="AJ91" s="151">
        <f t="shared" si="29"/>
        <v>0</v>
      </c>
      <c r="AK91" s="151">
        <f t="shared" si="29"/>
        <v>1</v>
      </c>
      <c r="AL91" s="151">
        <f t="shared" si="29"/>
        <v>0</v>
      </c>
      <c r="AM91" s="151">
        <f t="shared" si="29"/>
        <v>0</v>
      </c>
      <c r="AN91" s="151">
        <f t="shared" si="29"/>
        <v>0</v>
      </c>
      <c r="AO91" s="151">
        <f t="shared" si="29"/>
        <v>1</v>
      </c>
      <c r="AP91" s="151">
        <f t="shared" si="29"/>
        <v>0</v>
      </c>
      <c r="AQ91" s="151">
        <f t="shared" si="29"/>
        <v>0</v>
      </c>
      <c r="AR91" s="151">
        <f t="shared" si="29"/>
        <v>0</v>
      </c>
      <c r="AS91" s="151">
        <f t="shared" si="29"/>
        <v>1</v>
      </c>
      <c r="AT91" s="151">
        <f t="shared" si="29"/>
        <v>0</v>
      </c>
      <c r="AU91" s="151">
        <f t="shared" si="29"/>
        <v>0</v>
      </c>
      <c r="AV91" s="151">
        <f t="shared" si="29"/>
        <v>0</v>
      </c>
      <c r="AW91" s="151">
        <f t="shared" si="29"/>
        <v>1</v>
      </c>
      <c r="AX91" s="151">
        <f t="shared" si="29"/>
        <v>0</v>
      </c>
      <c r="AY91" s="151">
        <f t="shared" si="29"/>
        <v>0</v>
      </c>
      <c r="AZ91" s="151">
        <f t="shared" si="29"/>
        <v>0</v>
      </c>
    </row>
    <row r="92" spans="1:52" ht="15" hidden="1" customHeight="1" x14ac:dyDescent="0.15">
      <c r="B92" s="10" t="s">
        <v>108</v>
      </c>
      <c r="C92" s="93"/>
      <c r="E92" s="93"/>
      <c r="F92" s="152">
        <v>1</v>
      </c>
      <c r="G92" s="12">
        <f t="shared" ref="G92:AZ92" si="30">IF(G$91=1,C92*(1+$C$29),F92)</f>
        <v>1</v>
      </c>
      <c r="H92" s="12">
        <f t="shared" si="30"/>
        <v>1</v>
      </c>
      <c r="I92" s="12">
        <f t="shared" si="30"/>
        <v>1</v>
      </c>
      <c r="J92" s="12">
        <f t="shared" si="30"/>
        <v>1</v>
      </c>
      <c r="K92" s="12">
        <f t="shared" si="30"/>
        <v>1</v>
      </c>
      <c r="L92" s="12">
        <f t="shared" si="30"/>
        <v>1</v>
      </c>
      <c r="M92" s="12">
        <f t="shared" si="30"/>
        <v>1.1000000000000001</v>
      </c>
      <c r="N92" s="12">
        <f t="shared" si="30"/>
        <v>1.1000000000000001</v>
      </c>
      <c r="O92" s="12">
        <f t="shared" si="30"/>
        <v>1.1000000000000001</v>
      </c>
      <c r="P92" s="12">
        <f t="shared" si="30"/>
        <v>1.1000000000000001</v>
      </c>
      <c r="Q92" s="12">
        <f t="shared" si="30"/>
        <v>1.2100000000000002</v>
      </c>
      <c r="R92" s="12">
        <f t="shared" si="30"/>
        <v>1.2100000000000002</v>
      </c>
      <c r="S92" s="12">
        <f t="shared" si="30"/>
        <v>1.2100000000000002</v>
      </c>
      <c r="T92" s="12">
        <f t="shared" si="30"/>
        <v>1.2100000000000002</v>
      </c>
      <c r="U92" s="12">
        <f t="shared" si="30"/>
        <v>1.3310000000000004</v>
      </c>
      <c r="V92" s="12">
        <f t="shared" si="30"/>
        <v>1.3310000000000004</v>
      </c>
      <c r="W92" s="12">
        <f t="shared" si="30"/>
        <v>1.3310000000000004</v>
      </c>
      <c r="X92" s="12">
        <f t="shared" si="30"/>
        <v>1.3310000000000004</v>
      </c>
      <c r="Y92" s="12">
        <f t="shared" si="30"/>
        <v>1.4641000000000006</v>
      </c>
      <c r="Z92" s="12">
        <f t="shared" si="30"/>
        <v>1.4641000000000006</v>
      </c>
      <c r="AA92" s="12">
        <f t="shared" si="30"/>
        <v>1.4641000000000006</v>
      </c>
      <c r="AB92" s="12">
        <f t="shared" si="30"/>
        <v>1.4641000000000006</v>
      </c>
      <c r="AC92" s="12">
        <f t="shared" si="30"/>
        <v>1.6105100000000008</v>
      </c>
      <c r="AD92" s="12">
        <f t="shared" si="30"/>
        <v>1.6105100000000008</v>
      </c>
      <c r="AE92" s="12">
        <f t="shared" si="30"/>
        <v>1.6105100000000008</v>
      </c>
      <c r="AF92" s="12">
        <f t="shared" si="30"/>
        <v>1.6105100000000008</v>
      </c>
      <c r="AG92" s="12">
        <f t="shared" si="30"/>
        <v>1.7715610000000011</v>
      </c>
      <c r="AH92" s="12">
        <f t="shared" si="30"/>
        <v>1.7715610000000011</v>
      </c>
      <c r="AI92" s="12">
        <f t="shared" si="30"/>
        <v>1.7715610000000011</v>
      </c>
      <c r="AJ92" s="12">
        <f t="shared" si="30"/>
        <v>1.7715610000000011</v>
      </c>
      <c r="AK92" s="12">
        <f t="shared" si="30"/>
        <v>1.9487171000000014</v>
      </c>
      <c r="AL92" s="12">
        <f t="shared" si="30"/>
        <v>1.9487171000000014</v>
      </c>
      <c r="AM92" s="12">
        <f t="shared" si="30"/>
        <v>1.9487171000000014</v>
      </c>
      <c r="AN92" s="12">
        <f t="shared" si="30"/>
        <v>1.9487171000000014</v>
      </c>
      <c r="AO92" s="12">
        <f t="shared" si="30"/>
        <v>2.1435888100000016</v>
      </c>
      <c r="AP92" s="12">
        <f t="shared" si="30"/>
        <v>2.1435888100000016</v>
      </c>
      <c r="AQ92" s="12">
        <f t="shared" si="30"/>
        <v>2.1435888100000016</v>
      </c>
      <c r="AR92" s="12">
        <f t="shared" si="30"/>
        <v>2.1435888100000016</v>
      </c>
      <c r="AS92" s="12">
        <f t="shared" si="30"/>
        <v>2.3579476910000019</v>
      </c>
      <c r="AT92" s="12">
        <f t="shared" si="30"/>
        <v>2.3579476910000019</v>
      </c>
      <c r="AU92" s="12">
        <f t="shared" si="30"/>
        <v>2.3579476910000019</v>
      </c>
      <c r="AV92" s="12">
        <f t="shared" si="30"/>
        <v>2.3579476910000019</v>
      </c>
      <c r="AW92" s="12">
        <f t="shared" si="30"/>
        <v>2.5937424601000023</v>
      </c>
      <c r="AX92" s="12">
        <f t="shared" si="30"/>
        <v>2.5937424601000023</v>
      </c>
      <c r="AY92" s="12">
        <f t="shared" si="30"/>
        <v>2.5937424601000023</v>
      </c>
      <c r="AZ92" s="12">
        <f t="shared" si="30"/>
        <v>2.5937424601000023</v>
      </c>
    </row>
    <row r="93" spans="1:52" ht="1" hidden="1" customHeight="1" x14ac:dyDescent="0.15">
      <c r="C93" s="93"/>
      <c r="E93" s="93"/>
      <c r="F93" s="93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  <c r="AU93" s="12"/>
      <c r="AV93" s="12"/>
      <c r="AW93" s="12"/>
      <c r="AX93" s="12"/>
      <c r="AY93" s="12"/>
      <c r="AZ93" s="12"/>
    </row>
    <row r="94" spans="1:52" ht="8" hidden="1" customHeight="1" x14ac:dyDescent="0.15">
      <c r="B94" s="10" t="s">
        <v>219</v>
      </c>
      <c r="C94" s="11"/>
      <c r="E94" s="93"/>
      <c r="F94" s="153">
        <f>$C$25/(1+$C$57)</f>
        <v>78265.573770491799</v>
      </c>
      <c r="G94" s="95">
        <f>$F94*G$92</f>
        <v>78265.573770491799</v>
      </c>
      <c r="H94" s="95">
        <f>$F94*H$92</f>
        <v>78265.573770491799</v>
      </c>
      <c r="I94" s="95">
        <f t="shared" ref="I94:AZ94" si="31">$F94*I$92</f>
        <v>78265.573770491799</v>
      </c>
      <c r="J94" s="95">
        <f t="shared" si="31"/>
        <v>78265.573770491799</v>
      </c>
      <c r="K94" s="95">
        <f>$F94*K$92</f>
        <v>78265.573770491799</v>
      </c>
      <c r="L94" s="95">
        <f t="shared" si="31"/>
        <v>78265.573770491799</v>
      </c>
      <c r="M94" s="95">
        <f>$F94*M$92</f>
        <v>86092.131147540989</v>
      </c>
      <c r="N94" s="95">
        <f t="shared" si="31"/>
        <v>86092.131147540989</v>
      </c>
      <c r="O94" s="95">
        <f t="shared" si="31"/>
        <v>86092.131147540989</v>
      </c>
      <c r="P94" s="95">
        <f t="shared" si="31"/>
        <v>86092.131147540989</v>
      </c>
      <c r="Q94" s="95">
        <f>$F94*Q$92</f>
        <v>94701.344262295097</v>
      </c>
      <c r="R94" s="95">
        <f t="shared" si="31"/>
        <v>94701.344262295097</v>
      </c>
      <c r="S94" s="95">
        <f t="shared" si="31"/>
        <v>94701.344262295097</v>
      </c>
      <c r="T94" s="95">
        <f>$F94*T$92</f>
        <v>94701.344262295097</v>
      </c>
      <c r="U94" s="95">
        <f t="shared" si="31"/>
        <v>104171.47868852461</v>
      </c>
      <c r="V94" s="95">
        <f t="shared" si="31"/>
        <v>104171.47868852461</v>
      </c>
      <c r="W94" s="95">
        <f t="shared" si="31"/>
        <v>104171.47868852461</v>
      </c>
      <c r="X94" s="95">
        <f t="shared" si="31"/>
        <v>104171.47868852461</v>
      </c>
      <c r="Y94" s="95">
        <f t="shared" si="31"/>
        <v>114588.62655737709</v>
      </c>
      <c r="Z94" s="95">
        <f t="shared" si="31"/>
        <v>114588.62655737709</v>
      </c>
      <c r="AA94" s="95">
        <f t="shared" si="31"/>
        <v>114588.62655737709</v>
      </c>
      <c r="AB94" s="95">
        <f t="shared" si="31"/>
        <v>114588.62655737709</v>
      </c>
      <c r="AC94" s="95">
        <f t="shared" si="31"/>
        <v>126047.48921311481</v>
      </c>
      <c r="AD94" s="95">
        <f t="shared" si="31"/>
        <v>126047.48921311481</v>
      </c>
      <c r="AE94" s="95">
        <f t="shared" si="31"/>
        <v>126047.48921311481</v>
      </c>
      <c r="AF94" s="95">
        <f t="shared" si="31"/>
        <v>126047.48921311481</v>
      </c>
      <c r="AG94" s="95">
        <f t="shared" si="31"/>
        <v>138652.2381344263</v>
      </c>
      <c r="AH94" s="95">
        <f t="shared" si="31"/>
        <v>138652.2381344263</v>
      </c>
      <c r="AI94" s="95">
        <f t="shared" si="31"/>
        <v>138652.2381344263</v>
      </c>
      <c r="AJ94" s="95">
        <f t="shared" si="31"/>
        <v>138652.2381344263</v>
      </c>
      <c r="AK94" s="95">
        <f t="shared" si="31"/>
        <v>152517.46194786896</v>
      </c>
      <c r="AL94" s="95">
        <f t="shared" si="31"/>
        <v>152517.46194786896</v>
      </c>
      <c r="AM94" s="95">
        <f t="shared" si="31"/>
        <v>152517.46194786896</v>
      </c>
      <c r="AN94" s="95">
        <f t="shared" si="31"/>
        <v>152517.46194786896</v>
      </c>
      <c r="AO94" s="95">
        <f t="shared" si="31"/>
        <v>167769.20814265584</v>
      </c>
      <c r="AP94" s="95">
        <f t="shared" si="31"/>
        <v>167769.20814265584</v>
      </c>
      <c r="AQ94" s="95">
        <f t="shared" si="31"/>
        <v>167769.20814265584</v>
      </c>
      <c r="AR94" s="95">
        <f t="shared" si="31"/>
        <v>167769.20814265584</v>
      </c>
      <c r="AS94" s="95">
        <f t="shared" si="31"/>
        <v>184546.12895692146</v>
      </c>
      <c r="AT94" s="95">
        <f t="shared" si="31"/>
        <v>184546.12895692146</v>
      </c>
      <c r="AU94" s="95">
        <f t="shared" si="31"/>
        <v>184546.12895692146</v>
      </c>
      <c r="AV94" s="95">
        <f t="shared" si="31"/>
        <v>184546.12895692146</v>
      </c>
      <c r="AW94" s="95">
        <f t="shared" si="31"/>
        <v>203000.7418526136</v>
      </c>
      <c r="AX94" s="95">
        <f t="shared" si="31"/>
        <v>203000.7418526136</v>
      </c>
      <c r="AY94" s="95">
        <f t="shared" si="31"/>
        <v>203000.7418526136</v>
      </c>
      <c r="AZ94" s="95">
        <f t="shared" si="31"/>
        <v>203000.7418526136</v>
      </c>
    </row>
    <row r="95" spans="1:52" ht="1" hidden="1" customHeight="1" x14ac:dyDescent="0.15">
      <c r="B95" s="91" t="s">
        <v>218</v>
      </c>
      <c r="C95" s="11"/>
      <c r="E95" s="93"/>
      <c r="F95" s="153">
        <f>C26/(1+$C$57)</f>
        <v>7800</v>
      </c>
      <c r="G95" s="95">
        <f>$F95*G$92</f>
        <v>7800</v>
      </c>
      <c r="H95" s="95">
        <f>$F95*H$92</f>
        <v>7800</v>
      </c>
      <c r="I95" s="95">
        <f t="shared" ref="I95:V95" si="32">$F95*I$92</f>
        <v>7800</v>
      </c>
      <c r="J95" s="95">
        <f t="shared" si="32"/>
        <v>7800</v>
      </c>
      <c r="K95" s="95">
        <f t="shared" si="32"/>
        <v>7800</v>
      </c>
      <c r="L95" s="95">
        <f>$F95*L$92</f>
        <v>7800</v>
      </c>
      <c r="M95" s="95">
        <f t="shared" si="32"/>
        <v>8580</v>
      </c>
      <c r="N95" s="95">
        <f t="shared" si="32"/>
        <v>8580</v>
      </c>
      <c r="O95" s="95">
        <f t="shared" si="32"/>
        <v>8580</v>
      </c>
      <c r="P95" s="95">
        <f t="shared" si="32"/>
        <v>8580</v>
      </c>
      <c r="Q95" s="95">
        <f t="shared" si="32"/>
        <v>9438.0000000000018</v>
      </c>
      <c r="R95" s="95">
        <f t="shared" si="32"/>
        <v>9438.0000000000018</v>
      </c>
      <c r="S95" s="95">
        <f t="shared" si="32"/>
        <v>9438.0000000000018</v>
      </c>
      <c r="T95" s="95">
        <f t="shared" si="32"/>
        <v>9438.0000000000018</v>
      </c>
      <c r="U95" s="95">
        <f t="shared" si="32"/>
        <v>10381.800000000003</v>
      </c>
      <c r="V95" s="95">
        <f t="shared" si="32"/>
        <v>10381.800000000003</v>
      </c>
      <c r="W95" s="95">
        <f t="shared" ref="W95:AZ95" si="33">$F95*W$92</f>
        <v>10381.800000000003</v>
      </c>
      <c r="X95" s="95">
        <f t="shared" si="33"/>
        <v>10381.800000000003</v>
      </c>
      <c r="Y95" s="95">
        <f t="shared" si="33"/>
        <v>11419.980000000005</v>
      </c>
      <c r="Z95" s="95">
        <f t="shared" si="33"/>
        <v>11419.980000000005</v>
      </c>
      <c r="AA95" s="95">
        <f t="shared" si="33"/>
        <v>11419.980000000005</v>
      </c>
      <c r="AB95" s="95">
        <f t="shared" si="33"/>
        <v>11419.980000000005</v>
      </c>
      <c r="AC95" s="95">
        <f t="shared" si="33"/>
        <v>12561.978000000006</v>
      </c>
      <c r="AD95" s="95">
        <f t="shared" si="33"/>
        <v>12561.978000000006</v>
      </c>
      <c r="AE95" s="95">
        <f t="shared" si="33"/>
        <v>12561.978000000006</v>
      </c>
      <c r="AF95" s="95">
        <f t="shared" si="33"/>
        <v>12561.978000000006</v>
      </c>
      <c r="AG95" s="95">
        <f t="shared" si="33"/>
        <v>13818.175800000008</v>
      </c>
      <c r="AH95" s="95">
        <f t="shared" si="33"/>
        <v>13818.175800000008</v>
      </c>
      <c r="AI95" s="95">
        <f t="shared" si="33"/>
        <v>13818.175800000008</v>
      </c>
      <c r="AJ95" s="95">
        <f t="shared" si="33"/>
        <v>13818.175800000008</v>
      </c>
      <c r="AK95" s="95">
        <f t="shared" si="33"/>
        <v>15199.993380000011</v>
      </c>
      <c r="AL95" s="95">
        <f t="shared" si="33"/>
        <v>15199.993380000011</v>
      </c>
      <c r="AM95" s="95">
        <f t="shared" si="33"/>
        <v>15199.993380000011</v>
      </c>
      <c r="AN95" s="95">
        <f t="shared" si="33"/>
        <v>15199.993380000011</v>
      </c>
      <c r="AO95" s="95">
        <f t="shared" si="33"/>
        <v>16719.992718000012</v>
      </c>
      <c r="AP95" s="95">
        <f t="shared" si="33"/>
        <v>16719.992718000012</v>
      </c>
      <c r="AQ95" s="95">
        <f t="shared" si="33"/>
        <v>16719.992718000012</v>
      </c>
      <c r="AR95" s="95">
        <f t="shared" si="33"/>
        <v>16719.992718000012</v>
      </c>
      <c r="AS95" s="95">
        <f t="shared" si="33"/>
        <v>18391.991989800015</v>
      </c>
      <c r="AT95" s="95">
        <f t="shared" si="33"/>
        <v>18391.991989800015</v>
      </c>
      <c r="AU95" s="95">
        <f t="shared" si="33"/>
        <v>18391.991989800015</v>
      </c>
      <c r="AV95" s="95">
        <f t="shared" si="33"/>
        <v>18391.991989800015</v>
      </c>
      <c r="AW95" s="95">
        <f t="shared" si="33"/>
        <v>20231.19118878002</v>
      </c>
      <c r="AX95" s="95">
        <f t="shared" si="33"/>
        <v>20231.19118878002</v>
      </c>
      <c r="AY95" s="95">
        <f t="shared" si="33"/>
        <v>20231.19118878002</v>
      </c>
      <c r="AZ95" s="95">
        <f t="shared" si="33"/>
        <v>20231.19118878002</v>
      </c>
    </row>
    <row r="96" spans="1:52" ht="1" hidden="1" customHeight="1" x14ac:dyDescent="0.15">
      <c r="B96" s="16"/>
      <c r="C96" s="92"/>
      <c r="E96" s="93"/>
      <c r="F96" s="106"/>
      <c r="G96" s="106"/>
      <c r="H96" s="106"/>
      <c r="I96" s="106"/>
      <c r="J96" s="106"/>
      <c r="K96" s="106"/>
      <c r="L96" s="106"/>
      <c r="M96" s="106"/>
      <c r="N96" s="106"/>
      <c r="O96" s="106"/>
      <c r="P96" s="106"/>
      <c r="Q96" s="106"/>
      <c r="R96" s="106"/>
      <c r="S96" s="106"/>
      <c r="T96" s="106"/>
      <c r="U96" s="106"/>
      <c r="V96" s="106"/>
      <c r="W96" s="106"/>
      <c r="X96" s="106"/>
      <c r="Y96" s="106"/>
      <c r="Z96" s="106"/>
      <c r="AA96" s="106"/>
      <c r="AB96" s="106"/>
      <c r="AC96" s="106"/>
      <c r="AD96" s="106"/>
      <c r="AE96" s="106"/>
      <c r="AF96" s="106"/>
      <c r="AG96" s="106"/>
      <c r="AH96" s="106"/>
      <c r="AI96" s="106"/>
      <c r="AJ96" s="106"/>
      <c r="AK96" s="106"/>
      <c r="AL96" s="106"/>
      <c r="AM96" s="106"/>
      <c r="AN96" s="106"/>
      <c r="AO96" s="106"/>
      <c r="AP96" s="106"/>
      <c r="AQ96" s="106"/>
      <c r="AR96" s="106"/>
      <c r="AS96" s="106"/>
      <c r="AT96" s="106"/>
      <c r="AU96" s="106"/>
      <c r="AV96" s="106"/>
      <c r="AW96" s="106"/>
      <c r="AX96" s="106"/>
      <c r="AY96" s="106"/>
      <c r="AZ96" s="106"/>
    </row>
    <row r="97" spans="2:84" ht="1" hidden="1" customHeight="1" x14ac:dyDescent="0.15">
      <c r="B97" s="91"/>
      <c r="C97" s="92"/>
      <c r="E97" s="93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</row>
    <row r="98" spans="2:84" ht="20" hidden="1" customHeight="1" x14ac:dyDescent="0.15">
      <c r="B98" s="22" t="s">
        <v>113</v>
      </c>
      <c r="C98" s="23"/>
      <c r="D98" s="23"/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E98" s="23"/>
      <c r="AF98" s="23"/>
      <c r="AG98" s="23"/>
      <c r="AH98" s="23"/>
      <c r="AI98" s="23"/>
      <c r="AJ98" s="23"/>
      <c r="AK98" s="23"/>
      <c r="AL98" s="23"/>
      <c r="AM98" s="23"/>
      <c r="AN98" s="23"/>
      <c r="AO98" s="23"/>
      <c r="AP98" s="23"/>
      <c r="AQ98" s="23"/>
      <c r="AR98" s="23"/>
      <c r="AS98" s="23"/>
      <c r="AT98" s="23"/>
      <c r="AU98" s="23"/>
      <c r="AV98" s="23"/>
      <c r="AW98" s="23"/>
      <c r="AX98" s="23"/>
      <c r="AY98" s="23"/>
      <c r="AZ98" s="23"/>
    </row>
    <row r="99" spans="2:84" ht="1" hidden="1" customHeight="1" x14ac:dyDescent="0.15">
      <c r="B99" s="10" t="s">
        <v>116</v>
      </c>
      <c r="C99" s="92"/>
      <c r="E99" s="93"/>
      <c r="F99" s="11">
        <f t="shared" ref="F99:I99" si="34">(F101=1)*(G101=0)</f>
        <v>0</v>
      </c>
      <c r="G99" s="11">
        <f t="shared" si="34"/>
        <v>0</v>
      </c>
      <c r="H99" s="11">
        <f t="shared" si="34"/>
        <v>0</v>
      </c>
      <c r="I99" s="11">
        <f t="shared" si="34"/>
        <v>0</v>
      </c>
      <c r="J99" s="11">
        <f>(J101=1)*(K101=0)</f>
        <v>1</v>
      </c>
      <c r="K99" s="11">
        <f>(K101=1)*(L101=0)</f>
        <v>0</v>
      </c>
      <c r="L99" s="11">
        <f t="shared" ref="L99:AZ99" si="35">(L101=1)*(M101=0)</f>
        <v>0</v>
      </c>
      <c r="M99" s="11">
        <f t="shared" si="35"/>
        <v>0</v>
      </c>
      <c r="N99" s="11">
        <f t="shared" si="35"/>
        <v>0</v>
      </c>
      <c r="O99" s="11">
        <f t="shared" si="35"/>
        <v>0</v>
      </c>
      <c r="P99" s="11">
        <f t="shared" si="35"/>
        <v>0</v>
      </c>
      <c r="Q99" s="11">
        <f t="shared" si="35"/>
        <v>0</v>
      </c>
      <c r="R99" s="11">
        <f t="shared" si="35"/>
        <v>0</v>
      </c>
      <c r="S99" s="11">
        <f t="shared" si="35"/>
        <v>0</v>
      </c>
      <c r="T99" s="11">
        <f t="shared" si="35"/>
        <v>0</v>
      </c>
      <c r="U99" s="11">
        <f t="shared" si="35"/>
        <v>0</v>
      </c>
      <c r="V99" s="11">
        <f t="shared" si="35"/>
        <v>0</v>
      </c>
      <c r="W99" s="11">
        <f t="shared" si="35"/>
        <v>0</v>
      </c>
      <c r="X99" s="11">
        <f t="shared" si="35"/>
        <v>0</v>
      </c>
      <c r="Y99" s="11">
        <f t="shared" si="35"/>
        <v>0</v>
      </c>
      <c r="Z99" s="11">
        <f t="shared" si="35"/>
        <v>0</v>
      </c>
      <c r="AA99" s="11">
        <f t="shared" si="35"/>
        <v>0</v>
      </c>
      <c r="AB99" s="11">
        <f t="shared" si="35"/>
        <v>0</v>
      </c>
      <c r="AC99" s="11">
        <f t="shared" si="35"/>
        <v>0</v>
      </c>
      <c r="AD99" s="11">
        <f t="shared" si="35"/>
        <v>0</v>
      </c>
      <c r="AE99" s="11">
        <f t="shared" si="35"/>
        <v>0</v>
      </c>
      <c r="AF99" s="11">
        <f t="shared" si="35"/>
        <v>0</v>
      </c>
      <c r="AG99" s="11">
        <f t="shared" si="35"/>
        <v>0</v>
      </c>
      <c r="AH99" s="11">
        <f t="shared" si="35"/>
        <v>0</v>
      </c>
      <c r="AI99" s="11">
        <f t="shared" si="35"/>
        <v>0</v>
      </c>
      <c r="AJ99" s="11">
        <f t="shared" si="35"/>
        <v>0</v>
      </c>
      <c r="AK99" s="11">
        <f t="shared" si="35"/>
        <v>0</v>
      </c>
      <c r="AL99" s="11">
        <f t="shared" si="35"/>
        <v>0</v>
      </c>
      <c r="AM99" s="11">
        <f t="shared" si="35"/>
        <v>0</v>
      </c>
      <c r="AN99" s="11">
        <f t="shared" si="35"/>
        <v>0</v>
      </c>
      <c r="AO99" s="11">
        <f t="shared" si="35"/>
        <v>0</v>
      </c>
      <c r="AP99" s="11">
        <f t="shared" si="35"/>
        <v>0</v>
      </c>
      <c r="AQ99" s="11">
        <f t="shared" si="35"/>
        <v>0</v>
      </c>
      <c r="AR99" s="11">
        <f t="shared" si="35"/>
        <v>0</v>
      </c>
      <c r="AS99" s="11">
        <f t="shared" si="35"/>
        <v>0</v>
      </c>
      <c r="AT99" s="11">
        <f t="shared" si="35"/>
        <v>0</v>
      </c>
      <c r="AU99" s="11">
        <f t="shared" si="35"/>
        <v>0</v>
      </c>
      <c r="AV99" s="11">
        <f t="shared" si="35"/>
        <v>0</v>
      </c>
      <c r="AW99" s="11">
        <f t="shared" si="35"/>
        <v>0</v>
      </c>
      <c r="AX99" s="11">
        <f t="shared" si="35"/>
        <v>0</v>
      </c>
      <c r="AY99" s="11">
        <f t="shared" si="35"/>
        <v>0</v>
      </c>
      <c r="AZ99" s="11">
        <f t="shared" si="35"/>
        <v>0</v>
      </c>
    </row>
    <row r="100" spans="2:84" ht="1" hidden="1" customHeight="1" x14ac:dyDescent="0.15">
      <c r="B100" s="10" t="s">
        <v>117</v>
      </c>
      <c r="C100" s="92"/>
      <c r="E100" s="93"/>
      <c r="F100" s="11">
        <f t="shared" ref="F100:AZ100" si="36">IF(MONTH(F85)=3,1,0)</f>
        <v>0</v>
      </c>
      <c r="G100" s="11">
        <f t="shared" si="36"/>
        <v>1</v>
      </c>
      <c r="H100" s="11">
        <f t="shared" si="36"/>
        <v>0</v>
      </c>
      <c r="I100" s="11">
        <f t="shared" si="36"/>
        <v>0</v>
      </c>
      <c r="J100" s="11">
        <f t="shared" si="36"/>
        <v>0</v>
      </c>
      <c r="K100" s="11">
        <f t="shared" si="36"/>
        <v>1</v>
      </c>
      <c r="L100" s="11">
        <f t="shared" si="36"/>
        <v>0</v>
      </c>
      <c r="M100" s="11">
        <f t="shared" si="36"/>
        <v>0</v>
      </c>
      <c r="N100" s="11">
        <f t="shared" si="36"/>
        <v>0</v>
      </c>
      <c r="O100" s="11">
        <f t="shared" si="36"/>
        <v>1</v>
      </c>
      <c r="P100" s="11">
        <f t="shared" si="36"/>
        <v>0</v>
      </c>
      <c r="Q100" s="11">
        <f t="shared" si="36"/>
        <v>0</v>
      </c>
      <c r="R100" s="11">
        <f t="shared" si="36"/>
        <v>0</v>
      </c>
      <c r="S100" s="11">
        <f t="shared" si="36"/>
        <v>1</v>
      </c>
      <c r="T100" s="11">
        <f t="shared" si="36"/>
        <v>0</v>
      </c>
      <c r="U100" s="11">
        <f t="shared" si="36"/>
        <v>0</v>
      </c>
      <c r="V100" s="11">
        <f t="shared" si="36"/>
        <v>0</v>
      </c>
      <c r="W100" s="11">
        <f t="shared" si="36"/>
        <v>1</v>
      </c>
      <c r="X100" s="11">
        <f t="shared" si="36"/>
        <v>0</v>
      </c>
      <c r="Y100" s="11">
        <f t="shared" si="36"/>
        <v>0</v>
      </c>
      <c r="Z100" s="11">
        <f t="shared" si="36"/>
        <v>0</v>
      </c>
      <c r="AA100" s="11">
        <f t="shared" si="36"/>
        <v>1</v>
      </c>
      <c r="AB100" s="11">
        <f t="shared" si="36"/>
        <v>0</v>
      </c>
      <c r="AC100" s="11">
        <f t="shared" si="36"/>
        <v>0</v>
      </c>
      <c r="AD100" s="11">
        <f t="shared" si="36"/>
        <v>0</v>
      </c>
      <c r="AE100" s="11">
        <f t="shared" si="36"/>
        <v>1</v>
      </c>
      <c r="AF100" s="11">
        <f t="shared" si="36"/>
        <v>0</v>
      </c>
      <c r="AG100" s="11">
        <f t="shared" si="36"/>
        <v>0</v>
      </c>
      <c r="AH100" s="11">
        <f t="shared" si="36"/>
        <v>0</v>
      </c>
      <c r="AI100" s="11">
        <f t="shared" si="36"/>
        <v>1</v>
      </c>
      <c r="AJ100" s="11">
        <f t="shared" si="36"/>
        <v>0</v>
      </c>
      <c r="AK100" s="11">
        <f t="shared" si="36"/>
        <v>0</v>
      </c>
      <c r="AL100" s="11">
        <f t="shared" si="36"/>
        <v>0</v>
      </c>
      <c r="AM100" s="11">
        <f t="shared" si="36"/>
        <v>1</v>
      </c>
      <c r="AN100" s="11">
        <f t="shared" si="36"/>
        <v>0</v>
      </c>
      <c r="AO100" s="11">
        <f t="shared" si="36"/>
        <v>0</v>
      </c>
      <c r="AP100" s="11">
        <f t="shared" si="36"/>
        <v>0</v>
      </c>
      <c r="AQ100" s="11">
        <f t="shared" si="36"/>
        <v>1</v>
      </c>
      <c r="AR100" s="11">
        <f t="shared" si="36"/>
        <v>0</v>
      </c>
      <c r="AS100" s="11">
        <f t="shared" si="36"/>
        <v>0</v>
      </c>
      <c r="AT100" s="11">
        <f t="shared" si="36"/>
        <v>0</v>
      </c>
      <c r="AU100" s="11">
        <f t="shared" si="36"/>
        <v>1</v>
      </c>
      <c r="AV100" s="11">
        <f t="shared" si="36"/>
        <v>0</v>
      </c>
      <c r="AW100" s="11">
        <f t="shared" si="36"/>
        <v>0</v>
      </c>
      <c r="AX100" s="11">
        <f t="shared" si="36"/>
        <v>0</v>
      </c>
      <c r="AY100" s="11">
        <f t="shared" si="36"/>
        <v>1</v>
      </c>
      <c r="AZ100" s="11">
        <f t="shared" si="36"/>
        <v>0</v>
      </c>
    </row>
    <row r="101" spans="2:84" ht="1" hidden="1" customHeight="1" x14ac:dyDescent="0.15">
      <c r="B101" s="10" t="s">
        <v>145</v>
      </c>
      <c r="C101" s="92"/>
      <c r="E101" s="93"/>
      <c r="F101" s="11">
        <f t="shared" ref="F101:AZ101" si="37">(F85&lt;$C$50)*1+(E85&lt;$C$50)*(F85&gt;=$C$50)</f>
        <v>1</v>
      </c>
      <c r="G101" s="11">
        <f t="shared" si="37"/>
        <v>1</v>
      </c>
      <c r="H101" s="11">
        <f t="shared" si="37"/>
        <v>1</v>
      </c>
      <c r="I101" s="11">
        <f t="shared" si="37"/>
        <v>1</v>
      </c>
      <c r="J101" s="11">
        <f t="shared" si="37"/>
        <v>1</v>
      </c>
      <c r="K101" s="11">
        <f t="shared" si="37"/>
        <v>0</v>
      </c>
      <c r="L101" s="11">
        <f t="shared" si="37"/>
        <v>0</v>
      </c>
      <c r="M101" s="11">
        <f t="shared" si="37"/>
        <v>0</v>
      </c>
      <c r="N101" s="11">
        <f t="shared" si="37"/>
        <v>0</v>
      </c>
      <c r="O101" s="11">
        <f t="shared" si="37"/>
        <v>0</v>
      </c>
      <c r="P101" s="11">
        <f t="shared" si="37"/>
        <v>0</v>
      </c>
      <c r="Q101" s="11">
        <f t="shared" si="37"/>
        <v>0</v>
      </c>
      <c r="R101" s="11">
        <f t="shared" si="37"/>
        <v>0</v>
      </c>
      <c r="S101" s="11">
        <f t="shared" si="37"/>
        <v>0</v>
      </c>
      <c r="T101" s="11">
        <f t="shared" si="37"/>
        <v>0</v>
      </c>
      <c r="U101" s="11">
        <f t="shared" si="37"/>
        <v>0</v>
      </c>
      <c r="V101" s="11">
        <f t="shared" si="37"/>
        <v>0</v>
      </c>
      <c r="W101" s="11">
        <f t="shared" si="37"/>
        <v>0</v>
      </c>
      <c r="X101" s="11">
        <f t="shared" si="37"/>
        <v>0</v>
      </c>
      <c r="Y101" s="11">
        <f t="shared" si="37"/>
        <v>0</v>
      </c>
      <c r="Z101" s="11">
        <f t="shared" si="37"/>
        <v>0</v>
      </c>
      <c r="AA101" s="11">
        <f t="shared" si="37"/>
        <v>0</v>
      </c>
      <c r="AB101" s="11">
        <f t="shared" si="37"/>
        <v>0</v>
      </c>
      <c r="AC101" s="11">
        <f t="shared" si="37"/>
        <v>0</v>
      </c>
      <c r="AD101" s="11">
        <f t="shared" si="37"/>
        <v>0</v>
      </c>
      <c r="AE101" s="11">
        <f t="shared" si="37"/>
        <v>0</v>
      </c>
      <c r="AF101" s="11">
        <f t="shared" si="37"/>
        <v>0</v>
      </c>
      <c r="AG101" s="11">
        <f t="shared" si="37"/>
        <v>0</v>
      </c>
      <c r="AH101" s="11">
        <f t="shared" si="37"/>
        <v>0</v>
      </c>
      <c r="AI101" s="11">
        <f t="shared" si="37"/>
        <v>0</v>
      </c>
      <c r="AJ101" s="11">
        <f t="shared" si="37"/>
        <v>0</v>
      </c>
      <c r="AK101" s="11">
        <f t="shared" si="37"/>
        <v>0</v>
      </c>
      <c r="AL101" s="11">
        <f t="shared" si="37"/>
        <v>0</v>
      </c>
      <c r="AM101" s="11">
        <f t="shared" si="37"/>
        <v>0</v>
      </c>
      <c r="AN101" s="11">
        <f t="shared" si="37"/>
        <v>0</v>
      </c>
      <c r="AO101" s="11">
        <f t="shared" si="37"/>
        <v>0</v>
      </c>
      <c r="AP101" s="11">
        <f t="shared" si="37"/>
        <v>0</v>
      </c>
      <c r="AQ101" s="11">
        <f t="shared" si="37"/>
        <v>0</v>
      </c>
      <c r="AR101" s="11">
        <f t="shared" si="37"/>
        <v>0</v>
      </c>
      <c r="AS101" s="11">
        <f t="shared" si="37"/>
        <v>0</v>
      </c>
      <c r="AT101" s="11">
        <f t="shared" si="37"/>
        <v>0</v>
      </c>
      <c r="AU101" s="11">
        <f t="shared" si="37"/>
        <v>0</v>
      </c>
      <c r="AV101" s="11">
        <f t="shared" si="37"/>
        <v>0</v>
      </c>
      <c r="AW101" s="11">
        <f t="shared" si="37"/>
        <v>0</v>
      </c>
      <c r="AX101" s="11">
        <f t="shared" si="37"/>
        <v>0</v>
      </c>
      <c r="AY101" s="11">
        <f t="shared" si="37"/>
        <v>0</v>
      </c>
      <c r="AZ101" s="11">
        <f t="shared" si="37"/>
        <v>0</v>
      </c>
    </row>
    <row r="102" spans="2:84" ht="1" hidden="1" customHeight="1" x14ac:dyDescent="0.15">
      <c r="B102" s="10" t="s">
        <v>146</v>
      </c>
      <c r="C102" s="92"/>
      <c r="E102" s="93"/>
      <c r="F102" s="154">
        <f>$C$48</f>
        <v>0.3</v>
      </c>
      <c r="G102" s="155">
        <f>YEARFRAC(F85,G85)*(100%-$F$102)*G101</f>
        <v>0.17499999999999999</v>
      </c>
      <c r="H102" s="155">
        <f>YEARFRAC(G85,H85)*(100%-$F$102)*H101</f>
        <v>0.17499999999999999</v>
      </c>
      <c r="I102" s="155">
        <f>YEARFRAC(H85,I85)*(100%-$F$102)*I101</f>
        <v>0.17499999999999999</v>
      </c>
      <c r="J102" s="155">
        <f>YEARFRAC(I85,J85)*(100%-$F$102)*J101</f>
        <v>0.17499999999999999</v>
      </c>
      <c r="K102" s="155">
        <f>YEARFRAC(J85,C50)*(100%-$F$102)*K101</f>
        <v>0</v>
      </c>
      <c r="L102" s="155">
        <f t="shared" ref="L102:AZ102" si="38">YEARFRAC(K85,L85)*(100%-$F$102)*L101</f>
        <v>0</v>
      </c>
      <c r="M102" s="155">
        <f t="shared" si="38"/>
        <v>0</v>
      </c>
      <c r="N102" s="155">
        <f t="shared" si="38"/>
        <v>0</v>
      </c>
      <c r="O102" s="155">
        <f t="shared" si="38"/>
        <v>0</v>
      </c>
      <c r="P102" s="155">
        <f t="shared" si="38"/>
        <v>0</v>
      </c>
      <c r="Q102" s="155">
        <f t="shared" si="38"/>
        <v>0</v>
      </c>
      <c r="R102" s="155">
        <f t="shared" si="38"/>
        <v>0</v>
      </c>
      <c r="S102" s="155">
        <f t="shared" si="38"/>
        <v>0</v>
      </c>
      <c r="T102" s="155">
        <f t="shared" si="38"/>
        <v>0</v>
      </c>
      <c r="U102" s="155">
        <f t="shared" si="38"/>
        <v>0</v>
      </c>
      <c r="V102" s="155">
        <f t="shared" si="38"/>
        <v>0</v>
      </c>
      <c r="W102" s="155">
        <f t="shared" si="38"/>
        <v>0</v>
      </c>
      <c r="X102" s="155">
        <f t="shared" si="38"/>
        <v>0</v>
      </c>
      <c r="Y102" s="155">
        <f t="shared" si="38"/>
        <v>0</v>
      </c>
      <c r="Z102" s="155">
        <f t="shared" si="38"/>
        <v>0</v>
      </c>
      <c r="AA102" s="155">
        <f t="shared" si="38"/>
        <v>0</v>
      </c>
      <c r="AB102" s="155">
        <f t="shared" si="38"/>
        <v>0</v>
      </c>
      <c r="AC102" s="155">
        <f t="shared" si="38"/>
        <v>0</v>
      </c>
      <c r="AD102" s="155">
        <f t="shared" si="38"/>
        <v>0</v>
      </c>
      <c r="AE102" s="155">
        <f t="shared" si="38"/>
        <v>0</v>
      </c>
      <c r="AF102" s="155">
        <f t="shared" si="38"/>
        <v>0</v>
      </c>
      <c r="AG102" s="155">
        <f t="shared" si="38"/>
        <v>0</v>
      </c>
      <c r="AH102" s="155">
        <f t="shared" si="38"/>
        <v>0</v>
      </c>
      <c r="AI102" s="155">
        <f t="shared" si="38"/>
        <v>0</v>
      </c>
      <c r="AJ102" s="155">
        <f t="shared" si="38"/>
        <v>0</v>
      </c>
      <c r="AK102" s="155">
        <f t="shared" si="38"/>
        <v>0</v>
      </c>
      <c r="AL102" s="155">
        <f t="shared" si="38"/>
        <v>0</v>
      </c>
      <c r="AM102" s="155">
        <f t="shared" si="38"/>
        <v>0</v>
      </c>
      <c r="AN102" s="155">
        <f t="shared" si="38"/>
        <v>0</v>
      </c>
      <c r="AO102" s="155">
        <f t="shared" si="38"/>
        <v>0</v>
      </c>
      <c r="AP102" s="155">
        <f t="shared" si="38"/>
        <v>0</v>
      </c>
      <c r="AQ102" s="155">
        <f t="shared" si="38"/>
        <v>0</v>
      </c>
      <c r="AR102" s="155">
        <f t="shared" si="38"/>
        <v>0</v>
      </c>
      <c r="AS102" s="155">
        <f t="shared" si="38"/>
        <v>0</v>
      </c>
      <c r="AT102" s="155">
        <f t="shared" si="38"/>
        <v>0</v>
      </c>
      <c r="AU102" s="155">
        <f t="shared" si="38"/>
        <v>0</v>
      </c>
      <c r="AV102" s="155">
        <f t="shared" si="38"/>
        <v>0</v>
      </c>
      <c r="AW102" s="155">
        <f t="shared" si="38"/>
        <v>0</v>
      </c>
      <c r="AX102" s="155">
        <f t="shared" si="38"/>
        <v>0</v>
      </c>
      <c r="AY102" s="155">
        <f t="shared" si="38"/>
        <v>0</v>
      </c>
      <c r="AZ102" s="155">
        <f t="shared" si="38"/>
        <v>0</v>
      </c>
    </row>
    <row r="103" spans="2:84" ht="1" hidden="1" customHeight="1" x14ac:dyDescent="0.15">
      <c r="C103" s="92"/>
      <c r="E103" s="93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</row>
    <row r="104" spans="2:84" ht="1" hidden="1" customHeight="1" x14ac:dyDescent="0.15">
      <c r="B104" s="10" t="s">
        <v>151</v>
      </c>
      <c r="C104" s="92"/>
      <c r="F104" s="96">
        <v>1</v>
      </c>
      <c r="G104" s="96">
        <v>2</v>
      </c>
      <c r="H104" s="96">
        <v>3</v>
      </c>
      <c r="I104" s="96">
        <v>4</v>
      </c>
      <c r="J104" s="96">
        <v>4</v>
      </c>
      <c r="K104" s="96">
        <v>0</v>
      </c>
      <c r="L104" s="96">
        <v>0</v>
      </c>
      <c r="M104" s="96">
        <v>0</v>
      </c>
      <c r="N104" s="96">
        <v>0</v>
      </c>
      <c r="O104" s="96">
        <v>0</v>
      </c>
      <c r="P104" s="96">
        <v>0</v>
      </c>
      <c r="Q104" s="96">
        <v>0</v>
      </c>
      <c r="R104" s="96">
        <v>0</v>
      </c>
      <c r="S104" s="96">
        <v>0</v>
      </c>
      <c r="T104" s="96">
        <v>0</v>
      </c>
      <c r="U104" s="96">
        <v>0</v>
      </c>
      <c r="V104" s="96">
        <v>0</v>
      </c>
      <c r="W104" s="96">
        <v>0</v>
      </c>
      <c r="X104" s="96">
        <v>0</v>
      </c>
      <c r="Y104" s="96">
        <v>0</v>
      </c>
      <c r="Z104" s="96">
        <v>0</v>
      </c>
      <c r="AA104" s="96">
        <v>0</v>
      </c>
      <c r="AB104" s="96">
        <v>0</v>
      </c>
      <c r="AC104" s="96">
        <v>0</v>
      </c>
      <c r="AD104" s="96">
        <v>0</v>
      </c>
      <c r="AE104" s="96">
        <v>0</v>
      </c>
      <c r="AF104" s="96">
        <v>0</v>
      </c>
      <c r="AG104" s="96">
        <v>0</v>
      </c>
      <c r="AH104" s="96">
        <v>0</v>
      </c>
      <c r="AI104" s="96">
        <v>0</v>
      </c>
      <c r="AJ104" s="96">
        <v>0</v>
      </c>
      <c r="AK104" s="96">
        <v>0</v>
      </c>
      <c r="AL104" s="96">
        <v>0</v>
      </c>
      <c r="AM104" s="96">
        <v>0</v>
      </c>
      <c r="AN104" s="96">
        <v>0</v>
      </c>
      <c r="AO104" s="96">
        <v>0</v>
      </c>
      <c r="AP104" s="96">
        <v>0</v>
      </c>
      <c r="AQ104" s="96">
        <v>0</v>
      </c>
      <c r="AR104" s="96">
        <v>0</v>
      </c>
      <c r="AS104" s="96">
        <v>0</v>
      </c>
      <c r="AT104" s="96">
        <v>0</v>
      </c>
      <c r="AU104" s="96">
        <v>0</v>
      </c>
      <c r="AV104" s="96">
        <v>0</v>
      </c>
      <c r="AW104" s="96">
        <v>0</v>
      </c>
      <c r="AX104" s="96">
        <v>0</v>
      </c>
      <c r="AY104" s="96">
        <v>0</v>
      </c>
      <c r="AZ104" s="96">
        <v>0</v>
      </c>
      <c r="BA104" s="95"/>
      <c r="BB104" s="95"/>
      <c r="BC104" s="97"/>
      <c r="BD104" s="97"/>
      <c r="BE104" s="97"/>
      <c r="BF104" s="97"/>
      <c r="BG104" s="97"/>
      <c r="BH104" s="97"/>
      <c r="BI104" s="97"/>
      <c r="BJ104" s="97"/>
      <c r="BK104" s="97"/>
      <c r="BL104" s="97"/>
      <c r="BM104" s="97"/>
      <c r="BN104" s="95"/>
      <c r="BO104" s="95"/>
      <c r="BP104" s="95"/>
      <c r="BQ104" s="95"/>
      <c r="BR104" s="95"/>
      <c r="BS104" s="95"/>
      <c r="BT104" s="95"/>
      <c r="BU104" s="95"/>
      <c r="BV104" s="95"/>
      <c r="BW104" s="95"/>
      <c r="BX104" s="95"/>
      <c r="BY104" s="95"/>
      <c r="BZ104" s="95"/>
      <c r="CA104" s="95"/>
      <c r="CB104" s="95"/>
      <c r="CC104" s="95"/>
      <c r="CD104" s="95"/>
      <c r="CE104" s="95"/>
      <c r="CF104" s="95"/>
    </row>
    <row r="105" spans="2:84" ht="1" hidden="1" customHeight="1" x14ac:dyDescent="0.15">
      <c r="B105" s="10" t="s">
        <v>56</v>
      </c>
      <c r="C105" s="92"/>
      <c r="E105" s="93"/>
      <c r="F105" s="96">
        <v>86800000</v>
      </c>
      <c r="G105" s="96">
        <v>40000000</v>
      </c>
      <c r="H105" s="96">
        <v>45000000</v>
      </c>
      <c r="I105" s="96">
        <v>45000000</v>
      </c>
      <c r="J105" s="96">
        <f>J6-SUM(F105:I105)</f>
        <v>43199999.99999997</v>
      </c>
      <c r="K105" s="96">
        <v>0</v>
      </c>
      <c r="L105" s="96">
        <v>0</v>
      </c>
      <c r="M105" s="96">
        <v>0</v>
      </c>
      <c r="N105" s="96">
        <v>0</v>
      </c>
      <c r="O105" s="96">
        <v>0</v>
      </c>
      <c r="P105" s="96">
        <v>0</v>
      </c>
      <c r="Q105" s="96">
        <v>0</v>
      </c>
      <c r="R105" s="96">
        <v>0</v>
      </c>
      <c r="S105" s="96">
        <v>0</v>
      </c>
      <c r="T105" s="96">
        <v>0</v>
      </c>
      <c r="U105" s="96">
        <v>0</v>
      </c>
      <c r="V105" s="96">
        <v>0</v>
      </c>
      <c r="W105" s="96">
        <v>0</v>
      </c>
      <c r="X105" s="96">
        <v>0</v>
      </c>
      <c r="Y105" s="96">
        <v>0</v>
      </c>
      <c r="Z105" s="96">
        <v>0</v>
      </c>
      <c r="AA105" s="96">
        <v>0</v>
      </c>
      <c r="AB105" s="96">
        <v>0</v>
      </c>
      <c r="AC105" s="96">
        <v>0</v>
      </c>
      <c r="AD105" s="96">
        <v>0</v>
      </c>
      <c r="AE105" s="96">
        <v>0</v>
      </c>
      <c r="AF105" s="96">
        <v>0</v>
      </c>
      <c r="AG105" s="96">
        <v>0</v>
      </c>
      <c r="AH105" s="96">
        <v>0</v>
      </c>
      <c r="AI105" s="96">
        <v>0</v>
      </c>
      <c r="AJ105" s="96">
        <v>0</v>
      </c>
      <c r="AK105" s="96">
        <v>0</v>
      </c>
      <c r="AL105" s="96">
        <v>0</v>
      </c>
      <c r="AM105" s="96">
        <v>0</v>
      </c>
      <c r="AN105" s="96">
        <v>0</v>
      </c>
      <c r="AO105" s="96">
        <v>0</v>
      </c>
      <c r="AP105" s="96">
        <v>0</v>
      </c>
      <c r="AQ105" s="96">
        <v>0</v>
      </c>
      <c r="AR105" s="96">
        <v>0</v>
      </c>
      <c r="AS105" s="96">
        <v>0</v>
      </c>
      <c r="AT105" s="96">
        <v>0</v>
      </c>
      <c r="AU105" s="96">
        <v>0</v>
      </c>
      <c r="AV105" s="96">
        <v>0</v>
      </c>
      <c r="AW105" s="96">
        <v>0</v>
      </c>
      <c r="AX105" s="96">
        <v>0</v>
      </c>
      <c r="AY105" s="96">
        <v>0</v>
      </c>
      <c r="AZ105" s="96">
        <v>0</v>
      </c>
    </row>
    <row r="106" spans="2:84" ht="1" hidden="1" customHeight="1" x14ac:dyDescent="0.15">
      <c r="B106" s="10" t="s">
        <v>60</v>
      </c>
      <c r="C106" s="92"/>
      <c r="E106" s="93"/>
      <c r="F106" s="95">
        <f t="shared" ref="F106:H106" si="39">VLOOKUP(F104,$A$70:$C$73,3,0)</f>
        <v>10000</v>
      </c>
      <c r="G106" s="95">
        <f t="shared" si="39"/>
        <v>10500</v>
      </c>
      <c r="H106" s="95">
        <f t="shared" si="39"/>
        <v>11250</v>
      </c>
      <c r="I106" s="95">
        <f>VLOOKUP(I104,$A$70:$C$73,3,0)</f>
        <v>11750</v>
      </c>
      <c r="J106" s="95">
        <f>VLOOKUP(J104,$A$70:$C$73,3,0)</f>
        <v>11750</v>
      </c>
      <c r="K106" s="96">
        <v>0</v>
      </c>
      <c r="L106" s="96">
        <v>0</v>
      </c>
      <c r="M106" s="96">
        <v>0</v>
      </c>
      <c r="N106" s="96">
        <v>0</v>
      </c>
      <c r="O106" s="96">
        <v>0</v>
      </c>
      <c r="P106" s="96">
        <v>0</v>
      </c>
      <c r="Q106" s="96">
        <v>0</v>
      </c>
      <c r="R106" s="96">
        <v>0</v>
      </c>
      <c r="S106" s="96">
        <v>0</v>
      </c>
      <c r="T106" s="96">
        <v>0</v>
      </c>
      <c r="U106" s="96">
        <v>0</v>
      </c>
      <c r="V106" s="96">
        <v>0</v>
      </c>
      <c r="W106" s="96">
        <v>0</v>
      </c>
      <c r="X106" s="96">
        <v>0</v>
      </c>
      <c r="Y106" s="96">
        <v>0</v>
      </c>
      <c r="Z106" s="96">
        <v>0</v>
      </c>
      <c r="AA106" s="96">
        <v>0</v>
      </c>
      <c r="AB106" s="96">
        <v>0</v>
      </c>
      <c r="AC106" s="96">
        <v>0</v>
      </c>
      <c r="AD106" s="96">
        <v>0</v>
      </c>
      <c r="AE106" s="96">
        <v>0</v>
      </c>
      <c r="AF106" s="96">
        <v>0</v>
      </c>
      <c r="AG106" s="96">
        <v>0</v>
      </c>
      <c r="AH106" s="96">
        <v>0</v>
      </c>
      <c r="AI106" s="96">
        <v>0</v>
      </c>
      <c r="AJ106" s="96">
        <v>0</v>
      </c>
      <c r="AK106" s="96">
        <v>0</v>
      </c>
      <c r="AL106" s="96">
        <v>0</v>
      </c>
      <c r="AM106" s="96">
        <v>0</v>
      </c>
      <c r="AN106" s="96">
        <v>0</v>
      </c>
      <c r="AO106" s="96">
        <v>0</v>
      </c>
      <c r="AP106" s="96">
        <v>0</v>
      </c>
      <c r="AQ106" s="96">
        <v>0</v>
      </c>
      <c r="AR106" s="96">
        <v>0</v>
      </c>
      <c r="AS106" s="96">
        <v>0</v>
      </c>
      <c r="AT106" s="96">
        <v>0</v>
      </c>
      <c r="AU106" s="96">
        <v>0</v>
      </c>
      <c r="AV106" s="96">
        <v>0</v>
      </c>
      <c r="AW106" s="96">
        <v>0</v>
      </c>
      <c r="AX106" s="96">
        <v>0</v>
      </c>
      <c r="AY106" s="96">
        <v>0</v>
      </c>
      <c r="AZ106" s="96">
        <v>0</v>
      </c>
      <c r="BA106" s="95"/>
      <c r="BB106" s="95"/>
      <c r="BC106" s="97"/>
      <c r="BD106" s="97"/>
      <c r="BE106" s="97"/>
      <c r="BF106" s="97"/>
      <c r="BG106" s="97"/>
      <c r="BH106" s="97"/>
      <c r="BI106" s="97"/>
      <c r="BJ106" s="97"/>
      <c r="BK106" s="97"/>
      <c r="BL106" s="97"/>
      <c r="BM106" s="97"/>
      <c r="BN106" s="95"/>
      <c r="BO106" s="95"/>
      <c r="BP106" s="95"/>
      <c r="BQ106" s="95"/>
      <c r="BR106" s="95"/>
      <c r="BS106" s="95"/>
      <c r="BT106" s="95"/>
      <c r="BU106" s="95"/>
      <c r="BV106" s="95"/>
      <c r="BW106" s="95"/>
      <c r="BX106" s="95"/>
      <c r="BY106" s="95"/>
      <c r="BZ106" s="95"/>
      <c r="CA106" s="95"/>
      <c r="CB106" s="95"/>
      <c r="CC106" s="95"/>
      <c r="CD106" s="95"/>
      <c r="CE106" s="95"/>
      <c r="CF106" s="95"/>
    </row>
    <row r="107" spans="2:84" ht="1" hidden="1" customHeight="1" x14ac:dyDescent="0.15">
      <c r="B107" s="10" t="s">
        <v>135</v>
      </c>
      <c r="C107" s="92"/>
      <c r="E107" s="93"/>
      <c r="F107" s="95">
        <f>F105/F106</f>
        <v>8680</v>
      </c>
      <c r="G107" s="95">
        <f>G105/G106</f>
        <v>3809.5238095238096</v>
      </c>
      <c r="H107" s="95">
        <f>H105/H106</f>
        <v>4000</v>
      </c>
      <c r="I107" s="95">
        <f>I105/I106</f>
        <v>3829.7872340425533</v>
      </c>
      <c r="J107" s="95">
        <f>J105/J106</f>
        <v>3676.5957446808484</v>
      </c>
      <c r="K107" s="96">
        <v>0</v>
      </c>
      <c r="L107" s="96">
        <v>0</v>
      </c>
      <c r="M107" s="96">
        <v>0</v>
      </c>
      <c r="N107" s="96">
        <v>0</v>
      </c>
      <c r="O107" s="96">
        <v>0</v>
      </c>
      <c r="P107" s="96">
        <v>0</v>
      </c>
      <c r="Q107" s="96">
        <v>0</v>
      </c>
      <c r="R107" s="96">
        <v>0</v>
      </c>
      <c r="S107" s="96">
        <v>0</v>
      </c>
      <c r="T107" s="96">
        <v>0</v>
      </c>
      <c r="U107" s="96">
        <v>0</v>
      </c>
      <c r="V107" s="96">
        <v>0</v>
      </c>
      <c r="W107" s="96">
        <v>0</v>
      </c>
      <c r="X107" s="96">
        <v>0</v>
      </c>
      <c r="Y107" s="96">
        <v>0</v>
      </c>
      <c r="Z107" s="96">
        <v>0</v>
      </c>
      <c r="AA107" s="96">
        <v>0</v>
      </c>
      <c r="AB107" s="96">
        <v>0</v>
      </c>
      <c r="AC107" s="96">
        <v>0</v>
      </c>
      <c r="AD107" s="96">
        <v>0</v>
      </c>
      <c r="AE107" s="96">
        <v>0</v>
      </c>
      <c r="AF107" s="96">
        <v>0</v>
      </c>
      <c r="AG107" s="96">
        <v>0</v>
      </c>
      <c r="AH107" s="96">
        <v>0</v>
      </c>
      <c r="AI107" s="96">
        <v>0</v>
      </c>
      <c r="AJ107" s="96">
        <v>0</v>
      </c>
      <c r="AK107" s="96">
        <v>0</v>
      </c>
      <c r="AL107" s="96">
        <v>0</v>
      </c>
      <c r="AM107" s="96">
        <v>0</v>
      </c>
      <c r="AN107" s="96">
        <v>0</v>
      </c>
      <c r="AO107" s="96">
        <v>0</v>
      </c>
      <c r="AP107" s="96">
        <v>0</v>
      </c>
      <c r="AQ107" s="96">
        <v>0</v>
      </c>
      <c r="AR107" s="96">
        <v>0</v>
      </c>
      <c r="AS107" s="96">
        <v>0</v>
      </c>
      <c r="AT107" s="96">
        <v>0</v>
      </c>
      <c r="AU107" s="96">
        <v>0</v>
      </c>
      <c r="AV107" s="96">
        <v>0</v>
      </c>
      <c r="AW107" s="96">
        <v>0</v>
      </c>
      <c r="AX107" s="96">
        <v>0</v>
      </c>
      <c r="AY107" s="96">
        <v>0</v>
      </c>
      <c r="AZ107" s="96">
        <v>0</v>
      </c>
      <c r="BA107" s="95"/>
      <c r="BB107" s="95"/>
      <c r="BC107" s="97"/>
      <c r="BD107" s="97"/>
      <c r="BE107" s="97"/>
      <c r="BF107" s="97"/>
      <c r="BG107" s="97"/>
      <c r="BH107" s="97"/>
      <c r="BI107" s="97"/>
      <c r="BJ107" s="97"/>
      <c r="BK107" s="97"/>
      <c r="BL107" s="97"/>
      <c r="BM107" s="97"/>
      <c r="BN107" s="95"/>
      <c r="BO107" s="95"/>
      <c r="BP107" s="95"/>
      <c r="BQ107" s="95"/>
      <c r="BR107" s="95"/>
      <c r="BS107" s="95"/>
      <c r="BT107" s="95"/>
      <c r="BU107" s="95"/>
      <c r="BV107" s="95"/>
      <c r="BW107" s="95"/>
      <c r="BX107" s="95"/>
      <c r="BY107" s="95"/>
      <c r="BZ107" s="95"/>
      <c r="CA107" s="95"/>
      <c r="CB107" s="95"/>
      <c r="CC107" s="95"/>
      <c r="CD107" s="95"/>
      <c r="CE107" s="95"/>
      <c r="CF107" s="95"/>
    </row>
    <row r="108" spans="2:84" ht="1" hidden="1" customHeight="1" x14ac:dyDescent="0.15">
      <c r="C108" s="92"/>
      <c r="E108" s="93"/>
      <c r="F108" s="11"/>
      <c r="G108" s="11"/>
      <c r="H108" s="11"/>
      <c r="I108" s="11"/>
      <c r="J108" s="11"/>
      <c r="K108" s="11"/>
      <c r="L108" s="11"/>
      <c r="M108" s="11"/>
      <c r="N108" s="11"/>
      <c r="O108" s="11"/>
      <c r="P108" s="11"/>
      <c r="Q108" s="11"/>
      <c r="R108" s="11"/>
      <c r="S108" s="11"/>
      <c r="T108" s="11"/>
      <c r="U108" s="11"/>
      <c r="V108" s="11"/>
      <c r="W108" s="11"/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  <c r="AI108" s="11"/>
      <c r="AJ108" s="11"/>
      <c r="AK108" s="11"/>
      <c r="AL108" s="11"/>
      <c r="AM108" s="11"/>
      <c r="AN108" s="11"/>
      <c r="AO108" s="11"/>
      <c r="AP108" s="11"/>
      <c r="AQ108" s="11"/>
      <c r="AR108" s="11"/>
      <c r="AS108" s="11"/>
      <c r="AT108" s="11"/>
      <c r="AU108" s="11"/>
      <c r="AV108" s="11"/>
      <c r="AW108" s="11"/>
      <c r="AX108" s="11"/>
      <c r="AY108" s="11"/>
      <c r="AZ108" s="11"/>
    </row>
    <row r="109" spans="2:84" ht="1" hidden="1" customHeight="1" x14ac:dyDescent="0.15">
      <c r="B109" s="16" t="s">
        <v>211</v>
      </c>
      <c r="C109" s="92"/>
      <c r="E109" s="93"/>
      <c r="F109" s="11"/>
      <c r="G109" s="11"/>
      <c r="H109" s="11"/>
      <c r="I109" s="11"/>
      <c r="J109" s="11"/>
      <c r="K109" s="11"/>
      <c r="L109" s="11"/>
      <c r="M109" s="11"/>
      <c r="N109" s="11"/>
      <c r="O109" s="11"/>
      <c r="P109" s="11"/>
      <c r="Q109" s="11"/>
      <c r="R109" s="11"/>
      <c r="S109" s="11"/>
      <c r="T109" s="11"/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</row>
    <row r="110" spans="2:84" ht="1" hidden="1" customHeight="1" x14ac:dyDescent="0.15">
      <c r="B110" s="10" t="s">
        <v>119</v>
      </c>
      <c r="C110" s="92"/>
      <c r="E110" s="93"/>
      <c r="F110" s="95">
        <f>-SUM($F$155:$K$155)</f>
        <v>195068212.5</v>
      </c>
      <c r="G110" s="95">
        <f>F110+G111-G112</f>
        <v>175561391.25</v>
      </c>
      <c r="H110" s="95">
        <f>G110+H111+H112</f>
        <v>174098379.65625</v>
      </c>
      <c r="I110" s="95">
        <f t="shared" ref="I110:AZ110" si="40">H110+I111+I112</f>
        <v>172635368.0625</v>
      </c>
      <c r="J110" s="95">
        <f t="shared" si="40"/>
        <v>171172356.46875</v>
      </c>
      <c r="K110" s="95">
        <f t="shared" si="40"/>
        <v>169709344.875</v>
      </c>
      <c r="L110" s="95">
        <f t="shared" si="40"/>
        <v>168246333.28125</v>
      </c>
      <c r="M110" s="95">
        <f t="shared" si="40"/>
        <v>166783321.6875</v>
      </c>
      <c r="N110" s="95">
        <f t="shared" si="40"/>
        <v>165320310.09375</v>
      </c>
      <c r="O110" s="95">
        <f t="shared" si="40"/>
        <v>163857298.5</v>
      </c>
      <c r="P110" s="95">
        <f t="shared" si="40"/>
        <v>162394286.90625</v>
      </c>
      <c r="Q110" s="95">
        <f t="shared" si="40"/>
        <v>160931275.3125</v>
      </c>
      <c r="R110" s="95">
        <f t="shared" si="40"/>
        <v>159468263.71875</v>
      </c>
      <c r="S110" s="95">
        <f t="shared" si="40"/>
        <v>158005252.125</v>
      </c>
      <c r="T110" s="95">
        <f t="shared" si="40"/>
        <v>156542240.53125</v>
      </c>
      <c r="U110" s="95">
        <f t="shared" si="40"/>
        <v>155079228.9375</v>
      </c>
      <c r="V110" s="95">
        <f t="shared" si="40"/>
        <v>153616217.34375</v>
      </c>
      <c r="W110" s="95">
        <f t="shared" si="40"/>
        <v>152153205.75</v>
      </c>
      <c r="X110" s="95">
        <f t="shared" si="40"/>
        <v>150690194.15625</v>
      </c>
      <c r="Y110" s="95">
        <f t="shared" si="40"/>
        <v>149227182.5625</v>
      </c>
      <c r="Z110" s="95">
        <f t="shared" si="40"/>
        <v>147764170.96875</v>
      </c>
      <c r="AA110" s="95">
        <f t="shared" si="40"/>
        <v>146301159.375</v>
      </c>
      <c r="AB110" s="95">
        <f t="shared" si="40"/>
        <v>144838147.78125</v>
      </c>
      <c r="AC110" s="95">
        <f t="shared" si="40"/>
        <v>143375136.1875</v>
      </c>
      <c r="AD110" s="95">
        <f t="shared" si="40"/>
        <v>141912124.59375</v>
      </c>
      <c r="AE110" s="95">
        <f t="shared" si="40"/>
        <v>140449113</v>
      </c>
      <c r="AF110" s="95">
        <f t="shared" si="40"/>
        <v>138986101.40625</v>
      </c>
      <c r="AG110" s="95">
        <f t="shared" si="40"/>
        <v>137523089.8125</v>
      </c>
      <c r="AH110" s="95">
        <f t="shared" si="40"/>
        <v>136060078.21875</v>
      </c>
      <c r="AI110" s="95">
        <f t="shared" si="40"/>
        <v>134597066.625</v>
      </c>
      <c r="AJ110" s="95">
        <f t="shared" si="40"/>
        <v>133134055.03125</v>
      </c>
      <c r="AK110" s="95">
        <f t="shared" si="40"/>
        <v>131671043.4375</v>
      </c>
      <c r="AL110" s="95">
        <f t="shared" si="40"/>
        <v>130208031.84375</v>
      </c>
      <c r="AM110" s="95">
        <f t="shared" si="40"/>
        <v>128745020.25</v>
      </c>
      <c r="AN110" s="95">
        <f t="shared" si="40"/>
        <v>127282008.65625</v>
      </c>
      <c r="AO110" s="95">
        <f t="shared" si="40"/>
        <v>125818997.0625</v>
      </c>
      <c r="AP110" s="95">
        <f t="shared" si="40"/>
        <v>124355985.46875</v>
      </c>
      <c r="AQ110" s="95">
        <f t="shared" si="40"/>
        <v>122892973.875</v>
      </c>
      <c r="AR110" s="95">
        <f t="shared" si="40"/>
        <v>121429962.28125</v>
      </c>
      <c r="AS110" s="95">
        <f t="shared" si="40"/>
        <v>119966950.6875</v>
      </c>
      <c r="AT110" s="95">
        <f t="shared" si="40"/>
        <v>118503939.09375</v>
      </c>
      <c r="AU110" s="95">
        <f t="shared" si="40"/>
        <v>117040927.5</v>
      </c>
      <c r="AV110" s="95">
        <f t="shared" si="40"/>
        <v>115577915.90625</v>
      </c>
      <c r="AW110" s="95">
        <f t="shared" si="40"/>
        <v>114114904.3125</v>
      </c>
      <c r="AX110" s="95">
        <f t="shared" si="40"/>
        <v>112651892.71875</v>
      </c>
      <c r="AY110" s="95">
        <f t="shared" si="40"/>
        <v>111188881.125</v>
      </c>
      <c r="AZ110" s="95">
        <f t="shared" si="40"/>
        <v>109725869.53125</v>
      </c>
    </row>
    <row r="111" spans="2:84" ht="3" hidden="1" customHeight="1" x14ac:dyDescent="0.15">
      <c r="B111" s="10" t="s">
        <v>121</v>
      </c>
      <c r="C111" s="92"/>
      <c r="E111" s="93"/>
      <c r="F111" s="95">
        <v>0</v>
      </c>
      <c r="G111" s="95">
        <f>F110*-10%</f>
        <v>-19506821.25</v>
      </c>
      <c r="H111" s="95">
        <v>0</v>
      </c>
      <c r="I111" s="95">
        <v>0</v>
      </c>
      <c r="J111" s="95">
        <v>0</v>
      </c>
      <c r="K111" s="95">
        <v>0</v>
      </c>
      <c r="L111" s="95">
        <v>0</v>
      </c>
      <c r="M111" s="95">
        <v>0</v>
      </c>
      <c r="N111" s="95">
        <v>0</v>
      </c>
      <c r="O111" s="95">
        <v>0</v>
      </c>
      <c r="P111" s="95">
        <v>0</v>
      </c>
      <c r="Q111" s="95">
        <v>0</v>
      </c>
      <c r="R111" s="95">
        <v>0</v>
      </c>
      <c r="S111" s="95">
        <v>0</v>
      </c>
      <c r="T111" s="95">
        <v>0</v>
      </c>
      <c r="U111" s="95">
        <v>0</v>
      </c>
      <c r="V111" s="95">
        <v>0</v>
      </c>
      <c r="W111" s="95">
        <v>0</v>
      </c>
      <c r="X111" s="95">
        <v>0</v>
      </c>
      <c r="Y111" s="95">
        <v>0</v>
      </c>
      <c r="Z111" s="95">
        <v>0</v>
      </c>
      <c r="AA111" s="95">
        <v>0</v>
      </c>
      <c r="AB111" s="95">
        <v>0</v>
      </c>
      <c r="AC111" s="95">
        <v>0</v>
      </c>
      <c r="AD111" s="95">
        <v>0</v>
      </c>
      <c r="AE111" s="95">
        <v>0</v>
      </c>
      <c r="AF111" s="95">
        <v>0</v>
      </c>
      <c r="AG111" s="95">
        <v>0</v>
      </c>
      <c r="AH111" s="95">
        <v>0</v>
      </c>
      <c r="AI111" s="95">
        <v>0</v>
      </c>
      <c r="AJ111" s="95">
        <v>0</v>
      </c>
      <c r="AK111" s="95">
        <v>0</v>
      </c>
      <c r="AL111" s="95">
        <v>0</v>
      </c>
      <c r="AM111" s="95">
        <v>0</v>
      </c>
      <c r="AN111" s="95">
        <v>0</v>
      </c>
      <c r="AO111" s="95">
        <v>0</v>
      </c>
      <c r="AP111" s="95">
        <v>0</v>
      </c>
      <c r="AQ111" s="95">
        <v>0</v>
      </c>
      <c r="AR111" s="95">
        <v>0</v>
      </c>
      <c r="AS111" s="95">
        <v>0</v>
      </c>
      <c r="AT111" s="95">
        <v>0</v>
      </c>
      <c r="AU111" s="95">
        <v>0</v>
      </c>
      <c r="AV111" s="95">
        <v>0</v>
      </c>
      <c r="AW111" s="95">
        <v>0</v>
      </c>
      <c r="AX111" s="95">
        <v>0</v>
      </c>
      <c r="AY111" s="95">
        <v>0</v>
      </c>
      <c r="AZ111" s="95">
        <v>0</v>
      </c>
    </row>
    <row r="112" spans="2:84" ht="5" hidden="1" customHeight="1" x14ac:dyDescent="0.15">
      <c r="B112" s="10" t="s">
        <v>120</v>
      </c>
      <c r="C112" s="92"/>
      <c r="E112" s="93"/>
      <c r="F112" s="95">
        <v>0</v>
      </c>
      <c r="G112" s="95">
        <v>0</v>
      </c>
      <c r="H112" s="95">
        <f>-$G$110/$F$113/4</f>
        <v>-1463011.59375</v>
      </c>
      <c r="I112" s="95">
        <f t="shared" ref="I112:AZ112" si="41">-$G$110/$F$113/4</f>
        <v>-1463011.59375</v>
      </c>
      <c r="J112" s="95">
        <f t="shared" si="41"/>
        <v>-1463011.59375</v>
      </c>
      <c r="K112" s="95">
        <f t="shared" si="41"/>
        <v>-1463011.59375</v>
      </c>
      <c r="L112" s="95">
        <f t="shared" si="41"/>
        <v>-1463011.59375</v>
      </c>
      <c r="M112" s="95">
        <f t="shared" si="41"/>
        <v>-1463011.59375</v>
      </c>
      <c r="N112" s="95">
        <f t="shared" si="41"/>
        <v>-1463011.59375</v>
      </c>
      <c r="O112" s="95">
        <f t="shared" si="41"/>
        <v>-1463011.59375</v>
      </c>
      <c r="P112" s="95">
        <f t="shared" si="41"/>
        <v>-1463011.59375</v>
      </c>
      <c r="Q112" s="95">
        <f t="shared" si="41"/>
        <v>-1463011.59375</v>
      </c>
      <c r="R112" s="95">
        <f t="shared" si="41"/>
        <v>-1463011.59375</v>
      </c>
      <c r="S112" s="95">
        <f t="shared" si="41"/>
        <v>-1463011.59375</v>
      </c>
      <c r="T112" s="95">
        <f t="shared" si="41"/>
        <v>-1463011.59375</v>
      </c>
      <c r="U112" s="95">
        <f t="shared" si="41"/>
        <v>-1463011.59375</v>
      </c>
      <c r="V112" s="95">
        <f t="shared" si="41"/>
        <v>-1463011.59375</v>
      </c>
      <c r="W112" s="95">
        <f t="shared" si="41"/>
        <v>-1463011.59375</v>
      </c>
      <c r="X112" s="95">
        <f t="shared" si="41"/>
        <v>-1463011.59375</v>
      </c>
      <c r="Y112" s="95">
        <f t="shared" si="41"/>
        <v>-1463011.59375</v>
      </c>
      <c r="Z112" s="95">
        <f t="shared" si="41"/>
        <v>-1463011.59375</v>
      </c>
      <c r="AA112" s="95">
        <f t="shared" si="41"/>
        <v>-1463011.59375</v>
      </c>
      <c r="AB112" s="95">
        <f t="shared" si="41"/>
        <v>-1463011.59375</v>
      </c>
      <c r="AC112" s="95">
        <f t="shared" si="41"/>
        <v>-1463011.59375</v>
      </c>
      <c r="AD112" s="95">
        <f t="shared" si="41"/>
        <v>-1463011.59375</v>
      </c>
      <c r="AE112" s="95">
        <f t="shared" si="41"/>
        <v>-1463011.59375</v>
      </c>
      <c r="AF112" s="95">
        <f t="shared" si="41"/>
        <v>-1463011.59375</v>
      </c>
      <c r="AG112" s="95">
        <f t="shared" si="41"/>
        <v>-1463011.59375</v>
      </c>
      <c r="AH112" s="95">
        <f t="shared" si="41"/>
        <v>-1463011.59375</v>
      </c>
      <c r="AI112" s="95">
        <f t="shared" si="41"/>
        <v>-1463011.59375</v>
      </c>
      <c r="AJ112" s="95">
        <f t="shared" si="41"/>
        <v>-1463011.59375</v>
      </c>
      <c r="AK112" s="95">
        <f t="shared" si="41"/>
        <v>-1463011.59375</v>
      </c>
      <c r="AL112" s="95">
        <f t="shared" si="41"/>
        <v>-1463011.59375</v>
      </c>
      <c r="AM112" s="95">
        <f t="shared" si="41"/>
        <v>-1463011.59375</v>
      </c>
      <c r="AN112" s="95">
        <f t="shared" si="41"/>
        <v>-1463011.59375</v>
      </c>
      <c r="AO112" s="95">
        <f t="shared" si="41"/>
        <v>-1463011.59375</v>
      </c>
      <c r="AP112" s="95">
        <f t="shared" si="41"/>
        <v>-1463011.59375</v>
      </c>
      <c r="AQ112" s="95">
        <f t="shared" si="41"/>
        <v>-1463011.59375</v>
      </c>
      <c r="AR112" s="95">
        <f t="shared" si="41"/>
        <v>-1463011.59375</v>
      </c>
      <c r="AS112" s="95">
        <f t="shared" si="41"/>
        <v>-1463011.59375</v>
      </c>
      <c r="AT112" s="95">
        <f t="shared" si="41"/>
        <v>-1463011.59375</v>
      </c>
      <c r="AU112" s="95">
        <f t="shared" si="41"/>
        <v>-1463011.59375</v>
      </c>
      <c r="AV112" s="95">
        <f t="shared" si="41"/>
        <v>-1463011.59375</v>
      </c>
      <c r="AW112" s="95">
        <f t="shared" si="41"/>
        <v>-1463011.59375</v>
      </c>
      <c r="AX112" s="95">
        <f t="shared" si="41"/>
        <v>-1463011.59375</v>
      </c>
      <c r="AY112" s="95">
        <f t="shared" si="41"/>
        <v>-1463011.59375</v>
      </c>
      <c r="AZ112" s="95">
        <f t="shared" si="41"/>
        <v>-1463011.59375</v>
      </c>
    </row>
    <row r="113" spans="1:65" ht="1" hidden="1" customHeight="1" x14ac:dyDescent="0.15">
      <c r="B113" s="91" t="s">
        <v>122</v>
      </c>
      <c r="C113" s="92"/>
      <c r="E113" s="93"/>
      <c r="F113" s="94">
        <v>30</v>
      </c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</row>
    <row r="114" spans="1:65" ht="20" hidden="1" customHeight="1" x14ac:dyDescent="0.15">
      <c r="B114" s="91"/>
      <c r="C114" s="92"/>
      <c r="E114" s="93"/>
      <c r="F114" s="93"/>
      <c r="G114" s="11"/>
      <c r="H114" s="11"/>
      <c r="I114" s="11"/>
      <c r="J114" s="11"/>
      <c r="K114" s="11"/>
      <c r="L114" s="11"/>
      <c r="M114" s="11"/>
      <c r="N114" s="11"/>
      <c r="O114" s="11"/>
      <c r="P114" s="11"/>
      <c r="Q114" s="11"/>
      <c r="R114" s="11"/>
      <c r="S114" s="11"/>
      <c r="T114" s="11"/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</row>
    <row r="115" spans="1:65" ht="20" hidden="1" customHeight="1" x14ac:dyDescent="0.15">
      <c r="B115" s="16" t="s">
        <v>212</v>
      </c>
      <c r="C115" s="92"/>
      <c r="E115" s="93"/>
      <c r="F115" s="93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</row>
    <row r="116" spans="1:65" ht="6" hidden="1" customHeight="1" x14ac:dyDescent="0.15">
      <c r="B116" s="10" t="s">
        <v>213</v>
      </c>
      <c r="C116" s="92"/>
      <c r="E116" s="93"/>
      <c r="F116" s="95">
        <f>-F156</f>
        <v>0</v>
      </c>
      <c r="G116" s="11">
        <f t="shared" ref="G116:AZ116" si="42">F116-G156+G117</f>
        <v>16393442.62295082</v>
      </c>
      <c r="H116" s="11">
        <f t="shared" si="42"/>
        <v>32786885.245901641</v>
      </c>
      <c r="I116" s="11">
        <f t="shared" si="42"/>
        <v>32513661.202185795</v>
      </c>
      <c r="J116" s="11">
        <f t="shared" si="42"/>
        <v>32240437.158469949</v>
      </c>
      <c r="K116" s="11">
        <f t="shared" si="42"/>
        <v>31967213.114754103</v>
      </c>
      <c r="L116" s="11">
        <f t="shared" si="42"/>
        <v>31693989.071038257</v>
      </c>
      <c r="M116" s="11">
        <f t="shared" si="42"/>
        <v>31420765.027322412</v>
      </c>
      <c r="N116" s="11">
        <f t="shared" si="42"/>
        <v>31147540.983606566</v>
      </c>
      <c r="O116" s="11">
        <f t="shared" si="42"/>
        <v>30874316.93989072</v>
      </c>
      <c r="P116" s="11">
        <f t="shared" si="42"/>
        <v>30601092.896174874</v>
      </c>
      <c r="Q116" s="11">
        <f t="shared" si="42"/>
        <v>30327868.852459028</v>
      </c>
      <c r="R116" s="11">
        <f t="shared" si="42"/>
        <v>30054644.808743183</v>
      </c>
      <c r="S116" s="11">
        <f t="shared" si="42"/>
        <v>29781420.765027337</v>
      </c>
      <c r="T116" s="11">
        <f t="shared" si="42"/>
        <v>29508196.721311491</v>
      </c>
      <c r="U116" s="11">
        <f t="shared" si="42"/>
        <v>29234972.677595645</v>
      </c>
      <c r="V116" s="11">
        <f t="shared" si="42"/>
        <v>28961748.633879799</v>
      </c>
      <c r="W116" s="11">
        <f t="shared" si="42"/>
        <v>28688524.590163954</v>
      </c>
      <c r="X116" s="11">
        <f t="shared" si="42"/>
        <v>28415300.546448108</v>
      </c>
      <c r="Y116" s="11">
        <f t="shared" si="42"/>
        <v>28142076.502732262</v>
      </c>
      <c r="Z116" s="11">
        <f t="shared" si="42"/>
        <v>27868852.459016416</v>
      </c>
      <c r="AA116" s="11">
        <f t="shared" si="42"/>
        <v>27595628.41530057</v>
      </c>
      <c r="AB116" s="11">
        <f t="shared" si="42"/>
        <v>27322404.371584725</v>
      </c>
      <c r="AC116" s="11">
        <f t="shared" si="42"/>
        <v>27049180.327868879</v>
      </c>
      <c r="AD116" s="11">
        <f t="shared" si="42"/>
        <v>26775956.284153033</v>
      </c>
      <c r="AE116" s="11">
        <f t="shared" si="42"/>
        <v>26502732.240437187</v>
      </c>
      <c r="AF116" s="11">
        <f t="shared" si="42"/>
        <v>26229508.196721341</v>
      </c>
      <c r="AG116" s="11">
        <f t="shared" si="42"/>
        <v>25956284.153005496</v>
      </c>
      <c r="AH116" s="11">
        <f t="shared" si="42"/>
        <v>25683060.10928965</v>
      </c>
      <c r="AI116" s="11">
        <f t="shared" si="42"/>
        <v>25409836.065573804</v>
      </c>
      <c r="AJ116" s="11">
        <f t="shared" si="42"/>
        <v>25136612.021857958</v>
      </c>
      <c r="AK116" s="11">
        <f t="shared" si="42"/>
        <v>24863387.978142112</v>
      </c>
      <c r="AL116" s="11">
        <f t="shared" si="42"/>
        <v>24590163.934426267</v>
      </c>
      <c r="AM116" s="11">
        <f t="shared" si="42"/>
        <v>24316939.890710421</v>
      </c>
      <c r="AN116" s="11">
        <f t="shared" si="42"/>
        <v>24043715.846994575</v>
      </c>
      <c r="AO116" s="11">
        <f t="shared" si="42"/>
        <v>23770491.803278729</v>
      </c>
      <c r="AP116" s="11">
        <f t="shared" si="42"/>
        <v>23497267.759562884</v>
      </c>
      <c r="AQ116" s="11">
        <f t="shared" si="42"/>
        <v>23224043.715847038</v>
      </c>
      <c r="AR116" s="11">
        <f t="shared" si="42"/>
        <v>22950819.672131192</v>
      </c>
      <c r="AS116" s="11">
        <f t="shared" si="42"/>
        <v>22677595.628415346</v>
      </c>
      <c r="AT116" s="11">
        <f t="shared" si="42"/>
        <v>22404371.5846995</v>
      </c>
      <c r="AU116" s="11">
        <f t="shared" si="42"/>
        <v>22131147.540983655</v>
      </c>
      <c r="AV116" s="11">
        <f t="shared" si="42"/>
        <v>21857923.497267809</v>
      </c>
      <c r="AW116" s="11">
        <f t="shared" si="42"/>
        <v>21584699.453551963</v>
      </c>
      <c r="AX116" s="11">
        <f t="shared" si="42"/>
        <v>21311475.409836117</v>
      </c>
      <c r="AY116" s="11">
        <f t="shared" si="42"/>
        <v>21038251.366120271</v>
      </c>
      <c r="AZ116" s="11">
        <f t="shared" si="42"/>
        <v>20765027.322404426</v>
      </c>
    </row>
    <row r="117" spans="1:65" ht="1" hidden="1" customHeight="1" x14ac:dyDescent="0.15">
      <c r="B117" s="10" t="s">
        <v>120</v>
      </c>
      <c r="C117" s="92"/>
      <c r="E117" s="93"/>
      <c r="F117" s="96">
        <v>0</v>
      </c>
      <c r="G117" s="96">
        <v>0</v>
      </c>
      <c r="H117" s="96">
        <v>0</v>
      </c>
      <c r="I117" s="95">
        <f>-$H$116/$F$118/4</f>
        <v>-273224.04371584702</v>
      </c>
      <c r="J117" s="95">
        <f t="shared" ref="J117:AZ117" si="43">-$H$116/$F$118/4</f>
        <v>-273224.04371584702</v>
      </c>
      <c r="K117" s="95">
        <f t="shared" si="43"/>
        <v>-273224.04371584702</v>
      </c>
      <c r="L117" s="95">
        <f t="shared" si="43"/>
        <v>-273224.04371584702</v>
      </c>
      <c r="M117" s="95">
        <f t="shared" si="43"/>
        <v>-273224.04371584702</v>
      </c>
      <c r="N117" s="95">
        <f t="shared" si="43"/>
        <v>-273224.04371584702</v>
      </c>
      <c r="O117" s="95">
        <f t="shared" si="43"/>
        <v>-273224.04371584702</v>
      </c>
      <c r="P117" s="95">
        <f t="shared" si="43"/>
        <v>-273224.04371584702</v>
      </c>
      <c r="Q117" s="95">
        <f t="shared" si="43"/>
        <v>-273224.04371584702</v>
      </c>
      <c r="R117" s="95">
        <f t="shared" si="43"/>
        <v>-273224.04371584702</v>
      </c>
      <c r="S117" s="95">
        <f t="shared" si="43"/>
        <v>-273224.04371584702</v>
      </c>
      <c r="T117" s="95">
        <f t="shared" si="43"/>
        <v>-273224.04371584702</v>
      </c>
      <c r="U117" s="95">
        <f t="shared" si="43"/>
        <v>-273224.04371584702</v>
      </c>
      <c r="V117" s="95">
        <f t="shared" si="43"/>
        <v>-273224.04371584702</v>
      </c>
      <c r="W117" s="95">
        <f t="shared" si="43"/>
        <v>-273224.04371584702</v>
      </c>
      <c r="X117" s="95">
        <f t="shared" si="43"/>
        <v>-273224.04371584702</v>
      </c>
      <c r="Y117" s="95">
        <f t="shared" si="43"/>
        <v>-273224.04371584702</v>
      </c>
      <c r="Z117" s="95">
        <f t="shared" si="43"/>
        <v>-273224.04371584702</v>
      </c>
      <c r="AA117" s="95">
        <f t="shared" si="43"/>
        <v>-273224.04371584702</v>
      </c>
      <c r="AB117" s="95">
        <f t="shared" si="43"/>
        <v>-273224.04371584702</v>
      </c>
      <c r="AC117" s="95">
        <f t="shared" si="43"/>
        <v>-273224.04371584702</v>
      </c>
      <c r="AD117" s="95">
        <f t="shared" si="43"/>
        <v>-273224.04371584702</v>
      </c>
      <c r="AE117" s="95">
        <f t="shared" si="43"/>
        <v>-273224.04371584702</v>
      </c>
      <c r="AF117" s="95">
        <f t="shared" si="43"/>
        <v>-273224.04371584702</v>
      </c>
      <c r="AG117" s="95">
        <f t="shared" si="43"/>
        <v>-273224.04371584702</v>
      </c>
      <c r="AH117" s="95">
        <f t="shared" si="43"/>
        <v>-273224.04371584702</v>
      </c>
      <c r="AI117" s="95">
        <f t="shared" si="43"/>
        <v>-273224.04371584702</v>
      </c>
      <c r="AJ117" s="95">
        <f t="shared" si="43"/>
        <v>-273224.04371584702</v>
      </c>
      <c r="AK117" s="95">
        <f t="shared" si="43"/>
        <v>-273224.04371584702</v>
      </c>
      <c r="AL117" s="95">
        <f t="shared" si="43"/>
        <v>-273224.04371584702</v>
      </c>
      <c r="AM117" s="95">
        <f t="shared" si="43"/>
        <v>-273224.04371584702</v>
      </c>
      <c r="AN117" s="95">
        <f t="shared" si="43"/>
        <v>-273224.04371584702</v>
      </c>
      <c r="AO117" s="95">
        <f t="shared" si="43"/>
        <v>-273224.04371584702</v>
      </c>
      <c r="AP117" s="95">
        <f t="shared" si="43"/>
        <v>-273224.04371584702</v>
      </c>
      <c r="AQ117" s="95">
        <f t="shared" si="43"/>
        <v>-273224.04371584702</v>
      </c>
      <c r="AR117" s="95">
        <f t="shared" si="43"/>
        <v>-273224.04371584702</v>
      </c>
      <c r="AS117" s="95">
        <f t="shared" si="43"/>
        <v>-273224.04371584702</v>
      </c>
      <c r="AT117" s="95">
        <f t="shared" si="43"/>
        <v>-273224.04371584702</v>
      </c>
      <c r="AU117" s="95">
        <f t="shared" si="43"/>
        <v>-273224.04371584702</v>
      </c>
      <c r="AV117" s="95">
        <f t="shared" si="43"/>
        <v>-273224.04371584702</v>
      </c>
      <c r="AW117" s="95">
        <f t="shared" si="43"/>
        <v>-273224.04371584702</v>
      </c>
      <c r="AX117" s="95">
        <f t="shared" si="43"/>
        <v>-273224.04371584702</v>
      </c>
      <c r="AY117" s="95">
        <f t="shared" si="43"/>
        <v>-273224.04371584702</v>
      </c>
      <c r="AZ117" s="95">
        <f t="shared" si="43"/>
        <v>-273224.04371584702</v>
      </c>
    </row>
    <row r="118" spans="1:65" ht="20" hidden="1" customHeight="1" x14ac:dyDescent="0.15">
      <c r="B118" s="91" t="s">
        <v>122</v>
      </c>
      <c r="C118" s="92"/>
      <c r="E118" s="93"/>
      <c r="F118" s="94">
        <v>30</v>
      </c>
      <c r="G118" s="11"/>
      <c r="H118" s="11"/>
      <c r="I118" s="11"/>
      <c r="J118" s="11"/>
      <c r="K118" s="11"/>
      <c r="L118" s="11"/>
      <c r="M118" s="11"/>
      <c r="N118" s="11"/>
      <c r="O118" s="11"/>
      <c r="P118" s="11"/>
      <c r="Q118" s="11"/>
      <c r="R118" s="11"/>
      <c r="S118" s="11"/>
      <c r="T118" s="11"/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</row>
    <row r="119" spans="1:65" ht="1" hidden="1" customHeight="1" x14ac:dyDescent="0.15">
      <c r="B119" s="91"/>
      <c r="C119" s="92"/>
      <c r="E119" s="93"/>
      <c r="F119" s="93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</row>
    <row r="120" spans="1:65" ht="303" hidden="1" customHeight="1" x14ac:dyDescent="0.15">
      <c r="B120" s="91"/>
      <c r="C120" s="92"/>
      <c r="E120" s="93"/>
      <c r="F120" s="93"/>
      <c r="G120" s="11"/>
      <c r="H120" s="11"/>
      <c r="I120" s="11"/>
      <c r="J120" s="11"/>
      <c r="K120" s="11"/>
      <c r="L120" s="11"/>
      <c r="M120" s="11"/>
      <c r="N120" s="11"/>
      <c r="O120" s="11"/>
      <c r="P120" s="11"/>
      <c r="Q120" s="11"/>
      <c r="R120" s="11"/>
      <c r="S120" s="11"/>
      <c r="T120" s="11"/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</row>
    <row r="121" spans="1:65" ht="20" customHeight="1" x14ac:dyDescent="0.15">
      <c r="B121" s="91"/>
      <c r="C121" s="92"/>
      <c r="E121" s="93"/>
      <c r="F121" s="11"/>
      <c r="G121" s="11"/>
      <c r="H121" s="11"/>
      <c r="I121" s="11"/>
      <c r="J121" s="11"/>
      <c r="K121" s="11"/>
      <c r="L121" s="11"/>
      <c r="M121" s="11"/>
      <c r="N121" s="11"/>
      <c r="O121" s="11"/>
      <c r="P121" s="11"/>
      <c r="Q121" s="11"/>
      <c r="R121" s="11"/>
      <c r="S121" s="11"/>
      <c r="T121" s="11"/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</row>
    <row r="122" spans="1:65" ht="20" hidden="1" customHeight="1" outlineLevel="1" x14ac:dyDescent="0.15">
      <c r="B122" s="91"/>
      <c r="C122" s="92"/>
      <c r="E122" s="93"/>
      <c r="F122" s="92"/>
      <c r="G122" s="92"/>
      <c r="H122" s="92"/>
      <c r="I122" s="92"/>
      <c r="J122" s="92"/>
      <c r="K122" s="92"/>
      <c r="L122" s="92"/>
      <c r="M122" s="92"/>
      <c r="N122" s="92"/>
      <c r="O122" s="92"/>
      <c r="P122" s="92"/>
      <c r="Q122" s="92"/>
      <c r="R122" s="92"/>
      <c r="S122" s="92"/>
      <c r="T122" s="92"/>
      <c r="U122" s="92"/>
      <c r="V122" s="92"/>
      <c r="W122" s="92"/>
      <c r="X122" s="92"/>
      <c r="Y122" s="92"/>
      <c r="Z122" s="92"/>
      <c r="AA122" s="92"/>
      <c r="AB122" s="92"/>
      <c r="AC122" s="92"/>
      <c r="AD122" s="92"/>
      <c r="AE122" s="92"/>
      <c r="AF122" s="92"/>
      <c r="AG122" s="92"/>
      <c r="AH122" s="92"/>
      <c r="AI122" s="92"/>
      <c r="AJ122" s="92"/>
      <c r="AK122" s="92"/>
      <c r="AL122" s="92"/>
      <c r="AM122" s="92"/>
      <c r="AN122" s="92"/>
      <c r="AO122" s="92"/>
      <c r="AP122" s="92"/>
      <c r="AQ122" s="92"/>
      <c r="AR122" s="92"/>
      <c r="AS122" s="92"/>
      <c r="AT122" s="92"/>
      <c r="AU122" s="92"/>
      <c r="AV122" s="92"/>
      <c r="AW122" s="92"/>
      <c r="AX122" s="92"/>
      <c r="AY122" s="92"/>
      <c r="AZ122" s="92"/>
    </row>
    <row r="123" spans="1:65" collapsed="1" x14ac:dyDescent="0.15">
      <c r="D123" s="156"/>
      <c r="E123" s="103"/>
      <c r="F123" s="246" t="s">
        <v>3</v>
      </c>
      <c r="G123" s="157"/>
      <c r="H123" s="157"/>
      <c r="I123" s="158"/>
      <c r="J123" s="158"/>
      <c r="K123" s="158"/>
      <c r="L123" s="158"/>
      <c r="M123" s="158"/>
      <c r="N123" s="158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D123" s="159">
        <v>1</v>
      </c>
      <c r="BE123" s="159">
        <f>BD123+1</f>
        <v>2</v>
      </c>
      <c r="BF123" s="159">
        <f t="shared" ref="BF123:BM123" si="44">BE123+1</f>
        <v>3</v>
      </c>
      <c r="BG123" s="159">
        <f t="shared" si="44"/>
        <v>4</v>
      </c>
      <c r="BH123" s="159">
        <f t="shared" si="44"/>
        <v>5</v>
      </c>
      <c r="BI123" s="159">
        <f t="shared" si="44"/>
        <v>6</v>
      </c>
      <c r="BJ123" s="159">
        <f t="shared" si="44"/>
        <v>7</v>
      </c>
      <c r="BK123" s="159">
        <f t="shared" si="44"/>
        <v>8</v>
      </c>
      <c r="BL123" s="159">
        <f t="shared" si="44"/>
        <v>9</v>
      </c>
      <c r="BM123" s="159">
        <f t="shared" si="44"/>
        <v>10</v>
      </c>
    </row>
    <row r="124" spans="1:65" s="166" customFormat="1" ht="26" x14ac:dyDescent="0.15">
      <c r="A124" s="160"/>
      <c r="B124" s="161" t="s">
        <v>71</v>
      </c>
      <c r="C124" s="162"/>
      <c r="D124" s="163"/>
      <c r="E124" s="164" t="s">
        <v>2</v>
      </c>
      <c r="F124" s="165" t="str">
        <f t="shared" ref="F124:AZ124" si="45">F84&amp;F83</f>
        <v>4 кв.2025</v>
      </c>
      <c r="G124" s="162" t="str">
        <f t="shared" si="45"/>
        <v>1 кв.2026</v>
      </c>
      <c r="H124" s="162" t="str">
        <f t="shared" si="45"/>
        <v>2 кв.2026</v>
      </c>
      <c r="I124" s="162" t="str">
        <f t="shared" si="45"/>
        <v>3 кв.2026</v>
      </c>
      <c r="J124" s="162" t="str">
        <f t="shared" si="45"/>
        <v>4 кв.2026</v>
      </c>
      <c r="K124" s="162" t="str">
        <f t="shared" si="45"/>
        <v>1 кв.2027</v>
      </c>
      <c r="L124" s="162" t="str">
        <f t="shared" si="45"/>
        <v>2 кв.2027</v>
      </c>
      <c r="M124" s="162" t="str">
        <f t="shared" si="45"/>
        <v>3 кв.2027</v>
      </c>
      <c r="N124" s="162" t="str">
        <f t="shared" si="45"/>
        <v>4 кв.2027</v>
      </c>
      <c r="O124" s="162" t="str">
        <f t="shared" si="45"/>
        <v>1 кв.2028</v>
      </c>
      <c r="P124" s="162" t="str">
        <f t="shared" si="45"/>
        <v>2 кв.2028</v>
      </c>
      <c r="Q124" s="162" t="str">
        <f t="shared" si="45"/>
        <v>3 кв.2028</v>
      </c>
      <c r="R124" s="162" t="str">
        <f t="shared" si="45"/>
        <v>4 кв.2028</v>
      </c>
      <c r="S124" s="162" t="str">
        <f t="shared" si="45"/>
        <v>1 кв.2029</v>
      </c>
      <c r="T124" s="162" t="str">
        <f t="shared" si="45"/>
        <v>2 кв.2029</v>
      </c>
      <c r="U124" s="162" t="str">
        <f t="shared" si="45"/>
        <v>3 кв.2029</v>
      </c>
      <c r="V124" s="162" t="str">
        <f t="shared" si="45"/>
        <v>4 кв.2029</v>
      </c>
      <c r="W124" s="162" t="str">
        <f t="shared" si="45"/>
        <v>1 кв.2030</v>
      </c>
      <c r="X124" s="162" t="str">
        <f t="shared" si="45"/>
        <v>2 кв.2030</v>
      </c>
      <c r="Y124" s="162" t="str">
        <f t="shared" si="45"/>
        <v>3 кв.2030</v>
      </c>
      <c r="Z124" s="162" t="str">
        <f t="shared" si="45"/>
        <v>4 кв.2030</v>
      </c>
      <c r="AA124" s="162" t="str">
        <f t="shared" si="45"/>
        <v>1 кв.2031</v>
      </c>
      <c r="AB124" s="162" t="str">
        <f t="shared" si="45"/>
        <v>2 кв.2031</v>
      </c>
      <c r="AC124" s="162" t="str">
        <f t="shared" si="45"/>
        <v>3 кв.2031</v>
      </c>
      <c r="AD124" s="162" t="str">
        <f t="shared" si="45"/>
        <v>4 кв.2031</v>
      </c>
      <c r="AE124" s="162" t="str">
        <f t="shared" si="45"/>
        <v>1 кв.2032</v>
      </c>
      <c r="AF124" s="162" t="str">
        <f t="shared" si="45"/>
        <v>2 кв.2032</v>
      </c>
      <c r="AG124" s="162" t="str">
        <f t="shared" si="45"/>
        <v>3 кв.2032</v>
      </c>
      <c r="AH124" s="162" t="str">
        <f t="shared" si="45"/>
        <v>4 кв.2032</v>
      </c>
      <c r="AI124" s="162" t="str">
        <f t="shared" si="45"/>
        <v>1 кв.2033</v>
      </c>
      <c r="AJ124" s="162" t="str">
        <f t="shared" si="45"/>
        <v>2 кв.2033</v>
      </c>
      <c r="AK124" s="162" t="str">
        <f t="shared" si="45"/>
        <v>3 кв.2033</v>
      </c>
      <c r="AL124" s="162" t="str">
        <f t="shared" si="45"/>
        <v>4 кв.2033</v>
      </c>
      <c r="AM124" s="162" t="str">
        <f t="shared" si="45"/>
        <v>1 кв.2034</v>
      </c>
      <c r="AN124" s="162" t="str">
        <f t="shared" si="45"/>
        <v>2 кв.2034</v>
      </c>
      <c r="AO124" s="162" t="str">
        <f t="shared" si="45"/>
        <v>3 кв.2034</v>
      </c>
      <c r="AP124" s="162" t="str">
        <f t="shared" si="45"/>
        <v>4 кв.2034</v>
      </c>
      <c r="AQ124" s="162" t="str">
        <f t="shared" si="45"/>
        <v>1 кв.2035</v>
      </c>
      <c r="AR124" s="162" t="str">
        <f t="shared" si="45"/>
        <v>2 кв.2035</v>
      </c>
      <c r="AS124" s="162" t="str">
        <f t="shared" si="45"/>
        <v>3 кв.2035</v>
      </c>
      <c r="AT124" s="162" t="str">
        <f t="shared" si="45"/>
        <v>4 кв.2035</v>
      </c>
      <c r="AU124" s="162" t="str">
        <f t="shared" si="45"/>
        <v>1 кв.2036</v>
      </c>
      <c r="AV124" s="162" t="str">
        <f t="shared" si="45"/>
        <v>2 кв.2036</v>
      </c>
      <c r="AW124" s="162" t="str">
        <f t="shared" si="45"/>
        <v>3 кв.2036</v>
      </c>
      <c r="AX124" s="162" t="str">
        <f t="shared" si="45"/>
        <v>4 кв.2036</v>
      </c>
      <c r="AY124" s="162" t="str">
        <f t="shared" si="45"/>
        <v>1 кв.2037</v>
      </c>
      <c r="AZ124" s="162" t="str">
        <f t="shared" si="45"/>
        <v>2 кв.2037</v>
      </c>
      <c r="BC124" s="167" t="s">
        <v>207</v>
      </c>
      <c r="BD124" s="168" t="s">
        <v>47</v>
      </c>
      <c r="BE124" s="168" t="s">
        <v>48</v>
      </c>
      <c r="BF124" s="168" t="s">
        <v>49</v>
      </c>
      <c r="BG124" s="168" t="s">
        <v>154</v>
      </c>
      <c r="BH124" s="168" t="s">
        <v>50</v>
      </c>
      <c r="BI124" s="168" t="s">
        <v>51</v>
      </c>
      <c r="BJ124" s="168" t="s">
        <v>52</v>
      </c>
      <c r="BK124" s="168" t="s">
        <v>53</v>
      </c>
      <c r="BL124" s="168" t="s">
        <v>54</v>
      </c>
      <c r="BM124" s="168" t="s">
        <v>55</v>
      </c>
    </row>
    <row r="125" spans="1:65" s="160" customFormat="1" ht="26" hidden="1" outlineLevel="1" x14ac:dyDescent="0.15">
      <c r="C125" s="169"/>
      <c r="E125" s="170"/>
      <c r="F125" s="171"/>
      <c r="G125" s="172"/>
      <c r="H125" s="172"/>
      <c r="I125" s="172"/>
      <c r="J125" s="172"/>
      <c r="K125" s="172"/>
      <c r="L125" s="172"/>
      <c r="M125" s="172"/>
      <c r="N125" s="172"/>
      <c r="O125" s="172"/>
      <c r="P125" s="172"/>
      <c r="Q125" s="172"/>
      <c r="R125" s="172"/>
      <c r="S125" s="172"/>
      <c r="T125" s="172"/>
      <c r="U125" s="172"/>
      <c r="V125" s="172"/>
      <c r="W125" s="172"/>
      <c r="X125" s="172"/>
      <c r="Y125" s="172"/>
      <c r="Z125" s="172"/>
      <c r="AA125" s="172"/>
      <c r="AB125" s="172"/>
      <c r="AC125" s="172"/>
      <c r="AD125" s="172"/>
      <c r="AE125" s="172"/>
      <c r="AF125" s="172"/>
      <c r="AG125" s="172"/>
      <c r="AH125" s="172"/>
      <c r="AI125" s="172"/>
      <c r="AJ125" s="172"/>
      <c r="AK125" s="172"/>
      <c r="AL125" s="172"/>
      <c r="AM125" s="172"/>
      <c r="AN125" s="172"/>
      <c r="AO125" s="172"/>
      <c r="AP125" s="172"/>
      <c r="AQ125" s="172"/>
      <c r="AR125" s="172"/>
      <c r="AS125" s="172"/>
      <c r="AT125" s="172"/>
      <c r="AU125" s="172"/>
      <c r="AV125" s="172"/>
      <c r="AW125" s="172"/>
      <c r="AX125" s="172"/>
      <c r="AY125" s="172"/>
      <c r="AZ125" s="172"/>
      <c r="BC125" s="173"/>
      <c r="BD125" s="173"/>
      <c r="BE125" s="173"/>
      <c r="BF125" s="173"/>
      <c r="BG125" s="173"/>
      <c r="BH125" s="173"/>
      <c r="BI125" s="173"/>
      <c r="BJ125" s="173"/>
      <c r="BK125" s="173"/>
      <c r="BL125" s="173"/>
      <c r="BM125" s="173"/>
    </row>
    <row r="126" spans="1:65" s="160" customFormat="1" ht="26" hidden="1" outlineLevel="1" x14ac:dyDescent="0.15">
      <c r="B126" s="160" t="s">
        <v>206</v>
      </c>
      <c r="C126" s="169"/>
      <c r="E126" s="170"/>
      <c r="F126" s="174">
        <v>0</v>
      </c>
      <c r="G126" s="172">
        <f t="shared" ref="G126:AZ126" si="46">G89*G94*$C$8*YEARFRAC(F85,G85)</f>
        <v>0</v>
      </c>
      <c r="H126" s="172">
        <f t="shared" si="46"/>
        <v>0</v>
      </c>
      <c r="I126" s="172">
        <f t="shared" si="46"/>
        <v>5793609.0983606558</v>
      </c>
      <c r="J126" s="172">
        <f t="shared" si="46"/>
        <v>5793609.0983606558</v>
      </c>
      <c r="K126" s="172">
        <f t="shared" si="46"/>
        <v>5793609.0983606558</v>
      </c>
      <c r="L126" s="172">
        <f t="shared" si="46"/>
        <v>5793609.0983606558</v>
      </c>
      <c r="M126" s="172">
        <f t="shared" si="46"/>
        <v>6372970.0081967218</v>
      </c>
      <c r="N126" s="172">
        <f t="shared" si="46"/>
        <v>6372970.0081967218</v>
      </c>
      <c r="O126" s="172">
        <f t="shared" si="46"/>
        <v>6372970.0081967218</v>
      </c>
      <c r="P126" s="172">
        <f t="shared" si="46"/>
        <v>6372970.0081967218</v>
      </c>
      <c r="Q126" s="172">
        <f t="shared" si="46"/>
        <v>7010267.0090163955</v>
      </c>
      <c r="R126" s="172">
        <f t="shared" si="46"/>
        <v>7010267.0090163955</v>
      </c>
      <c r="S126" s="172">
        <f t="shared" si="46"/>
        <v>7010267.0090163955</v>
      </c>
      <c r="T126" s="172">
        <f t="shared" si="46"/>
        <v>7010267.0090163955</v>
      </c>
      <c r="U126" s="172">
        <f t="shared" si="46"/>
        <v>7711293.7099180352</v>
      </c>
      <c r="V126" s="172">
        <f t="shared" si="46"/>
        <v>7711293.7099180352</v>
      </c>
      <c r="W126" s="172">
        <f t="shared" si="46"/>
        <v>7711293.7099180352</v>
      </c>
      <c r="X126" s="172">
        <f t="shared" si="46"/>
        <v>7711293.7099180352</v>
      </c>
      <c r="Y126" s="172">
        <f t="shared" si="46"/>
        <v>8482423.0809098408</v>
      </c>
      <c r="Z126" s="172">
        <f t="shared" si="46"/>
        <v>8482423.0809098408</v>
      </c>
      <c r="AA126" s="172">
        <f t="shared" si="46"/>
        <v>8482423.0809098408</v>
      </c>
      <c r="AB126" s="172">
        <f t="shared" si="46"/>
        <v>8482423.0809098408</v>
      </c>
      <c r="AC126" s="172">
        <f t="shared" si="46"/>
        <v>9330665.3890008237</v>
      </c>
      <c r="AD126" s="172">
        <f t="shared" si="46"/>
        <v>9330665.3890008237</v>
      </c>
      <c r="AE126" s="172">
        <f t="shared" si="46"/>
        <v>9330665.3890008237</v>
      </c>
      <c r="AF126" s="172">
        <f t="shared" si="46"/>
        <v>9330665.3890008237</v>
      </c>
      <c r="AG126" s="172">
        <f t="shared" si="46"/>
        <v>10263731.927900907</v>
      </c>
      <c r="AH126" s="172">
        <f t="shared" si="46"/>
        <v>10263731.927900907</v>
      </c>
      <c r="AI126" s="172">
        <f t="shared" si="46"/>
        <v>10263731.927900907</v>
      </c>
      <c r="AJ126" s="172">
        <f t="shared" si="46"/>
        <v>10263731.927900907</v>
      </c>
      <c r="AK126" s="172">
        <f t="shared" si="46"/>
        <v>11290105.120691</v>
      </c>
      <c r="AL126" s="172">
        <f t="shared" si="46"/>
        <v>11290105.120691</v>
      </c>
      <c r="AM126" s="172">
        <f t="shared" si="46"/>
        <v>11290105.120691</v>
      </c>
      <c r="AN126" s="172">
        <f t="shared" si="46"/>
        <v>11290105.120691</v>
      </c>
      <c r="AO126" s="172">
        <f t="shared" si="46"/>
        <v>12419115.6327601</v>
      </c>
      <c r="AP126" s="172">
        <f t="shared" si="46"/>
        <v>12419115.6327601</v>
      </c>
      <c r="AQ126" s="172">
        <f t="shared" si="46"/>
        <v>12419115.6327601</v>
      </c>
      <c r="AR126" s="172">
        <f t="shared" si="46"/>
        <v>12419115.6327601</v>
      </c>
      <c r="AS126" s="172">
        <f t="shared" si="46"/>
        <v>13661027.196036112</v>
      </c>
      <c r="AT126" s="172">
        <f t="shared" si="46"/>
        <v>13661027.196036112</v>
      </c>
      <c r="AU126" s="172">
        <f t="shared" si="46"/>
        <v>13661027.196036112</v>
      </c>
      <c r="AV126" s="172">
        <f t="shared" si="46"/>
        <v>13661027.196036112</v>
      </c>
      <c r="AW126" s="172">
        <f t="shared" si="46"/>
        <v>15027129.915639723</v>
      </c>
      <c r="AX126" s="172">
        <f t="shared" si="46"/>
        <v>15027129.915639723</v>
      </c>
      <c r="AY126" s="172">
        <f t="shared" si="46"/>
        <v>15027129.915639723</v>
      </c>
      <c r="AZ126" s="172">
        <f t="shared" si="46"/>
        <v>15027129.915639723</v>
      </c>
      <c r="BC126" s="173" t="str">
        <f>B126</f>
        <v>Базовая аренда</v>
      </c>
      <c r="BD126" s="175">
        <f t="shared" ref="BD126:BM127" si="47">SUMIF($F$86:$AZ$86,BD$123,$F126:$AZ126)</f>
        <v>11587218.196721312</v>
      </c>
      <c r="BE126" s="175">
        <f t="shared" si="47"/>
        <v>24333158.213114757</v>
      </c>
      <c r="BF126" s="175">
        <f t="shared" si="47"/>
        <v>26766474.034426235</v>
      </c>
      <c r="BG126" s="175">
        <f t="shared" si="47"/>
        <v>29443121.437868863</v>
      </c>
      <c r="BH126" s="175">
        <f t="shared" si="47"/>
        <v>32387433.581655752</v>
      </c>
      <c r="BI126" s="175">
        <f t="shared" si="47"/>
        <v>35626176.939821333</v>
      </c>
      <c r="BJ126" s="175">
        <f t="shared" si="47"/>
        <v>39188794.633803457</v>
      </c>
      <c r="BK126" s="175">
        <f t="shared" si="47"/>
        <v>43107674.097183816</v>
      </c>
      <c r="BL126" s="175">
        <f t="shared" si="47"/>
        <v>47418441.506902196</v>
      </c>
      <c r="BM126" s="175">
        <f t="shared" si="47"/>
        <v>52160285.657592431</v>
      </c>
    </row>
    <row r="127" spans="1:65" s="160" customFormat="1" ht="26" hidden="1" outlineLevel="1" x14ac:dyDescent="0.15">
      <c r="B127" s="160" t="s">
        <v>155</v>
      </c>
      <c r="C127" s="169"/>
      <c r="E127" s="170"/>
      <c r="F127" s="174">
        <v>0</v>
      </c>
      <c r="G127" s="172">
        <f t="shared" ref="G127:AZ127" si="48">G89*G95*$C$8*YEARFRAC(F85,G85)</f>
        <v>0</v>
      </c>
      <c r="H127" s="172">
        <f t="shared" si="48"/>
        <v>0</v>
      </c>
      <c r="I127" s="172">
        <f t="shared" si="48"/>
        <v>577395</v>
      </c>
      <c r="J127" s="172">
        <f t="shared" si="48"/>
        <v>577395</v>
      </c>
      <c r="K127" s="172">
        <f t="shared" si="48"/>
        <v>577395</v>
      </c>
      <c r="L127" s="172">
        <f t="shared" si="48"/>
        <v>577395</v>
      </c>
      <c r="M127" s="172">
        <f t="shared" si="48"/>
        <v>635134.5</v>
      </c>
      <c r="N127" s="172">
        <f t="shared" si="48"/>
        <v>635134.5</v>
      </c>
      <c r="O127" s="172">
        <f t="shared" si="48"/>
        <v>635134.5</v>
      </c>
      <c r="P127" s="172">
        <f t="shared" si="48"/>
        <v>635134.5</v>
      </c>
      <c r="Q127" s="172">
        <f t="shared" si="48"/>
        <v>698647.95000000019</v>
      </c>
      <c r="R127" s="172">
        <f t="shared" si="48"/>
        <v>698647.95000000019</v>
      </c>
      <c r="S127" s="172">
        <f t="shared" si="48"/>
        <v>698647.95000000019</v>
      </c>
      <c r="T127" s="172">
        <f t="shared" si="48"/>
        <v>698647.95000000019</v>
      </c>
      <c r="U127" s="172">
        <f t="shared" si="48"/>
        <v>768512.74500000023</v>
      </c>
      <c r="V127" s="172">
        <f t="shared" si="48"/>
        <v>768512.74500000023</v>
      </c>
      <c r="W127" s="172">
        <f t="shared" si="48"/>
        <v>768512.74500000023</v>
      </c>
      <c r="X127" s="172">
        <f t="shared" si="48"/>
        <v>768512.74500000023</v>
      </c>
      <c r="Y127" s="172">
        <f t="shared" si="48"/>
        <v>845364.0195000004</v>
      </c>
      <c r="Z127" s="172">
        <f t="shared" si="48"/>
        <v>845364.0195000004</v>
      </c>
      <c r="AA127" s="172">
        <f t="shared" si="48"/>
        <v>845364.0195000004</v>
      </c>
      <c r="AB127" s="172">
        <f t="shared" si="48"/>
        <v>845364.0195000004</v>
      </c>
      <c r="AC127" s="172">
        <f t="shared" si="48"/>
        <v>929900.42145000061</v>
      </c>
      <c r="AD127" s="172">
        <f t="shared" si="48"/>
        <v>929900.42145000061</v>
      </c>
      <c r="AE127" s="172">
        <f t="shared" si="48"/>
        <v>929900.42145000061</v>
      </c>
      <c r="AF127" s="172">
        <f t="shared" si="48"/>
        <v>929900.42145000061</v>
      </c>
      <c r="AG127" s="172">
        <f t="shared" si="48"/>
        <v>1022890.4635950007</v>
      </c>
      <c r="AH127" s="172">
        <f t="shared" si="48"/>
        <v>1022890.4635950007</v>
      </c>
      <c r="AI127" s="172">
        <f t="shared" si="48"/>
        <v>1022890.4635950007</v>
      </c>
      <c r="AJ127" s="172">
        <f t="shared" si="48"/>
        <v>1022890.4635950007</v>
      </c>
      <c r="AK127" s="172">
        <f t="shared" si="48"/>
        <v>1125179.5099545009</v>
      </c>
      <c r="AL127" s="172">
        <f t="shared" si="48"/>
        <v>1125179.5099545009</v>
      </c>
      <c r="AM127" s="172">
        <f t="shared" si="48"/>
        <v>1125179.5099545009</v>
      </c>
      <c r="AN127" s="172">
        <f t="shared" si="48"/>
        <v>1125179.5099545009</v>
      </c>
      <c r="AO127" s="172">
        <f t="shared" si="48"/>
        <v>1237697.4609499511</v>
      </c>
      <c r="AP127" s="172">
        <f t="shared" si="48"/>
        <v>1237697.4609499511</v>
      </c>
      <c r="AQ127" s="172">
        <f t="shared" si="48"/>
        <v>1237697.4609499511</v>
      </c>
      <c r="AR127" s="172">
        <f t="shared" si="48"/>
        <v>1237697.4609499511</v>
      </c>
      <c r="AS127" s="172">
        <f t="shared" si="48"/>
        <v>1361467.2070449463</v>
      </c>
      <c r="AT127" s="172">
        <f t="shared" si="48"/>
        <v>1361467.2070449463</v>
      </c>
      <c r="AU127" s="172">
        <f t="shared" si="48"/>
        <v>1361467.2070449463</v>
      </c>
      <c r="AV127" s="172">
        <f t="shared" si="48"/>
        <v>1361467.2070449463</v>
      </c>
      <c r="AW127" s="172">
        <f t="shared" si="48"/>
        <v>1497613.927749441</v>
      </c>
      <c r="AX127" s="172">
        <f t="shared" si="48"/>
        <v>1497613.927749441</v>
      </c>
      <c r="AY127" s="172">
        <f t="shared" si="48"/>
        <v>1497613.927749441</v>
      </c>
      <c r="AZ127" s="172">
        <f t="shared" si="48"/>
        <v>1497613.927749441</v>
      </c>
      <c r="BC127" s="173" t="str">
        <f t="shared" ref="BC127" si="49">B127</f>
        <v>Компенсация операционных расходов</v>
      </c>
      <c r="BD127" s="175">
        <f t="shared" si="47"/>
        <v>1154790</v>
      </c>
      <c r="BE127" s="175">
        <f t="shared" si="47"/>
        <v>2425059</v>
      </c>
      <c r="BF127" s="175">
        <f t="shared" si="47"/>
        <v>2667564.9000000004</v>
      </c>
      <c r="BG127" s="175">
        <f t="shared" si="47"/>
        <v>2934321.3900000006</v>
      </c>
      <c r="BH127" s="175">
        <f t="shared" si="47"/>
        <v>3227753.529000001</v>
      </c>
      <c r="BI127" s="175">
        <f t="shared" si="47"/>
        <v>3550528.8819000022</v>
      </c>
      <c r="BJ127" s="175">
        <f t="shared" si="47"/>
        <v>3905581.7700900026</v>
      </c>
      <c r="BK127" s="175">
        <f t="shared" si="47"/>
        <v>4296139.947099003</v>
      </c>
      <c r="BL127" s="175">
        <f t="shared" si="47"/>
        <v>4725753.9418089036</v>
      </c>
      <c r="BM127" s="175">
        <f t="shared" si="47"/>
        <v>5198329.3359897947</v>
      </c>
    </row>
    <row r="128" spans="1:65" s="160" customFormat="1" ht="26" collapsed="1" x14ac:dyDescent="0.15">
      <c r="C128" s="218"/>
      <c r="E128" s="247"/>
      <c r="F128" s="176"/>
      <c r="G128" s="177"/>
      <c r="H128" s="178"/>
      <c r="I128" s="178"/>
      <c r="J128" s="178"/>
      <c r="K128" s="178"/>
      <c r="L128" s="178"/>
      <c r="M128" s="178"/>
      <c r="N128" s="178"/>
      <c r="O128" s="178"/>
      <c r="P128" s="178"/>
      <c r="Q128" s="178"/>
      <c r="R128" s="178"/>
      <c r="S128" s="178"/>
      <c r="T128" s="178"/>
      <c r="U128" s="178"/>
      <c r="V128" s="178"/>
      <c r="W128" s="178"/>
      <c r="X128" s="178"/>
      <c r="Y128" s="178"/>
      <c r="Z128" s="178"/>
      <c r="AA128" s="178"/>
      <c r="AB128" s="178"/>
      <c r="AC128" s="178"/>
      <c r="AD128" s="178"/>
      <c r="AE128" s="178"/>
      <c r="AF128" s="178"/>
      <c r="AG128" s="178"/>
      <c r="AH128" s="178"/>
      <c r="AI128" s="178"/>
      <c r="AJ128" s="178"/>
      <c r="AK128" s="178"/>
      <c r="AL128" s="179"/>
      <c r="AM128" s="178"/>
      <c r="AN128" s="178"/>
      <c r="AO128" s="178"/>
      <c r="AP128" s="178"/>
      <c r="AQ128" s="178"/>
      <c r="AR128" s="178"/>
      <c r="AS128" s="178"/>
      <c r="AT128" s="178"/>
      <c r="AU128" s="178"/>
      <c r="AV128" s="178"/>
      <c r="AW128" s="178"/>
      <c r="AX128" s="178"/>
      <c r="AY128" s="178"/>
      <c r="AZ128" s="178"/>
      <c r="BC128" s="173"/>
      <c r="BD128" s="173"/>
      <c r="BE128" s="173"/>
      <c r="BF128" s="173"/>
      <c r="BG128" s="173"/>
      <c r="BH128" s="173"/>
      <c r="BI128" s="173"/>
      <c r="BJ128" s="173"/>
      <c r="BK128" s="173"/>
      <c r="BL128" s="173"/>
      <c r="BM128" s="173"/>
    </row>
    <row r="129" spans="1:65" s="160" customFormat="1" ht="26" x14ac:dyDescent="0.15">
      <c r="B129" s="243" t="s">
        <v>18</v>
      </c>
      <c r="C129" s="180"/>
      <c r="D129" s="248"/>
      <c r="E129" s="180"/>
      <c r="F129" s="181">
        <f t="shared" ref="F129:AZ129" si="50">SUM(F126:F127)</f>
        <v>0</v>
      </c>
      <c r="G129" s="182">
        <f t="shared" si="50"/>
        <v>0</v>
      </c>
      <c r="H129" s="182">
        <f t="shared" si="50"/>
        <v>0</v>
      </c>
      <c r="I129" s="182">
        <f t="shared" si="50"/>
        <v>6371004.0983606558</v>
      </c>
      <c r="J129" s="182">
        <f t="shared" si="50"/>
        <v>6371004.0983606558</v>
      </c>
      <c r="K129" s="182">
        <f t="shared" si="50"/>
        <v>6371004.0983606558</v>
      </c>
      <c r="L129" s="182">
        <f t="shared" si="50"/>
        <v>6371004.0983606558</v>
      </c>
      <c r="M129" s="182">
        <f t="shared" si="50"/>
        <v>7008104.5081967218</v>
      </c>
      <c r="N129" s="182">
        <f t="shared" si="50"/>
        <v>7008104.5081967218</v>
      </c>
      <c r="O129" s="182">
        <f t="shared" si="50"/>
        <v>7008104.5081967218</v>
      </c>
      <c r="P129" s="182">
        <f t="shared" si="50"/>
        <v>7008104.5081967218</v>
      </c>
      <c r="Q129" s="182">
        <f t="shared" si="50"/>
        <v>7708914.9590163957</v>
      </c>
      <c r="R129" s="182">
        <f t="shared" si="50"/>
        <v>7708914.9590163957</v>
      </c>
      <c r="S129" s="182">
        <f t="shared" si="50"/>
        <v>7708914.9590163957</v>
      </c>
      <c r="T129" s="182">
        <f t="shared" si="50"/>
        <v>7708914.9590163957</v>
      </c>
      <c r="U129" s="182">
        <f t="shared" si="50"/>
        <v>8479806.4549180362</v>
      </c>
      <c r="V129" s="182">
        <f t="shared" si="50"/>
        <v>8479806.4549180362</v>
      </c>
      <c r="W129" s="182">
        <f t="shared" si="50"/>
        <v>8479806.4549180362</v>
      </c>
      <c r="X129" s="182">
        <f t="shared" si="50"/>
        <v>8479806.4549180362</v>
      </c>
      <c r="Y129" s="182">
        <f t="shared" si="50"/>
        <v>9327787.1004098412</v>
      </c>
      <c r="Z129" s="182">
        <f t="shared" si="50"/>
        <v>9327787.1004098412</v>
      </c>
      <c r="AA129" s="182">
        <f t="shared" si="50"/>
        <v>9327787.1004098412</v>
      </c>
      <c r="AB129" s="182">
        <f t="shared" si="50"/>
        <v>9327787.1004098412</v>
      </c>
      <c r="AC129" s="182">
        <f t="shared" si="50"/>
        <v>10260565.810450824</v>
      </c>
      <c r="AD129" s="182">
        <f t="shared" si="50"/>
        <v>10260565.810450824</v>
      </c>
      <c r="AE129" s="182">
        <f t="shared" si="50"/>
        <v>10260565.810450824</v>
      </c>
      <c r="AF129" s="182">
        <f t="shared" si="50"/>
        <v>10260565.810450824</v>
      </c>
      <c r="AG129" s="182">
        <f t="shared" si="50"/>
        <v>11286622.391495908</v>
      </c>
      <c r="AH129" s="182">
        <f t="shared" si="50"/>
        <v>11286622.391495908</v>
      </c>
      <c r="AI129" s="182">
        <f t="shared" si="50"/>
        <v>11286622.391495908</v>
      </c>
      <c r="AJ129" s="182">
        <f t="shared" si="50"/>
        <v>11286622.391495908</v>
      </c>
      <c r="AK129" s="182">
        <f t="shared" si="50"/>
        <v>12415284.6306455</v>
      </c>
      <c r="AL129" s="182">
        <f t="shared" si="50"/>
        <v>12415284.6306455</v>
      </c>
      <c r="AM129" s="182">
        <f t="shared" si="50"/>
        <v>12415284.6306455</v>
      </c>
      <c r="AN129" s="182">
        <f t="shared" si="50"/>
        <v>12415284.6306455</v>
      </c>
      <c r="AO129" s="182">
        <f t="shared" si="50"/>
        <v>13656813.093710052</v>
      </c>
      <c r="AP129" s="182">
        <f t="shared" si="50"/>
        <v>13656813.093710052</v>
      </c>
      <c r="AQ129" s="182">
        <f t="shared" si="50"/>
        <v>13656813.093710052</v>
      </c>
      <c r="AR129" s="182">
        <f t="shared" si="50"/>
        <v>13656813.093710052</v>
      </c>
      <c r="AS129" s="182">
        <f t="shared" si="50"/>
        <v>15022494.403081058</v>
      </c>
      <c r="AT129" s="182">
        <f t="shared" si="50"/>
        <v>15022494.403081058</v>
      </c>
      <c r="AU129" s="182">
        <f t="shared" si="50"/>
        <v>15022494.403081058</v>
      </c>
      <c r="AV129" s="182">
        <f t="shared" si="50"/>
        <v>15022494.403081058</v>
      </c>
      <c r="AW129" s="182">
        <f t="shared" si="50"/>
        <v>16524743.843389165</v>
      </c>
      <c r="AX129" s="182">
        <f t="shared" si="50"/>
        <v>16524743.843389165</v>
      </c>
      <c r="AY129" s="182">
        <f t="shared" si="50"/>
        <v>16524743.843389165</v>
      </c>
      <c r="AZ129" s="182">
        <f t="shared" si="50"/>
        <v>16524743.843389165</v>
      </c>
      <c r="BC129" s="183" t="str">
        <f>B129</f>
        <v>Арендная выручка</v>
      </c>
      <c r="BD129" s="182">
        <f t="shared" ref="BD129:BM129" si="51">BD126+BD127</f>
        <v>12742008.196721312</v>
      </c>
      <c r="BE129" s="182">
        <f t="shared" si="51"/>
        <v>26758217.213114757</v>
      </c>
      <c r="BF129" s="182">
        <f t="shared" si="51"/>
        <v>29434038.934426233</v>
      </c>
      <c r="BG129" s="182">
        <f t="shared" si="51"/>
        <v>32377442.827868864</v>
      </c>
      <c r="BH129" s="182">
        <f t="shared" si="51"/>
        <v>35615187.110655755</v>
      </c>
      <c r="BI129" s="182">
        <f t="shared" si="51"/>
        <v>39176705.821721338</v>
      </c>
      <c r="BJ129" s="182">
        <f t="shared" si="51"/>
        <v>43094376.403893456</v>
      </c>
      <c r="BK129" s="182">
        <f t="shared" si="51"/>
        <v>47403814.044282816</v>
      </c>
      <c r="BL129" s="182">
        <f t="shared" si="51"/>
        <v>52144195.448711097</v>
      </c>
      <c r="BM129" s="182">
        <f t="shared" si="51"/>
        <v>57358614.993582226</v>
      </c>
    </row>
    <row r="130" spans="1:65" s="184" customFormat="1" ht="26" x14ac:dyDescent="0.15">
      <c r="B130" s="249" t="s">
        <v>46</v>
      </c>
      <c r="C130" s="226"/>
      <c r="D130" s="226"/>
      <c r="E130" s="226"/>
      <c r="F130" s="250">
        <f>IFERROR(F129/B129-1,0%)</f>
        <v>0</v>
      </c>
      <c r="G130" s="251">
        <f>IFERROR(G129/C129-1,0%)</f>
        <v>0</v>
      </c>
      <c r="H130" s="251">
        <f>IFERROR(H129/D129-1,0%)</f>
        <v>0</v>
      </c>
      <c r="I130" s="251">
        <f>IFERROR(I129/E129-1,0%)</f>
        <v>0</v>
      </c>
      <c r="J130" s="251">
        <f t="shared" ref="J130:N130" si="52">IFERROR(J129/F129-1,0%)</f>
        <v>0</v>
      </c>
      <c r="K130" s="251">
        <f>IFERROR(K129/G129-1,0%)</f>
        <v>0</v>
      </c>
      <c r="L130" s="251">
        <f t="shared" si="52"/>
        <v>0</v>
      </c>
      <c r="M130" s="251">
        <f t="shared" si="52"/>
        <v>0.10000000000000009</v>
      </c>
      <c r="N130" s="251">
        <f t="shared" si="52"/>
        <v>0.10000000000000009</v>
      </c>
      <c r="O130" s="251">
        <f t="shared" ref="O130:Z130" si="53">IFERROR(O129/K129-1,0%)</f>
        <v>0.10000000000000009</v>
      </c>
      <c r="P130" s="251">
        <f t="shared" si="53"/>
        <v>0.10000000000000009</v>
      </c>
      <c r="Q130" s="251">
        <f t="shared" si="53"/>
        <v>0.10000000000000031</v>
      </c>
      <c r="R130" s="251">
        <f t="shared" si="53"/>
        <v>0.10000000000000031</v>
      </c>
      <c r="S130" s="251">
        <f t="shared" si="53"/>
        <v>0.10000000000000031</v>
      </c>
      <c r="T130" s="251">
        <f t="shared" si="53"/>
        <v>0.10000000000000031</v>
      </c>
      <c r="U130" s="251">
        <f t="shared" si="53"/>
        <v>0.10000000000000009</v>
      </c>
      <c r="V130" s="251">
        <f t="shared" si="53"/>
        <v>0.10000000000000009</v>
      </c>
      <c r="W130" s="251">
        <f t="shared" si="53"/>
        <v>0.10000000000000009</v>
      </c>
      <c r="X130" s="251">
        <f t="shared" si="53"/>
        <v>0.10000000000000009</v>
      </c>
      <c r="Y130" s="251">
        <f t="shared" si="53"/>
        <v>0.10000000000000009</v>
      </c>
      <c r="Z130" s="251">
        <f t="shared" si="53"/>
        <v>0.10000000000000009</v>
      </c>
      <c r="AA130" s="251">
        <f t="shared" ref="AA130:AT130" si="54">IFERROR(AA129/W129-1,0%)</f>
        <v>0.10000000000000009</v>
      </c>
      <c r="AB130" s="251">
        <f t="shared" si="54"/>
        <v>0.10000000000000009</v>
      </c>
      <c r="AC130" s="251">
        <f t="shared" si="54"/>
        <v>9.9999999999999867E-2</v>
      </c>
      <c r="AD130" s="251">
        <f t="shared" si="54"/>
        <v>9.9999999999999867E-2</v>
      </c>
      <c r="AE130" s="251">
        <f t="shared" si="54"/>
        <v>9.9999999999999867E-2</v>
      </c>
      <c r="AF130" s="251">
        <f t="shared" si="54"/>
        <v>9.9999999999999867E-2</v>
      </c>
      <c r="AG130" s="251">
        <f>IFERROR(AG129/AC129-1,0%)</f>
        <v>0.10000000000000009</v>
      </c>
      <c r="AH130" s="251">
        <f>IFERROR(AH129/AD129-1,0%)</f>
        <v>0.10000000000000009</v>
      </c>
      <c r="AI130" s="251">
        <f t="shared" si="54"/>
        <v>0.10000000000000009</v>
      </c>
      <c r="AJ130" s="251">
        <f t="shared" si="54"/>
        <v>0.10000000000000009</v>
      </c>
      <c r="AK130" s="251">
        <f t="shared" si="54"/>
        <v>0.10000000000000009</v>
      </c>
      <c r="AL130" s="251">
        <f t="shared" si="54"/>
        <v>0.10000000000000009</v>
      </c>
      <c r="AM130" s="251">
        <f t="shared" si="54"/>
        <v>0.10000000000000009</v>
      </c>
      <c r="AN130" s="251">
        <f t="shared" si="54"/>
        <v>0.10000000000000009</v>
      </c>
      <c r="AO130" s="251">
        <f t="shared" si="54"/>
        <v>0.10000000000000009</v>
      </c>
      <c r="AP130" s="251">
        <f t="shared" si="54"/>
        <v>0.10000000000000009</v>
      </c>
      <c r="AQ130" s="251">
        <f t="shared" si="54"/>
        <v>0.10000000000000009</v>
      </c>
      <c r="AR130" s="251">
        <f t="shared" si="54"/>
        <v>0.10000000000000009</v>
      </c>
      <c r="AS130" s="251">
        <f t="shared" si="54"/>
        <v>0.10000000000000009</v>
      </c>
      <c r="AT130" s="251">
        <f t="shared" si="54"/>
        <v>0.10000000000000009</v>
      </c>
      <c r="AU130" s="251">
        <f t="shared" ref="AU130" si="55">IFERROR(AU129/AQ129-1,0%)</f>
        <v>0.10000000000000009</v>
      </c>
      <c r="AV130" s="251">
        <f t="shared" ref="AV130" si="56">IFERROR(AV129/AR129-1,0%)</f>
        <v>0.10000000000000009</v>
      </c>
      <c r="AW130" s="251">
        <f t="shared" ref="AW130" si="57">IFERROR(AW129/AS129-1,0%)</f>
        <v>0.10000000000000009</v>
      </c>
      <c r="AX130" s="251">
        <f t="shared" ref="AX130" si="58">IFERROR(AX129/AT129-1,0%)</f>
        <v>0.10000000000000009</v>
      </c>
      <c r="AY130" s="251">
        <f t="shared" ref="AY130" si="59">IFERROR(AY129/AU129-1,0%)</f>
        <v>0.10000000000000009</v>
      </c>
      <c r="AZ130" s="251">
        <f t="shared" ref="AZ130" si="60">IFERROR(AZ129/AV129-1,0%)</f>
        <v>0.10000000000000009</v>
      </c>
      <c r="BB130" s="160"/>
      <c r="BC130" s="252" t="s">
        <v>158</v>
      </c>
      <c r="BD130" s="253">
        <v>0</v>
      </c>
      <c r="BE130" s="253">
        <f>BE129/BD129-1</f>
        <v>1.1000000000000001</v>
      </c>
      <c r="BF130" s="253">
        <f t="shared" ref="BF130:BM130" si="61">BF129/BE129-1</f>
        <v>0.10000000000000009</v>
      </c>
      <c r="BG130" s="253">
        <f t="shared" si="61"/>
        <v>0.10000000000000031</v>
      </c>
      <c r="BH130" s="253">
        <f t="shared" si="61"/>
        <v>0.10000000000000009</v>
      </c>
      <c r="BI130" s="253">
        <f t="shared" si="61"/>
        <v>0.10000000000000031</v>
      </c>
      <c r="BJ130" s="253">
        <f t="shared" si="61"/>
        <v>9.9999999999999645E-2</v>
      </c>
      <c r="BK130" s="253">
        <f t="shared" si="61"/>
        <v>0.10000000000000031</v>
      </c>
      <c r="BL130" s="253">
        <f t="shared" si="61"/>
        <v>0.10000000000000009</v>
      </c>
      <c r="BM130" s="253">
        <f t="shared" si="61"/>
        <v>0.10000000000000031</v>
      </c>
    </row>
    <row r="131" spans="1:65" s="255" customFormat="1" ht="26" hidden="1" outlineLevel="1" x14ac:dyDescent="0.15">
      <c r="A131" s="160"/>
      <c r="B131" s="254"/>
      <c r="D131" s="160"/>
      <c r="E131" s="256"/>
      <c r="F131" s="185"/>
      <c r="G131" s="186"/>
      <c r="H131" s="186"/>
      <c r="I131" s="172"/>
      <c r="J131" s="186"/>
      <c r="K131" s="186"/>
      <c r="L131" s="186"/>
      <c r="M131" s="186"/>
      <c r="N131" s="186"/>
      <c r="O131" s="186"/>
      <c r="P131" s="186"/>
      <c r="Q131" s="186"/>
      <c r="R131" s="186"/>
      <c r="S131" s="186"/>
      <c r="T131" s="186"/>
      <c r="U131" s="186"/>
      <c r="V131" s="186"/>
      <c r="W131" s="186"/>
      <c r="X131" s="186"/>
      <c r="Y131" s="186"/>
      <c r="Z131" s="186"/>
      <c r="AA131" s="186"/>
      <c r="AB131" s="186"/>
      <c r="AC131" s="186"/>
      <c r="AD131" s="186"/>
      <c r="AE131" s="186"/>
      <c r="AF131" s="186"/>
      <c r="AG131" s="186"/>
      <c r="AH131" s="186"/>
      <c r="AI131" s="186"/>
      <c r="AJ131" s="186"/>
      <c r="AK131" s="186"/>
      <c r="AL131" s="186"/>
      <c r="AM131" s="186"/>
      <c r="AN131" s="186"/>
      <c r="AO131" s="186"/>
      <c r="AP131" s="186"/>
      <c r="AQ131" s="186"/>
      <c r="AR131" s="186"/>
      <c r="AS131" s="186"/>
      <c r="AT131" s="186"/>
      <c r="AU131" s="186"/>
      <c r="AV131" s="186"/>
      <c r="AW131" s="186"/>
      <c r="AX131" s="186"/>
      <c r="AY131" s="186"/>
      <c r="AZ131" s="186"/>
      <c r="BB131" s="160"/>
      <c r="BC131" s="252"/>
      <c r="BD131" s="252"/>
      <c r="BE131" s="252"/>
      <c r="BF131" s="252"/>
      <c r="BG131" s="252"/>
      <c r="BH131" s="252"/>
      <c r="BI131" s="252"/>
      <c r="BJ131" s="252"/>
      <c r="BK131" s="252"/>
      <c r="BL131" s="252"/>
      <c r="BM131" s="252"/>
    </row>
    <row r="132" spans="1:65" s="160" customFormat="1" ht="26" hidden="1" outlineLevel="2" x14ac:dyDescent="0.15">
      <c r="B132" s="257" t="s">
        <v>81</v>
      </c>
      <c r="C132" s="184"/>
      <c r="D132" s="184"/>
      <c r="E132" s="258">
        <f>$C$11</f>
        <v>29375716.800000001</v>
      </c>
      <c r="F132" s="187">
        <f>IF(AND(MONTH(F$85)=3,F89=1),E132*(1+$C$59/2),E132)</f>
        <v>29375716.800000001</v>
      </c>
      <c r="G132" s="188">
        <f>IF(AND(MONTH(G$85)=3,G89=1),F132*(1+$C$59/2),F132)</f>
        <v>29375716.800000001</v>
      </c>
      <c r="H132" s="188">
        <f>IF(AND(MONTH(H$85)=3,H89=1),G132*(1+$C$59/2),G132)</f>
        <v>29375716.800000001</v>
      </c>
      <c r="I132" s="188">
        <f>IF(AND(MONTH(I$85)=3,I89=1),H132*(1+$C$59/2),H132)</f>
        <v>29375716.800000001</v>
      </c>
      <c r="J132" s="188">
        <f>IF(AND(MONTH(J$85)=3,J89=1),I132*(1+$C$59/2),I132)</f>
        <v>29375716.800000001</v>
      </c>
      <c r="K132" s="189">
        <f>$C$61</f>
        <v>118440000.00000001</v>
      </c>
      <c r="L132" s="188">
        <f t="shared" ref="L132:AZ132" si="62">IF(AND(MONTH(L$85)=3,L89=1),K132*(1+$C$59/2),K132)</f>
        <v>118440000.00000001</v>
      </c>
      <c r="M132" s="188">
        <f t="shared" si="62"/>
        <v>118440000.00000001</v>
      </c>
      <c r="N132" s="188">
        <f t="shared" si="62"/>
        <v>118440000.00000001</v>
      </c>
      <c r="O132" s="188">
        <f t="shared" si="62"/>
        <v>121401000</v>
      </c>
      <c r="P132" s="188">
        <f t="shared" si="62"/>
        <v>121401000</v>
      </c>
      <c r="Q132" s="188">
        <f t="shared" si="62"/>
        <v>121401000</v>
      </c>
      <c r="R132" s="188">
        <f t="shared" si="62"/>
        <v>121401000</v>
      </c>
      <c r="S132" s="188">
        <f t="shared" si="62"/>
        <v>124436024.99999999</v>
      </c>
      <c r="T132" s="188">
        <f t="shared" si="62"/>
        <v>124436024.99999999</v>
      </c>
      <c r="U132" s="188">
        <f t="shared" si="62"/>
        <v>124436024.99999999</v>
      </c>
      <c r="V132" s="188">
        <f t="shared" si="62"/>
        <v>124436024.99999999</v>
      </c>
      <c r="W132" s="188">
        <f t="shared" si="62"/>
        <v>127546925.62499997</v>
      </c>
      <c r="X132" s="188">
        <f t="shared" si="62"/>
        <v>127546925.62499997</v>
      </c>
      <c r="Y132" s="188">
        <f t="shared" si="62"/>
        <v>127546925.62499997</v>
      </c>
      <c r="Z132" s="188">
        <f t="shared" si="62"/>
        <v>127546925.62499997</v>
      </c>
      <c r="AA132" s="188">
        <f t="shared" si="62"/>
        <v>130735598.76562496</v>
      </c>
      <c r="AB132" s="188">
        <f t="shared" si="62"/>
        <v>130735598.76562496</v>
      </c>
      <c r="AC132" s="188">
        <f t="shared" si="62"/>
        <v>130735598.76562496</v>
      </c>
      <c r="AD132" s="188">
        <f t="shared" si="62"/>
        <v>130735598.76562496</v>
      </c>
      <c r="AE132" s="188">
        <f t="shared" si="62"/>
        <v>134003988.73476557</v>
      </c>
      <c r="AF132" s="188">
        <f t="shared" si="62"/>
        <v>134003988.73476557</v>
      </c>
      <c r="AG132" s="188">
        <f t="shared" si="62"/>
        <v>134003988.73476557</v>
      </c>
      <c r="AH132" s="188">
        <f t="shared" si="62"/>
        <v>134003988.73476557</v>
      </c>
      <c r="AI132" s="188">
        <f t="shared" si="62"/>
        <v>137354088.45313472</v>
      </c>
      <c r="AJ132" s="188">
        <f t="shared" si="62"/>
        <v>137354088.45313472</v>
      </c>
      <c r="AK132" s="188">
        <f t="shared" si="62"/>
        <v>137354088.45313472</v>
      </c>
      <c r="AL132" s="188">
        <f t="shared" si="62"/>
        <v>137354088.45313472</v>
      </c>
      <c r="AM132" s="188">
        <f t="shared" si="62"/>
        <v>140787940.66446307</v>
      </c>
      <c r="AN132" s="188">
        <f t="shared" si="62"/>
        <v>140787940.66446307</v>
      </c>
      <c r="AO132" s="188">
        <f t="shared" si="62"/>
        <v>140787940.66446307</v>
      </c>
      <c r="AP132" s="188">
        <f t="shared" si="62"/>
        <v>140787940.66446307</v>
      </c>
      <c r="AQ132" s="188">
        <f t="shared" si="62"/>
        <v>144307639.18107465</v>
      </c>
      <c r="AR132" s="188">
        <f t="shared" si="62"/>
        <v>144307639.18107465</v>
      </c>
      <c r="AS132" s="188">
        <f t="shared" si="62"/>
        <v>144307639.18107465</v>
      </c>
      <c r="AT132" s="188">
        <f t="shared" si="62"/>
        <v>144307639.18107465</v>
      </c>
      <c r="AU132" s="188">
        <f t="shared" si="62"/>
        <v>147915330.1606015</v>
      </c>
      <c r="AV132" s="188">
        <f t="shared" si="62"/>
        <v>147915330.1606015</v>
      </c>
      <c r="AW132" s="188">
        <f t="shared" si="62"/>
        <v>147915330.1606015</v>
      </c>
      <c r="AX132" s="188">
        <f t="shared" si="62"/>
        <v>147915330.1606015</v>
      </c>
      <c r="AY132" s="188">
        <f t="shared" si="62"/>
        <v>151613213.41461653</v>
      </c>
      <c r="AZ132" s="188">
        <f t="shared" si="62"/>
        <v>151613213.41461653</v>
      </c>
      <c r="BC132" s="173"/>
      <c r="BD132" s="173"/>
      <c r="BE132" s="173"/>
      <c r="BF132" s="173"/>
      <c r="BG132" s="173"/>
      <c r="BH132" s="173"/>
      <c r="BI132" s="173"/>
      <c r="BJ132" s="173"/>
      <c r="BK132" s="173"/>
      <c r="BL132" s="173"/>
      <c r="BM132" s="173"/>
    </row>
    <row r="133" spans="1:65" s="255" customFormat="1" ht="26" collapsed="1" x14ac:dyDescent="0.15">
      <c r="A133" s="160"/>
      <c r="B133" s="254"/>
      <c r="D133" s="160"/>
      <c r="E133" s="256"/>
      <c r="F133" s="185"/>
      <c r="G133" s="186"/>
      <c r="H133" s="186"/>
      <c r="I133" s="186"/>
      <c r="J133" s="186"/>
      <c r="K133" s="186"/>
      <c r="L133" s="186"/>
      <c r="M133" s="186"/>
      <c r="N133" s="186"/>
      <c r="O133" s="186"/>
      <c r="P133" s="186"/>
      <c r="Q133" s="186"/>
      <c r="R133" s="186"/>
      <c r="S133" s="186"/>
      <c r="T133" s="186"/>
      <c r="U133" s="186"/>
      <c r="V133" s="186"/>
      <c r="W133" s="186"/>
      <c r="X133" s="186"/>
      <c r="Y133" s="186"/>
      <c r="Z133" s="186"/>
      <c r="AA133" s="186"/>
      <c r="AB133" s="186"/>
      <c r="AC133" s="186"/>
      <c r="AD133" s="186"/>
      <c r="AE133" s="186"/>
      <c r="AF133" s="186"/>
      <c r="AG133" s="186"/>
      <c r="AH133" s="186"/>
      <c r="AI133" s="186"/>
      <c r="AJ133" s="186"/>
      <c r="AK133" s="186"/>
      <c r="AL133" s="186"/>
      <c r="AM133" s="186"/>
      <c r="AN133" s="186"/>
      <c r="AO133" s="186"/>
      <c r="AP133" s="186"/>
      <c r="AQ133" s="186"/>
      <c r="AR133" s="186"/>
      <c r="AS133" s="186"/>
      <c r="AT133" s="186"/>
      <c r="AU133" s="186"/>
      <c r="AV133" s="186"/>
      <c r="AW133" s="186"/>
      <c r="AX133" s="186"/>
      <c r="AY133" s="186"/>
      <c r="AZ133" s="186"/>
      <c r="BB133" s="160"/>
      <c r="BC133" s="252"/>
      <c r="BD133" s="252"/>
      <c r="BE133" s="252"/>
      <c r="BF133" s="252"/>
      <c r="BG133" s="252"/>
      <c r="BH133" s="252"/>
      <c r="BI133" s="252"/>
      <c r="BJ133" s="252"/>
      <c r="BK133" s="252"/>
      <c r="BL133" s="252"/>
      <c r="BM133" s="252"/>
    </row>
    <row r="134" spans="1:65" s="160" customFormat="1" ht="26" x14ac:dyDescent="0.15">
      <c r="B134" s="254" t="s">
        <v>19</v>
      </c>
      <c r="E134" s="172"/>
      <c r="F134" s="190">
        <f>F135</f>
        <v>0</v>
      </c>
      <c r="G134" s="191">
        <f>-G132/4*$C$34</f>
        <v>-146878.584</v>
      </c>
      <c r="H134" s="191">
        <f>-H132/4*$C$34</f>
        <v>-146878.584</v>
      </c>
      <c r="I134" s="191">
        <f>-I132/4*$C$34</f>
        <v>-146878.584</v>
      </c>
      <c r="J134" s="191">
        <f t="shared" ref="J134:AZ134" si="63">-J132/4*$C$34</f>
        <v>-146878.584</v>
      </c>
      <c r="K134" s="191">
        <f t="shared" si="63"/>
        <v>-592200.00000000012</v>
      </c>
      <c r="L134" s="191">
        <f t="shared" si="63"/>
        <v>-592200.00000000012</v>
      </c>
      <c r="M134" s="191">
        <f t="shared" si="63"/>
        <v>-592200.00000000012</v>
      </c>
      <c r="N134" s="191">
        <f t="shared" si="63"/>
        <v>-592200.00000000012</v>
      </c>
      <c r="O134" s="191">
        <f t="shared" si="63"/>
        <v>-607005</v>
      </c>
      <c r="P134" s="191">
        <f t="shared" si="63"/>
        <v>-607005</v>
      </c>
      <c r="Q134" s="191">
        <f t="shared" si="63"/>
        <v>-607005</v>
      </c>
      <c r="R134" s="191">
        <f t="shared" si="63"/>
        <v>-607005</v>
      </c>
      <c r="S134" s="191">
        <f t="shared" si="63"/>
        <v>-622180.12499999988</v>
      </c>
      <c r="T134" s="191">
        <f t="shared" si="63"/>
        <v>-622180.12499999988</v>
      </c>
      <c r="U134" s="191">
        <f t="shared" si="63"/>
        <v>-622180.12499999988</v>
      </c>
      <c r="V134" s="191">
        <f t="shared" si="63"/>
        <v>-622180.12499999988</v>
      </c>
      <c r="W134" s="191">
        <f t="shared" si="63"/>
        <v>-637734.62812499981</v>
      </c>
      <c r="X134" s="191">
        <f t="shared" si="63"/>
        <v>-637734.62812499981</v>
      </c>
      <c r="Y134" s="191">
        <f t="shared" si="63"/>
        <v>-637734.62812499981</v>
      </c>
      <c r="Z134" s="191">
        <f t="shared" si="63"/>
        <v>-637734.62812499981</v>
      </c>
      <c r="AA134" s="191">
        <f t="shared" si="63"/>
        <v>-653677.99382812483</v>
      </c>
      <c r="AB134" s="191">
        <f t="shared" si="63"/>
        <v>-653677.99382812483</v>
      </c>
      <c r="AC134" s="191">
        <f t="shared" si="63"/>
        <v>-653677.99382812483</v>
      </c>
      <c r="AD134" s="191">
        <f t="shared" si="63"/>
        <v>-653677.99382812483</v>
      </c>
      <c r="AE134" s="191">
        <f t="shared" si="63"/>
        <v>-670019.94367382792</v>
      </c>
      <c r="AF134" s="191">
        <f t="shared" si="63"/>
        <v>-670019.94367382792</v>
      </c>
      <c r="AG134" s="191">
        <f t="shared" si="63"/>
        <v>-670019.94367382792</v>
      </c>
      <c r="AH134" s="191">
        <f t="shared" si="63"/>
        <v>-670019.94367382792</v>
      </c>
      <c r="AI134" s="191">
        <f t="shared" si="63"/>
        <v>-686770.44226567354</v>
      </c>
      <c r="AJ134" s="191">
        <f t="shared" si="63"/>
        <v>-686770.44226567354</v>
      </c>
      <c r="AK134" s="191">
        <f t="shared" si="63"/>
        <v>-686770.44226567354</v>
      </c>
      <c r="AL134" s="191">
        <f t="shared" si="63"/>
        <v>-686770.44226567354</v>
      </c>
      <c r="AM134" s="191">
        <f t="shared" si="63"/>
        <v>-703939.70332231536</v>
      </c>
      <c r="AN134" s="191">
        <f t="shared" si="63"/>
        <v>-703939.70332231536</v>
      </c>
      <c r="AO134" s="191">
        <f t="shared" si="63"/>
        <v>-703939.70332231536</v>
      </c>
      <c r="AP134" s="191">
        <f t="shared" si="63"/>
        <v>-703939.70332231536</v>
      </c>
      <c r="AQ134" s="191">
        <f t="shared" si="63"/>
        <v>-721538.19590537332</v>
      </c>
      <c r="AR134" s="191">
        <f t="shared" si="63"/>
        <v>-721538.19590537332</v>
      </c>
      <c r="AS134" s="191">
        <f t="shared" si="63"/>
        <v>-721538.19590537332</v>
      </c>
      <c r="AT134" s="191">
        <f t="shared" si="63"/>
        <v>-721538.19590537332</v>
      </c>
      <c r="AU134" s="191">
        <f t="shared" si="63"/>
        <v>-739576.65080300753</v>
      </c>
      <c r="AV134" s="191">
        <f t="shared" si="63"/>
        <v>-739576.65080300753</v>
      </c>
      <c r="AW134" s="191">
        <f t="shared" si="63"/>
        <v>-739576.65080300753</v>
      </c>
      <c r="AX134" s="191">
        <f t="shared" si="63"/>
        <v>-739576.65080300753</v>
      </c>
      <c r="AY134" s="191">
        <f t="shared" si="63"/>
        <v>-758066.06707308267</v>
      </c>
      <c r="AZ134" s="191">
        <f t="shared" si="63"/>
        <v>-758066.06707308267</v>
      </c>
      <c r="BC134" s="192" t="str">
        <f>B134</f>
        <v>Налог на недвижимость</v>
      </c>
      <c r="BD134" s="191">
        <f t="shared" ref="BD134:BM136" si="64">SUMIF($F$86:$AZ$86,BD$123,$F134:$AZ134)</f>
        <v>-587514.33600000001</v>
      </c>
      <c r="BE134" s="191">
        <f t="shared" si="64"/>
        <v>-2368800.0000000005</v>
      </c>
      <c r="BF134" s="191">
        <f t="shared" si="64"/>
        <v>-2428020</v>
      </c>
      <c r="BG134" s="191">
        <f t="shared" si="64"/>
        <v>-2488720.4999999995</v>
      </c>
      <c r="BH134" s="191">
        <f t="shared" si="64"/>
        <v>-2550938.5124999993</v>
      </c>
      <c r="BI134" s="191">
        <f t="shared" si="64"/>
        <v>-2614711.9753124993</v>
      </c>
      <c r="BJ134" s="191">
        <f t="shared" si="64"/>
        <v>-2680079.7746953117</v>
      </c>
      <c r="BK134" s="191">
        <f t="shared" si="64"/>
        <v>-2747081.7690626942</v>
      </c>
      <c r="BL134" s="191">
        <f t="shared" si="64"/>
        <v>-2815758.8132892614</v>
      </c>
      <c r="BM134" s="191">
        <f t="shared" si="64"/>
        <v>-2886152.7836214933</v>
      </c>
    </row>
    <row r="135" spans="1:65" s="160" customFormat="1" ht="26" hidden="1" outlineLevel="1" x14ac:dyDescent="0.15">
      <c r="B135" s="254" t="s">
        <v>68</v>
      </c>
      <c r="E135" s="258">
        <f>$C$33/4</f>
        <v>0</v>
      </c>
      <c r="F135" s="190">
        <v>0</v>
      </c>
      <c r="G135" s="191">
        <f>-$E$135*G132/F132*G89</f>
        <v>0</v>
      </c>
      <c r="H135" s="191">
        <f t="shared" ref="H135:AZ135" si="65">-$E$135*H132/$G$132*H89</f>
        <v>0</v>
      </c>
      <c r="I135" s="191">
        <f t="shared" si="65"/>
        <v>0</v>
      </c>
      <c r="J135" s="191">
        <f t="shared" si="65"/>
        <v>0</v>
      </c>
      <c r="K135" s="191">
        <f t="shared" si="65"/>
        <v>0</v>
      </c>
      <c r="L135" s="191">
        <f t="shared" si="65"/>
        <v>0</v>
      </c>
      <c r="M135" s="191">
        <f t="shared" si="65"/>
        <v>0</v>
      </c>
      <c r="N135" s="191">
        <f t="shared" si="65"/>
        <v>0</v>
      </c>
      <c r="O135" s="191">
        <f t="shared" si="65"/>
        <v>0</v>
      </c>
      <c r="P135" s="191">
        <f t="shared" si="65"/>
        <v>0</v>
      </c>
      <c r="Q135" s="191">
        <f t="shared" si="65"/>
        <v>0</v>
      </c>
      <c r="R135" s="191">
        <f t="shared" si="65"/>
        <v>0</v>
      </c>
      <c r="S135" s="191">
        <f t="shared" si="65"/>
        <v>0</v>
      </c>
      <c r="T135" s="191">
        <f t="shared" si="65"/>
        <v>0</v>
      </c>
      <c r="U135" s="191">
        <f t="shared" si="65"/>
        <v>0</v>
      </c>
      <c r="V135" s="191">
        <f t="shared" si="65"/>
        <v>0</v>
      </c>
      <c r="W135" s="191">
        <f t="shared" si="65"/>
        <v>0</v>
      </c>
      <c r="X135" s="191">
        <f t="shared" si="65"/>
        <v>0</v>
      </c>
      <c r="Y135" s="191">
        <f t="shared" si="65"/>
        <v>0</v>
      </c>
      <c r="Z135" s="191">
        <f t="shared" si="65"/>
        <v>0</v>
      </c>
      <c r="AA135" s="191">
        <f t="shared" si="65"/>
        <v>0</v>
      </c>
      <c r="AB135" s="191">
        <f t="shared" si="65"/>
        <v>0</v>
      </c>
      <c r="AC135" s="191">
        <f t="shared" si="65"/>
        <v>0</v>
      </c>
      <c r="AD135" s="191">
        <f t="shared" si="65"/>
        <v>0</v>
      </c>
      <c r="AE135" s="191">
        <f t="shared" si="65"/>
        <v>0</v>
      </c>
      <c r="AF135" s="191">
        <f t="shared" si="65"/>
        <v>0</v>
      </c>
      <c r="AG135" s="191">
        <f t="shared" si="65"/>
        <v>0</v>
      </c>
      <c r="AH135" s="191">
        <f t="shared" si="65"/>
        <v>0</v>
      </c>
      <c r="AI135" s="191">
        <f t="shared" si="65"/>
        <v>0</v>
      </c>
      <c r="AJ135" s="191">
        <f t="shared" si="65"/>
        <v>0</v>
      </c>
      <c r="AK135" s="191">
        <f t="shared" si="65"/>
        <v>0</v>
      </c>
      <c r="AL135" s="191">
        <f t="shared" si="65"/>
        <v>0</v>
      </c>
      <c r="AM135" s="191">
        <f t="shared" si="65"/>
        <v>0</v>
      </c>
      <c r="AN135" s="191">
        <f t="shared" si="65"/>
        <v>0</v>
      </c>
      <c r="AO135" s="191">
        <f t="shared" si="65"/>
        <v>0</v>
      </c>
      <c r="AP135" s="191">
        <f t="shared" si="65"/>
        <v>0</v>
      </c>
      <c r="AQ135" s="191">
        <f t="shared" si="65"/>
        <v>0</v>
      </c>
      <c r="AR135" s="191">
        <f t="shared" si="65"/>
        <v>0</v>
      </c>
      <c r="AS135" s="191">
        <f t="shared" si="65"/>
        <v>0</v>
      </c>
      <c r="AT135" s="191">
        <f t="shared" si="65"/>
        <v>0</v>
      </c>
      <c r="AU135" s="191">
        <f t="shared" si="65"/>
        <v>0</v>
      </c>
      <c r="AV135" s="191">
        <f t="shared" si="65"/>
        <v>0</v>
      </c>
      <c r="AW135" s="191">
        <f t="shared" si="65"/>
        <v>0</v>
      </c>
      <c r="AX135" s="191">
        <f t="shared" si="65"/>
        <v>0</v>
      </c>
      <c r="AY135" s="191">
        <f t="shared" si="65"/>
        <v>0</v>
      </c>
      <c r="AZ135" s="191">
        <f t="shared" si="65"/>
        <v>0</v>
      </c>
      <c r="BC135" s="192" t="str">
        <f t="shared" ref="BC135:BC136" si="66">B135</f>
        <v>Налог на землю</v>
      </c>
      <c r="BD135" s="191">
        <f t="shared" si="64"/>
        <v>0</v>
      </c>
      <c r="BE135" s="191">
        <f t="shared" si="64"/>
        <v>0</v>
      </c>
      <c r="BF135" s="191">
        <f t="shared" si="64"/>
        <v>0</v>
      </c>
      <c r="BG135" s="191">
        <f t="shared" si="64"/>
        <v>0</v>
      </c>
      <c r="BH135" s="191">
        <f t="shared" si="64"/>
        <v>0</v>
      </c>
      <c r="BI135" s="191">
        <f t="shared" si="64"/>
        <v>0</v>
      </c>
      <c r="BJ135" s="191">
        <f t="shared" si="64"/>
        <v>0</v>
      </c>
      <c r="BK135" s="191">
        <f t="shared" si="64"/>
        <v>0</v>
      </c>
      <c r="BL135" s="191">
        <f t="shared" si="64"/>
        <v>0</v>
      </c>
      <c r="BM135" s="191">
        <f t="shared" si="64"/>
        <v>0</v>
      </c>
    </row>
    <row r="136" spans="1:65" s="160" customFormat="1" ht="26" collapsed="1" x14ac:dyDescent="0.15">
      <c r="B136" s="254" t="s">
        <v>39</v>
      </c>
      <c r="F136" s="190">
        <v>0</v>
      </c>
      <c r="G136" s="191">
        <f t="shared" ref="G136:AZ136" si="67">-G127</f>
        <v>0</v>
      </c>
      <c r="H136" s="191">
        <f t="shared" si="67"/>
        <v>0</v>
      </c>
      <c r="I136" s="191">
        <f>-I127</f>
        <v>-577395</v>
      </c>
      <c r="J136" s="191">
        <f t="shared" si="67"/>
        <v>-577395</v>
      </c>
      <c r="K136" s="191">
        <f t="shared" si="67"/>
        <v>-577395</v>
      </c>
      <c r="L136" s="191">
        <f t="shared" si="67"/>
        <v>-577395</v>
      </c>
      <c r="M136" s="191">
        <f t="shared" si="67"/>
        <v>-635134.5</v>
      </c>
      <c r="N136" s="191">
        <f t="shared" si="67"/>
        <v>-635134.5</v>
      </c>
      <c r="O136" s="191">
        <f t="shared" si="67"/>
        <v>-635134.5</v>
      </c>
      <c r="P136" s="191">
        <f t="shared" si="67"/>
        <v>-635134.5</v>
      </c>
      <c r="Q136" s="191">
        <f t="shared" si="67"/>
        <v>-698647.95000000019</v>
      </c>
      <c r="R136" s="191">
        <f t="shared" si="67"/>
        <v>-698647.95000000019</v>
      </c>
      <c r="S136" s="191">
        <f t="shared" si="67"/>
        <v>-698647.95000000019</v>
      </c>
      <c r="T136" s="191">
        <f t="shared" si="67"/>
        <v>-698647.95000000019</v>
      </c>
      <c r="U136" s="191">
        <f t="shared" si="67"/>
        <v>-768512.74500000023</v>
      </c>
      <c r="V136" s="191">
        <f t="shared" si="67"/>
        <v>-768512.74500000023</v>
      </c>
      <c r="W136" s="191">
        <f t="shared" si="67"/>
        <v>-768512.74500000023</v>
      </c>
      <c r="X136" s="191">
        <f t="shared" si="67"/>
        <v>-768512.74500000023</v>
      </c>
      <c r="Y136" s="191">
        <f t="shared" si="67"/>
        <v>-845364.0195000004</v>
      </c>
      <c r="Z136" s="191">
        <f t="shared" si="67"/>
        <v>-845364.0195000004</v>
      </c>
      <c r="AA136" s="191">
        <f t="shared" si="67"/>
        <v>-845364.0195000004</v>
      </c>
      <c r="AB136" s="191">
        <f t="shared" si="67"/>
        <v>-845364.0195000004</v>
      </c>
      <c r="AC136" s="191">
        <f t="shared" si="67"/>
        <v>-929900.42145000061</v>
      </c>
      <c r="AD136" s="191">
        <f t="shared" si="67"/>
        <v>-929900.42145000061</v>
      </c>
      <c r="AE136" s="191">
        <f t="shared" si="67"/>
        <v>-929900.42145000061</v>
      </c>
      <c r="AF136" s="191">
        <f t="shared" si="67"/>
        <v>-929900.42145000061</v>
      </c>
      <c r="AG136" s="191">
        <f t="shared" si="67"/>
        <v>-1022890.4635950007</v>
      </c>
      <c r="AH136" s="191">
        <f t="shared" si="67"/>
        <v>-1022890.4635950007</v>
      </c>
      <c r="AI136" s="191">
        <f t="shared" si="67"/>
        <v>-1022890.4635950007</v>
      </c>
      <c r="AJ136" s="191">
        <f t="shared" si="67"/>
        <v>-1022890.4635950007</v>
      </c>
      <c r="AK136" s="191">
        <f t="shared" si="67"/>
        <v>-1125179.5099545009</v>
      </c>
      <c r="AL136" s="191">
        <f t="shared" si="67"/>
        <v>-1125179.5099545009</v>
      </c>
      <c r="AM136" s="191">
        <f t="shared" si="67"/>
        <v>-1125179.5099545009</v>
      </c>
      <c r="AN136" s="191">
        <f t="shared" si="67"/>
        <v>-1125179.5099545009</v>
      </c>
      <c r="AO136" s="191">
        <f t="shared" si="67"/>
        <v>-1237697.4609499511</v>
      </c>
      <c r="AP136" s="191">
        <f t="shared" si="67"/>
        <v>-1237697.4609499511</v>
      </c>
      <c r="AQ136" s="191">
        <f t="shared" si="67"/>
        <v>-1237697.4609499511</v>
      </c>
      <c r="AR136" s="191">
        <f t="shared" si="67"/>
        <v>-1237697.4609499511</v>
      </c>
      <c r="AS136" s="191">
        <f t="shared" si="67"/>
        <v>-1361467.2070449463</v>
      </c>
      <c r="AT136" s="191">
        <f t="shared" si="67"/>
        <v>-1361467.2070449463</v>
      </c>
      <c r="AU136" s="191">
        <f t="shared" si="67"/>
        <v>-1361467.2070449463</v>
      </c>
      <c r="AV136" s="191">
        <f t="shared" si="67"/>
        <v>-1361467.2070449463</v>
      </c>
      <c r="AW136" s="191">
        <f t="shared" si="67"/>
        <v>-1497613.927749441</v>
      </c>
      <c r="AX136" s="191">
        <f t="shared" si="67"/>
        <v>-1497613.927749441</v>
      </c>
      <c r="AY136" s="191">
        <f t="shared" si="67"/>
        <v>-1497613.927749441</v>
      </c>
      <c r="AZ136" s="191">
        <f t="shared" si="67"/>
        <v>-1497613.927749441</v>
      </c>
      <c r="BC136" s="192" t="str">
        <f t="shared" si="66"/>
        <v xml:space="preserve">Эксплуатация </v>
      </c>
      <c r="BD136" s="191">
        <f t="shared" si="64"/>
        <v>-1154790</v>
      </c>
      <c r="BE136" s="191">
        <f t="shared" ref="BE136:BM136" si="68">SUMIF($F$86:$AZ$86,BE$123,$F136:$AZ136)</f>
        <v>-2425059</v>
      </c>
      <c r="BF136" s="191">
        <f t="shared" si="68"/>
        <v>-2667564.9000000004</v>
      </c>
      <c r="BG136" s="191">
        <f t="shared" si="68"/>
        <v>-2934321.3900000006</v>
      </c>
      <c r="BH136" s="191">
        <f t="shared" si="68"/>
        <v>-3227753.529000001</v>
      </c>
      <c r="BI136" s="191">
        <f t="shared" si="68"/>
        <v>-3550528.8819000022</v>
      </c>
      <c r="BJ136" s="191">
        <f t="shared" si="68"/>
        <v>-3905581.7700900026</v>
      </c>
      <c r="BK136" s="191">
        <f t="shared" si="68"/>
        <v>-4296139.947099003</v>
      </c>
      <c r="BL136" s="191">
        <f t="shared" si="68"/>
        <v>-4725753.9418089036</v>
      </c>
      <c r="BM136" s="191">
        <f t="shared" si="68"/>
        <v>-5198329.3359897947</v>
      </c>
    </row>
    <row r="137" spans="1:65" s="160" customFormat="1" ht="26" x14ac:dyDescent="0.15">
      <c r="B137" s="254"/>
      <c r="F137" s="190"/>
      <c r="G137" s="191"/>
      <c r="H137" s="191"/>
      <c r="I137" s="191"/>
      <c r="J137" s="191"/>
      <c r="K137" s="191"/>
      <c r="L137" s="191"/>
      <c r="M137" s="191"/>
      <c r="N137" s="191"/>
      <c r="O137" s="191"/>
      <c r="P137" s="191"/>
      <c r="Q137" s="191"/>
      <c r="R137" s="191"/>
      <c r="S137" s="191"/>
      <c r="T137" s="191"/>
      <c r="U137" s="191"/>
      <c r="V137" s="191"/>
      <c r="W137" s="191"/>
      <c r="X137" s="191"/>
      <c r="Y137" s="191"/>
      <c r="Z137" s="191"/>
      <c r="AA137" s="191"/>
      <c r="AB137" s="191"/>
      <c r="AC137" s="191"/>
      <c r="AD137" s="191"/>
      <c r="AE137" s="191"/>
      <c r="AF137" s="191"/>
      <c r="AG137" s="191"/>
      <c r="AH137" s="191"/>
      <c r="AI137" s="191"/>
      <c r="AJ137" s="191"/>
      <c r="AK137" s="191"/>
      <c r="AL137" s="191"/>
      <c r="AM137" s="191"/>
      <c r="AN137" s="191"/>
      <c r="AO137" s="191"/>
      <c r="AP137" s="191"/>
      <c r="AQ137" s="191"/>
      <c r="AR137" s="191"/>
      <c r="AS137" s="191"/>
      <c r="AT137" s="191"/>
      <c r="AU137" s="191"/>
      <c r="AV137" s="191"/>
      <c r="AW137" s="191"/>
      <c r="AX137" s="191"/>
      <c r="AY137" s="191"/>
      <c r="AZ137" s="191"/>
      <c r="BC137" s="173"/>
      <c r="BD137" s="173"/>
      <c r="BE137" s="173"/>
      <c r="BF137" s="173"/>
      <c r="BG137" s="173"/>
      <c r="BH137" s="173"/>
      <c r="BI137" s="173"/>
      <c r="BJ137" s="173"/>
      <c r="BK137" s="173"/>
      <c r="BL137" s="173"/>
      <c r="BM137" s="173"/>
    </row>
    <row r="138" spans="1:65" s="160" customFormat="1" ht="26" x14ac:dyDescent="0.15">
      <c r="B138" s="243" t="s">
        <v>20</v>
      </c>
      <c r="C138" s="180"/>
      <c r="D138" s="248"/>
      <c r="E138" s="180"/>
      <c r="F138" s="181">
        <v>0</v>
      </c>
      <c r="G138" s="193">
        <f>SUM(G129,G134,G135,G136)</f>
        <v>-146878.584</v>
      </c>
      <c r="H138" s="193">
        <f>SUM(H129,H134,H135,H136)</f>
        <v>-146878.584</v>
      </c>
      <c r="I138" s="193">
        <f>SUM(I129,I134,I135,I136)</f>
        <v>5646730.514360656</v>
      </c>
      <c r="J138" s="193">
        <f>SUM(J129,J134,J135,J136)</f>
        <v>5646730.514360656</v>
      </c>
      <c r="K138" s="193">
        <f t="shared" ref="K138:AT138" si="69">SUM(K129,K134,K135,K136)</f>
        <v>5201409.0983606558</v>
      </c>
      <c r="L138" s="193">
        <f t="shared" si="69"/>
        <v>5201409.0983606558</v>
      </c>
      <c r="M138" s="193">
        <f t="shared" si="69"/>
        <v>5780770.0081967218</v>
      </c>
      <c r="N138" s="193">
        <f t="shared" si="69"/>
        <v>5780770.0081967218</v>
      </c>
      <c r="O138" s="193">
        <f t="shared" si="69"/>
        <v>5765965.0081967218</v>
      </c>
      <c r="P138" s="193">
        <f t="shared" si="69"/>
        <v>5765965.0081967218</v>
      </c>
      <c r="Q138" s="193">
        <f t="shared" si="69"/>
        <v>6403262.0090163955</v>
      </c>
      <c r="R138" s="193">
        <f t="shared" si="69"/>
        <v>6403262.0090163955</v>
      </c>
      <c r="S138" s="193">
        <f t="shared" si="69"/>
        <v>6388086.8840163955</v>
      </c>
      <c r="T138" s="193">
        <f t="shared" si="69"/>
        <v>6388086.8840163955</v>
      </c>
      <c r="U138" s="193">
        <f t="shared" si="69"/>
        <v>7089113.5849180361</v>
      </c>
      <c r="V138" s="193">
        <f t="shared" si="69"/>
        <v>7089113.5849180361</v>
      </c>
      <c r="W138" s="193">
        <f t="shared" si="69"/>
        <v>7073559.0817930363</v>
      </c>
      <c r="X138" s="193">
        <f t="shared" si="69"/>
        <v>7073559.0817930363</v>
      </c>
      <c r="Y138" s="193">
        <f t="shared" si="69"/>
        <v>7844688.4527848419</v>
      </c>
      <c r="Z138" s="193">
        <f t="shared" si="69"/>
        <v>7844688.4527848419</v>
      </c>
      <c r="AA138" s="193">
        <f t="shared" si="69"/>
        <v>7828745.0870817155</v>
      </c>
      <c r="AB138" s="193">
        <f t="shared" si="69"/>
        <v>7828745.0870817155</v>
      </c>
      <c r="AC138" s="193">
        <f t="shared" si="69"/>
        <v>8676987.3951726984</v>
      </c>
      <c r="AD138" s="193">
        <f t="shared" si="69"/>
        <v>8676987.3951726984</v>
      </c>
      <c r="AE138" s="193">
        <f t="shared" si="69"/>
        <v>8660645.4453269951</v>
      </c>
      <c r="AF138" s="193">
        <f t="shared" si="69"/>
        <v>8660645.4453269951</v>
      </c>
      <c r="AG138" s="193">
        <f t="shared" si="69"/>
        <v>9593711.984227078</v>
      </c>
      <c r="AH138" s="193">
        <f t="shared" si="69"/>
        <v>9593711.984227078</v>
      </c>
      <c r="AI138" s="193">
        <f t="shared" si="69"/>
        <v>9576961.485635234</v>
      </c>
      <c r="AJ138" s="193">
        <f t="shared" si="69"/>
        <v>9576961.485635234</v>
      </c>
      <c r="AK138" s="193">
        <f t="shared" si="69"/>
        <v>10603334.678425327</v>
      </c>
      <c r="AL138" s="193">
        <f t="shared" si="69"/>
        <v>10603334.678425327</v>
      </c>
      <c r="AM138" s="193">
        <f t="shared" si="69"/>
        <v>10586165.417368684</v>
      </c>
      <c r="AN138" s="193">
        <f t="shared" si="69"/>
        <v>10586165.417368684</v>
      </c>
      <c r="AO138" s="193">
        <f t="shared" si="69"/>
        <v>11715175.929437784</v>
      </c>
      <c r="AP138" s="193">
        <f t="shared" si="69"/>
        <v>11715175.929437784</v>
      </c>
      <c r="AQ138" s="193">
        <f t="shared" si="69"/>
        <v>11697577.436854728</v>
      </c>
      <c r="AR138" s="193">
        <f t="shared" si="69"/>
        <v>11697577.436854728</v>
      </c>
      <c r="AS138" s="193">
        <f t="shared" si="69"/>
        <v>12939489.000130739</v>
      </c>
      <c r="AT138" s="193">
        <f t="shared" si="69"/>
        <v>12939489.000130739</v>
      </c>
      <c r="AU138" s="193">
        <f t="shared" ref="AU138" si="70">SUM(AU129,AU134,AU135,AU136)</f>
        <v>12921450.545233104</v>
      </c>
      <c r="AV138" s="193">
        <f t="shared" ref="AV138" si="71">SUM(AV129,AV134,AV135,AV136)</f>
        <v>12921450.545233104</v>
      </c>
      <c r="AW138" s="193">
        <f t="shared" ref="AW138" si="72">SUM(AW129,AW134,AW135,AW136)</f>
        <v>14287553.264836717</v>
      </c>
      <c r="AX138" s="193">
        <f t="shared" ref="AX138" si="73">SUM(AX129,AX134,AX135,AX136)</f>
        <v>14287553.264836717</v>
      </c>
      <c r="AY138" s="193">
        <f t="shared" ref="AY138" si="74">SUM(AY129,AY134,AY135,AY136)</f>
        <v>14269063.84856664</v>
      </c>
      <c r="AZ138" s="193">
        <f t="shared" ref="AZ138" si="75">SUM(AZ129,AZ134,AZ135,AZ136)</f>
        <v>14269063.84856664</v>
      </c>
      <c r="BC138" s="194" t="str">
        <f>B138</f>
        <v>NOI</v>
      </c>
      <c r="BD138" s="193">
        <f>BD129+BD134+BD135+BD136</f>
        <v>10999703.860721312</v>
      </c>
      <c r="BE138" s="193">
        <f t="shared" ref="BE138:BM138" si="76">BE129+BE134+BE135+BE136</f>
        <v>21964358.213114757</v>
      </c>
      <c r="BF138" s="193">
        <f t="shared" si="76"/>
        <v>24338454.034426235</v>
      </c>
      <c r="BG138" s="193">
        <f t="shared" si="76"/>
        <v>26954400.937868863</v>
      </c>
      <c r="BH138" s="193">
        <f t="shared" si="76"/>
        <v>29836495.069155753</v>
      </c>
      <c r="BI138" s="193">
        <f t="shared" si="76"/>
        <v>33011464.964508835</v>
      </c>
      <c r="BJ138" s="193">
        <f t="shared" si="76"/>
        <v>36508714.859108135</v>
      </c>
      <c r="BK138" s="193">
        <f t="shared" si="76"/>
        <v>40360592.328121126</v>
      </c>
      <c r="BL138" s="193">
        <f t="shared" si="76"/>
        <v>44602682.693612933</v>
      </c>
      <c r="BM138" s="193">
        <f t="shared" si="76"/>
        <v>49274132.873970941</v>
      </c>
    </row>
    <row r="139" spans="1:65" s="184" customFormat="1" ht="26" x14ac:dyDescent="0.15">
      <c r="B139" s="233" t="s">
        <v>21</v>
      </c>
      <c r="C139" s="226"/>
      <c r="D139" s="226"/>
      <c r="E139" s="226"/>
      <c r="F139" s="259">
        <f t="shared" ref="F139:AT139" si="77">IFERROR(F138/F129,0%)</f>
        <v>0</v>
      </c>
      <c r="G139" s="251">
        <f>IFERROR(G138/G129,0%)</f>
        <v>0</v>
      </c>
      <c r="H139" s="251">
        <f>IFERROR(H138/H129,0%)</f>
        <v>0</v>
      </c>
      <c r="I139" s="251">
        <f>IFERROR(I138/I129,0%)</f>
        <v>0.88631720011193138</v>
      </c>
      <c r="J139" s="251">
        <f>IFERROR(J138/J129,0%)</f>
        <v>0.88631720011193138</v>
      </c>
      <c r="K139" s="251">
        <f>IFERROR(K138/K129,0%)</f>
        <v>0.8164190476190476</v>
      </c>
      <c r="L139" s="251">
        <f t="shared" si="77"/>
        <v>0.8164190476190476</v>
      </c>
      <c r="M139" s="251">
        <f>IFERROR(M138/M129,0%)</f>
        <v>0.82486926406926409</v>
      </c>
      <c r="N139" s="251">
        <f t="shared" si="77"/>
        <v>0.82486926406926409</v>
      </c>
      <c r="O139" s="251">
        <f t="shared" si="77"/>
        <v>0.82275670995671002</v>
      </c>
      <c r="P139" s="251">
        <f t="shared" si="77"/>
        <v>0.82275670995671002</v>
      </c>
      <c r="Q139" s="251">
        <f t="shared" si="77"/>
        <v>0.83063077528532081</v>
      </c>
      <c r="R139" s="251">
        <f t="shared" si="77"/>
        <v>0.83063077528532081</v>
      </c>
      <c r="S139" s="251">
        <f t="shared" si="77"/>
        <v>0.82866225895316803</v>
      </c>
      <c r="T139" s="251">
        <f t="shared" si="77"/>
        <v>0.82866225895316803</v>
      </c>
      <c r="U139" s="251">
        <f t="shared" si="77"/>
        <v>0.83599945619119176</v>
      </c>
      <c r="V139" s="251">
        <f t="shared" si="77"/>
        <v>0.83599945619119176</v>
      </c>
      <c r="W139" s="251">
        <f t="shared" si="77"/>
        <v>0.83416515688168591</v>
      </c>
      <c r="X139" s="251">
        <f t="shared" si="77"/>
        <v>0.83416515688168591</v>
      </c>
      <c r="Y139" s="251">
        <f t="shared" si="77"/>
        <v>0.84100209067166254</v>
      </c>
      <c r="Z139" s="251">
        <f t="shared" si="77"/>
        <v>0.84100209067166254</v>
      </c>
      <c r="AA139" s="251">
        <f t="shared" si="77"/>
        <v>0.83929285722416824</v>
      </c>
      <c r="AB139" s="251">
        <f t="shared" si="77"/>
        <v>0.83929285722416824</v>
      </c>
      <c r="AC139" s="251">
        <f t="shared" si="77"/>
        <v>0.8456636364375556</v>
      </c>
      <c r="AD139" s="251">
        <f t="shared" si="77"/>
        <v>0.8456636364375556</v>
      </c>
      <c r="AE139" s="251">
        <f t="shared" si="77"/>
        <v>0.8440709416342087</v>
      </c>
      <c r="AF139" s="251">
        <f t="shared" si="77"/>
        <v>0.8440709416342087</v>
      </c>
      <c r="AG139" s="251">
        <f t="shared" si="77"/>
        <v>0.85000734953759227</v>
      </c>
      <c r="AH139" s="251">
        <f t="shared" si="77"/>
        <v>0.85000734953759227</v>
      </c>
      <c r="AI139" s="251">
        <f t="shared" si="77"/>
        <v>0.84852324756174657</v>
      </c>
      <c r="AJ139" s="251">
        <f t="shared" si="77"/>
        <v>0.84852324756174657</v>
      </c>
      <c r="AK139" s="251">
        <f t="shared" si="77"/>
        <v>0.85405490038080856</v>
      </c>
      <c r="AL139" s="251">
        <f t="shared" si="77"/>
        <v>0.85405490038080856</v>
      </c>
      <c r="AM139" s="251">
        <f t="shared" si="77"/>
        <v>0.85267198717604298</v>
      </c>
      <c r="AN139" s="251">
        <f t="shared" si="77"/>
        <v>0.85267198717604298</v>
      </c>
      <c r="AO139" s="251">
        <f t="shared" si="77"/>
        <v>0.85782648184835075</v>
      </c>
      <c r="AP139" s="251">
        <f t="shared" si="77"/>
        <v>0.85782648184835075</v>
      </c>
      <c r="AQ139" s="251">
        <f t="shared" si="77"/>
        <v>0.85653785818027384</v>
      </c>
      <c r="AR139" s="251">
        <f t="shared" si="77"/>
        <v>0.85653785818027384</v>
      </c>
      <c r="AS139" s="251">
        <f t="shared" si="77"/>
        <v>0.86134091003401525</v>
      </c>
      <c r="AT139" s="251">
        <f t="shared" si="77"/>
        <v>0.86134091003401525</v>
      </c>
      <c r="AU139" s="251">
        <f t="shared" ref="AU139:AZ139" si="78">IFERROR(AU138/AU129,0%)</f>
        <v>0.86014014707057995</v>
      </c>
      <c r="AV139" s="251">
        <f t="shared" si="78"/>
        <v>0.86014014707057995</v>
      </c>
      <c r="AW139" s="251">
        <f t="shared" si="78"/>
        <v>0.8646157181161116</v>
      </c>
      <c r="AX139" s="251">
        <f t="shared" si="78"/>
        <v>0.8646157181161116</v>
      </c>
      <c r="AY139" s="251">
        <f t="shared" si="78"/>
        <v>0.8634968253547286</v>
      </c>
      <c r="AZ139" s="251">
        <f t="shared" si="78"/>
        <v>0.8634968253547286</v>
      </c>
      <c r="BB139" s="160"/>
      <c r="BC139" s="252" t="s">
        <v>157</v>
      </c>
      <c r="BD139" s="253">
        <f>BD138/BD129</f>
        <v>0.86326297165243404</v>
      </c>
      <c r="BE139" s="253">
        <f t="shared" ref="BE139:BM139" si="79">BE138/BE129</f>
        <v>0.8208453514739229</v>
      </c>
      <c r="BF139" s="253">
        <f t="shared" si="79"/>
        <v>0.82688122036693468</v>
      </c>
      <c r="BG139" s="253">
        <f t="shared" si="79"/>
        <v>0.83250555274451388</v>
      </c>
      <c r="BH139" s="253">
        <f t="shared" si="79"/>
        <v>0.8377464079145307</v>
      </c>
      <c r="BI139" s="253">
        <f t="shared" si="79"/>
        <v>0.84262993205022829</v>
      </c>
      <c r="BJ139" s="253">
        <f t="shared" si="79"/>
        <v>0.84718048863121909</v>
      </c>
      <c r="BK139" s="253">
        <f t="shared" si="79"/>
        <v>0.85142077999077914</v>
      </c>
      <c r="BL139" s="253">
        <f t="shared" si="79"/>
        <v>0.85537196057582332</v>
      </c>
      <c r="BM139" s="253">
        <f t="shared" si="79"/>
        <v>0.85905374248461464</v>
      </c>
    </row>
    <row r="140" spans="1:65" s="255" customFormat="1" ht="26" x14ac:dyDescent="0.15">
      <c r="A140" s="160"/>
      <c r="B140" s="254"/>
      <c r="D140" s="160"/>
      <c r="E140" s="256"/>
      <c r="F140" s="185"/>
      <c r="G140" s="186"/>
      <c r="H140" s="186"/>
      <c r="I140" s="186"/>
      <c r="J140" s="186"/>
      <c r="K140" s="186"/>
      <c r="L140" s="186"/>
      <c r="M140" s="186"/>
      <c r="N140" s="186"/>
      <c r="O140" s="186"/>
      <c r="P140" s="186"/>
      <c r="Q140" s="186"/>
      <c r="R140" s="186"/>
      <c r="S140" s="186"/>
      <c r="T140" s="186"/>
      <c r="U140" s="186"/>
      <c r="V140" s="186"/>
      <c r="W140" s="186"/>
      <c r="X140" s="186"/>
      <c r="Y140" s="186"/>
      <c r="Z140" s="186"/>
      <c r="AA140" s="186"/>
      <c r="AB140" s="186"/>
      <c r="AC140" s="186"/>
      <c r="AD140" s="186"/>
      <c r="AE140" s="186"/>
      <c r="AF140" s="186"/>
      <c r="AG140" s="186"/>
      <c r="AH140" s="186"/>
      <c r="AI140" s="186"/>
      <c r="AJ140" s="186"/>
      <c r="AK140" s="186"/>
      <c r="AL140" s="186"/>
      <c r="AM140" s="186"/>
      <c r="AN140" s="186"/>
      <c r="AO140" s="186"/>
      <c r="AP140" s="186"/>
      <c r="AQ140" s="186"/>
      <c r="AR140" s="186"/>
      <c r="AS140" s="186"/>
      <c r="AT140" s="186"/>
      <c r="AU140" s="186"/>
      <c r="AV140" s="186"/>
      <c r="AW140" s="186"/>
      <c r="AX140" s="186"/>
      <c r="AY140" s="186"/>
      <c r="AZ140" s="186"/>
      <c r="BB140" s="160"/>
      <c r="BC140" s="252"/>
      <c r="BD140" s="252"/>
      <c r="BE140" s="252"/>
      <c r="BF140" s="252"/>
      <c r="BG140" s="252"/>
      <c r="BH140" s="252"/>
      <c r="BI140" s="252"/>
      <c r="BJ140" s="252"/>
      <c r="BK140" s="252"/>
      <c r="BL140" s="252"/>
      <c r="BM140" s="252"/>
    </row>
    <row r="141" spans="1:65" s="160" customFormat="1" ht="26" x14ac:dyDescent="0.15">
      <c r="B141" s="254" t="s">
        <v>23</v>
      </c>
      <c r="E141" s="260"/>
      <c r="F141" s="190"/>
      <c r="G141" s="191">
        <f t="shared" ref="G141:AZ141" si="80">-$C$55*F166*G100</f>
        <v>-142519.11299999998</v>
      </c>
      <c r="H141" s="191">
        <f t="shared" si="80"/>
        <v>0</v>
      </c>
      <c r="I141" s="191">
        <f t="shared" si="80"/>
        <v>0</v>
      </c>
      <c r="J141" s="191">
        <f t="shared" si="80"/>
        <v>0</v>
      </c>
      <c r="K141" s="191">
        <f t="shared" si="80"/>
        <v>-148992.92934719453</v>
      </c>
      <c r="L141" s="191">
        <f t="shared" si="80"/>
        <v>0</v>
      </c>
      <c r="M141" s="191">
        <f t="shared" si="80"/>
        <v>0</v>
      </c>
      <c r="N141" s="191">
        <f t="shared" si="80"/>
        <v>0</v>
      </c>
      <c r="O141" s="191">
        <f t="shared" si="80"/>
        <v>-182538.40525819676</v>
      </c>
      <c r="P141" s="191">
        <f t="shared" si="80"/>
        <v>0</v>
      </c>
      <c r="Q141" s="191">
        <f t="shared" si="80"/>
        <v>0</v>
      </c>
      <c r="R141" s="191">
        <f t="shared" si="80"/>
        <v>0</v>
      </c>
      <c r="S141" s="191">
        <f t="shared" si="80"/>
        <v>-202158.00703401645</v>
      </c>
      <c r="T141" s="191">
        <f t="shared" si="80"/>
        <v>0</v>
      </c>
      <c r="U141" s="191">
        <f t="shared" si="80"/>
        <v>0</v>
      </c>
      <c r="V141" s="191">
        <f t="shared" si="80"/>
        <v>0</v>
      </c>
      <c r="W141" s="191">
        <f t="shared" si="80"/>
        <v>-223773.71301866818</v>
      </c>
      <c r="X141" s="191">
        <f t="shared" si="80"/>
        <v>0</v>
      </c>
      <c r="Y141" s="191">
        <f t="shared" si="80"/>
        <v>0</v>
      </c>
      <c r="Z141" s="191">
        <f t="shared" si="80"/>
        <v>0</v>
      </c>
      <c r="AA141" s="191">
        <f t="shared" si="80"/>
        <v>-247585.98723381621</v>
      </c>
      <c r="AB141" s="191">
        <f t="shared" si="80"/>
        <v>0</v>
      </c>
      <c r="AC141" s="191">
        <f t="shared" si="80"/>
        <v>0</v>
      </c>
      <c r="AD141" s="191">
        <f t="shared" si="80"/>
        <v>0</v>
      </c>
      <c r="AE141" s="191">
        <f t="shared" si="80"/>
        <v>-273815.36144331103</v>
      </c>
      <c r="AF141" s="191">
        <f t="shared" si="80"/>
        <v>0</v>
      </c>
      <c r="AG141" s="191">
        <f t="shared" si="80"/>
        <v>0</v>
      </c>
      <c r="AH141" s="191">
        <f t="shared" si="80"/>
        <v>0</v>
      </c>
      <c r="AI141" s="191">
        <f t="shared" si="80"/>
        <v>-302704.44246090838</v>
      </c>
      <c r="AJ141" s="191">
        <f t="shared" si="80"/>
        <v>0</v>
      </c>
      <c r="AK141" s="191">
        <f t="shared" si="80"/>
        <v>0</v>
      </c>
      <c r="AL141" s="191">
        <f t="shared" si="80"/>
        <v>0</v>
      </c>
      <c r="AM141" s="191">
        <f t="shared" si="80"/>
        <v>-334520.12020209699</v>
      </c>
      <c r="AN141" s="191">
        <f t="shared" si="80"/>
        <v>0</v>
      </c>
      <c r="AO141" s="191">
        <f t="shared" si="80"/>
        <v>0</v>
      </c>
      <c r="AP141" s="191">
        <f t="shared" si="80"/>
        <v>0</v>
      </c>
      <c r="AQ141" s="191">
        <f t="shared" si="80"/>
        <v>-369555.99655478197</v>
      </c>
      <c r="AR141" s="191">
        <f t="shared" si="80"/>
        <v>0</v>
      </c>
      <c r="AS141" s="191">
        <f t="shared" si="80"/>
        <v>0</v>
      </c>
      <c r="AT141" s="191">
        <f t="shared" si="80"/>
        <v>0</v>
      </c>
      <c r="AU141" s="191">
        <f t="shared" si="80"/>
        <v>-408135.05715104734</v>
      </c>
      <c r="AV141" s="191">
        <f t="shared" si="80"/>
        <v>0</v>
      </c>
      <c r="AW141" s="191">
        <f t="shared" si="80"/>
        <v>0</v>
      </c>
      <c r="AX141" s="191">
        <f t="shared" si="80"/>
        <v>0</v>
      </c>
      <c r="AY141" s="191">
        <f t="shared" si="80"/>
        <v>-449109.85314267251</v>
      </c>
      <c r="AZ141" s="191">
        <f t="shared" si="80"/>
        <v>0</v>
      </c>
      <c r="BC141" s="192" t="str">
        <f t="shared" ref="BC141:BC145" si="81">B141</f>
        <v>Страхование недвижимости</v>
      </c>
      <c r="BD141" s="191">
        <f t="shared" ref="BD141:BM145" si="82">SUMIF($F$86:$AZ$86,BD$123,$F141:$AZ141)</f>
        <v>-142519.11299999998</v>
      </c>
      <c r="BE141" s="191">
        <f t="shared" si="82"/>
        <v>-148992.92934719453</v>
      </c>
      <c r="BF141" s="191">
        <f t="shared" si="82"/>
        <v>-182538.40525819676</v>
      </c>
      <c r="BG141" s="191">
        <f t="shared" si="82"/>
        <v>-202158.00703401645</v>
      </c>
      <c r="BH141" s="191">
        <f t="shared" si="82"/>
        <v>-223773.71301866818</v>
      </c>
      <c r="BI141" s="191">
        <f t="shared" si="82"/>
        <v>-247585.98723381621</v>
      </c>
      <c r="BJ141" s="191">
        <f t="shared" si="82"/>
        <v>-273815.36144331103</v>
      </c>
      <c r="BK141" s="191">
        <f t="shared" si="82"/>
        <v>-302704.44246090838</v>
      </c>
      <c r="BL141" s="191">
        <f t="shared" si="82"/>
        <v>-334520.12020209699</v>
      </c>
      <c r="BM141" s="191">
        <f t="shared" si="82"/>
        <v>-369555.99655478197</v>
      </c>
    </row>
    <row r="142" spans="1:65" s="160" customFormat="1" ht="26" x14ac:dyDescent="0.15">
      <c r="B142" s="254" t="s">
        <v>8</v>
      </c>
      <c r="E142" s="247"/>
      <c r="F142" s="190">
        <f>-N11</f>
        <v>-13704092.750000004</v>
      </c>
      <c r="G142" s="195">
        <f t="shared" ref="G142:AZ142" si="83">-$C$43/4*F166</f>
        <v>-593829.63750000007</v>
      </c>
      <c r="H142" s="195">
        <f t="shared" si="83"/>
        <v>-623734.09379987721</v>
      </c>
      <c r="I142" s="195">
        <f t="shared" si="83"/>
        <v>-649732.01345800399</v>
      </c>
      <c r="J142" s="195">
        <f t="shared" si="83"/>
        <v>-636639.91787641495</v>
      </c>
      <c r="K142" s="195">
        <f t="shared" si="83"/>
        <v>-620803.87227997731</v>
      </c>
      <c r="L142" s="191">
        <f t="shared" si="83"/>
        <v>-704028.56634221319</v>
      </c>
      <c r="M142" s="191">
        <f t="shared" si="83"/>
        <v>-721670.93852459011</v>
      </c>
      <c r="N142" s="191">
        <f t="shared" si="83"/>
        <v>-741123.81355020497</v>
      </c>
      <c r="O142" s="191">
        <f t="shared" si="83"/>
        <v>-760576.68857581995</v>
      </c>
      <c r="P142" s="191">
        <f t="shared" si="83"/>
        <v>-780017.99719518458</v>
      </c>
      <c r="Q142" s="191">
        <f t="shared" si="83"/>
        <v>-799459.30581454944</v>
      </c>
      <c r="R142" s="191">
        <f t="shared" si="83"/>
        <v>-820892.16756147577</v>
      </c>
      <c r="S142" s="191">
        <f t="shared" si="83"/>
        <v>-842325.02930840198</v>
      </c>
      <c r="T142" s="191">
        <f t="shared" si="83"/>
        <v>-863746.03548892203</v>
      </c>
      <c r="U142" s="191">
        <f t="shared" si="83"/>
        <v>-885167.04166944197</v>
      </c>
      <c r="V142" s="191">
        <f t="shared" si="83"/>
        <v>-908778.75629027979</v>
      </c>
      <c r="W142" s="191">
        <f t="shared" si="83"/>
        <v>-932390.4709111175</v>
      </c>
      <c r="X142" s="191">
        <f t="shared" si="83"/>
        <v>-955990.03357638873</v>
      </c>
      <c r="Y142" s="191">
        <f t="shared" si="83"/>
        <v>-979589.59624165983</v>
      </c>
      <c r="Z142" s="191">
        <f t="shared" si="83"/>
        <v>-1005598.9381912806</v>
      </c>
      <c r="AA142" s="191">
        <f t="shared" si="83"/>
        <v>-1031608.280140901</v>
      </c>
      <c r="AB142" s="191">
        <f t="shared" si="83"/>
        <v>-1057605.1663360659</v>
      </c>
      <c r="AC142" s="191">
        <f t="shared" si="83"/>
        <v>-1083602.0525312307</v>
      </c>
      <c r="AD142" s="191">
        <f t="shared" si="83"/>
        <v>-1112249.6959391802</v>
      </c>
      <c r="AE142" s="191">
        <f t="shared" si="83"/>
        <v>-1140897.3393471295</v>
      </c>
      <c r="AF142" s="191">
        <f t="shared" si="83"/>
        <v>-1169532.2156067621</v>
      </c>
      <c r="AG142" s="191">
        <f t="shared" si="83"/>
        <v>-1198167.0918663945</v>
      </c>
      <c r="AH142" s="191">
        <f t="shared" si="83"/>
        <v>-1229717.8010600898</v>
      </c>
      <c r="AI142" s="191">
        <f t="shared" si="83"/>
        <v>-1261268.5102537852</v>
      </c>
      <c r="AJ142" s="191">
        <f t="shared" si="83"/>
        <v>-1292806.1331204553</v>
      </c>
      <c r="AK142" s="191">
        <f t="shared" si="83"/>
        <v>-1324343.7559871257</v>
      </c>
      <c r="AL142" s="191">
        <f t="shared" si="83"/>
        <v>-1359088.795081265</v>
      </c>
      <c r="AM142" s="191">
        <f t="shared" si="83"/>
        <v>-1393833.8341754044</v>
      </c>
      <c r="AN142" s="191">
        <f t="shared" si="83"/>
        <v>-1428565.4597843434</v>
      </c>
      <c r="AO142" s="191">
        <f t="shared" si="83"/>
        <v>-1463297.0853932819</v>
      </c>
      <c r="AP142" s="191">
        <f t="shared" si="83"/>
        <v>-1501556.8688524368</v>
      </c>
      <c r="AQ142" s="191">
        <f t="shared" si="83"/>
        <v>-1539816.6523115919</v>
      </c>
      <c r="AR142" s="191">
        <f t="shared" si="83"/>
        <v>-1578062.6869484161</v>
      </c>
      <c r="AS142" s="191">
        <f t="shared" si="83"/>
        <v>-1616308.7215852402</v>
      </c>
      <c r="AT142" s="191">
        <f t="shared" si="83"/>
        <v>-1658435.7298573018</v>
      </c>
      <c r="AU142" s="191">
        <f t="shared" si="83"/>
        <v>-1700562.7381293641</v>
      </c>
      <c r="AV142" s="191">
        <f t="shared" si="83"/>
        <v>-1742675.6538585369</v>
      </c>
      <c r="AW142" s="191">
        <f t="shared" si="83"/>
        <v>-1785122.2134916508</v>
      </c>
      <c r="AX142" s="191">
        <f t="shared" si="83"/>
        <v>-1827631.5530123815</v>
      </c>
      <c r="AY142" s="191">
        <f t="shared" si="83"/>
        <v>-1871291.0547611357</v>
      </c>
      <c r="AZ142" s="191">
        <f t="shared" si="83"/>
        <v>-1917015.3599790228</v>
      </c>
      <c r="BC142" s="192" t="str">
        <f t="shared" si="81"/>
        <v>Комиссия SimpleEstate</v>
      </c>
      <c r="BD142" s="191">
        <f t="shared" si="82"/>
        <v>-16208028.4126343</v>
      </c>
      <c r="BE142" s="191">
        <f t="shared" si="82"/>
        <v>-2787627.1906969855</v>
      </c>
      <c r="BF142" s="191">
        <f t="shared" si="82"/>
        <v>-3160946.1591470297</v>
      </c>
      <c r="BG142" s="191">
        <f t="shared" si="82"/>
        <v>-3500016.8627570458</v>
      </c>
      <c r="BH142" s="191">
        <f t="shared" si="82"/>
        <v>-3873569.0389204468</v>
      </c>
      <c r="BI142" s="191">
        <f t="shared" si="82"/>
        <v>-4285065.1949473778</v>
      </c>
      <c r="BJ142" s="191">
        <f t="shared" si="82"/>
        <v>-4738314.4478803761</v>
      </c>
      <c r="BK142" s="191">
        <f t="shared" si="82"/>
        <v>-5237507.1944426317</v>
      </c>
      <c r="BL142" s="191">
        <f t="shared" si="82"/>
        <v>-5787253.2482054662</v>
      </c>
      <c r="BM142" s="191">
        <f t="shared" si="82"/>
        <v>-6392623.7907025497</v>
      </c>
    </row>
    <row r="143" spans="1:65" s="160" customFormat="1" ht="26" x14ac:dyDescent="0.15">
      <c r="B143" s="254" t="s">
        <v>70</v>
      </c>
      <c r="E143" s="261">
        <f>-C39/4</f>
        <v>-62500</v>
      </c>
      <c r="F143" s="190">
        <f>-SUM(N8:N10)/2</f>
        <v>-1450000</v>
      </c>
      <c r="G143" s="191">
        <f>$E$143-SUM(N8:N10)/2</f>
        <v>-1512500</v>
      </c>
      <c r="H143" s="191">
        <f>E143</f>
        <v>-62500</v>
      </c>
      <c r="I143" s="191">
        <f t="shared" ref="I143:AZ143" si="84">IF(MONTH(I$85)=3,H143*(1+$C$59),H143)</f>
        <v>-62500</v>
      </c>
      <c r="J143" s="191">
        <f t="shared" si="84"/>
        <v>-62500</v>
      </c>
      <c r="K143" s="191">
        <f t="shared" si="84"/>
        <v>-65625</v>
      </c>
      <c r="L143" s="191">
        <f t="shared" si="84"/>
        <v>-65625</v>
      </c>
      <c r="M143" s="191">
        <f t="shared" si="84"/>
        <v>-65625</v>
      </c>
      <c r="N143" s="191">
        <f t="shared" si="84"/>
        <v>-65625</v>
      </c>
      <c r="O143" s="191">
        <f t="shared" si="84"/>
        <v>-68906.25</v>
      </c>
      <c r="P143" s="191">
        <f t="shared" si="84"/>
        <v>-68906.25</v>
      </c>
      <c r="Q143" s="191">
        <f t="shared" si="84"/>
        <v>-68906.25</v>
      </c>
      <c r="R143" s="191">
        <f t="shared" si="84"/>
        <v>-68906.25</v>
      </c>
      <c r="S143" s="191">
        <f t="shared" si="84"/>
        <v>-72351.5625</v>
      </c>
      <c r="T143" s="191">
        <f t="shared" si="84"/>
        <v>-72351.5625</v>
      </c>
      <c r="U143" s="191">
        <f t="shared" si="84"/>
        <v>-72351.5625</v>
      </c>
      <c r="V143" s="191">
        <f t="shared" si="84"/>
        <v>-72351.5625</v>
      </c>
      <c r="W143" s="191">
        <f t="shared" si="84"/>
        <v>-75969.140625</v>
      </c>
      <c r="X143" s="191">
        <f t="shared" si="84"/>
        <v>-75969.140625</v>
      </c>
      <c r="Y143" s="191">
        <f t="shared" si="84"/>
        <v>-75969.140625</v>
      </c>
      <c r="Z143" s="191">
        <f t="shared" si="84"/>
        <v>-75969.140625</v>
      </c>
      <c r="AA143" s="191">
        <f t="shared" si="84"/>
        <v>-79767.59765625</v>
      </c>
      <c r="AB143" s="191">
        <f t="shared" si="84"/>
        <v>-79767.59765625</v>
      </c>
      <c r="AC143" s="191">
        <f t="shared" si="84"/>
        <v>-79767.59765625</v>
      </c>
      <c r="AD143" s="191">
        <f t="shared" si="84"/>
        <v>-79767.59765625</v>
      </c>
      <c r="AE143" s="191">
        <f t="shared" si="84"/>
        <v>-83755.9775390625</v>
      </c>
      <c r="AF143" s="191">
        <f t="shared" si="84"/>
        <v>-83755.9775390625</v>
      </c>
      <c r="AG143" s="191">
        <f t="shared" si="84"/>
        <v>-83755.9775390625</v>
      </c>
      <c r="AH143" s="191">
        <f t="shared" si="84"/>
        <v>-83755.9775390625</v>
      </c>
      <c r="AI143" s="191">
        <f t="shared" si="84"/>
        <v>-87943.776416015622</v>
      </c>
      <c r="AJ143" s="191">
        <f t="shared" si="84"/>
        <v>-87943.776416015622</v>
      </c>
      <c r="AK143" s="191">
        <f t="shared" si="84"/>
        <v>-87943.776416015622</v>
      </c>
      <c r="AL143" s="191">
        <f t="shared" si="84"/>
        <v>-87943.776416015622</v>
      </c>
      <c r="AM143" s="191">
        <f t="shared" si="84"/>
        <v>-92340.96523681641</v>
      </c>
      <c r="AN143" s="191">
        <f t="shared" si="84"/>
        <v>-92340.96523681641</v>
      </c>
      <c r="AO143" s="191">
        <f t="shared" si="84"/>
        <v>-92340.96523681641</v>
      </c>
      <c r="AP143" s="191">
        <f t="shared" si="84"/>
        <v>-92340.96523681641</v>
      </c>
      <c r="AQ143" s="191">
        <f t="shared" si="84"/>
        <v>-96958.013498657238</v>
      </c>
      <c r="AR143" s="191">
        <f t="shared" si="84"/>
        <v>-96958.013498657238</v>
      </c>
      <c r="AS143" s="191">
        <f t="shared" si="84"/>
        <v>-96958.013498657238</v>
      </c>
      <c r="AT143" s="191">
        <f t="shared" si="84"/>
        <v>-96958.013498657238</v>
      </c>
      <c r="AU143" s="191">
        <f t="shared" si="84"/>
        <v>-101805.91417359011</v>
      </c>
      <c r="AV143" s="191">
        <f t="shared" si="84"/>
        <v>-101805.91417359011</v>
      </c>
      <c r="AW143" s="191">
        <f t="shared" si="84"/>
        <v>-101805.91417359011</v>
      </c>
      <c r="AX143" s="191">
        <f t="shared" si="84"/>
        <v>-101805.91417359011</v>
      </c>
      <c r="AY143" s="191">
        <f t="shared" si="84"/>
        <v>-106896.20988226961</v>
      </c>
      <c r="AZ143" s="191">
        <f t="shared" si="84"/>
        <v>-106896.20988226961</v>
      </c>
      <c r="BC143" s="192" t="str">
        <f t="shared" si="81"/>
        <v>Юридические и прочие расходы</v>
      </c>
      <c r="BD143" s="191">
        <f t="shared" si="82"/>
        <v>-3150000</v>
      </c>
      <c r="BE143" s="191">
        <f t="shared" si="82"/>
        <v>-262500</v>
      </c>
      <c r="BF143" s="191">
        <f t="shared" si="82"/>
        <v>-275625</v>
      </c>
      <c r="BG143" s="191">
        <f t="shared" si="82"/>
        <v>-289406.25</v>
      </c>
      <c r="BH143" s="191">
        <f t="shared" si="82"/>
        <v>-303876.5625</v>
      </c>
      <c r="BI143" s="191">
        <f t="shared" si="82"/>
        <v>-319070.390625</v>
      </c>
      <c r="BJ143" s="191">
        <f t="shared" si="82"/>
        <v>-335023.91015625</v>
      </c>
      <c r="BK143" s="191">
        <f t="shared" si="82"/>
        <v>-351775.10566406249</v>
      </c>
      <c r="BL143" s="191">
        <f t="shared" si="82"/>
        <v>-369363.86094726564</v>
      </c>
      <c r="BM143" s="191">
        <f t="shared" si="82"/>
        <v>-387832.05399462895</v>
      </c>
    </row>
    <row r="144" spans="1:65" s="160" customFormat="1" ht="26" x14ac:dyDescent="0.15">
      <c r="B144" s="254" t="s">
        <v>120</v>
      </c>
      <c r="C144" s="262"/>
      <c r="D144" s="263"/>
      <c r="E144" s="262"/>
      <c r="F144" s="190">
        <f>SUM(F112,F111)</f>
        <v>0</v>
      </c>
      <c r="G144" s="191">
        <f>SUM(G117,G111)</f>
        <v>-19506821.25</v>
      </c>
      <c r="H144" s="191">
        <f t="shared" ref="H144:AZ144" si="85">SUM(H117,H112)</f>
        <v>-1463011.59375</v>
      </c>
      <c r="I144" s="191">
        <f t="shared" si="85"/>
        <v>-1736235.637465847</v>
      </c>
      <c r="J144" s="191">
        <f t="shared" si="85"/>
        <v>-1736235.637465847</v>
      </c>
      <c r="K144" s="191">
        <f t="shared" si="85"/>
        <v>-1736235.637465847</v>
      </c>
      <c r="L144" s="191">
        <f t="shared" si="85"/>
        <v>-1736235.637465847</v>
      </c>
      <c r="M144" s="191">
        <f t="shared" si="85"/>
        <v>-1736235.637465847</v>
      </c>
      <c r="N144" s="191">
        <f t="shared" si="85"/>
        <v>-1736235.637465847</v>
      </c>
      <c r="O144" s="191">
        <f t="shared" si="85"/>
        <v>-1736235.637465847</v>
      </c>
      <c r="P144" s="191">
        <f t="shared" si="85"/>
        <v>-1736235.637465847</v>
      </c>
      <c r="Q144" s="191">
        <f t="shared" si="85"/>
        <v>-1736235.637465847</v>
      </c>
      <c r="R144" s="191">
        <f t="shared" si="85"/>
        <v>-1736235.637465847</v>
      </c>
      <c r="S144" s="191">
        <f t="shared" si="85"/>
        <v>-1736235.637465847</v>
      </c>
      <c r="T144" s="191">
        <f t="shared" si="85"/>
        <v>-1736235.637465847</v>
      </c>
      <c r="U144" s="191">
        <f t="shared" si="85"/>
        <v>-1736235.637465847</v>
      </c>
      <c r="V144" s="191">
        <f t="shared" si="85"/>
        <v>-1736235.637465847</v>
      </c>
      <c r="W144" s="191">
        <f t="shared" si="85"/>
        <v>-1736235.637465847</v>
      </c>
      <c r="X144" s="191">
        <f t="shared" si="85"/>
        <v>-1736235.637465847</v>
      </c>
      <c r="Y144" s="191">
        <f t="shared" si="85"/>
        <v>-1736235.637465847</v>
      </c>
      <c r="Z144" s="191">
        <f t="shared" si="85"/>
        <v>-1736235.637465847</v>
      </c>
      <c r="AA144" s="191">
        <f t="shared" si="85"/>
        <v>-1736235.637465847</v>
      </c>
      <c r="AB144" s="191">
        <f t="shared" si="85"/>
        <v>-1736235.637465847</v>
      </c>
      <c r="AC144" s="191">
        <f t="shared" si="85"/>
        <v>-1736235.637465847</v>
      </c>
      <c r="AD144" s="191">
        <f t="shared" si="85"/>
        <v>-1736235.637465847</v>
      </c>
      <c r="AE144" s="191">
        <f t="shared" si="85"/>
        <v>-1736235.637465847</v>
      </c>
      <c r="AF144" s="191">
        <f t="shared" si="85"/>
        <v>-1736235.637465847</v>
      </c>
      <c r="AG144" s="191">
        <f t="shared" si="85"/>
        <v>-1736235.637465847</v>
      </c>
      <c r="AH144" s="191">
        <f t="shared" si="85"/>
        <v>-1736235.637465847</v>
      </c>
      <c r="AI144" s="191">
        <f t="shared" si="85"/>
        <v>-1736235.637465847</v>
      </c>
      <c r="AJ144" s="191">
        <f t="shared" si="85"/>
        <v>-1736235.637465847</v>
      </c>
      <c r="AK144" s="191">
        <f t="shared" si="85"/>
        <v>-1736235.637465847</v>
      </c>
      <c r="AL144" s="191">
        <f t="shared" si="85"/>
        <v>-1736235.637465847</v>
      </c>
      <c r="AM144" s="191">
        <f t="shared" si="85"/>
        <v>-1736235.637465847</v>
      </c>
      <c r="AN144" s="191">
        <f t="shared" si="85"/>
        <v>-1736235.637465847</v>
      </c>
      <c r="AO144" s="191">
        <f t="shared" si="85"/>
        <v>-1736235.637465847</v>
      </c>
      <c r="AP144" s="191">
        <f t="shared" si="85"/>
        <v>-1736235.637465847</v>
      </c>
      <c r="AQ144" s="191">
        <f t="shared" si="85"/>
        <v>-1736235.637465847</v>
      </c>
      <c r="AR144" s="191">
        <f t="shared" si="85"/>
        <v>-1736235.637465847</v>
      </c>
      <c r="AS144" s="191">
        <f t="shared" si="85"/>
        <v>-1736235.637465847</v>
      </c>
      <c r="AT144" s="191">
        <f t="shared" si="85"/>
        <v>-1736235.637465847</v>
      </c>
      <c r="AU144" s="191">
        <f t="shared" si="85"/>
        <v>-1736235.637465847</v>
      </c>
      <c r="AV144" s="191">
        <f t="shared" si="85"/>
        <v>-1736235.637465847</v>
      </c>
      <c r="AW144" s="191">
        <f t="shared" si="85"/>
        <v>-1736235.637465847</v>
      </c>
      <c r="AX144" s="191">
        <f t="shared" si="85"/>
        <v>-1736235.637465847</v>
      </c>
      <c r="AY144" s="191">
        <f t="shared" si="85"/>
        <v>-1736235.637465847</v>
      </c>
      <c r="AZ144" s="191">
        <f t="shared" si="85"/>
        <v>-1736235.637465847</v>
      </c>
      <c r="BC144" s="192" t="str">
        <f t="shared" si="81"/>
        <v xml:space="preserve">Амортизация </v>
      </c>
      <c r="BD144" s="191">
        <f t="shared" si="82"/>
        <v>-24442304.118681692</v>
      </c>
      <c r="BE144" s="191">
        <f t="shared" si="82"/>
        <v>-6944942.5498633878</v>
      </c>
      <c r="BF144" s="191">
        <f t="shared" si="82"/>
        <v>-6944942.5498633878</v>
      </c>
      <c r="BG144" s="191">
        <f t="shared" si="82"/>
        <v>-6944942.5498633878</v>
      </c>
      <c r="BH144" s="191">
        <f t="shared" si="82"/>
        <v>-6944942.5498633878</v>
      </c>
      <c r="BI144" s="191">
        <f t="shared" si="82"/>
        <v>-6944942.5498633878</v>
      </c>
      <c r="BJ144" s="191">
        <f t="shared" si="82"/>
        <v>-6944942.5498633878</v>
      </c>
      <c r="BK144" s="191">
        <f t="shared" si="82"/>
        <v>-6944942.5498633878</v>
      </c>
      <c r="BL144" s="191">
        <f t="shared" si="82"/>
        <v>-6944942.5498633878</v>
      </c>
      <c r="BM144" s="191">
        <f t="shared" si="82"/>
        <v>-6944942.5498633878</v>
      </c>
    </row>
    <row r="145" spans="1:65" s="160" customFormat="1" ht="26" x14ac:dyDescent="0.15">
      <c r="B145" s="254" t="s">
        <v>152</v>
      </c>
      <c r="C145" s="262"/>
      <c r="D145" s="263"/>
      <c r="E145" s="262"/>
      <c r="F145" s="196">
        <v>0</v>
      </c>
      <c r="G145" s="195">
        <v>0</v>
      </c>
      <c r="H145" s="195">
        <v>0</v>
      </c>
      <c r="I145" s="191">
        <f>-I129/3</f>
        <v>-2123668.0327868853</v>
      </c>
      <c r="J145" s="195">
        <v>0</v>
      </c>
      <c r="K145" s="195">
        <v>0</v>
      </c>
      <c r="L145" s="195">
        <v>0</v>
      </c>
      <c r="M145" s="195">
        <v>0</v>
      </c>
      <c r="N145" s="195">
        <v>0</v>
      </c>
      <c r="O145" s="195">
        <v>0</v>
      </c>
      <c r="P145" s="195">
        <v>0</v>
      </c>
      <c r="Q145" s="195">
        <v>0</v>
      </c>
      <c r="R145" s="195">
        <v>0</v>
      </c>
      <c r="S145" s="195">
        <v>0</v>
      </c>
      <c r="T145" s="195">
        <v>0</v>
      </c>
      <c r="U145" s="195">
        <v>0</v>
      </c>
      <c r="V145" s="195">
        <v>0</v>
      </c>
      <c r="W145" s="195">
        <v>0</v>
      </c>
      <c r="X145" s="195">
        <v>0</v>
      </c>
      <c r="Y145" s="195">
        <v>0</v>
      </c>
      <c r="Z145" s="195">
        <v>0</v>
      </c>
      <c r="AA145" s="195">
        <v>0</v>
      </c>
      <c r="AB145" s="195">
        <v>0</v>
      </c>
      <c r="AC145" s="195">
        <v>0</v>
      </c>
      <c r="AD145" s="195">
        <v>0</v>
      </c>
      <c r="AE145" s="195">
        <v>0</v>
      </c>
      <c r="AF145" s="195">
        <v>0</v>
      </c>
      <c r="AG145" s="195">
        <v>0</v>
      </c>
      <c r="AH145" s="195">
        <v>0</v>
      </c>
      <c r="AI145" s="195">
        <v>0</v>
      </c>
      <c r="AJ145" s="195">
        <v>0</v>
      </c>
      <c r="AK145" s="195">
        <v>0</v>
      </c>
      <c r="AL145" s="195">
        <v>0</v>
      </c>
      <c r="AM145" s="195">
        <v>0</v>
      </c>
      <c r="AN145" s="195">
        <v>0</v>
      </c>
      <c r="AO145" s="195">
        <v>0</v>
      </c>
      <c r="AP145" s="195">
        <v>0</v>
      </c>
      <c r="AQ145" s="195">
        <v>0</v>
      </c>
      <c r="AR145" s="195">
        <v>0</v>
      </c>
      <c r="AS145" s="195">
        <v>0</v>
      </c>
      <c r="AT145" s="195">
        <v>0</v>
      </c>
      <c r="AU145" s="195">
        <v>0</v>
      </c>
      <c r="AV145" s="195">
        <v>0</v>
      </c>
      <c r="AW145" s="195">
        <v>0</v>
      </c>
      <c r="AX145" s="195">
        <v>0</v>
      </c>
      <c r="AY145" s="195">
        <v>0</v>
      </c>
      <c r="AZ145" s="195">
        <v>0</v>
      </c>
      <c r="BC145" s="192" t="str">
        <f t="shared" si="81"/>
        <v xml:space="preserve">Комиссия за поиск арендатора </v>
      </c>
      <c r="BD145" s="191">
        <f t="shared" si="82"/>
        <v>-2123668.0327868853</v>
      </c>
      <c r="BE145" s="191">
        <f t="shared" si="82"/>
        <v>0</v>
      </c>
      <c r="BF145" s="191">
        <f t="shared" si="82"/>
        <v>0</v>
      </c>
      <c r="BG145" s="191">
        <f t="shared" si="82"/>
        <v>0</v>
      </c>
      <c r="BH145" s="191">
        <f t="shared" si="82"/>
        <v>0</v>
      </c>
      <c r="BI145" s="191">
        <f t="shared" si="82"/>
        <v>0</v>
      </c>
      <c r="BJ145" s="191">
        <f t="shared" si="82"/>
        <v>0</v>
      </c>
      <c r="BK145" s="191">
        <f t="shared" si="82"/>
        <v>0</v>
      </c>
      <c r="BL145" s="191">
        <f t="shared" si="82"/>
        <v>0</v>
      </c>
      <c r="BM145" s="191">
        <f t="shared" si="82"/>
        <v>0</v>
      </c>
    </row>
    <row r="146" spans="1:65" s="160" customFormat="1" ht="26" x14ac:dyDescent="0.15">
      <c r="B146" s="254"/>
      <c r="C146" s="262"/>
      <c r="D146" s="263"/>
      <c r="E146" s="262"/>
      <c r="F146" s="190"/>
      <c r="G146" s="191"/>
      <c r="H146" s="191"/>
      <c r="I146" s="191"/>
      <c r="J146" s="191"/>
      <c r="K146" s="191"/>
      <c r="L146" s="191"/>
      <c r="M146" s="191"/>
      <c r="N146" s="191"/>
      <c r="O146" s="191"/>
      <c r="P146" s="191"/>
      <c r="Q146" s="191"/>
      <c r="R146" s="191"/>
      <c r="S146" s="191"/>
      <c r="T146" s="191"/>
      <c r="U146" s="191"/>
      <c r="V146" s="191"/>
      <c r="W146" s="191"/>
      <c r="X146" s="191"/>
      <c r="Y146" s="191"/>
      <c r="Z146" s="191"/>
      <c r="AA146" s="191"/>
      <c r="AB146" s="191"/>
      <c r="AC146" s="191"/>
      <c r="AD146" s="191"/>
      <c r="AE146" s="191"/>
      <c r="AF146" s="191"/>
      <c r="AG146" s="191"/>
      <c r="AH146" s="191"/>
      <c r="AI146" s="191"/>
      <c r="AJ146" s="191"/>
      <c r="AK146" s="191"/>
      <c r="AL146" s="191"/>
      <c r="AM146" s="191"/>
      <c r="AN146" s="191"/>
      <c r="AO146" s="191"/>
      <c r="AP146" s="191"/>
      <c r="AQ146" s="191"/>
      <c r="AR146" s="191"/>
      <c r="AS146" s="191"/>
      <c r="AT146" s="191"/>
      <c r="AU146" s="191"/>
      <c r="AV146" s="191"/>
      <c r="AW146" s="191"/>
      <c r="AX146" s="191"/>
      <c r="AY146" s="191"/>
      <c r="AZ146" s="191"/>
      <c r="BC146" s="173"/>
      <c r="BD146" s="173"/>
      <c r="BE146" s="173"/>
      <c r="BF146" s="173"/>
      <c r="BG146" s="173"/>
      <c r="BH146" s="173"/>
      <c r="BI146" s="173"/>
      <c r="BJ146" s="173"/>
      <c r="BK146" s="173"/>
      <c r="BL146" s="173"/>
      <c r="BM146" s="173"/>
    </row>
    <row r="147" spans="1:65" s="166" customFormat="1" ht="26" x14ac:dyDescent="0.15">
      <c r="A147" s="160"/>
      <c r="B147" s="243" t="s">
        <v>24</v>
      </c>
      <c r="C147" s="180"/>
      <c r="D147" s="248"/>
      <c r="E147" s="180"/>
      <c r="F147" s="197">
        <f t="shared" ref="F147:AZ147" si="86">SUM(F138,F141:F145)</f>
        <v>-15154092.750000004</v>
      </c>
      <c r="G147" s="193">
        <f t="shared" si="86"/>
        <v>-21902548.5845</v>
      </c>
      <c r="H147" s="193">
        <f t="shared" si="86"/>
        <v>-2296124.2715498772</v>
      </c>
      <c r="I147" s="193">
        <f t="shared" si="86"/>
        <v>1074594.8306499198</v>
      </c>
      <c r="J147" s="193">
        <f t="shared" si="86"/>
        <v>3211354.9590183944</v>
      </c>
      <c r="K147" s="193">
        <f t="shared" si="86"/>
        <v>2629751.6592676369</v>
      </c>
      <c r="L147" s="193">
        <f t="shared" si="86"/>
        <v>2695519.8945525959</v>
      </c>
      <c r="M147" s="193">
        <f t="shared" si="86"/>
        <v>3257238.4322062852</v>
      </c>
      <c r="N147" s="193">
        <f t="shared" si="86"/>
        <v>3237785.5571806701</v>
      </c>
      <c r="O147" s="193">
        <f t="shared" si="86"/>
        <v>3017708.0268968586</v>
      </c>
      <c r="P147" s="193">
        <f t="shared" si="86"/>
        <v>3180805.1235356908</v>
      </c>
      <c r="Q147" s="193">
        <f t="shared" si="86"/>
        <v>3798660.8157359995</v>
      </c>
      <c r="R147" s="193">
        <f t="shared" si="86"/>
        <v>3777227.9539890727</v>
      </c>
      <c r="S147" s="193">
        <f t="shared" si="86"/>
        <v>3535016.6477081301</v>
      </c>
      <c r="T147" s="193">
        <f t="shared" si="86"/>
        <v>3715753.6485616267</v>
      </c>
      <c r="U147" s="193">
        <f t="shared" si="86"/>
        <v>4395359.3432827471</v>
      </c>
      <c r="V147" s="193">
        <f t="shared" si="86"/>
        <v>4371747.6286619091</v>
      </c>
      <c r="W147" s="193">
        <f t="shared" si="86"/>
        <v>4105190.1197724044</v>
      </c>
      <c r="X147" s="193">
        <f t="shared" si="86"/>
        <v>4305364.2701258007</v>
      </c>
      <c r="Y147" s="193">
        <f t="shared" si="86"/>
        <v>5052894.0784523357</v>
      </c>
      <c r="Z147" s="193">
        <f t="shared" si="86"/>
        <v>5026884.7365027145</v>
      </c>
      <c r="AA147" s="193">
        <f t="shared" si="86"/>
        <v>4733547.5845849011</v>
      </c>
      <c r="AB147" s="193">
        <f t="shared" si="86"/>
        <v>4955136.6856235527</v>
      </c>
      <c r="AC147" s="193">
        <f t="shared" si="86"/>
        <v>5777382.1075193705</v>
      </c>
      <c r="AD147" s="193">
        <f t="shared" si="86"/>
        <v>5748734.4641114213</v>
      </c>
      <c r="AE147" s="193">
        <f t="shared" si="86"/>
        <v>5425941.1295316452</v>
      </c>
      <c r="AF147" s="193">
        <f t="shared" si="86"/>
        <v>5671121.6147153238</v>
      </c>
      <c r="AG147" s="193">
        <f t="shared" si="86"/>
        <v>6575553.2773557743</v>
      </c>
      <c r="AH147" s="193">
        <f t="shared" si="86"/>
        <v>6544002.568162079</v>
      </c>
      <c r="AI147" s="193">
        <f t="shared" si="86"/>
        <v>6188809.1190386787</v>
      </c>
      <c r="AJ147" s="193">
        <f t="shared" si="86"/>
        <v>6459975.9386329167</v>
      </c>
      <c r="AK147" s="193">
        <f t="shared" si="86"/>
        <v>7454811.508556339</v>
      </c>
      <c r="AL147" s="193">
        <f t="shared" si="86"/>
        <v>7420066.4694622001</v>
      </c>
      <c r="AM147" s="193">
        <f t="shared" si="86"/>
        <v>7029234.8602885203</v>
      </c>
      <c r="AN147" s="193">
        <f t="shared" si="86"/>
        <v>7329023.3548816768</v>
      </c>
      <c r="AO147" s="193">
        <f t="shared" si="86"/>
        <v>8423302.2413418386</v>
      </c>
      <c r="AP147" s="193">
        <f t="shared" si="86"/>
        <v>8385042.4578826847</v>
      </c>
      <c r="AQ147" s="193">
        <f t="shared" si="86"/>
        <v>7955011.1370238503</v>
      </c>
      <c r="AR147" s="193">
        <f t="shared" si="86"/>
        <v>8286321.0989418076</v>
      </c>
      <c r="AS147" s="193">
        <f t="shared" si="86"/>
        <v>9489986.6275809947</v>
      </c>
      <c r="AT147" s="193">
        <f t="shared" si="86"/>
        <v>9447859.6193089336</v>
      </c>
      <c r="AU147" s="193">
        <f t="shared" si="86"/>
        <v>8974711.1983132549</v>
      </c>
      <c r="AV147" s="193">
        <f t="shared" si="86"/>
        <v>9340733.3397351298</v>
      </c>
      <c r="AW147" s="193">
        <f t="shared" si="86"/>
        <v>10664389.499705629</v>
      </c>
      <c r="AX147" s="193">
        <f t="shared" si="86"/>
        <v>10621880.160184897</v>
      </c>
      <c r="AY147" s="193">
        <f t="shared" si="86"/>
        <v>10105531.093314713</v>
      </c>
      <c r="AZ147" s="193">
        <f t="shared" si="86"/>
        <v>10508916.6412395</v>
      </c>
      <c r="BB147" s="160"/>
      <c r="BC147" s="194" t="str">
        <f>B147</f>
        <v>EBT</v>
      </c>
      <c r="BD147" s="193">
        <f t="shared" ref="BD147:BM147" si="87">BD138+SUM(BD141:BD145)</f>
        <v>-35066815.816381559</v>
      </c>
      <c r="BE147" s="193">
        <f t="shared" si="87"/>
        <v>11820295.543207189</v>
      </c>
      <c r="BF147" s="193">
        <f t="shared" si="87"/>
        <v>13774401.920157621</v>
      </c>
      <c r="BG147" s="193">
        <f t="shared" si="87"/>
        <v>16017877.268214414</v>
      </c>
      <c r="BH147" s="193">
        <f t="shared" si="87"/>
        <v>18490333.204853252</v>
      </c>
      <c r="BI147" s="193">
        <f t="shared" si="87"/>
        <v>21214800.841839254</v>
      </c>
      <c r="BJ147" s="193">
        <f t="shared" si="87"/>
        <v>24216618.589764811</v>
      </c>
      <c r="BK147" s="193">
        <f t="shared" si="87"/>
        <v>27523663.035690136</v>
      </c>
      <c r="BL147" s="193">
        <f t="shared" si="87"/>
        <v>31166602.914394718</v>
      </c>
      <c r="BM147" s="193">
        <f t="shared" si="87"/>
        <v>35179178.482855588</v>
      </c>
    </row>
    <row r="148" spans="1:65" s="255" customFormat="1" ht="26" x14ac:dyDescent="0.15">
      <c r="A148" s="160"/>
      <c r="B148" s="254"/>
      <c r="D148" s="160"/>
      <c r="E148" s="256"/>
      <c r="F148" s="185"/>
      <c r="G148" s="186"/>
      <c r="H148" s="186"/>
      <c r="I148" s="186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  <c r="T148" s="186"/>
      <c r="U148" s="186"/>
      <c r="V148" s="186"/>
      <c r="W148" s="186"/>
      <c r="X148" s="186"/>
      <c r="Y148" s="186"/>
      <c r="Z148" s="186"/>
      <c r="AA148" s="186"/>
      <c r="AB148" s="186"/>
      <c r="AC148" s="186"/>
      <c r="AD148" s="186"/>
      <c r="AE148" s="186"/>
      <c r="AF148" s="186"/>
      <c r="AG148" s="186"/>
      <c r="AH148" s="186"/>
      <c r="AI148" s="186"/>
      <c r="AJ148" s="186"/>
      <c r="AK148" s="186"/>
      <c r="AL148" s="186"/>
      <c r="AM148" s="186"/>
      <c r="AN148" s="186"/>
      <c r="AO148" s="186"/>
      <c r="AP148" s="186"/>
      <c r="AQ148" s="186"/>
      <c r="AR148" s="186"/>
      <c r="AS148" s="186"/>
      <c r="AT148" s="186"/>
      <c r="AU148" s="186"/>
      <c r="AV148" s="186"/>
      <c r="AW148" s="186"/>
      <c r="AX148" s="186"/>
      <c r="AY148" s="186"/>
      <c r="AZ148" s="186"/>
      <c r="BB148" s="160"/>
      <c r="BC148" s="252"/>
      <c r="BD148" s="252"/>
      <c r="BE148" s="252"/>
      <c r="BF148" s="252"/>
      <c r="BG148" s="252"/>
      <c r="BH148" s="252"/>
      <c r="BI148" s="252"/>
      <c r="BJ148" s="252"/>
      <c r="BK148" s="252"/>
      <c r="BL148" s="252"/>
      <c r="BM148" s="252"/>
    </row>
    <row r="149" spans="1:65" s="200" customFormat="1" ht="26" hidden="1" outlineLevel="1" x14ac:dyDescent="0.15">
      <c r="A149" s="160"/>
      <c r="B149" s="257" t="s">
        <v>123</v>
      </c>
      <c r="C149" s="160"/>
      <c r="D149" s="160"/>
      <c r="E149" s="223"/>
      <c r="F149" s="198">
        <f t="shared" ref="F149:AZ149" si="88">IF(F147&lt;0,F147,IF((E150+F147)&lt;F147/2,F147/2,E150+F147))</f>
        <v>-15154092.750000004</v>
      </c>
      <c r="G149" s="199">
        <f>IF(G147&lt;0,G147,IF((F150+G147)&lt;G147/2,G147/2,F150+G147))</f>
        <v>-21902548.5845</v>
      </c>
      <c r="H149" s="199">
        <f t="shared" si="88"/>
        <v>-2296124.2715498772</v>
      </c>
      <c r="I149" s="199">
        <f>IF(I147&lt;0,I147,IF((H150+I147)&lt;I147/2,I147/2,H150+I147))</f>
        <v>537297.4153249599</v>
      </c>
      <c r="J149" s="199">
        <f t="shared" si="88"/>
        <v>1605677.4795091972</v>
      </c>
      <c r="K149" s="199">
        <f t="shared" si="88"/>
        <v>1314875.8296338185</v>
      </c>
      <c r="L149" s="199">
        <f t="shared" si="88"/>
        <v>1347759.947276298</v>
      </c>
      <c r="M149" s="199">
        <f t="shared" si="88"/>
        <v>1628619.2161031426</v>
      </c>
      <c r="N149" s="199">
        <f t="shared" si="88"/>
        <v>1618892.778590335</v>
      </c>
      <c r="O149" s="199">
        <f t="shared" si="88"/>
        <v>1508854.0134484293</v>
      </c>
      <c r="P149" s="199">
        <f t="shared" si="88"/>
        <v>1590402.5617678454</v>
      </c>
      <c r="Q149" s="199">
        <f t="shared" si="88"/>
        <v>1899330.4078679997</v>
      </c>
      <c r="R149" s="199">
        <f t="shared" si="88"/>
        <v>1888613.9769945364</v>
      </c>
      <c r="S149" s="199">
        <f t="shared" si="88"/>
        <v>1767508.323854065</v>
      </c>
      <c r="T149" s="199">
        <f t="shared" si="88"/>
        <v>1857876.8242808133</v>
      </c>
      <c r="U149" s="199">
        <f t="shared" si="88"/>
        <v>2197679.6716413735</v>
      </c>
      <c r="V149" s="199">
        <f t="shared" si="88"/>
        <v>2185873.8143309546</v>
      </c>
      <c r="W149" s="199">
        <f t="shared" si="88"/>
        <v>2052595.0598862022</v>
      </c>
      <c r="X149" s="199">
        <f t="shared" si="88"/>
        <v>2152682.1350629004</v>
      </c>
      <c r="Y149" s="199">
        <f t="shared" si="88"/>
        <v>2526447.0392261678</v>
      </c>
      <c r="Z149" s="199">
        <f t="shared" si="88"/>
        <v>2513442.3682513572</v>
      </c>
      <c r="AA149" s="199">
        <f t="shared" si="88"/>
        <v>2366773.7922924506</v>
      </c>
      <c r="AB149" s="199">
        <f t="shared" si="88"/>
        <v>2477568.3428117763</v>
      </c>
      <c r="AC149" s="199">
        <f t="shared" si="88"/>
        <v>3463387.4996241145</v>
      </c>
      <c r="AD149" s="199">
        <f t="shared" si="88"/>
        <v>5748734.4641114213</v>
      </c>
      <c r="AE149" s="199">
        <f t="shared" si="88"/>
        <v>5425941.1295316452</v>
      </c>
      <c r="AF149" s="199">
        <f t="shared" si="88"/>
        <v>5671121.6147153238</v>
      </c>
      <c r="AG149" s="199">
        <f t="shared" si="88"/>
        <v>6575553.2773557743</v>
      </c>
      <c r="AH149" s="199">
        <f t="shared" si="88"/>
        <v>6544002.568162079</v>
      </c>
      <c r="AI149" s="199">
        <f t="shared" si="88"/>
        <v>6188809.1190386787</v>
      </c>
      <c r="AJ149" s="199">
        <f t="shared" si="88"/>
        <v>6459975.9386329167</v>
      </c>
      <c r="AK149" s="199">
        <f t="shared" si="88"/>
        <v>7454811.508556339</v>
      </c>
      <c r="AL149" s="199">
        <f t="shared" si="88"/>
        <v>7420066.4694622001</v>
      </c>
      <c r="AM149" s="199">
        <f t="shared" si="88"/>
        <v>7029234.8602885203</v>
      </c>
      <c r="AN149" s="199">
        <f t="shared" si="88"/>
        <v>7329023.3548816768</v>
      </c>
      <c r="AO149" s="199">
        <f t="shared" si="88"/>
        <v>8423302.2413418386</v>
      </c>
      <c r="AP149" s="199">
        <f t="shared" si="88"/>
        <v>8385042.4578826847</v>
      </c>
      <c r="AQ149" s="199">
        <f t="shared" si="88"/>
        <v>7955011.1370238503</v>
      </c>
      <c r="AR149" s="199">
        <f t="shared" si="88"/>
        <v>8286321.0989418076</v>
      </c>
      <c r="AS149" s="199">
        <f t="shared" si="88"/>
        <v>9489986.6275809947</v>
      </c>
      <c r="AT149" s="199">
        <f t="shared" si="88"/>
        <v>9447859.6193089336</v>
      </c>
      <c r="AU149" s="199">
        <f t="shared" si="88"/>
        <v>8974711.1983132549</v>
      </c>
      <c r="AV149" s="199">
        <f t="shared" si="88"/>
        <v>9340733.3397351298</v>
      </c>
      <c r="AW149" s="199">
        <f t="shared" si="88"/>
        <v>10664389.499705629</v>
      </c>
      <c r="AX149" s="199">
        <f t="shared" si="88"/>
        <v>10621880.160184897</v>
      </c>
      <c r="AY149" s="199">
        <f t="shared" si="88"/>
        <v>10105531.093314713</v>
      </c>
      <c r="AZ149" s="199">
        <f t="shared" si="88"/>
        <v>10508916.6412395</v>
      </c>
      <c r="BB149" s="160"/>
      <c r="BC149" s="201"/>
      <c r="BD149" s="201"/>
      <c r="BE149" s="201"/>
      <c r="BF149" s="201"/>
      <c r="BG149" s="201"/>
      <c r="BH149" s="201"/>
      <c r="BI149" s="201"/>
      <c r="BJ149" s="201"/>
      <c r="BK149" s="201"/>
      <c r="BL149" s="201"/>
      <c r="BM149" s="201"/>
    </row>
    <row r="150" spans="1:65" s="200" customFormat="1" ht="26" hidden="1" outlineLevel="1" x14ac:dyDescent="0.15">
      <c r="A150" s="160"/>
      <c r="B150" s="257" t="s">
        <v>124</v>
      </c>
      <c r="C150" s="160"/>
      <c r="D150" s="160"/>
      <c r="E150" s="223"/>
      <c r="F150" s="198">
        <f>IF(F147&lt;0,E150+F147,F147-F149+E150)</f>
        <v>-15154092.750000004</v>
      </c>
      <c r="G150" s="199">
        <f>IF(G147&lt;0,F150+G147,G147-G149+F150)</f>
        <v>-37056641.3345</v>
      </c>
      <c r="H150" s="199">
        <f t="shared" ref="H150:AZ150" si="89">IF(H147&lt;0,G150+H147,H147-H149+G150)</f>
        <v>-39352765.60604988</v>
      </c>
      <c r="I150" s="199">
        <f>IF(I147&lt;0,H150+I147,I147-I149+H150)</f>
        <v>-38815468.190724924</v>
      </c>
      <c r="J150" s="199">
        <f>IF(J147&lt;0,I150+J147,J147-J149+I150)</f>
        <v>-37209790.711215727</v>
      </c>
      <c r="K150" s="199">
        <f t="shared" si="89"/>
        <v>-35894914.88158191</v>
      </c>
      <c r="L150" s="199">
        <f>IF(L147&lt;0,K150+L147,L147-L149+K150)</f>
        <v>-34547154.934305608</v>
      </c>
      <c r="M150" s="199">
        <f t="shared" si="89"/>
        <v>-32918535.718202464</v>
      </c>
      <c r="N150" s="199">
        <f t="shared" si="89"/>
        <v>-31299642.939612128</v>
      </c>
      <c r="O150" s="199">
        <f t="shared" si="89"/>
        <v>-29790788.926163699</v>
      </c>
      <c r="P150" s="199">
        <f t="shared" si="89"/>
        <v>-28200386.364395853</v>
      </c>
      <c r="Q150" s="199">
        <f t="shared" si="89"/>
        <v>-26301055.956527852</v>
      </c>
      <c r="R150" s="199">
        <f t="shared" si="89"/>
        <v>-24412441.979533315</v>
      </c>
      <c r="S150" s="199">
        <f t="shared" si="89"/>
        <v>-22644933.655679248</v>
      </c>
      <c r="T150" s="199">
        <f>IF(T147&lt;0,S150+T147,T147-T149+S150)</f>
        <v>-20787056.831398435</v>
      </c>
      <c r="U150" s="199">
        <f t="shared" si="89"/>
        <v>-18589377.159757063</v>
      </c>
      <c r="V150" s="199">
        <f t="shared" si="89"/>
        <v>-16403503.345426109</v>
      </c>
      <c r="W150" s="199">
        <f t="shared" si="89"/>
        <v>-14350908.285539906</v>
      </c>
      <c r="X150" s="199">
        <f>IF(X147&lt;0,W150+X147,X147-X149+W150)</f>
        <v>-12198226.150477007</v>
      </c>
      <c r="Y150" s="199">
        <f t="shared" si="89"/>
        <v>-9671779.1112508401</v>
      </c>
      <c r="Z150" s="199">
        <f t="shared" si="89"/>
        <v>-7158336.7429994829</v>
      </c>
      <c r="AA150" s="199">
        <f t="shared" si="89"/>
        <v>-4791562.9507070323</v>
      </c>
      <c r="AB150" s="199">
        <f t="shared" si="89"/>
        <v>-2313994.607895256</v>
      </c>
      <c r="AC150" s="199">
        <f t="shared" si="89"/>
        <v>0</v>
      </c>
      <c r="AD150" s="199">
        <f t="shared" si="89"/>
        <v>0</v>
      </c>
      <c r="AE150" s="199">
        <f t="shared" si="89"/>
        <v>0</v>
      </c>
      <c r="AF150" s="199">
        <f t="shared" si="89"/>
        <v>0</v>
      </c>
      <c r="AG150" s="199">
        <f t="shared" si="89"/>
        <v>0</v>
      </c>
      <c r="AH150" s="199">
        <f t="shared" si="89"/>
        <v>0</v>
      </c>
      <c r="AI150" s="199">
        <f t="shared" si="89"/>
        <v>0</v>
      </c>
      <c r="AJ150" s="199">
        <f t="shared" si="89"/>
        <v>0</v>
      </c>
      <c r="AK150" s="199">
        <f t="shared" si="89"/>
        <v>0</v>
      </c>
      <c r="AL150" s="199">
        <f t="shared" si="89"/>
        <v>0</v>
      </c>
      <c r="AM150" s="199">
        <f t="shared" si="89"/>
        <v>0</v>
      </c>
      <c r="AN150" s="199">
        <f t="shared" si="89"/>
        <v>0</v>
      </c>
      <c r="AO150" s="199">
        <f t="shared" si="89"/>
        <v>0</v>
      </c>
      <c r="AP150" s="199">
        <f t="shared" si="89"/>
        <v>0</v>
      </c>
      <c r="AQ150" s="199">
        <f t="shared" si="89"/>
        <v>0</v>
      </c>
      <c r="AR150" s="199">
        <f t="shared" si="89"/>
        <v>0</v>
      </c>
      <c r="AS150" s="199">
        <f t="shared" si="89"/>
        <v>0</v>
      </c>
      <c r="AT150" s="199">
        <f t="shared" si="89"/>
        <v>0</v>
      </c>
      <c r="AU150" s="199">
        <f t="shared" si="89"/>
        <v>0</v>
      </c>
      <c r="AV150" s="199">
        <f t="shared" si="89"/>
        <v>0</v>
      </c>
      <c r="AW150" s="199">
        <f t="shared" si="89"/>
        <v>0</v>
      </c>
      <c r="AX150" s="199">
        <f t="shared" si="89"/>
        <v>0</v>
      </c>
      <c r="AY150" s="199">
        <f t="shared" si="89"/>
        <v>0</v>
      </c>
      <c r="AZ150" s="199">
        <f t="shared" si="89"/>
        <v>0</v>
      </c>
      <c r="BB150" s="160"/>
      <c r="BC150" s="201"/>
      <c r="BD150" s="201"/>
      <c r="BE150" s="201"/>
      <c r="BF150" s="201"/>
      <c r="BG150" s="201"/>
      <c r="BH150" s="201"/>
      <c r="BI150" s="201"/>
      <c r="BJ150" s="201"/>
      <c r="BK150" s="201"/>
      <c r="BL150" s="201"/>
      <c r="BM150" s="201"/>
    </row>
    <row r="151" spans="1:65" s="205" customFormat="1" ht="26" collapsed="1" x14ac:dyDescent="0.15">
      <c r="A151" s="202"/>
      <c r="B151" s="264" t="s">
        <v>125</v>
      </c>
      <c r="C151" s="202"/>
      <c r="D151" s="202"/>
      <c r="E151" s="265"/>
      <c r="F151" s="203">
        <f>IF(F149&lt;0,0,-1*$C$56*F149)</f>
        <v>0</v>
      </c>
      <c r="G151" s="204">
        <f t="shared" ref="G151:AZ151" si="90">IF(G149&lt;0,0,-1*$C$56*G149)</f>
        <v>0</v>
      </c>
      <c r="H151" s="204">
        <f t="shared" si="90"/>
        <v>0</v>
      </c>
      <c r="I151" s="204">
        <f>IF(I149&lt;0,0,-1*$C$56*I149)</f>
        <v>-134324.35383123998</v>
      </c>
      <c r="J151" s="204">
        <f>IF(J149&lt;0,0,-1*$C$56*J149)</f>
        <v>-401419.36987729929</v>
      </c>
      <c r="K151" s="204">
        <f t="shared" si="90"/>
        <v>-328718.95740845462</v>
      </c>
      <c r="L151" s="204">
        <f t="shared" si="90"/>
        <v>-336939.98681907449</v>
      </c>
      <c r="M151" s="204">
        <f t="shared" si="90"/>
        <v>-407154.80402578565</v>
      </c>
      <c r="N151" s="204">
        <f t="shared" si="90"/>
        <v>-404723.19464758376</v>
      </c>
      <c r="O151" s="204">
        <f t="shared" si="90"/>
        <v>-377213.50336210732</v>
      </c>
      <c r="P151" s="204">
        <f t="shared" si="90"/>
        <v>-397600.64044196135</v>
      </c>
      <c r="Q151" s="204">
        <f t="shared" si="90"/>
        <v>-474832.60196699994</v>
      </c>
      <c r="R151" s="204">
        <f t="shared" si="90"/>
        <v>-472153.49424863409</v>
      </c>
      <c r="S151" s="204">
        <f t="shared" si="90"/>
        <v>-441877.08096351626</v>
      </c>
      <c r="T151" s="204">
        <f t="shared" si="90"/>
        <v>-464469.20607020333</v>
      </c>
      <c r="U151" s="204">
        <f t="shared" si="90"/>
        <v>-549419.91791034339</v>
      </c>
      <c r="V151" s="204">
        <f t="shared" si="90"/>
        <v>-546468.45358273864</v>
      </c>
      <c r="W151" s="204">
        <f t="shared" si="90"/>
        <v>-513148.76497155055</v>
      </c>
      <c r="X151" s="204">
        <f t="shared" si="90"/>
        <v>-538170.53376572509</v>
      </c>
      <c r="Y151" s="204">
        <f t="shared" si="90"/>
        <v>-631611.75980654196</v>
      </c>
      <c r="Z151" s="204">
        <f t="shared" si="90"/>
        <v>-628360.59206283931</v>
      </c>
      <c r="AA151" s="204">
        <f t="shared" si="90"/>
        <v>-591693.44807311264</v>
      </c>
      <c r="AB151" s="204">
        <f t="shared" si="90"/>
        <v>-619392.08570294408</v>
      </c>
      <c r="AC151" s="204">
        <f t="shared" si="90"/>
        <v>-865846.87490602862</v>
      </c>
      <c r="AD151" s="204">
        <f t="shared" si="90"/>
        <v>-1437183.6160278553</v>
      </c>
      <c r="AE151" s="204">
        <f t="shared" si="90"/>
        <v>-1356485.2823829113</v>
      </c>
      <c r="AF151" s="204">
        <f t="shared" si="90"/>
        <v>-1417780.4036788309</v>
      </c>
      <c r="AG151" s="204">
        <f t="shared" si="90"/>
        <v>-1643888.3193389436</v>
      </c>
      <c r="AH151" s="204">
        <f t="shared" si="90"/>
        <v>-1636000.6420405197</v>
      </c>
      <c r="AI151" s="204">
        <f t="shared" si="90"/>
        <v>-1547202.2797596697</v>
      </c>
      <c r="AJ151" s="204">
        <f t="shared" si="90"/>
        <v>-1614993.9846582292</v>
      </c>
      <c r="AK151" s="204">
        <f t="shared" si="90"/>
        <v>-1863702.8771390847</v>
      </c>
      <c r="AL151" s="204">
        <f t="shared" si="90"/>
        <v>-1855016.61736555</v>
      </c>
      <c r="AM151" s="204">
        <f t="shared" si="90"/>
        <v>-1757308.7150721301</v>
      </c>
      <c r="AN151" s="204">
        <f t="shared" si="90"/>
        <v>-1832255.8387204192</v>
      </c>
      <c r="AO151" s="204">
        <f t="shared" si="90"/>
        <v>-2105825.5603354597</v>
      </c>
      <c r="AP151" s="204">
        <f t="shared" si="90"/>
        <v>-2096260.6144706712</v>
      </c>
      <c r="AQ151" s="204">
        <f t="shared" si="90"/>
        <v>-1988752.7842559626</v>
      </c>
      <c r="AR151" s="204">
        <f t="shared" si="90"/>
        <v>-2071580.2747354519</v>
      </c>
      <c r="AS151" s="204">
        <f t="shared" si="90"/>
        <v>-2372496.6568952487</v>
      </c>
      <c r="AT151" s="204">
        <f t="shared" si="90"/>
        <v>-2361964.9048272334</v>
      </c>
      <c r="AU151" s="204">
        <f t="shared" si="90"/>
        <v>-2243677.7995783137</v>
      </c>
      <c r="AV151" s="204">
        <f t="shared" si="90"/>
        <v>-2335183.3349337825</v>
      </c>
      <c r="AW151" s="204">
        <f t="shared" si="90"/>
        <v>-2666097.3749264074</v>
      </c>
      <c r="AX151" s="204">
        <f t="shared" si="90"/>
        <v>-2655470.0400462244</v>
      </c>
      <c r="AY151" s="204">
        <f t="shared" si="90"/>
        <v>-2526382.7733286782</v>
      </c>
      <c r="AZ151" s="204">
        <f t="shared" si="90"/>
        <v>-2627229.1603098749</v>
      </c>
      <c r="BB151" s="160"/>
      <c r="BC151" s="192" t="str">
        <f>B151</f>
        <v>Налог на прибыль (ОСНО)</v>
      </c>
      <c r="BD151" s="191">
        <f t="shared" ref="BD151:BM151" si="91">SUMIF($F$86:$AZ$86,BD$123,$F151:$AZ151)</f>
        <v>-535743.72370853927</v>
      </c>
      <c r="BE151" s="191">
        <f t="shared" si="91"/>
        <v>-1477536.9429008984</v>
      </c>
      <c r="BF151" s="191">
        <f t="shared" si="91"/>
        <v>-1721800.2400197028</v>
      </c>
      <c r="BG151" s="191">
        <f t="shared" si="91"/>
        <v>-2002234.6585268015</v>
      </c>
      <c r="BH151" s="191">
        <f t="shared" si="91"/>
        <v>-2311291.6506066569</v>
      </c>
      <c r="BI151" s="191">
        <f t="shared" si="91"/>
        <v>-3514116.0247099409</v>
      </c>
      <c r="BJ151" s="191">
        <f t="shared" si="91"/>
        <v>-6054154.6474412056</v>
      </c>
      <c r="BK151" s="191">
        <f t="shared" si="91"/>
        <v>-6880915.7589225341</v>
      </c>
      <c r="BL151" s="191">
        <f t="shared" si="91"/>
        <v>-7791650.7285986794</v>
      </c>
      <c r="BM151" s="191">
        <f t="shared" si="91"/>
        <v>-8794794.620713897</v>
      </c>
    </row>
    <row r="152" spans="1:65" s="200" customFormat="1" ht="26" hidden="1" outlineLevel="1" x14ac:dyDescent="0.15">
      <c r="A152" s="160"/>
      <c r="B152" s="257"/>
      <c r="C152" s="160"/>
      <c r="D152" s="160"/>
      <c r="E152" s="223"/>
      <c r="F152" s="206"/>
      <c r="G152" s="191"/>
      <c r="H152" s="207"/>
      <c r="I152" s="191"/>
      <c r="J152" s="191"/>
      <c r="K152" s="208"/>
      <c r="L152" s="208"/>
      <c r="M152" s="208"/>
      <c r="N152" s="208"/>
      <c r="O152" s="208"/>
      <c r="P152" s="208"/>
      <c r="Q152" s="208"/>
      <c r="R152" s="191"/>
      <c r="S152" s="191"/>
      <c r="T152" s="191"/>
      <c r="U152" s="191"/>
      <c r="V152" s="191"/>
      <c r="W152" s="191"/>
      <c r="X152" s="191"/>
      <c r="Y152" s="191"/>
      <c r="Z152" s="191"/>
      <c r="AA152" s="191"/>
      <c r="AB152" s="191"/>
      <c r="AC152" s="191"/>
      <c r="AD152" s="191"/>
      <c r="AE152" s="191"/>
      <c r="AF152" s="191"/>
      <c r="AG152" s="191"/>
      <c r="AH152" s="208"/>
      <c r="AI152" s="208"/>
      <c r="AJ152" s="191"/>
      <c r="AK152" s="191"/>
      <c r="AL152" s="191"/>
      <c r="AM152" s="208"/>
      <c r="AN152" s="191"/>
      <c r="AO152" s="191"/>
      <c r="AP152" s="208"/>
      <c r="AQ152" s="208"/>
      <c r="AR152" s="208"/>
      <c r="AS152" s="191"/>
      <c r="AT152" s="191"/>
      <c r="AU152" s="191"/>
      <c r="AV152" s="207"/>
      <c r="AW152" s="191"/>
      <c r="AX152" s="191"/>
      <c r="AY152" s="191"/>
      <c r="AZ152" s="191"/>
      <c r="BB152" s="160"/>
      <c r="BC152" s="201"/>
      <c r="BD152" s="201"/>
      <c r="BE152" s="201"/>
      <c r="BF152" s="201"/>
      <c r="BG152" s="201"/>
      <c r="BH152" s="201"/>
      <c r="BI152" s="201"/>
      <c r="BJ152" s="201"/>
      <c r="BK152" s="201"/>
      <c r="BL152" s="201"/>
      <c r="BM152" s="201"/>
    </row>
    <row r="153" spans="1:65" s="160" customFormat="1" ht="26" collapsed="1" x14ac:dyDescent="0.15">
      <c r="B153" s="254" t="s">
        <v>56</v>
      </c>
      <c r="E153" s="223"/>
      <c r="F153" s="190">
        <f t="shared" ref="F153:AZ153" si="92">F105</f>
        <v>86800000</v>
      </c>
      <c r="G153" s="191">
        <f t="shared" si="92"/>
        <v>40000000</v>
      </c>
      <c r="H153" s="191">
        <f t="shared" si="92"/>
        <v>45000000</v>
      </c>
      <c r="I153" s="191">
        <f>I105</f>
        <v>45000000</v>
      </c>
      <c r="J153" s="191">
        <f t="shared" si="92"/>
        <v>43199999.99999997</v>
      </c>
      <c r="K153" s="191">
        <f t="shared" si="92"/>
        <v>0</v>
      </c>
      <c r="L153" s="191">
        <f t="shared" si="92"/>
        <v>0</v>
      </c>
      <c r="M153" s="191">
        <f t="shared" si="92"/>
        <v>0</v>
      </c>
      <c r="N153" s="191">
        <f t="shared" si="92"/>
        <v>0</v>
      </c>
      <c r="O153" s="191">
        <f t="shared" si="92"/>
        <v>0</v>
      </c>
      <c r="P153" s="191">
        <f t="shared" si="92"/>
        <v>0</v>
      </c>
      <c r="Q153" s="191">
        <f t="shared" si="92"/>
        <v>0</v>
      </c>
      <c r="R153" s="191">
        <f t="shared" si="92"/>
        <v>0</v>
      </c>
      <c r="S153" s="191">
        <f t="shared" si="92"/>
        <v>0</v>
      </c>
      <c r="T153" s="191">
        <f t="shared" si="92"/>
        <v>0</v>
      </c>
      <c r="U153" s="191">
        <f t="shared" si="92"/>
        <v>0</v>
      </c>
      <c r="V153" s="191">
        <f t="shared" si="92"/>
        <v>0</v>
      </c>
      <c r="W153" s="191">
        <f t="shared" si="92"/>
        <v>0</v>
      </c>
      <c r="X153" s="191">
        <f t="shared" si="92"/>
        <v>0</v>
      </c>
      <c r="Y153" s="191">
        <f t="shared" si="92"/>
        <v>0</v>
      </c>
      <c r="Z153" s="191">
        <f t="shared" si="92"/>
        <v>0</v>
      </c>
      <c r="AA153" s="191">
        <f t="shared" si="92"/>
        <v>0</v>
      </c>
      <c r="AB153" s="191">
        <f t="shared" si="92"/>
        <v>0</v>
      </c>
      <c r="AC153" s="191">
        <f t="shared" si="92"/>
        <v>0</v>
      </c>
      <c r="AD153" s="191">
        <f t="shared" si="92"/>
        <v>0</v>
      </c>
      <c r="AE153" s="191">
        <f t="shared" si="92"/>
        <v>0</v>
      </c>
      <c r="AF153" s="191">
        <f t="shared" si="92"/>
        <v>0</v>
      </c>
      <c r="AG153" s="191">
        <f t="shared" si="92"/>
        <v>0</v>
      </c>
      <c r="AH153" s="191">
        <f t="shared" si="92"/>
        <v>0</v>
      </c>
      <c r="AI153" s="191">
        <f t="shared" si="92"/>
        <v>0</v>
      </c>
      <c r="AJ153" s="191">
        <f t="shared" si="92"/>
        <v>0</v>
      </c>
      <c r="AK153" s="191">
        <f t="shared" si="92"/>
        <v>0</v>
      </c>
      <c r="AL153" s="191">
        <f t="shared" si="92"/>
        <v>0</v>
      </c>
      <c r="AM153" s="191">
        <f t="shared" si="92"/>
        <v>0</v>
      </c>
      <c r="AN153" s="191">
        <f t="shared" si="92"/>
        <v>0</v>
      </c>
      <c r="AO153" s="191">
        <f t="shared" si="92"/>
        <v>0</v>
      </c>
      <c r="AP153" s="191">
        <f t="shared" si="92"/>
        <v>0</v>
      </c>
      <c r="AQ153" s="191">
        <f t="shared" si="92"/>
        <v>0</v>
      </c>
      <c r="AR153" s="191">
        <f t="shared" si="92"/>
        <v>0</v>
      </c>
      <c r="AS153" s="191">
        <f t="shared" si="92"/>
        <v>0</v>
      </c>
      <c r="AT153" s="191">
        <f t="shared" si="92"/>
        <v>0</v>
      </c>
      <c r="AU153" s="191">
        <f t="shared" si="92"/>
        <v>0</v>
      </c>
      <c r="AV153" s="191">
        <f t="shared" si="92"/>
        <v>0</v>
      </c>
      <c r="AW153" s="191">
        <f t="shared" si="92"/>
        <v>0</v>
      </c>
      <c r="AX153" s="191">
        <f t="shared" si="92"/>
        <v>0</v>
      </c>
      <c r="AY153" s="191">
        <f t="shared" si="92"/>
        <v>0</v>
      </c>
      <c r="AZ153" s="191">
        <f t="shared" si="92"/>
        <v>0</v>
      </c>
      <c r="BC153" s="192" t="str">
        <f>B153</f>
        <v>Привлечение капитала</v>
      </c>
      <c r="BD153" s="191">
        <f t="shared" ref="BD153:BM153" si="93">SUMIF($F$86:$AZ$86,BD$123,$F153:$AZ153)</f>
        <v>259999999.99999997</v>
      </c>
      <c r="BE153" s="191">
        <f t="shared" si="93"/>
        <v>0</v>
      </c>
      <c r="BF153" s="191">
        <f t="shared" si="93"/>
        <v>0</v>
      </c>
      <c r="BG153" s="191">
        <f t="shared" si="93"/>
        <v>0</v>
      </c>
      <c r="BH153" s="191">
        <f t="shared" si="93"/>
        <v>0</v>
      </c>
      <c r="BI153" s="191">
        <f t="shared" si="93"/>
        <v>0</v>
      </c>
      <c r="BJ153" s="191">
        <f t="shared" si="93"/>
        <v>0</v>
      </c>
      <c r="BK153" s="191">
        <f t="shared" si="93"/>
        <v>0</v>
      </c>
      <c r="BL153" s="191">
        <f t="shared" si="93"/>
        <v>0</v>
      </c>
      <c r="BM153" s="191">
        <f t="shared" si="93"/>
        <v>0</v>
      </c>
    </row>
    <row r="154" spans="1:65" s="160" customFormat="1" ht="26" x14ac:dyDescent="0.15">
      <c r="B154" s="254"/>
      <c r="E154" s="223"/>
      <c r="F154" s="190"/>
      <c r="G154" s="191"/>
      <c r="H154" s="191"/>
      <c r="I154" s="191"/>
      <c r="J154" s="191"/>
      <c r="K154" s="191"/>
      <c r="L154" s="191"/>
      <c r="M154" s="191"/>
      <c r="N154" s="191"/>
      <c r="O154" s="191"/>
      <c r="P154" s="191"/>
      <c r="Q154" s="191"/>
      <c r="R154" s="191"/>
      <c r="S154" s="191"/>
      <c r="T154" s="191"/>
      <c r="U154" s="191"/>
      <c r="V154" s="191"/>
      <c r="W154" s="191"/>
      <c r="X154" s="191"/>
      <c r="Y154" s="191"/>
      <c r="Z154" s="191"/>
      <c r="AA154" s="191"/>
      <c r="AB154" s="191"/>
      <c r="AC154" s="191"/>
      <c r="AD154" s="191"/>
      <c r="AE154" s="191"/>
      <c r="AF154" s="191"/>
      <c r="AG154" s="191"/>
      <c r="AH154" s="191"/>
      <c r="AI154" s="191"/>
      <c r="AJ154" s="191"/>
      <c r="AK154" s="191"/>
      <c r="AL154" s="191"/>
      <c r="AM154" s="191"/>
      <c r="AN154" s="191"/>
      <c r="AO154" s="191"/>
      <c r="AP154" s="191"/>
      <c r="AQ154" s="191"/>
      <c r="AR154" s="191"/>
      <c r="AS154" s="191"/>
      <c r="AT154" s="191"/>
      <c r="AU154" s="191"/>
      <c r="AV154" s="191"/>
      <c r="AW154" s="191"/>
      <c r="AX154" s="191"/>
      <c r="AY154" s="191"/>
      <c r="AZ154" s="191"/>
      <c r="BC154" s="192"/>
      <c r="BD154" s="173"/>
      <c r="BE154" s="173"/>
      <c r="BF154" s="173"/>
      <c r="BG154" s="173"/>
      <c r="BH154" s="173"/>
      <c r="BI154" s="173"/>
      <c r="BJ154" s="173"/>
      <c r="BK154" s="173"/>
      <c r="BL154" s="173"/>
      <c r="BM154" s="173"/>
    </row>
    <row r="155" spans="1:65" s="160" customFormat="1" ht="26" x14ac:dyDescent="0.15">
      <c r="B155" s="254" t="s">
        <v>73</v>
      </c>
      <c r="E155" s="223"/>
      <c r="F155" s="190">
        <f t="shared" ref="F155:AZ155" si="94">-$N$6*F$102</f>
        <v>-58520463.750000007</v>
      </c>
      <c r="G155" s="191">
        <f t="shared" si="94"/>
        <v>-34136937.1875</v>
      </c>
      <c r="H155" s="191">
        <f t="shared" si="94"/>
        <v>-34136937.1875</v>
      </c>
      <c r="I155" s="191">
        <f>-$N$6*I$102</f>
        <v>-34136937.1875</v>
      </c>
      <c r="J155" s="191">
        <f t="shared" si="94"/>
        <v>-34136937.1875</v>
      </c>
      <c r="K155" s="191">
        <f t="shared" si="94"/>
        <v>0</v>
      </c>
      <c r="L155" s="191">
        <f t="shared" si="94"/>
        <v>0</v>
      </c>
      <c r="M155" s="191">
        <f t="shared" si="94"/>
        <v>0</v>
      </c>
      <c r="N155" s="191">
        <f t="shared" si="94"/>
        <v>0</v>
      </c>
      <c r="O155" s="191">
        <f t="shared" si="94"/>
        <v>0</v>
      </c>
      <c r="P155" s="191">
        <f t="shared" si="94"/>
        <v>0</v>
      </c>
      <c r="Q155" s="191">
        <f t="shared" si="94"/>
        <v>0</v>
      </c>
      <c r="R155" s="191">
        <f t="shared" si="94"/>
        <v>0</v>
      </c>
      <c r="S155" s="191">
        <f t="shared" si="94"/>
        <v>0</v>
      </c>
      <c r="T155" s="191">
        <f t="shared" si="94"/>
        <v>0</v>
      </c>
      <c r="U155" s="191">
        <f t="shared" si="94"/>
        <v>0</v>
      </c>
      <c r="V155" s="191">
        <f t="shared" si="94"/>
        <v>0</v>
      </c>
      <c r="W155" s="191">
        <f t="shared" si="94"/>
        <v>0</v>
      </c>
      <c r="X155" s="191">
        <f t="shared" si="94"/>
        <v>0</v>
      </c>
      <c r="Y155" s="191">
        <f t="shared" si="94"/>
        <v>0</v>
      </c>
      <c r="Z155" s="191">
        <f t="shared" si="94"/>
        <v>0</v>
      </c>
      <c r="AA155" s="191">
        <f t="shared" si="94"/>
        <v>0</v>
      </c>
      <c r="AB155" s="191">
        <f t="shared" si="94"/>
        <v>0</v>
      </c>
      <c r="AC155" s="191">
        <f t="shared" si="94"/>
        <v>0</v>
      </c>
      <c r="AD155" s="191">
        <f t="shared" si="94"/>
        <v>0</v>
      </c>
      <c r="AE155" s="191">
        <f t="shared" si="94"/>
        <v>0</v>
      </c>
      <c r="AF155" s="191">
        <f t="shared" si="94"/>
        <v>0</v>
      </c>
      <c r="AG155" s="191">
        <f t="shared" si="94"/>
        <v>0</v>
      </c>
      <c r="AH155" s="191">
        <f t="shared" si="94"/>
        <v>0</v>
      </c>
      <c r="AI155" s="191">
        <f t="shared" si="94"/>
        <v>0</v>
      </c>
      <c r="AJ155" s="191">
        <f t="shared" si="94"/>
        <v>0</v>
      </c>
      <c r="AK155" s="191">
        <f t="shared" si="94"/>
        <v>0</v>
      </c>
      <c r="AL155" s="191">
        <f t="shared" si="94"/>
        <v>0</v>
      </c>
      <c r="AM155" s="191">
        <f t="shared" si="94"/>
        <v>0</v>
      </c>
      <c r="AN155" s="191">
        <f t="shared" si="94"/>
        <v>0</v>
      </c>
      <c r="AO155" s="191">
        <f t="shared" si="94"/>
        <v>0</v>
      </c>
      <c r="AP155" s="191">
        <f t="shared" si="94"/>
        <v>0</v>
      </c>
      <c r="AQ155" s="191">
        <f t="shared" si="94"/>
        <v>0</v>
      </c>
      <c r="AR155" s="191">
        <f t="shared" si="94"/>
        <v>0</v>
      </c>
      <c r="AS155" s="191">
        <f t="shared" si="94"/>
        <v>0</v>
      </c>
      <c r="AT155" s="191">
        <f t="shared" si="94"/>
        <v>0</v>
      </c>
      <c r="AU155" s="191">
        <f t="shared" si="94"/>
        <v>0</v>
      </c>
      <c r="AV155" s="191">
        <f t="shared" si="94"/>
        <v>0</v>
      </c>
      <c r="AW155" s="191">
        <f t="shared" si="94"/>
        <v>0</v>
      </c>
      <c r="AX155" s="191">
        <f t="shared" si="94"/>
        <v>0</v>
      </c>
      <c r="AY155" s="191">
        <f t="shared" si="94"/>
        <v>0</v>
      </c>
      <c r="AZ155" s="191">
        <f t="shared" si="94"/>
        <v>0</v>
      </c>
      <c r="BC155" s="192" t="str">
        <f t="shared" ref="BC155:BC160" si="95">B155</f>
        <v>Покупка объекта</v>
      </c>
      <c r="BD155" s="191">
        <f t="shared" ref="BD155:BD160" si="96">SUMIF($F$86:$AZ$86,BD$123,$F155:$AZ155)</f>
        <v>-195068212.5</v>
      </c>
      <c r="BE155" s="191">
        <f t="shared" ref="BE155:BM160" si="97">SUMIF($F$86:$AZ$86,BE$123,$F155:$AZ155)</f>
        <v>0</v>
      </c>
      <c r="BF155" s="191">
        <f t="shared" si="97"/>
        <v>0</v>
      </c>
      <c r="BG155" s="191">
        <f t="shared" si="97"/>
        <v>0</v>
      </c>
      <c r="BH155" s="191">
        <f t="shared" si="97"/>
        <v>0</v>
      </c>
      <c r="BI155" s="191">
        <f t="shared" si="97"/>
        <v>0</v>
      </c>
      <c r="BJ155" s="191">
        <f t="shared" si="97"/>
        <v>0</v>
      </c>
      <c r="BK155" s="191">
        <f t="shared" si="97"/>
        <v>0</v>
      </c>
      <c r="BL155" s="191">
        <f t="shared" si="97"/>
        <v>0</v>
      </c>
      <c r="BM155" s="191">
        <f t="shared" si="97"/>
        <v>0</v>
      </c>
    </row>
    <row r="156" spans="1:65" s="160" customFormat="1" ht="26" x14ac:dyDescent="0.15">
      <c r="B156" s="254" t="s">
        <v>118</v>
      </c>
      <c r="C156" s="262"/>
      <c r="D156" s="263"/>
      <c r="E156" s="262"/>
      <c r="F156" s="196">
        <v>0</v>
      </c>
      <c r="G156" s="191">
        <f t="shared" ref="G156:AZ156" si="98">-$C$21/(1+$C$57)*50%*G$90</f>
        <v>-16393442.62295082</v>
      </c>
      <c r="H156" s="191">
        <f t="shared" si="98"/>
        <v>-16393442.62295082</v>
      </c>
      <c r="I156" s="191">
        <f>-$C$21/(1+$C$57)*50%*I$90</f>
        <v>0</v>
      </c>
      <c r="J156" s="191">
        <f t="shared" si="98"/>
        <v>0</v>
      </c>
      <c r="K156" s="195">
        <f t="shared" si="98"/>
        <v>0</v>
      </c>
      <c r="L156" s="195">
        <f t="shared" si="98"/>
        <v>0</v>
      </c>
      <c r="M156" s="195">
        <f t="shared" si="98"/>
        <v>0</v>
      </c>
      <c r="N156" s="195">
        <f t="shared" si="98"/>
        <v>0</v>
      </c>
      <c r="O156" s="195">
        <f t="shared" si="98"/>
        <v>0</v>
      </c>
      <c r="P156" s="195">
        <f t="shared" si="98"/>
        <v>0</v>
      </c>
      <c r="Q156" s="195">
        <f t="shared" si="98"/>
        <v>0</v>
      </c>
      <c r="R156" s="195">
        <f t="shared" si="98"/>
        <v>0</v>
      </c>
      <c r="S156" s="195">
        <f t="shared" si="98"/>
        <v>0</v>
      </c>
      <c r="T156" s="195">
        <f t="shared" si="98"/>
        <v>0</v>
      </c>
      <c r="U156" s="195">
        <f t="shared" si="98"/>
        <v>0</v>
      </c>
      <c r="V156" s="195">
        <f t="shared" si="98"/>
        <v>0</v>
      </c>
      <c r="W156" s="195">
        <f t="shared" si="98"/>
        <v>0</v>
      </c>
      <c r="X156" s="195">
        <f t="shared" si="98"/>
        <v>0</v>
      </c>
      <c r="Y156" s="195">
        <f t="shared" si="98"/>
        <v>0</v>
      </c>
      <c r="Z156" s="195">
        <f t="shared" si="98"/>
        <v>0</v>
      </c>
      <c r="AA156" s="195">
        <f t="shared" si="98"/>
        <v>0</v>
      </c>
      <c r="AB156" s="195">
        <f t="shared" si="98"/>
        <v>0</v>
      </c>
      <c r="AC156" s="195">
        <f t="shared" si="98"/>
        <v>0</v>
      </c>
      <c r="AD156" s="195">
        <f t="shared" si="98"/>
        <v>0</v>
      </c>
      <c r="AE156" s="195">
        <f t="shared" si="98"/>
        <v>0</v>
      </c>
      <c r="AF156" s="195">
        <f t="shared" si="98"/>
        <v>0</v>
      </c>
      <c r="AG156" s="195">
        <f t="shared" si="98"/>
        <v>0</v>
      </c>
      <c r="AH156" s="195">
        <f t="shared" si="98"/>
        <v>0</v>
      </c>
      <c r="AI156" s="195">
        <f t="shared" si="98"/>
        <v>0</v>
      </c>
      <c r="AJ156" s="195">
        <f t="shared" si="98"/>
        <v>0</v>
      </c>
      <c r="AK156" s="195">
        <f t="shared" si="98"/>
        <v>0</v>
      </c>
      <c r="AL156" s="195">
        <f t="shared" si="98"/>
        <v>0</v>
      </c>
      <c r="AM156" s="195">
        <f t="shared" si="98"/>
        <v>0</v>
      </c>
      <c r="AN156" s="195">
        <f t="shared" si="98"/>
        <v>0</v>
      </c>
      <c r="AO156" s="195">
        <f t="shared" si="98"/>
        <v>0</v>
      </c>
      <c r="AP156" s="195">
        <f t="shared" si="98"/>
        <v>0</v>
      </c>
      <c r="AQ156" s="195">
        <f t="shared" si="98"/>
        <v>0</v>
      </c>
      <c r="AR156" s="195">
        <f t="shared" si="98"/>
        <v>0</v>
      </c>
      <c r="AS156" s="195">
        <f t="shared" si="98"/>
        <v>0</v>
      </c>
      <c r="AT156" s="195">
        <f t="shared" si="98"/>
        <v>0</v>
      </c>
      <c r="AU156" s="195">
        <f t="shared" si="98"/>
        <v>0</v>
      </c>
      <c r="AV156" s="195">
        <f t="shared" si="98"/>
        <v>0</v>
      </c>
      <c r="AW156" s="195">
        <f t="shared" si="98"/>
        <v>0</v>
      </c>
      <c r="AX156" s="195">
        <f t="shared" si="98"/>
        <v>0</v>
      </c>
      <c r="AY156" s="195">
        <f t="shared" si="98"/>
        <v>0</v>
      </c>
      <c r="AZ156" s="195">
        <f t="shared" si="98"/>
        <v>0</v>
      </c>
      <c r="BC156" s="192" t="str">
        <f t="shared" si="95"/>
        <v>Ремонт офиса</v>
      </c>
      <c r="BD156" s="191">
        <f t="shared" si="96"/>
        <v>-32786885.245901641</v>
      </c>
      <c r="BE156" s="191">
        <f t="shared" si="97"/>
        <v>0</v>
      </c>
      <c r="BF156" s="191">
        <f t="shared" si="97"/>
        <v>0</v>
      </c>
      <c r="BG156" s="191">
        <f t="shared" si="97"/>
        <v>0</v>
      </c>
      <c r="BH156" s="191">
        <f t="shared" si="97"/>
        <v>0</v>
      </c>
      <c r="BI156" s="191">
        <f t="shared" si="97"/>
        <v>0</v>
      </c>
      <c r="BJ156" s="191">
        <f t="shared" si="97"/>
        <v>0</v>
      </c>
      <c r="BK156" s="191">
        <f t="shared" si="97"/>
        <v>0</v>
      </c>
      <c r="BL156" s="191">
        <f t="shared" si="97"/>
        <v>0</v>
      </c>
      <c r="BM156" s="191">
        <f t="shared" si="97"/>
        <v>0</v>
      </c>
    </row>
    <row r="157" spans="1:65" s="160" customFormat="1" ht="26" x14ac:dyDescent="0.15">
      <c r="B157" s="254" t="s">
        <v>147</v>
      </c>
      <c r="E157" s="223"/>
      <c r="F157" s="190">
        <f t="shared" ref="F157:AZ157" si="99">-$N$18*F$102</f>
        <v>-11704092.750000002</v>
      </c>
      <c r="G157" s="191">
        <f t="shared" si="99"/>
        <v>-6827387.4375000009</v>
      </c>
      <c r="H157" s="191">
        <f t="shared" si="99"/>
        <v>-6827387.4375000009</v>
      </c>
      <c r="I157" s="191">
        <f>-$N$18*I$102</f>
        <v>-6827387.4375000009</v>
      </c>
      <c r="J157" s="191">
        <f t="shared" si="99"/>
        <v>-6827387.4375000009</v>
      </c>
      <c r="K157" s="191">
        <f t="shared" si="99"/>
        <v>0</v>
      </c>
      <c r="L157" s="191">
        <f t="shared" si="99"/>
        <v>0</v>
      </c>
      <c r="M157" s="191">
        <f t="shared" si="99"/>
        <v>0</v>
      </c>
      <c r="N157" s="191">
        <f t="shared" si="99"/>
        <v>0</v>
      </c>
      <c r="O157" s="191">
        <f t="shared" si="99"/>
        <v>0</v>
      </c>
      <c r="P157" s="191">
        <f t="shared" si="99"/>
        <v>0</v>
      </c>
      <c r="Q157" s="191">
        <f t="shared" si="99"/>
        <v>0</v>
      </c>
      <c r="R157" s="191">
        <f t="shared" si="99"/>
        <v>0</v>
      </c>
      <c r="S157" s="191">
        <f t="shared" si="99"/>
        <v>0</v>
      </c>
      <c r="T157" s="191">
        <f t="shared" si="99"/>
        <v>0</v>
      </c>
      <c r="U157" s="191">
        <f t="shared" si="99"/>
        <v>0</v>
      </c>
      <c r="V157" s="191">
        <f t="shared" si="99"/>
        <v>0</v>
      </c>
      <c r="W157" s="191">
        <f t="shared" si="99"/>
        <v>0</v>
      </c>
      <c r="X157" s="191">
        <f t="shared" si="99"/>
        <v>0</v>
      </c>
      <c r="Y157" s="191">
        <f t="shared" si="99"/>
        <v>0</v>
      </c>
      <c r="Z157" s="191">
        <f t="shared" si="99"/>
        <v>0</v>
      </c>
      <c r="AA157" s="191">
        <f t="shared" si="99"/>
        <v>0</v>
      </c>
      <c r="AB157" s="191">
        <f t="shared" si="99"/>
        <v>0</v>
      </c>
      <c r="AC157" s="191">
        <f t="shared" si="99"/>
        <v>0</v>
      </c>
      <c r="AD157" s="191">
        <f t="shared" si="99"/>
        <v>0</v>
      </c>
      <c r="AE157" s="191">
        <f t="shared" si="99"/>
        <v>0</v>
      </c>
      <c r="AF157" s="191">
        <f t="shared" si="99"/>
        <v>0</v>
      </c>
      <c r="AG157" s="191">
        <f t="shared" si="99"/>
        <v>0</v>
      </c>
      <c r="AH157" s="191">
        <f t="shared" si="99"/>
        <v>0</v>
      </c>
      <c r="AI157" s="191">
        <f t="shared" si="99"/>
        <v>0</v>
      </c>
      <c r="AJ157" s="191">
        <f t="shared" si="99"/>
        <v>0</v>
      </c>
      <c r="AK157" s="191">
        <f t="shared" si="99"/>
        <v>0</v>
      </c>
      <c r="AL157" s="191">
        <f t="shared" si="99"/>
        <v>0</v>
      </c>
      <c r="AM157" s="191">
        <f t="shared" si="99"/>
        <v>0</v>
      </c>
      <c r="AN157" s="191">
        <f t="shared" si="99"/>
        <v>0</v>
      </c>
      <c r="AO157" s="191">
        <f t="shared" si="99"/>
        <v>0</v>
      </c>
      <c r="AP157" s="191">
        <f t="shared" si="99"/>
        <v>0</v>
      </c>
      <c r="AQ157" s="191">
        <f t="shared" si="99"/>
        <v>0</v>
      </c>
      <c r="AR157" s="191">
        <f t="shared" si="99"/>
        <v>0</v>
      </c>
      <c r="AS157" s="191">
        <f t="shared" si="99"/>
        <v>0</v>
      </c>
      <c r="AT157" s="191">
        <f t="shared" si="99"/>
        <v>0</v>
      </c>
      <c r="AU157" s="191">
        <f t="shared" si="99"/>
        <v>0</v>
      </c>
      <c r="AV157" s="191">
        <f t="shared" si="99"/>
        <v>0</v>
      </c>
      <c r="AW157" s="191">
        <f t="shared" si="99"/>
        <v>0</v>
      </c>
      <c r="AX157" s="191">
        <f t="shared" si="99"/>
        <v>0</v>
      </c>
      <c r="AY157" s="191">
        <f t="shared" si="99"/>
        <v>0</v>
      </c>
      <c r="AZ157" s="191">
        <f t="shared" si="99"/>
        <v>0</v>
      </c>
      <c r="BC157" s="192" t="str">
        <f t="shared" si="95"/>
        <v xml:space="preserve">Уплата НДС с покупки </v>
      </c>
      <c r="BD157" s="191">
        <f t="shared" si="96"/>
        <v>-39013642.500000007</v>
      </c>
      <c r="BE157" s="191">
        <f t="shared" si="97"/>
        <v>0</v>
      </c>
      <c r="BF157" s="191">
        <f t="shared" si="97"/>
        <v>0</v>
      </c>
      <c r="BG157" s="191">
        <f t="shared" si="97"/>
        <v>0</v>
      </c>
      <c r="BH157" s="191">
        <f t="shared" si="97"/>
        <v>0</v>
      </c>
      <c r="BI157" s="191">
        <f t="shared" si="97"/>
        <v>0</v>
      </c>
      <c r="BJ157" s="191">
        <f t="shared" si="97"/>
        <v>0</v>
      </c>
      <c r="BK157" s="191">
        <f t="shared" si="97"/>
        <v>0</v>
      </c>
      <c r="BL157" s="191">
        <f t="shared" si="97"/>
        <v>0</v>
      </c>
      <c r="BM157" s="191">
        <f t="shared" si="97"/>
        <v>0</v>
      </c>
    </row>
    <row r="158" spans="1:65" s="160" customFormat="1" ht="26" x14ac:dyDescent="0.15">
      <c r="B158" s="254" t="s">
        <v>148</v>
      </c>
      <c r="E158" s="223"/>
      <c r="F158" s="196">
        <v>0</v>
      </c>
      <c r="G158" s="191">
        <v>0</v>
      </c>
      <c r="H158" s="191">
        <f>G156*$C$57</f>
        <v>-3606557.3770491807</v>
      </c>
      <c r="I158" s="191">
        <f>H156*$C$57</f>
        <v>-3606557.3770491807</v>
      </c>
      <c r="J158" s="191">
        <f t="shared" ref="J158:AZ158" si="100">I156*$C$57</f>
        <v>0</v>
      </c>
      <c r="K158" s="191">
        <f t="shared" si="100"/>
        <v>0</v>
      </c>
      <c r="L158" s="191">
        <f t="shared" si="100"/>
        <v>0</v>
      </c>
      <c r="M158" s="191">
        <f t="shared" si="100"/>
        <v>0</v>
      </c>
      <c r="N158" s="191">
        <f t="shared" si="100"/>
        <v>0</v>
      </c>
      <c r="O158" s="191">
        <f t="shared" si="100"/>
        <v>0</v>
      </c>
      <c r="P158" s="191">
        <f t="shared" si="100"/>
        <v>0</v>
      </c>
      <c r="Q158" s="191">
        <f t="shared" si="100"/>
        <v>0</v>
      </c>
      <c r="R158" s="191">
        <f t="shared" si="100"/>
        <v>0</v>
      </c>
      <c r="S158" s="191">
        <f t="shared" si="100"/>
        <v>0</v>
      </c>
      <c r="T158" s="191">
        <f t="shared" si="100"/>
        <v>0</v>
      </c>
      <c r="U158" s="191">
        <f t="shared" si="100"/>
        <v>0</v>
      </c>
      <c r="V158" s="191">
        <f t="shared" si="100"/>
        <v>0</v>
      </c>
      <c r="W158" s="191">
        <f t="shared" si="100"/>
        <v>0</v>
      </c>
      <c r="X158" s="191">
        <f t="shared" si="100"/>
        <v>0</v>
      </c>
      <c r="Y158" s="191">
        <f t="shared" si="100"/>
        <v>0</v>
      </c>
      <c r="Z158" s="191">
        <f t="shared" si="100"/>
        <v>0</v>
      </c>
      <c r="AA158" s="191">
        <f t="shared" si="100"/>
        <v>0</v>
      </c>
      <c r="AB158" s="191">
        <f t="shared" si="100"/>
        <v>0</v>
      </c>
      <c r="AC158" s="191">
        <f t="shared" si="100"/>
        <v>0</v>
      </c>
      <c r="AD158" s="191">
        <f t="shared" si="100"/>
        <v>0</v>
      </c>
      <c r="AE158" s="191">
        <f t="shared" si="100"/>
        <v>0</v>
      </c>
      <c r="AF158" s="191">
        <f t="shared" si="100"/>
        <v>0</v>
      </c>
      <c r="AG158" s="191">
        <f t="shared" si="100"/>
        <v>0</v>
      </c>
      <c r="AH158" s="191">
        <f t="shared" si="100"/>
        <v>0</v>
      </c>
      <c r="AI158" s="191">
        <f t="shared" si="100"/>
        <v>0</v>
      </c>
      <c r="AJ158" s="191">
        <f t="shared" si="100"/>
        <v>0</v>
      </c>
      <c r="AK158" s="191">
        <f t="shared" si="100"/>
        <v>0</v>
      </c>
      <c r="AL158" s="191">
        <f t="shared" si="100"/>
        <v>0</v>
      </c>
      <c r="AM158" s="191">
        <f t="shared" si="100"/>
        <v>0</v>
      </c>
      <c r="AN158" s="191">
        <f t="shared" si="100"/>
        <v>0</v>
      </c>
      <c r="AO158" s="191">
        <f t="shared" si="100"/>
        <v>0</v>
      </c>
      <c r="AP158" s="191">
        <f t="shared" si="100"/>
        <v>0</v>
      </c>
      <c r="AQ158" s="191">
        <f t="shared" si="100"/>
        <v>0</v>
      </c>
      <c r="AR158" s="191">
        <f t="shared" si="100"/>
        <v>0</v>
      </c>
      <c r="AS158" s="191">
        <f t="shared" si="100"/>
        <v>0</v>
      </c>
      <c r="AT158" s="191">
        <f t="shared" si="100"/>
        <v>0</v>
      </c>
      <c r="AU158" s="191">
        <f t="shared" si="100"/>
        <v>0</v>
      </c>
      <c r="AV158" s="191">
        <f t="shared" si="100"/>
        <v>0</v>
      </c>
      <c r="AW158" s="191">
        <f t="shared" si="100"/>
        <v>0</v>
      </c>
      <c r="AX158" s="191">
        <f t="shared" si="100"/>
        <v>0</v>
      </c>
      <c r="AY158" s="191">
        <f t="shared" si="100"/>
        <v>0</v>
      </c>
      <c r="AZ158" s="191">
        <f t="shared" si="100"/>
        <v>0</v>
      </c>
      <c r="BC158" s="192" t="str">
        <f t="shared" si="95"/>
        <v xml:space="preserve">Уплата НДС с ремонта </v>
      </c>
      <c r="BD158" s="191">
        <f t="shared" si="96"/>
        <v>-7213114.7540983614</v>
      </c>
      <c r="BE158" s="191">
        <f t="shared" si="97"/>
        <v>0</v>
      </c>
      <c r="BF158" s="191">
        <f t="shared" si="97"/>
        <v>0</v>
      </c>
      <c r="BG158" s="191">
        <f t="shared" si="97"/>
        <v>0</v>
      </c>
      <c r="BH158" s="191">
        <f t="shared" si="97"/>
        <v>0</v>
      </c>
      <c r="BI158" s="191">
        <f t="shared" si="97"/>
        <v>0</v>
      </c>
      <c r="BJ158" s="191">
        <f t="shared" si="97"/>
        <v>0</v>
      </c>
      <c r="BK158" s="191">
        <f t="shared" si="97"/>
        <v>0</v>
      </c>
      <c r="BL158" s="191">
        <f t="shared" si="97"/>
        <v>0</v>
      </c>
      <c r="BM158" s="191">
        <f t="shared" si="97"/>
        <v>0</v>
      </c>
    </row>
    <row r="159" spans="1:65" s="160" customFormat="1" ht="26" x14ac:dyDescent="0.15">
      <c r="B159" s="254" t="s">
        <v>149</v>
      </c>
      <c r="F159" s="196">
        <v>0</v>
      </c>
      <c r="G159" s="191">
        <f>$N$18</f>
        <v>39013642.500000007</v>
      </c>
      <c r="H159" s="195">
        <v>0</v>
      </c>
      <c r="I159" s="195">
        <v>0</v>
      </c>
      <c r="J159" s="195">
        <v>0</v>
      </c>
      <c r="K159" s="195">
        <v>0</v>
      </c>
      <c r="L159" s="195">
        <v>0</v>
      </c>
      <c r="M159" s="195">
        <v>0</v>
      </c>
      <c r="N159" s="195">
        <v>0</v>
      </c>
      <c r="O159" s="195">
        <v>0</v>
      </c>
      <c r="P159" s="195">
        <v>0</v>
      </c>
      <c r="Q159" s="195">
        <v>0</v>
      </c>
      <c r="R159" s="195">
        <v>0</v>
      </c>
      <c r="S159" s="195">
        <v>0</v>
      </c>
      <c r="T159" s="195">
        <v>0</v>
      </c>
      <c r="U159" s="195">
        <v>0</v>
      </c>
      <c r="V159" s="195">
        <v>0</v>
      </c>
      <c r="W159" s="195">
        <v>0</v>
      </c>
      <c r="X159" s="195">
        <v>0</v>
      </c>
      <c r="Y159" s="195">
        <v>0</v>
      </c>
      <c r="Z159" s="195">
        <v>0</v>
      </c>
      <c r="AA159" s="195">
        <v>0</v>
      </c>
      <c r="AB159" s="195">
        <v>0</v>
      </c>
      <c r="AC159" s="195">
        <v>0</v>
      </c>
      <c r="AD159" s="195">
        <v>0</v>
      </c>
      <c r="AE159" s="195">
        <v>0</v>
      </c>
      <c r="AF159" s="195">
        <v>0</v>
      </c>
      <c r="AG159" s="195">
        <v>0</v>
      </c>
      <c r="AH159" s="195">
        <v>0</v>
      </c>
      <c r="AI159" s="195">
        <v>0</v>
      </c>
      <c r="AJ159" s="195">
        <v>0</v>
      </c>
      <c r="AK159" s="195">
        <v>0</v>
      </c>
      <c r="AL159" s="195">
        <v>0</v>
      </c>
      <c r="AM159" s="195">
        <v>0</v>
      </c>
      <c r="AN159" s="195">
        <v>0</v>
      </c>
      <c r="AO159" s="195">
        <v>0</v>
      </c>
      <c r="AP159" s="195">
        <v>0</v>
      </c>
      <c r="AQ159" s="195">
        <v>0</v>
      </c>
      <c r="AR159" s="195">
        <v>0</v>
      </c>
      <c r="AS159" s="195">
        <v>0</v>
      </c>
      <c r="AT159" s="195">
        <v>0</v>
      </c>
      <c r="AU159" s="195">
        <v>0</v>
      </c>
      <c r="AV159" s="195">
        <v>0</v>
      </c>
      <c r="AW159" s="195">
        <v>0</v>
      </c>
      <c r="AX159" s="195">
        <v>0</v>
      </c>
      <c r="AY159" s="195">
        <v>0</v>
      </c>
      <c r="AZ159" s="195">
        <v>0</v>
      </c>
      <c r="BC159" s="192" t="str">
        <f t="shared" si="95"/>
        <v xml:space="preserve">Возмещение НДС с покупки </v>
      </c>
      <c r="BD159" s="191">
        <f t="shared" si="96"/>
        <v>39013642.500000007</v>
      </c>
      <c r="BE159" s="191">
        <f t="shared" si="97"/>
        <v>0</v>
      </c>
      <c r="BF159" s="191">
        <f t="shared" si="97"/>
        <v>0</v>
      </c>
      <c r="BG159" s="191">
        <f t="shared" si="97"/>
        <v>0</v>
      </c>
      <c r="BH159" s="191">
        <f t="shared" si="97"/>
        <v>0</v>
      </c>
      <c r="BI159" s="191">
        <f t="shared" si="97"/>
        <v>0</v>
      </c>
      <c r="BJ159" s="191">
        <f t="shared" si="97"/>
        <v>0</v>
      </c>
      <c r="BK159" s="191">
        <f t="shared" si="97"/>
        <v>0</v>
      </c>
      <c r="BL159" s="191">
        <f t="shared" si="97"/>
        <v>0</v>
      </c>
      <c r="BM159" s="191">
        <f t="shared" si="97"/>
        <v>0</v>
      </c>
    </row>
    <row r="160" spans="1:65" s="160" customFormat="1" ht="26" x14ac:dyDescent="0.15">
      <c r="B160" s="254" t="s">
        <v>150</v>
      </c>
      <c r="F160" s="190">
        <v>0</v>
      </c>
      <c r="G160" s="191">
        <f>-F158</f>
        <v>0</v>
      </c>
      <c r="H160" s="191">
        <f t="shared" ref="H160:AZ160" si="101">-G158</f>
        <v>0</v>
      </c>
      <c r="I160" s="191">
        <f>-H158</f>
        <v>3606557.3770491807</v>
      </c>
      <c r="J160" s="191">
        <f>-I158</f>
        <v>3606557.3770491807</v>
      </c>
      <c r="K160" s="191">
        <f>-J158</f>
        <v>0</v>
      </c>
      <c r="L160" s="191">
        <f t="shared" si="101"/>
        <v>0</v>
      </c>
      <c r="M160" s="191">
        <f t="shared" si="101"/>
        <v>0</v>
      </c>
      <c r="N160" s="191">
        <f t="shared" si="101"/>
        <v>0</v>
      </c>
      <c r="O160" s="191">
        <f t="shared" si="101"/>
        <v>0</v>
      </c>
      <c r="P160" s="191">
        <f t="shared" si="101"/>
        <v>0</v>
      </c>
      <c r="Q160" s="191">
        <f t="shared" si="101"/>
        <v>0</v>
      </c>
      <c r="R160" s="191">
        <f t="shared" si="101"/>
        <v>0</v>
      </c>
      <c r="S160" s="191">
        <f t="shared" si="101"/>
        <v>0</v>
      </c>
      <c r="T160" s="191">
        <f t="shared" si="101"/>
        <v>0</v>
      </c>
      <c r="U160" s="191">
        <f t="shared" si="101"/>
        <v>0</v>
      </c>
      <c r="V160" s="191">
        <f t="shared" si="101"/>
        <v>0</v>
      </c>
      <c r="W160" s="191">
        <f t="shared" si="101"/>
        <v>0</v>
      </c>
      <c r="X160" s="191">
        <f t="shared" si="101"/>
        <v>0</v>
      </c>
      <c r="Y160" s="191">
        <f t="shared" si="101"/>
        <v>0</v>
      </c>
      <c r="Z160" s="191">
        <f t="shared" si="101"/>
        <v>0</v>
      </c>
      <c r="AA160" s="191">
        <f t="shared" si="101"/>
        <v>0</v>
      </c>
      <c r="AB160" s="191">
        <f t="shared" si="101"/>
        <v>0</v>
      </c>
      <c r="AC160" s="191">
        <f t="shared" si="101"/>
        <v>0</v>
      </c>
      <c r="AD160" s="191">
        <f t="shared" si="101"/>
        <v>0</v>
      </c>
      <c r="AE160" s="191">
        <f t="shared" si="101"/>
        <v>0</v>
      </c>
      <c r="AF160" s="191">
        <f t="shared" si="101"/>
        <v>0</v>
      </c>
      <c r="AG160" s="191">
        <f t="shared" si="101"/>
        <v>0</v>
      </c>
      <c r="AH160" s="191">
        <f t="shared" si="101"/>
        <v>0</v>
      </c>
      <c r="AI160" s="191">
        <f t="shared" si="101"/>
        <v>0</v>
      </c>
      <c r="AJ160" s="191">
        <f t="shared" si="101"/>
        <v>0</v>
      </c>
      <c r="AK160" s="191">
        <f t="shared" si="101"/>
        <v>0</v>
      </c>
      <c r="AL160" s="191">
        <f t="shared" si="101"/>
        <v>0</v>
      </c>
      <c r="AM160" s="191">
        <f t="shared" si="101"/>
        <v>0</v>
      </c>
      <c r="AN160" s="191">
        <f t="shared" si="101"/>
        <v>0</v>
      </c>
      <c r="AO160" s="191">
        <f t="shared" si="101"/>
        <v>0</v>
      </c>
      <c r="AP160" s="191">
        <f t="shared" si="101"/>
        <v>0</v>
      </c>
      <c r="AQ160" s="191">
        <f t="shared" si="101"/>
        <v>0</v>
      </c>
      <c r="AR160" s="191">
        <f t="shared" si="101"/>
        <v>0</v>
      </c>
      <c r="AS160" s="191">
        <f t="shared" si="101"/>
        <v>0</v>
      </c>
      <c r="AT160" s="191">
        <f t="shared" si="101"/>
        <v>0</v>
      </c>
      <c r="AU160" s="191">
        <f t="shared" si="101"/>
        <v>0</v>
      </c>
      <c r="AV160" s="191">
        <f t="shared" si="101"/>
        <v>0</v>
      </c>
      <c r="AW160" s="191">
        <f t="shared" si="101"/>
        <v>0</v>
      </c>
      <c r="AX160" s="191">
        <f t="shared" si="101"/>
        <v>0</v>
      </c>
      <c r="AY160" s="191">
        <f t="shared" si="101"/>
        <v>0</v>
      </c>
      <c r="AZ160" s="191">
        <f t="shared" si="101"/>
        <v>0</v>
      </c>
      <c r="BC160" s="192" t="str">
        <f t="shared" si="95"/>
        <v xml:space="preserve">Возмещение НДС с ремонта </v>
      </c>
      <c r="BD160" s="191">
        <f t="shared" si="96"/>
        <v>7213114.7540983614</v>
      </c>
      <c r="BE160" s="191">
        <f t="shared" si="97"/>
        <v>0</v>
      </c>
      <c r="BF160" s="191">
        <f t="shared" si="97"/>
        <v>0</v>
      </c>
      <c r="BG160" s="191">
        <f t="shared" si="97"/>
        <v>0</v>
      </c>
      <c r="BH160" s="191">
        <f t="shared" si="97"/>
        <v>0</v>
      </c>
      <c r="BI160" s="191">
        <f t="shared" si="97"/>
        <v>0</v>
      </c>
      <c r="BJ160" s="191">
        <f t="shared" si="97"/>
        <v>0</v>
      </c>
      <c r="BK160" s="191">
        <f t="shared" si="97"/>
        <v>0</v>
      </c>
      <c r="BL160" s="191">
        <f t="shared" si="97"/>
        <v>0</v>
      </c>
      <c r="BM160" s="191">
        <f t="shared" si="97"/>
        <v>0</v>
      </c>
    </row>
    <row r="161" spans="1:65" s="160" customFormat="1" ht="26" x14ac:dyDescent="0.15">
      <c r="B161" s="254"/>
      <c r="F161" s="190"/>
      <c r="G161" s="191"/>
      <c r="H161" s="191"/>
      <c r="I161" s="191"/>
      <c r="J161" s="191"/>
      <c r="K161" s="191"/>
      <c r="L161" s="191"/>
      <c r="M161" s="191"/>
      <c r="N161" s="191"/>
      <c r="O161" s="191"/>
      <c r="P161" s="191"/>
      <c r="Q161" s="191"/>
      <c r="R161" s="191"/>
      <c r="S161" s="191"/>
      <c r="T161" s="191"/>
      <c r="U161" s="191"/>
      <c r="V161" s="191"/>
      <c r="W161" s="191"/>
      <c r="X161" s="191"/>
      <c r="Y161" s="191"/>
      <c r="Z161" s="191"/>
      <c r="AA161" s="191"/>
      <c r="AB161" s="191"/>
      <c r="AC161" s="191"/>
      <c r="AD161" s="191"/>
      <c r="AE161" s="191"/>
      <c r="AF161" s="191"/>
      <c r="AG161" s="191"/>
      <c r="AH161" s="191"/>
      <c r="AI161" s="191"/>
      <c r="AJ161" s="191"/>
      <c r="AK161" s="191"/>
      <c r="AL161" s="191"/>
      <c r="AM161" s="191"/>
      <c r="AN161" s="191"/>
      <c r="AO161" s="191"/>
      <c r="AP161" s="191"/>
      <c r="AQ161" s="191"/>
      <c r="AR161" s="191"/>
      <c r="AS161" s="191"/>
      <c r="AT161" s="191"/>
      <c r="AU161" s="191"/>
      <c r="AV161" s="191"/>
      <c r="AW161" s="191"/>
      <c r="AX161" s="191"/>
      <c r="AY161" s="191"/>
      <c r="AZ161" s="191"/>
      <c r="BC161" s="192"/>
      <c r="BD161" s="173"/>
      <c r="BE161" s="173"/>
      <c r="BF161" s="173"/>
      <c r="BG161" s="173"/>
      <c r="BH161" s="173"/>
      <c r="BI161" s="173"/>
      <c r="BJ161" s="173"/>
      <c r="BK161" s="173"/>
      <c r="BL161" s="173"/>
      <c r="BM161" s="173"/>
    </row>
    <row r="162" spans="1:65" s="160" customFormat="1" ht="26" x14ac:dyDescent="0.15">
      <c r="B162" s="254"/>
      <c r="F162" s="209"/>
      <c r="G162" s="191"/>
      <c r="H162" s="191"/>
      <c r="I162" s="191"/>
      <c r="J162" s="191"/>
      <c r="K162" s="191"/>
      <c r="L162" s="191"/>
      <c r="M162" s="191"/>
      <c r="N162" s="191"/>
      <c r="O162" s="191"/>
      <c r="P162" s="191"/>
      <c r="Q162" s="191"/>
      <c r="R162" s="191"/>
      <c r="S162" s="191"/>
      <c r="T162" s="191"/>
      <c r="U162" s="191"/>
      <c r="V162" s="191"/>
      <c r="W162" s="191"/>
      <c r="X162" s="191"/>
      <c r="Y162" s="191"/>
      <c r="Z162" s="191"/>
      <c r="AA162" s="191"/>
      <c r="AB162" s="191"/>
      <c r="AC162" s="191"/>
      <c r="AD162" s="191"/>
      <c r="AE162" s="191"/>
      <c r="AF162" s="191"/>
      <c r="AG162" s="191"/>
      <c r="AH162" s="191"/>
      <c r="AI162" s="191"/>
      <c r="AJ162" s="191"/>
      <c r="AK162" s="191"/>
      <c r="AL162" s="191"/>
      <c r="AM162" s="191"/>
      <c r="AN162" s="191"/>
      <c r="AO162" s="191"/>
      <c r="AP162" s="191"/>
      <c r="AQ162" s="191"/>
      <c r="AR162" s="191"/>
      <c r="AS162" s="191"/>
      <c r="AT162" s="191"/>
      <c r="AU162" s="191"/>
      <c r="AV162" s="191"/>
      <c r="AW162" s="191"/>
      <c r="AX162" s="191"/>
      <c r="AY162" s="191"/>
      <c r="AZ162" s="191"/>
      <c r="BC162" s="173"/>
      <c r="BD162" s="173"/>
      <c r="BE162" s="173"/>
      <c r="BF162" s="173"/>
      <c r="BG162" s="173"/>
      <c r="BH162" s="173"/>
      <c r="BI162" s="173"/>
      <c r="BJ162" s="173"/>
      <c r="BK162" s="173"/>
      <c r="BL162" s="173"/>
      <c r="BM162" s="173"/>
    </row>
    <row r="163" spans="1:65" s="166" customFormat="1" ht="26" x14ac:dyDescent="0.15">
      <c r="A163" s="160"/>
      <c r="B163" s="243" t="s">
        <v>25</v>
      </c>
      <c r="C163" s="180"/>
      <c r="D163" s="248"/>
      <c r="E163" s="180"/>
      <c r="F163" s="210">
        <f t="shared" ref="F163:AZ163" si="102">SUM(F147,F153:F161,F151)-F144</f>
        <v>1421350.7499999907</v>
      </c>
      <c r="G163" s="211">
        <f t="shared" si="102"/>
        <v>19260147.917549185</v>
      </c>
      <c r="H163" s="211">
        <f t="shared" si="102"/>
        <v>-16797437.302799884</v>
      </c>
      <c r="I163" s="211">
        <f t="shared" si="102"/>
        <v>6712181.4892845256</v>
      </c>
      <c r="J163" s="211">
        <f t="shared" si="102"/>
        <v>10388403.978656093</v>
      </c>
      <c r="K163" s="211">
        <f t="shared" si="102"/>
        <v>4037268.3393250294</v>
      </c>
      <c r="L163" s="211">
        <f t="shared" si="102"/>
        <v>4094815.5451993681</v>
      </c>
      <c r="M163" s="211">
        <f t="shared" si="102"/>
        <v>4586319.2656463468</v>
      </c>
      <c r="N163" s="211">
        <f t="shared" si="102"/>
        <v>4569297.9999989336</v>
      </c>
      <c r="O163" s="211">
        <f t="shared" si="102"/>
        <v>4376730.1610005982</v>
      </c>
      <c r="P163" s="211">
        <f t="shared" si="102"/>
        <v>4519440.120559576</v>
      </c>
      <c r="Q163" s="211">
        <f t="shared" si="102"/>
        <v>5060063.8512348467</v>
      </c>
      <c r="R163" s="211">
        <f t="shared" si="102"/>
        <v>5041310.0972062852</v>
      </c>
      <c r="S163" s="211">
        <f t="shared" si="102"/>
        <v>4829375.2042104611</v>
      </c>
      <c r="T163" s="211">
        <f t="shared" si="102"/>
        <v>4987520.0799572701</v>
      </c>
      <c r="U163" s="211">
        <f t="shared" si="102"/>
        <v>5582175.0628382508</v>
      </c>
      <c r="V163" s="211">
        <f t="shared" si="102"/>
        <v>5561514.8125450173</v>
      </c>
      <c r="W163" s="211">
        <f t="shared" si="102"/>
        <v>5328276.9922667006</v>
      </c>
      <c r="X163" s="211">
        <f t="shared" si="102"/>
        <v>5503429.3738259226</v>
      </c>
      <c r="Y163" s="211">
        <f t="shared" si="102"/>
        <v>6157517.9561116407</v>
      </c>
      <c r="Z163" s="211">
        <f t="shared" si="102"/>
        <v>6134759.7819057219</v>
      </c>
      <c r="AA163" s="211">
        <f t="shared" si="102"/>
        <v>5878089.7739776354</v>
      </c>
      <c r="AB163" s="211">
        <f t="shared" si="102"/>
        <v>6071980.2373864548</v>
      </c>
      <c r="AC163" s="211">
        <f t="shared" si="102"/>
        <v>6647770.8700791886</v>
      </c>
      <c r="AD163" s="211">
        <f t="shared" si="102"/>
        <v>6047786.4855494127</v>
      </c>
      <c r="AE163" s="211">
        <f t="shared" si="102"/>
        <v>5805691.4846145809</v>
      </c>
      <c r="AF163" s="211">
        <f t="shared" si="102"/>
        <v>5989576.8485023398</v>
      </c>
      <c r="AG163" s="211">
        <f t="shared" si="102"/>
        <v>6667900.5954826772</v>
      </c>
      <c r="AH163" s="211">
        <f t="shared" si="102"/>
        <v>6644237.5635874057</v>
      </c>
      <c r="AI163" s="211">
        <f t="shared" si="102"/>
        <v>6377842.4767448558</v>
      </c>
      <c r="AJ163" s="211">
        <f t="shared" si="102"/>
        <v>6581217.5914405342</v>
      </c>
      <c r="AK163" s="211">
        <f t="shared" si="102"/>
        <v>7327344.2688831007</v>
      </c>
      <c r="AL163" s="211">
        <f t="shared" si="102"/>
        <v>7301285.4895624965</v>
      </c>
      <c r="AM163" s="211">
        <f t="shared" si="102"/>
        <v>7008161.7826822372</v>
      </c>
      <c r="AN163" s="211">
        <f t="shared" si="102"/>
        <v>7233003.1536271041</v>
      </c>
      <c r="AO163" s="211">
        <f t="shared" si="102"/>
        <v>8053712.3184722262</v>
      </c>
      <c r="AP163" s="211">
        <f t="shared" si="102"/>
        <v>8025017.4808778604</v>
      </c>
      <c r="AQ163" s="211">
        <f t="shared" si="102"/>
        <v>7702493.9902337343</v>
      </c>
      <c r="AR163" s="211">
        <f t="shared" si="102"/>
        <v>7950976.4616722027</v>
      </c>
      <c r="AS163" s="211">
        <f t="shared" si="102"/>
        <v>8853725.6081515942</v>
      </c>
      <c r="AT163" s="211">
        <f t="shared" si="102"/>
        <v>8822130.3519475479</v>
      </c>
      <c r="AU163" s="211">
        <f t="shared" si="102"/>
        <v>8467269.0362007879</v>
      </c>
      <c r="AV163" s="211">
        <f t="shared" si="102"/>
        <v>8741785.6422671955</v>
      </c>
      <c r="AW163" s="211">
        <f t="shared" si="102"/>
        <v>9734527.7622450702</v>
      </c>
      <c r="AX163" s="211">
        <f t="shared" si="102"/>
        <v>9702645.7576045208</v>
      </c>
      <c r="AY163" s="211">
        <f t="shared" si="102"/>
        <v>9315383.9574518818</v>
      </c>
      <c r="AZ163" s="211">
        <f t="shared" si="102"/>
        <v>9617923.1183954719</v>
      </c>
      <c r="BB163" s="160"/>
      <c r="BC163" s="194" t="str">
        <f>B163</f>
        <v>FCF</v>
      </c>
      <c r="BD163" s="193">
        <f>BD147+SUM(BD151:BD161)-BD144</f>
        <v>20984646.832689926</v>
      </c>
      <c r="BE163" s="193">
        <f t="shared" ref="BE163:BM163" si="103">BE147+SUM(BE151:BE161)-BE144</f>
        <v>17287701.150169678</v>
      </c>
      <c r="BF163" s="193">
        <f t="shared" si="103"/>
        <v>18997544.230001304</v>
      </c>
      <c r="BG163" s="193">
        <f t="shared" si="103"/>
        <v>20960585.159550998</v>
      </c>
      <c r="BH163" s="193">
        <f t="shared" si="103"/>
        <v>23123984.104109984</v>
      </c>
      <c r="BI163" s="193">
        <f t="shared" si="103"/>
        <v>24645627.366992701</v>
      </c>
      <c r="BJ163" s="193">
        <f t="shared" si="103"/>
        <v>25107406.492186993</v>
      </c>
      <c r="BK163" s="193">
        <f t="shared" si="103"/>
        <v>27587689.826630991</v>
      </c>
      <c r="BL163" s="193">
        <f t="shared" si="103"/>
        <v>30319894.735659424</v>
      </c>
      <c r="BM163" s="193">
        <f t="shared" si="103"/>
        <v>33329326.412005078</v>
      </c>
    </row>
    <row r="164" spans="1:65" s="255" customFormat="1" ht="26" x14ac:dyDescent="0.15">
      <c r="A164" s="160"/>
      <c r="B164" s="254"/>
      <c r="D164" s="160"/>
      <c r="E164" s="256"/>
      <c r="F164" s="212"/>
      <c r="G164" s="213"/>
      <c r="H164" s="214"/>
      <c r="I164" s="213"/>
      <c r="J164" s="213"/>
      <c r="K164" s="213"/>
      <c r="L164" s="215"/>
      <c r="M164" s="215"/>
      <c r="N164" s="215"/>
      <c r="O164" s="215"/>
      <c r="P164" s="215"/>
      <c r="Q164" s="215"/>
      <c r="R164" s="215"/>
      <c r="S164" s="215"/>
      <c r="T164" s="215"/>
      <c r="U164" s="215"/>
      <c r="V164" s="215"/>
      <c r="W164" s="215"/>
      <c r="X164" s="215"/>
      <c r="Y164" s="215"/>
      <c r="Z164" s="215"/>
      <c r="AA164" s="215"/>
      <c r="AB164" s="215"/>
      <c r="AC164" s="215"/>
      <c r="AD164" s="215"/>
      <c r="AE164" s="215"/>
      <c r="AF164" s="215"/>
      <c r="AG164" s="215"/>
      <c r="AH164" s="215"/>
      <c r="AI164" s="215"/>
      <c r="AJ164" s="215"/>
      <c r="AK164" s="215"/>
      <c r="AL164" s="215"/>
      <c r="AM164" s="215"/>
      <c r="AN164" s="215"/>
      <c r="AO164" s="215"/>
      <c r="AP164" s="215"/>
      <c r="AQ164" s="215"/>
      <c r="AR164" s="215"/>
      <c r="AS164" s="215"/>
      <c r="AT164" s="215"/>
      <c r="AU164" s="215"/>
      <c r="AV164" s="215"/>
      <c r="AW164" s="215"/>
      <c r="AX164" s="215"/>
      <c r="AY164" s="215"/>
      <c r="AZ164" s="215"/>
      <c r="BB164" s="160"/>
      <c r="BC164" s="252"/>
      <c r="BD164" s="252"/>
      <c r="BE164" s="252"/>
      <c r="BF164" s="252"/>
      <c r="BG164" s="252"/>
      <c r="BH164" s="252"/>
      <c r="BI164" s="252"/>
      <c r="BJ164" s="252"/>
      <c r="BK164" s="252"/>
      <c r="BL164" s="252"/>
      <c r="BM164" s="252"/>
    </row>
    <row r="165" spans="1:65" s="160" customFormat="1" ht="26" hidden="1" outlineLevel="2" x14ac:dyDescent="0.15">
      <c r="B165" s="160" t="s">
        <v>26</v>
      </c>
      <c r="E165" s="216">
        <f>(SUM($I$138:$L$138)/E166)</f>
        <v>9.5219634934996161E-2</v>
      </c>
      <c r="F165" s="217">
        <f>(SUM($I$138:$L$138)/F166)</f>
        <v>9.1340503468230083E-2</v>
      </c>
      <c r="G165" s="218">
        <f t="shared" ref="G165" si="104">(SUM($I$138:$L$138)/G166)</f>
        <v>8.6961252563836119E-2</v>
      </c>
      <c r="H165" s="218">
        <f>(SUM($I$138:$L$138)/H166)</f>
        <v>8.3481646186597314E-2</v>
      </c>
      <c r="I165" s="218">
        <f>(SUM($J$138:$M$138)/I166)</f>
        <v>8.5724748426458261E-2</v>
      </c>
      <c r="J165" s="218">
        <f>(SUM($K$138:$N$138)/J166)</f>
        <v>8.8451277423769917E-2</v>
      </c>
      <c r="K165" s="218">
        <f>$C$60</f>
        <v>0.08</v>
      </c>
      <c r="L165" s="218">
        <f t="shared" ref="L165:AZ165" si="105">K165</f>
        <v>0.08</v>
      </c>
      <c r="M165" s="218">
        <f t="shared" si="105"/>
        <v>0.08</v>
      </c>
      <c r="N165" s="218">
        <f t="shared" si="105"/>
        <v>0.08</v>
      </c>
      <c r="O165" s="218">
        <f t="shared" si="105"/>
        <v>0.08</v>
      </c>
      <c r="P165" s="218">
        <f t="shared" si="105"/>
        <v>0.08</v>
      </c>
      <c r="Q165" s="218">
        <f t="shared" si="105"/>
        <v>0.08</v>
      </c>
      <c r="R165" s="218">
        <f t="shared" si="105"/>
        <v>0.08</v>
      </c>
      <c r="S165" s="218">
        <f t="shared" si="105"/>
        <v>0.08</v>
      </c>
      <c r="T165" s="218">
        <f t="shared" si="105"/>
        <v>0.08</v>
      </c>
      <c r="U165" s="218">
        <f t="shared" si="105"/>
        <v>0.08</v>
      </c>
      <c r="V165" s="218">
        <f t="shared" si="105"/>
        <v>0.08</v>
      </c>
      <c r="W165" s="218">
        <f t="shared" si="105"/>
        <v>0.08</v>
      </c>
      <c r="X165" s="218">
        <f t="shared" si="105"/>
        <v>0.08</v>
      </c>
      <c r="Y165" s="218">
        <f t="shared" si="105"/>
        <v>0.08</v>
      </c>
      <c r="Z165" s="218">
        <f t="shared" si="105"/>
        <v>0.08</v>
      </c>
      <c r="AA165" s="218">
        <f t="shared" si="105"/>
        <v>0.08</v>
      </c>
      <c r="AB165" s="218">
        <f t="shared" si="105"/>
        <v>0.08</v>
      </c>
      <c r="AC165" s="218">
        <f t="shared" si="105"/>
        <v>0.08</v>
      </c>
      <c r="AD165" s="218">
        <f t="shared" si="105"/>
        <v>0.08</v>
      </c>
      <c r="AE165" s="218">
        <f t="shared" si="105"/>
        <v>0.08</v>
      </c>
      <c r="AF165" s="218">
        <f t="shared" si="105"/>
        <v>0.08</v>
      </c>
      <c r="AG165" s="218">
        <f t="shared" si="105"/>
        <v>0.08</v>
      </c>
      <c r="AH165" s="218">
        <f t="shared" si="105"/>
        <v>0.08</v>
      </c>
      <c r="AI165" s="218">
        <f t="shared" si="105"/>
        <v>0.08</v>
      </c>
      <c r="AJ165" s="218">
        <f t="shared" si="105"/>
        <v>0.08</v>
      </c>
      <c r="AK165" s="218">
        <f t="shared" si="105"/>
        <v>0.08</v>
      </c>
      <c r="AL165" s="218">
        <f t="shared" si="105"/>
        <v>0.08</v>
      </c>
      <c r="AM165" s="218">
        <f t="shared" si="105"/>
        <v>0.08</v>
      </c>
      <c r="AN165" s="218">
        <f t="shared" si="105"/>
        <v>0.08</v>
      </c>
      <c r="AO165" s="218">
        <f t="shared" si="105"/>
        <v>0.08</v>
      </c>
      <c r="AP165" s="218">
        <f t="shared" si="105"/>
        <v>0.08</v>
      </c>
      <c r="AQ165" s="218">
        <f t="shared" si="105"/>
        <v>0.08</v>
      </c>
      <c r="AR165" s="218">
        <f t="shared" si="105"/>
        <v>0.08</v>
      </c>
      <c r="AS165" s="218">
        <f t="shared" si="105"/>
        <v>0.08</v>
      </c>
      <c r="AT165" s="218">
        <f t="shared" si="105"/>
        <v>0.08</v>
      </c>
      <c r="AU165" s="218">
        <f t="shared" si="105"/>
        <v>0.08</v>
      </c>
      <c r="AV165" s="218">
        <f t="shared" si="105"/>
        <v>0.08</v>
      </c>
      <c r="AW165" s="218">
        <f t="shared" si="105"/>
        <v>0.08</v>
      </c>
      <c r="AX165" s="218">
        <f t="shared" si="105"/>
        <v>0.08</v>
      </c>
      <c r="AY165" s="218">
        <f t="shared" si="105"/>
        <v>0.08</v>
      </c>
      <c r="AZ165" s="218">
        <f t="shared" si="105"/>
        <v>0.08</v>
      </c>
      <c r="BC165" s="192" t="str">
        <f>B165</f>
        <v>Cap Rate</v>
      </c>
      <c r="BD165" s="266">
        <f>$E$165</f>
        <v>9.5219634934996161E-2</v>
      </c>
      <c r="BE165" s="267">
        <f t="shared" ref="BE165:BM165" si="106">_xlfn.MINIFS($F165:$AZ165,$F$86:$AZ$86,BE$123)</f>
        <v>0.08</v>
      </c>
      <c r="BF165" s="267">
        <f t="shared" si="106"/>
        <v>0.08</v>
      </c>
      <c r="BG165" s="267">
        <f t="shared" si="106"/>
        <v>0.08</v>
      </c>
      <c r="BH165" s="267">
        <f t="shared" si="106"/>
        <v>0.08</v>
      </c>
      <c r="BI165" s="267">
        <f t="shared" si="106"/>
        <v>0.08</v>
      </c>
      <c r="BJ165" s="267">
        <f t="shared" si="106"/>
        <v>0.08</v>
      </c>
      <c r="BK165" s="267">
        <f t="shared" si="106"/>
        <v>0.08</v>
      </c>
      <c r="BL165" s="267">
        <f t="shared" si="106"/>
        <v>0.08</v>
      </c>
      <c r="BM165" s="267">
        <f t="shared" si="106"/>
        <v>0.08</v>
      </c>
    </row>
    <row r="166" spans="1:65" s="166" customFormat="1" ht="26" hidden="1" outlineLevel="1" x14ac:dyDescent="0.15">
      <c r="B166" s="166" t="s">
        <v>35</v>
      </c>
      <c r="E166" s="219">
        <f>SUM($N$6:$N$7)</f>
        <v>227855097.74590167</v>
      </c>
      <c r="F166" s="220">
        <f>F169+F170-F187+SUM($E$157:F160)</f>
        <v>237531855</v>
      </c>
      <c r="G166" s="221">
        <f>G169+G170-G187+SUM($E$157:G160)</f>
        <v>249493637.51995087</v>
      </c>
      <c r="H166" s="221">
        <f>H169+H170-H187+SUM($E$157:H160)</f>
        <v>259892805.38320157</v>
      </c>
      <c r="I166" s="221">
        <f>I169+I170-I187+SUM($E$157:I160)</f>
        <v>254655967.15056598</v>
      </c>
      <c r="J166" s="221">
        <f>J169+J170-J187+SUM($E$157:J160)</f>
        <v>248321548.91199091</v>
      </c>
      <c r="K166" s="221">
        <f t="shared" ref="K166:AZ166" si="107">K170+K169-K187</f>
        <v>281611426.53688526</v>
      </c>
      <c r="L166" s="221">
        <f t="shared" si="107"/>
        <v>288668375.40983605</v>
      </c>
      <c r="M166" s="221">
        <f t="shared" si="107"/>
        <v>296449525.42008197</v>
      </c>
      <c r="N166" s="221">
        <f t="shared" si="107"/>
        <v>304230675.43032795</v>
      </c>
      <c r="O166" s="221">
        <f t="shared" si="107"/>
        <v>312007198.87807381</v>
      </c>
      <c r="P166" s="221">
        <f t="shared" si="107"/>
        <v>319783722.32581979</v>
      </c>
      <c r="Q166" s="221">
        <f t="shared" si="107"/>
        <v>328356867.02459031</v>
      </c>
      <c r="R166" s="221">
        <f t="shared" si="107"/>
        <v>336930011.72336078</v>
      </c>
      <c r="S166" s="221">
        <f t="shared" si="107"/>
        <v>345498414.1955688</v>
      </c>
      <c r="T166" s="221">
        <f t="shared" si="107"/>
        <v>354066816.66777676</v>
      </c>
      <c r="U166" s="221">
        <f t="shared" si="107"/>
        <v>363511502.51611191</v>
      </c>
      <c r="V166" s="221">
        <f t="shared" si="107"/>
        <v>372956188.364447</v>
      </c>
      <c r="W166" s="221">
        <f t="shared" si="107"/>
        <v>382396013.43055546</v>
      </c>
      <c r="X166" s="221">
        <f t="shared" si="107"/>
        <v>391835838.49666393</v>
      </c>
      <c r="Y166" s="221">
        <f t="shared" si="107"/>
        <v>402239575.27651221</v>
      </c>
      <c r="Z166" s="221">
        <f t="shared" si="107"/>
        <v>412643312.05636036</v>
      </c>
      <c r="AA166" s="221">
        <f t="shared" si="107"/>
        <v>423042066.53442633</v>
      </c>
      <c r="AB166" s="221">
        <f t="shared" si="107"/>
        <v>433440821.0124923</v>
      </c>
      <c r="AC166" s="221">
        <f t="shared" si="107"/>
        <v>444899878.3756721</v>
      </c>
      <c r="AD166" s="221">
        <f t="shared" si="107"/>
        <v>456358935.73885179</v>
      </c>
      <c r="AE166" s="221">
        <f t="shared" si="107"/>
        <v>467812886.24270481</v>
      </c>
      <c r="AF166" s="221">
        <f t="shared" si="107"/>
        <v>479266836.74655777</v>
      </c>
      <c r="AG166" s="221">
        <f t="shared" si="107"/>
        <v>491887120.42403591</v>
      </c>
      <c r="AH166" s="221">
        <f t="shared" si="107"/>
        <v>504507404.10151404</v>
      </c>
      <c r="AI166" s="221">
        <f t="shared" si="107"/>
        <v>517122453.24818212</v>
      </c>
      <c r="AJ166" s="221">
        <f t="shared" si="107"/>
        <v>529737502.39485025</v>
      </c>
      <c r="AK166" s="221">
        <f t="shared" si="107"/>
        <v>543635518.03250599</v>
      </c>
      <c r="AL166" s="221">
        <f t="shared" si="107"/>
        <v>557533533.67016172</v>
      </c>
      <c r="AM166" s="221">
        <f t="shared" si="107"/>
        <v>571426183.9137373</v>
      </c>
      <c r="AN166" s="221">
        <f t="shared" si="107"/>
        <v>585318834.15731275</v>
      </c>
      <c r="AO166" s="221">
        <f t="shared" si="107"/>
        <v>600622747.54097474</v>
      </c>
      <c r="AP166" s="221">
        <f t="shared" si="107"/>
        <v>615926660.92463672</v>
      </c>
      <c r="AQ166" s="221">
        <f t="shared" si="107"/>
        <v>631225074.77936637</v>
      </c>
      <c r="AR166" s="221">
        <f t="shared" si="107"/>
        <v>646523488.63409603</v>
      </c>
      <c r="AS166" s="221">
        <f t="shared" si="107"/>
        <v>663374291.94292068</v>
      </c>
      <c r="AT166" s="221">
        <f t="shared" si="107"/>
        <v>680225095.25174558</v>
      </c>
      <c r="AU166" s="221">
        <f t="shared" si="107"/>
        <v>697070261.54341471</v>
      </c>
      <c r="AV166" s="221">
        <f t="shared" si="107"/>
        <v>714048885.39666033</v>
      </c>
      <c r="AW166" s="221">
        <f t="shared" si="107"/>
        <v>731052621.2049526</v>
      </c>
      <c r="AX166" s="221">
        <f t="shared" si="107"/>
        <v>748516421.90445423</v>
      </c>
      <c r="AY166" s="221">
        <f t="shared" si="107"/>
        <v>766806143.9916091</v>
      </c>
      <c r="AZ166" s="221">
        <f t="shared" si="107"/>
        <v>785242719.54826462</v>
      </c>
      <c r="BB166" s="160"/>
      <c r="BC166" s="192" t="str">
        <f>B166</f>
        <v>Рыночная стоимость объекта (EV)</v>
      </c>
      <c r="BD166" s="191">
        <f>_xlfn.MAXIFS($F166:$AZ166,$F$86:$AZ$86,BD$123)</f>
        <v>259892805.38320157</v>
      </c>
      <c r="BE166" s="191">
        <f t="shared" ref="BE166:BM166" si="108">_xlfn.MAXIFS($F166:$AZ166,$F$86:$AZ$86,BE$123)</f>
        <v>304230675.43032795</v>
      </c>
      <c r="BF166" s="191">
        <f>_xlfn.MAXIFS($F166:$AZ166,$F$86:$AZ$86,BF$123)</f>
        <v>336930011.72336078</v>
      </c>
      <c r="BG166" s="191">
        <f t="shared" si="108"/>
        <v>372956188.364447</v>
      </c>
      <c r="BH166" s="191">
        <f t="shared" si="108"/>
        <v>412643312.05636036</v>
      </c>
      <c r="BI166" s="191">
        <f t="shared" si="108"/>
        <v>456358935.73885179</v>
      </c>
      <c r="BJ166" s="191">
        <f t="shared" si="108"/>
        <v>504507404.10151404</v>
      </c>
      <c r="BK166" s="191">
        <f t="shared" si="108"/>
        <v>557533533.67016172</v>
      </c>
      <c r="BL166" s="191">
        <f t="shared" si="108"/>
        <v>615926660.92463672</v>
      </c>
      <c r="BM166" s="191">
        <f t="shared" si="108"/>
        <v>680225095.25174558</v>
      </c>
    </row>
    <row r="167" spans="1:65" s="268" customFormat="1" ht="26" hidden="1" collapsed="1" x14ac:dyDescent="0.15">
      <c r="A167" s="184"/>
      <c r="B167" s="257" t="s">
        <v>37</v>
      </c>
      <c r="D167" s="184"/>
      <c r="E167" s="256"/>
      <c r="F167" s="236"/>
      <c r="G167" s="222">
        <f>G166/F166-1</f>
        <v>5.0358645664392521E-2</v>
      </c>
      <c r="H167" s="222">
        <f t="shared" ref="H167:P167" si="109">H166/G166-1</f>
        <v>4.1681094422374221E-2</v>
      </c>
      <c r="I167" s="222">
        <f t="shared" si="109"/>
        <v>-2.0149993090089913E-2</v>
      </c>
      <c r="J167" s="222">
        <f>J166/I166-1</f>
        <v>-2.4874415115628601E-2</v>
      </c>
      <c r="K167" s="222">
        <f>K166/J166-1</f>
        <v>0.13405956015799836</v>
      </c>
      <c r="L167" s="222">
        <f t="shared" si="109"/>
        <v>2.5059170928302121E-2</v>
      </c>
      <c r="M167" s="222">
        <f>M166/L166-1</f>
        <v>2.6955325463686952E-2</v>
      </c>
      <c r="N167" s="222">
        <f>N166/M166-1</f>
        <v>2.6247807275858293E-2</v>
      </c>
      <c r="O167" s="222">
        <f t="shared" si="109"/>
        <v>2.5561273322442402E-2</v>
      </c>
      <c r="P167" s="222">
        <f t="shared" si="109"/>
        <v>2.4924179556462311E-2</v>
      </c>
      <c r="Q167" s="222">
        <f t="shared" ref="Q167:AT167" si="110">Q166/P166-1</f>
        <v>2.6809196654592471E-2</v>
      </c>
      <c r="R167" s="213">
        <f t="shared" si="110"/>
        <v>2.6109229194614114E-2</v>
      </c>
      <c r="S167" s="213">
        <f t="shared" si="110"/>
        <v>2.5430808102791413E-2</v>
      </c>
      <c r="T167" s="213">
        <f t="shared" si="110"/>
        <v>2.480012098509321E-2</v>
      </c>
      <c r="U167" s="213">
        <f t="shared" si="110"/>
        <v>2.6674868707612154E-2</v>
      </c>
      <c r="V167" s="213">
        <f t="shared" si="110"/>
        <v>2.5981807406263435E-2</v>
      </c>
      <c r="W167" s="213">
        <f t="shared" si="110"/>
        <v>2.5310814944526472E-2</v>
      </c>
      <c r="X167" s="213">
        <f t="shared" si="110"/>
        <v>2.4685992360176101E-2</v>
      </c>
      <c r="Y167" s="213">
        <f t="shared" si="110"/>
        <v>2.6551263967491412E-2</v>
      </c>
      <c r="Z167" s="213">
        <f t="shared" si="110"/>
        <v>2.586452805568995E-2</v>
      </c>
      <c r="AA167" s="213">
        <f t="shared" si="110"/>
        <v>2.5200346580791511E-2</v>
      </c>
      <c r="AB167" s="213">
        <f t="shared" si="110"/>
        <v>2.4580899396726474E-2</v>
      </c>
      <c r="AC167" s="213">
        <f t="shared" si="110"/>
        <v>2.6437420768104181E-2</v>
      </c>
      <c r="AD167" s="213">
        <f t="shared" si="110"/>
        <v>2.5756485717677968E-2</v>
      </c>
      <c r="AE167" s="213">
        <f t="shared" si="110"/>
        <v>2.5098556436303543E-2</v>
      </c>
      <c r="AF167" s="213">
        <f t="shared" si="110"/>
        <v>2.4484042318386523E-2</v>
      </c>
      <c r="AG167" s="213">
        <f t="shared" si="110"/>
        <v>2.6332478506439827E-2</v>
      </c>
      <c r="AH167" s="213">
        <f t="shared" si="110"/>
        <v>2.5656869540716443E-2</v>
      </c>
      <c r="AI167" s="213">
        <f t="shared" si="110"/>
        <v>2.5004685846255148E-2</v>
      </c>
      <c r="AJ167" s="213">
        <f t="shared" si="110"/>
        <v>2.4394703937973938E-2</v>
      </c>
      <c r="AK167" s="213">
        <f t="shared" si="110"/>
        <v>2.6235664975247541E-2</v>
      </c>
      <c r="AL167" s="213">
        <f t="shared" si="110"/>
        <v>2.5564951473286079E-2</v>
      </c>
      <c r="AM167" s="213">
        <f t="shared" si="110"/>
        <v>2.4918053183496047E-2</v>
      </c>
      <c r="AN167" s="213">
        <f t="shared" si="110"/>
        <v>2.4312239506463884E-2</v>
      </c>
      <c r="AO167" s="213">
        <f t="shared" si="110"/>
        <v>2.6146285563653837E-2</v>
      </c>
      <c r="AP167" s="213">
        <f t="shared" si="110"/>
        <v>2.5480076214758896E-2</v>
      </c>
      <c r="AQ167" s="213">
        <f t="shared" si="110"/>
        <v>2.4838044568104012E-2</v>
      </c>
      <c r="AR167" s="213">
        <f t="shared" si="110"/>
        <v>2.4236068030214053E-2</v>
      </c>
      <c r="AS167" s="213">
        <f>AS166/AR166-1</f>
        <v>2.6063714010492012E-2</v>
      </c>
      <c r="AT167" s="213">
        <f t="shared" si="110"/>
        <v>2.540165260168803E-2</v>
      </c>
      <c r="AU167" s="213">
        <f t="shared" ref="AU167" si="111">AU166/AT166-1</f>
        <v>2.4764105895615174E-2</v>
      </c>
      <c r="AV167" s="213">
        <f t="shared" ref="AV167" si="112">AV166/AU166-1</f>
        <v>2.4357119776781788E-2</v>
      </c>
      <c r="AW167" s="213">
        <f t="shared" ref="AW167" si="113">AW166/AV166-1</f>
        <v>2.3813125622129672E-2</v>
      </c>
      <c r="AX167" s="213">
        <f t="shared" ref="AX167" si="114">AX166/AW166-1</f>
        <v>2.3888568610447081E-2</v>
      </c>
      <c r="AY167" s="213">
        <f t="shared" ref="AY167" si="115">AY166/AX166-1</f>
        <v>2.4434630359371656E-2</v>
      </c>
      <c r="AZ167" s="213">
        <f t="shared" ref="AZ167" si="116">AZ166/AY166-1</f>
        <v>2.4043333117655941E-2</v>
      </c>
      <c r="BB167" s="160"/>
      <c r="BC167" s="252" t="s">
        <v>159</v>
      </c>
      <c r="BD167" s="253">
        <f>K166/E166-1</f>
        <v>0.23592330969452924</v>
      </c>
      <c r="BE167" s="253">
        <f>BE166/BD166-1</f>
        <v>0.17060060582189629</v>
      </c>
      <c r="BF167" s="253">
        <f t="shared" ref="BF167:BM167" si="117">BF166/BE166-1</f>
        <v>0.1074820487670427</v>
      </c>
      <c r="BG167" s="253">
        <f t="shared" si="117"/>
        <v>0.10692480748988853</v>
      </c>
      <c r="BH167" s="253">
        <f t="shared" si="117"/>
        <v>0.1064122943393333</v>
      </c>
      <c r="BI167" s="253">
        <f t="shared" si="117"/>
        <v>0.10594046336202489</v>
      </c>
      <c r="BJ167" s="253">
        <f t="shared" si="117"/>
        <v>0.10550569867709325</v>
      </c>
      <c r="BK167" s="253">
        <f t="shared" si="117"/>
        <v>0.10510475988570045</v>
      </c>
      <c r="BL167" s="253">
        <f t="shared" si="117"/>
        <v>0.10473473563120339</v>
      </c>
      <c r="BM167" s="253">
        <f t="shared" si="117"/>
        <v>0.10439300391800432</v>
      </c>
    </row>
    <row r="168" spans="1:65" s="255" customFormat="1" ht="26" x14ac:dyDescent="0.15">
      <c r="A168" s="160"/>
      <c r="B168" s="254"/>
      <c r="D168" s="160"/>
      <c r="E168" s="256"/>
      <c r="F168" s="212"/>
      <c r="G168" s="222"/>
      <c r="H168" s="222"/>
      <c r="I168" s="222"/>
      <c r="J168" s="222"/>
      <c r="K168" s="222"/>
      <c r="L168" s="222"/>
      <c r="M168" s="222"/>
      <c r="N168" s="222"/>
      <c r="O168" s="222"/>
      <c r="P168" s="222"/>
      <c r="Q168" s="222"/>
      <c r="R168" s="213"/>
      <c r="S168" s="213"/>
      <c r="T168" s="213"/>
      <c r="U168" s="213"/>
      <c r="V168" s="213"/>
      <c r="W168" s="213"/>
      <c r="X168" s="213"/>
      <c r="Y168" s="213"/>
      <c r="Z168" s="213"/>
      <c r="AA168" s="213"/>
      <c r="AB168" s="213"/>
      <c r="AC168" s="213"/>
      <c r="AD168" s="213"/>
      <c r="AE168" s="213"/>
      <c r="AF168" s="213"/>
      <c r="AG168" s="213"/>
      <c r="AH168" s="213"/>
      <c r="AI168" s="213"/>
      <c r="AJ168" s="213"/>
      <c r="AK168" s="213"/>
      <c r="AL168" s="213"/>
      <c r="AM168" s="213"/>
      <c r="AN168" s="213"/>
      <c r="AO168" s="213"/>
      <c r="AP168" s="213"/>
      <c r="AQ168" s="213"/>
      <c r="AR168" s="213"/>
      <c r="AS168" s="213"/>
      <c r="AT168" s="213"/>
      <c r="AU168" s="213"/>
      <c r="AV168" s="213"/>
      <c r="AW168" s="213"/>
      <c r="AX168" s="213"/>
      <c r="AY168" s="213"/>
      <c r="AZ168" s="213"/>
      <c r="BB168" s="160"/>
      <c r="BC168" s="192"/>
      <c r="BD168" s="252"/>
      <c r="BE168" s="252"/>
      <c r="BF168" s="252"/>
      <c r="BG168" s="252"/>
      <c r="BH168" s="252"/>
      <c r="BI168" s="252"/>
      <c r="BJ168" s="252"/>
      <c r="BK168" s="252"/>
      <c r="BL168" s="252"/>
      <c r="BM168" s="252"/>
    </row>
    <row r="169" spans="1:65" s="160" customFormat="1" ht="26" hidden="1" outlineLevel="1" x14ac:dyDescent="0.15">
      <c r="B169" s="160" t="s">
        <v>126</v>
      </c>
      <c r="E169" s="256"/>
      <c r="F169" s="171">
        <f>($N$6+$N$18)+SUM($E$155:F155,$E$157:F157)</f>
        <v>163857298.5</v>
      </c>
      <c r="G169" s="223">
        <f>($N$6+$N$18)+SUM($E$155:G155,$E$157:G157)</f>
        <v>122892973.87500003</v>
      </c>
      <c r="H169" s="223">
        <f>($N$6+$N$18)+SUM($E$155:H155,$E$157:H157)</f>
        <v>81928649.25000003</v>
      </c>
      <c r="I169" s="223">
        <f>($N$6+$N$18)+SUM($E$155:I155,$E$157:I157)</f>
        <v>40964324.62500003</v>
      </c>
      <c r="J169" s="223">
        <f>($N$6+$N$18)+SUM($E$155:J155,$E$157:J157)</f>
        <v>0</v>
      </c>
      <c r="K169" s="223">
        <f>($N$6+$N$18)+SUM($E$155:K155,$E$157:K157)</f>
        <v>0</v>
      </c>
      <c r="L169" s="223">
        <f>($N$6+$N$18)+SUM($E$155:L155,$E$157:L157)</f>
        <v>0</v>
      </c>
      <c r="M169" s="223">
        <f>($N$6+$N$18)+SUM($E$155:M155,$E$157:M157)</f>
        <v>0</v>
      </c>
      <c r="N169" s="223">
        <f>($N$6+$N$18)+SUM($E$155:N155,$E$157:N157)</f>
        <v>0</v>
      </c>
      <c r="O169" s="223">
        <f>($N$6+$N$18)+SUM($E$155:O155,$E$157:O157)</f>
        <v>0</v>
      </c>
      <c r="P169" s="223">
        <f>($N$6+$N$18)+SUM($E$155:P155,$E$157:P157)</f>
        <v>0</v>
      </c>
      <c r="Q169" s="223">
        <f>($N$6+$N$18)+SUM($E$155:Q155,$E$157:Q157)</f>
        <v>0</v>
      </c>
      <c r="R169" s="223">
        <f>($N$6+$N$18)+SUM($E$155:R155,$E$157:R157)</f>
        <v>0</v>
      </c>
      <c r="S169" s="223">
        <f>($N$6+$N$18)+SUM($E$155:S155,$E$157:S157)</f>
        <v>0</v>
      </c>
      <c r="T169" s="223">
        <f>($N$6+$N$18)+SUM($E$155:T155,$E$157:T157)</f>
        <v>0</v>
      </c>
      <c r="U169" s="223">
        <f>($N$6+$N$18)+SUM($E$155:U155,$E$157:U157)</f>
        <v>0</v>
      </c>
      <c r="V169" s="223">
        <f>($N$6+$N$18)+SUM($E$155:V155,$E$157:V157)</f>
        <v>0</v>
      </c>
      <c r="W169" s="223">
        <f>($N$6+$N$18)+SUM($E$155:W155,$E$157:W157)</f>
        <v>0</v>
      </c>
      <c r="X169" s="223">
        <f>($N$6+$N$18)+SUM($E$155:X155,$E$157:X157)</f>
        <v>0</v>
      </c>
      <c r="Y169" s="223">
        <f>($N$6+$N$18)+SUM($E$155:Y155,$E$157:Y157)</f>
        <v>0</v>
      </c>
      <c r="Z169" s="223">
        <f>($N$6+$N$18)+SUM($E$155:Z155,$E$157:Z157)</f>
        <v>0</v>
      </c>
      <c r="AA169" s="223">
        <f>($N$6+$N$18)+SUM($E$155:AA155,$E$157:AA157)</f>
        <v>0</v>
      </c>
      <c r="AB169" s="223">
        <f>($N$6+$N$18)+SUM($E$155:AB155,$E$157:AB157)</f>
        <v>0</v>
      </c>
      <c r="AC169" s="223">
        <f>($N$6+$N$18)+SUM($E$155:AC155,$E$157:AC157)</f>
        <v>0</v>
      </c>
      <c r="AD169" s="223">
        <f>($N$6+$N$18)+SUM($E$155:AD155,$E$157:AD157)</f>
        <v>0</v>
      </c>
      <c r="AE169" s="223">
        <f>($N$6+$N$18)+SUM($E$155:AE155,$E$157:AE157)</f>
        <v>0</v>
      </c>
      <c r="AF169" s="223">
        <f>($N$6+$N$18)+SUM($E$155:AF155,$E$157:AF157)</f>
        <v>0</v>
      </c>
      <c r="AG169" s="223">
        <f>($N$6+$N$18)+SUM($E$155:AG155,$E$157:AG157)</f>
        <v>0</v>
      </c>
      <c r="AH169" s="223">
        <f>($N$6+$N$18)+SUM($E$155:AH155,$E$157:AH157)</f>
        <v>0</v>
      </c>
      <c r="AI169" s="223">
        <f>($N$6+$N$18)+SUM($E$155:AI155,$E$157:AI157)</f>
        <v>0</v>
      </c>
      <c r="AJ169" s="223">
        <f>($N$6+$N$18)+SUM($E$155:AJ155,$E$157:AJ157)</f>
        <v>0</v>
      </c>
      <c r="AK169" s="223">
        <f>($N$6+$N$18)+SUM($E$155:AK155,$E$157:AK157)</f>
        <v>0</v>
      </c>
      <c r="AL169" s="223">
        <f>($N$6+$N$18)+SUM($E$155:AL155,$E$157:AL157)</f>
        <v>0</v>
      </c>
      <c r="AM169" s="223">
        <f>($N$6+$N$18)+SUM($E$155:AM155,$E$157:AM157)</f>
        <v>0</v>
      </c>
      <c r="AN169" s="223">
        <f>($N$6+$N$18)+SUM($E$155:AN155,$E$157:AN157)</f>
        <v>0</v>
      </c>
      <c r="AO169" s="223">
        <f>($N$6+$N$18)+SUM($E$155:AO155,$E$157:AO157)</f>
        <v>0</v>
      </c>
      <c r="AP169" s="223">
        <f>($N$6+$N$18)+SUM($E$155:AP155,$E$157:AP157)</f>
        <v>0</v>
      </c>
      <c r="AQ169" s="223">
        <f>($N$6+$N$18)+SUM($E$155:AQ155,$E$157:AQ157)</f>
        <v>0</v>
      </c>
      <c r="AR169" s="223">
        <f>($N$6+$N$18)+SUM($E$155:AR155,$E$157:AR157)</f>
        <v>0</v>
      </c>
      <c r="AS169" s="223">
        <f>($N$6+$N$18)+SUM($E$155:AS155,$E$157:AS157)</f>
        <v>0</v>
      </c>
      <c r="AT169" s="223">
        <f>($N$6+$N$18)+SUM($E$155:AT155,$E$157:AT157)</f>
        <v>0</v>
      </c>
      <c r="AU169" s="223">
        <f>($N$6+$N$18)+SUM($E$155:AU155,$E$157:AU157)</f>
        <v>0</v>
      </c>
      <c r="AV169" s="223">
        <f>($N$6+$N$18)+SUM($E$155:AV155,$E$157:AV157)</f>
        <v>0</v>
      </c>
      <c r="AW169" s="223">
        <f>($N$6+$N$18)+SUM($E$155:AW155,$E$157:AW157)</f>
        <v>0</v>
      </c>
      <c r="AX169" s="223">
        <f>($N$6+$N$18)+SUM($E$155:AX155,$E$157:AX157)</f>
        <v>0</v>
      </c>
      <c r="AY169" s="223">
        <f>($N$6+$N$18)+SUM($E$155:AY155,$E$157:AY157)</f>
        <v>0</v>
      </c>
      <c r="AZ169" s="223">
        <f>($N$6+$N$18)+SUM($E$155:AZ155,$E$157:AZ157)</f>
        <v>0</v>
      </c>
      <c r="BC169" s="192" t="str">
        <f>B169</f>
        <v xml:space="preserve">Долг </v>
      </c>
      <c r="BD169" s="191">
        <v>0</v>
      </c>
      <c r="BE169" s="191">
        <f t="shared" ref="BE169:BM170" si="118">_xlfn.MAXIFS($F169:$AZ169,$F$86:$AZ$86,BE$123)</f>
        <v>0</v>
      </c>
      <c r="BF169" s="191">
        <f t="shared" si="118"/>
        <v>0</v>
      </c>
      <c r="BG169" s="191">
        <f t="shared" si="118"/>
        <v>0</v>
      </c>
      <c r="BH169" s="191">
        <f t="shared" si="118"/>
        <v>0</v>
      </c>
      <c r="BI169" s="191">
        <f t="shared" si="118"/>
        <v>0</v>
      </c>
      <c r="BJ169" s="191">
        <f t="shared" si="118"/>
        <v>0</v>
      </c>
      <c r="BK169" s="191">
        <f t="shared" si="118"/>
        <v>0</v>
      </c>
      <c r="BL169" s="191">
        <f t="shared" si="118"/>
        <v>0</v>
      </c>
      <c r="BM169" s="191">
        <f t="shared" si="118"/>
        <v>0</v>
      </c>
    </row>
    <row r="170" spans="1:65" s="166" customFormat="1" ht="26" collapsed="1" x14ac:dyDescent="0.15">
      <c r="B170" s="166" t="s">
        <v>36</v>
      </c>
      <c r="E170" s="224"/>
      <c r="F170" s="174">
        <f>F153</f>
        <v>86800000</v>
      </c>
      <c r="G170" s="224">
        <f>F170+G153</f>
        <v>126800000</v>
      </c>
      <c r="H170" s="224">
        <f>G170+H153</f>
        <v>171800000</v>
      </c>
      <c r="I170" s="224">
        <f>H170+I153</f>
        <v>216800000</v>
      </c>
      <c r="J170" s="224">
        <f>I170+J153</f>
        <v>259999999.99999997</v>
      </c>
      <c r="K170" s="224">
        <f t="shared" ref="K170:AU170" si="119">IF((SUM(L138:O138)/K165-K169+K187)/$C$74&lt;$C$73,$C$73*$C$74,SUM(L138:O138)/K165-K169+K187)</f>
        <v>292288005.53868747</v>
      </c>
      <c r="L170" s="224">
        <f t="shared" si="119"/>
        <v>298400629.53130567</v>
      </c>
      <c r="M170" s="224">
        <f t="shared" si="119"/>
        <v>305249040.24590111</v>
      </c>
      <c r="N170" s="224">
        <f t="shared" si="119"/>
        <v>312080429.69484913</v>
      </c>
      <c r="O170" s="224">
        <f t="shared" si="119"/>
        <v>318714624.74229872</v>
      </c>
      <c r="P170" s="224">
        <f t="shared" si="119"/>
        <v>325491529.74930745</v>
      </c>
      <c r="Q170" s="224">
        <f t="shared" si="119"/>
        <v>333365720.67013347</v>
      </c>
      <c r="R170" s="224">
        <f t="shared" si="119"/>
        <v>341221157.83693087</v>
      </c>
      <c r="S170" s="224">
        <f t="shared" si="119"/>
        <v>348859917.88417006</v>
      </c>
      <c r="T170" s="224">
        <f t="shared" si="119"/>
        <v>356656822.80715597</v>
      </c>
      <c r="U170" s="224">
        <f t="shared" si="119"/>
        <v>365804686.5552088</v>
      </c>
      <c r="V170" s="224">
        <f t="shared" si="119"/>
        <v>374931890.05296832</v>
      </c>
      <c r="W170" s="224">
        <f t="shared" si="119"/>
        <v>383820994.94822294</v>
      </c>
      <c r="X170" s="224">
        <f t="shared" si="119"/>
        <v>392885252.22503674</v>
      </c>
      <c r="Y170" s="224">
        <f t="shared" si="119"/>
        <v>403447530.26393485</v>
      </c>
      <c r="Z170" s="224">
        <f t="shared" si="119"/>
        <v>413987050.12862694</v>
      </c>
      <c r="AA170" s="224">
        <f t="shared" si="119"/>
        <v>424264917.68360871</v>
      </c>
      <c r="AB170" s="224">
        <f t="shared" si="119"/>
        <v>434736675.70199937</v>
      </c>
      <c r="AC170" s="224">
        <f t="shared" si="119"/>
        <v>446724547.70425528</v>
      </c>
      <c r="AD170" s="224">
        <f t="shared" si="119"/>
        <v>458112435.32198137</v>
      </c>
      <c r="AE170" s="224">
        <f t="shared" si="119"/>
        <v>469253121.07944596</v>
      </c>
      <c r="AF170" s="224">
        <f t="shared" si="119"/>
        <v>480577692.20079821</v>
      </c>
      <c r="AG170" s="224">
        <f t="shared" si="119"/>
        <v>493267002.10699105</v>
      </c>
      <c r="AH170" s="224">
        <f t="shared" si="119"/>
        <v>505932648.98128861</v>
      </c>
      <c r="AI170" s="224">
        <f t="shared" si="119"/>
        <v>518326666.23793352</v>
      </c>
      <c r="AJ170" s="224">
        <f t="shared" si="119"/>
        <v>530924058.60927421</v>
      </c>
      <c r="AK170" s="224">
        <f t="shared" si="119"/>
        <v>544950646.47933888</v>
      </c>
      <c r="AL170" s="224">
        <f t="shared" si="119"/>
        <v>558951175.5700829</v>
      </c>
      <c r="AM170" s="224">
        <f t="shared" si="119"/>
        <v>572653215.55986655</v>
      </c>
      <c r="AN170" s="224">
        <f t="shared" si="119"/>
        <v>586580096.92059505</v>
      </c>
      <c r="AO170" s="224">
        <f t="shared" si="119"/>
        <v>601899093.84866643</v>
      </c>
      <c r="AP170" s="224">
        <f t="shared" si="119"/>
        <v>617189395.93914342</v>
      </c>
      <c r="AQ170" s="224">
        <f t="shared" si="119"/>
        <v>632151675.01004398</v>
      </c>
      <c r="AR170" s="224">
        <f t="shared" si="119"/>
        <v>647362436.55238307</v>
      </c>
      <c r="AS170" s="224">
        <f t="shared" si="119"/>
        <v>664428439.0255903</v>
      </c>
      <c r="AT170" s="224">
        <f t="shared" si="119"/>
        <v>681462846.24259377</v>
      </c>
      <c r="AU170" s="224">
        <f t="shared" si="119"/>
        <v>698136755.12669468</v>
      </c>
      <c r="AV170" s="221">
        <f>AU170/AT170*AU170</f>
        <v>715218638.17843843</v>
      </c>
      <c r="AW170" s="221">
        <f t="shared" ref="AW170:AZ170" si="120">AV170/AU170*AV170</f>
        <v>732718477.63550067</v>
      </c>
      <c r="AX170" s="221">
        <f t="shared" si="120"/>
        <v>750646499.97913158</v>
      </c>
      <c r="AY170" s="221">
        <f t="shared" si="120"/>
        <v>769013181.91026318</v>
      </c>
      <c r="AZ170" s="221">
        <f t="shared" si="120"/>
        <v>787829256.47183895</v>
      </c>
      <c r="BB170" s="160"/>
      <c r="BC170" s="192" t="str">
        <f>B170</f>
        <v>Акционерный капитал (Equity)</v>
      </c>
      <c r="BD170" s="191">
        <f>_xlfn.MAXIFS($F170:$AZ170,$F$86:$AZ$86,BD$123)</f>
        <v>259999999.99999997</v>
      </c>
      <c r="BE170" s="191">
        <f t="shared" si="118"/>
        <v>312080429.69484913</v>
      </c>
      <c r="BF170" s="191">
        <f t="shared" si="118"/>
        <v>341221157.83693087</v>
      </c>
      <c r="BG170" s="191">
        <f t="shared" si="118"/>
        <v>374931890.05296832</v>
      </c>
      <c r="BH170" s="191">
        <f t="shared" si="118"/>
        <v>413987050.12862694</v>
      </c>
      <c r="BI170" s="191">
        <f t="shared" si="118"/>
        <v>458112435.32198137</v>
      </c>
      <c r="BJ170" s="191">
        <f t="shared" si="118"/>
        <v>505932648.98128861</v>
      </c>
      <c r="BK170" s="191">
        <f t="shared" si="118"/>
        <v>558951175.5700829</v>
      </c>
      <c r="BL170" s="191">
        <f t="shared" si="118"/>
        <v>617189395.93914342</v>
      </c>
      <c r="BM170" s="191">
        <f t="shared" si="118"/>
        <v>681462846.24259377</v>
      </c>
    </row>
    <row r="171" spans="1:65" s="166" customFormat="1" ht="26" x14ac:dyDescent="0.15">
      <c r="E171" s="224"/>
      <c r="F171" s="174"/>
      <c r="G171" s="224"/>
      <c r="H171" s="224"/>
      <c r="I171" s="224"/>
      <c r="J171" s="224"/>
      <c r="K171" s="224"/>
      <c r="L171" s="224"/>
      <c r="M171" s="224"/>
      <c r="N171" s="224"/>
      <c r="O171" s="224"/>
      <c r="P171" s="224"/>
      <c r="Q171" s="224"/>
      <c r="R171" s="224"/>
      <c r="S171" s="224"/>
      <c r="T171" s="224"/>
      <c r="U171" s="224"/>
      <c r="V171" s="224"/>
      <c r="W171" s="224"/>
      <c r="X171" s="224"/>
      <c r="Y171" s="224"/>
      <c r="Z171" s="224"/>
      <c r="AA171" s="224"/>
      <c r="AB171" s="224"/>
      <c r="AC171" s="224"/>
      <c r="AD171" s="224"/>
      <c r="AE171" s="224"/>
      <c r="AF171" s="224"/>
      <c r="AG171" s="224"/>
      <c r="AH171" s="224"/>
      <c r="AI171" s="224"/>
      <c r="AJ171" s="224"/>
      <c r="AK171" s="224"/>
      <c r="AL171" s="224"/>
      <c r="AM171" s="224"/>
      <c r="AN171" s="224"/>
      <c r="AO171" s="224"/>
      <c r="AP171" s="224"/>
      <c r="AQ171" s="224"/>
      <c r="AR171" s="224"/>
      <c r="AS171" s="224"/>
      <c r="AT171" s="224"/>
      <c r="AU171" s="224"/>
      <c r="AV171" s="224"/>
      <c r="AW171" s="224"/>
      <c r="AX171" s="224"/>
      <c r="AY171" s="224"/>
      <c r="AZ171" s="224"/>
      <c r="BB171" s="160"/>
      <c r="BC171" s="252" t="s">
        <v>160</v>
      </c>
      <c r="BD171" s="253">
        <v>0.1</v>
      </c>
      <c r="BE171" s="253">
        <f>BE173/BD173-1</f>
        <v>0.10685696540474354</v>
      </c>
      <c r="BF171" s="253">
        <f t="shared" ref="BF171:BM171" si="121">BF173/BE173-1</f>
        <v>9.3375698599798218E-2</v>
      </c>
      <c r="BG171" s="253">
        <f t="shared" si="121"/>
        <v>9.879437848970607E-2</v>
      </c>
      <c r="BH171" s="253">
        <f t="shared" si="121"/>
        <v>0.1041660128460693</v>
      </c>
      <c r="BI171" s="253">
        <f t="shared" si="121"/>
        <v>0.10658639003235626</v>
      </c>
      <c r="BJ171" s="253">
        <f t="shared" si="121"/>
        <v>0.10438532109633103</v>
      </c>
      <c r="BK171" s="253">
        <f t="shared" si="121"/>
        <v>0.10479364535091551</v>
      </c>
      <c r="BL171" s="253">
        <f t="shared" si="121"/>
        <v>0.10419196329565361</v>
      </c>
      <c r="BM171" s="253">
        <f t="shared" si="121"/>
        <v>0.10413894134660073</v>
      </c>
    </row>
    <row r="172" spans="1:65" s="173" customFormat="1" ht="26" hidden="1" x14ac:dyDescent="0.15">
      <c r="B172" s="225" t="s">
        <v>57</v>
      </c>
      <c r="C172" s="226"/>
      <c r="D172" s="226"/>
      <c r="E172" s="227"/>
      <c r="F172" s="228">
        <f>F107</f>
        <v>8680</v>
      </c>
      <c r="G172" s="229">
        <f t="shared" ref="G172:AZ172" si="122">F172+G107</f>
        <v>12489.523809523809</v>
      </c>
      <c r="H172" s="229">
        <f t="shared" si="122"/>
        <v>16489.523809523809</v>
      </c>
      <c r="I172" s="229">
        <f t="shared" si="122"/>
        <v>20319.311043566362</v>
      </c>
      <c r="J172" s="229">
        <f t="shared" si="122"/>
        <v>23995.906788247212</v>
      </c>
      <c r="K172" s="229">
        <f t="shared" si="122"/>
        <v>23995.906788247212</v>
      </c>
      <c r="L172" s="229">
        <f t="shared" si="122"/>
        <v>23995.906788247212</v>
      </c>
      <c r="M172" s="229">
        <f t="shared" si="122"/>
        <v>23995.906788247212</v>
      </c>
      <c r="N172" s="229">
        <f t="shared" si="122"/>
        <v>23995.906788247212</v>
      </c>
      <c r="O172" s="229">
        <f t="shared" si="122"/>
        <v>23995.906788247212</v>
      </c>
      <c r="P172" s="229">
        <f t="shared" si="122"/>
        <v>23995.906788247212</v>
      </c>
      <c r="Q172" s="229">
        <f t="shared" si="122"/>
        <v>23995.906788247212</v>
      </c>
      <c r="R172" s="229">
        <f t="shared" si="122"/>
        <v>23995.906788247212</v>
      </c>
      <c r="S172" s="229">
        <f t="shared" si="122"/>
        <v>23995.906788247212</v>
      </c>
      <c r="T172" s="229">
        <f t="shared" si="122"/>
        <v>23995.906788247212</v>
      </c>
      <c r="U172" s="229">
        <f t="shared" si="122"/>
        <v>23995.906788247212</v>
      </c>
      <c r="V172" s="229">
        <f t="shared" si="122"/>
        <v>23995.906788247212</v>
      </c>
      <c r="W172" s="229">
        <f t="shared" si="122"/>
        <v>23995.906788247212</v>
      </c>
      <c r="X172" s="229">
        <f t="shared" si="122"/>
        <v>23995.906788247212</v>
      </c>
      <c r="Y172" s="229">
        <f t="shared" si="122"/>
        <v>23995.906788247212</v>
      </c>
      <c r="Z172" s="229">
        <f t="shared" si="122"/>
        <v>23995.906788247212</v>
      </c>
      <c r="AA172" s="229">
        <f t="shared" si="122"/>
        <v>23995.906788247212</v>
      </c>
      <c r="AB172" s="229">
        <f t="shared" si="122"/>
        <v>23995.906788247212</v>
      </c>
      <c r="AC172" s="229">
        <f t="shared" si="122"/>
        <v>23995.906788247212</v>
      </c>
      <c r="AD172" s="229">
        <f t="shared" si="122"/>
        <v>23995.906788247212</v>
      </c>
      <c r="AE172" s="229">
        <f t="shared" si="122"/>
        <v>23995.906788247212</v>
      </c>
      <c r="AF172" s="229">
        <f t="shared" si="122"/>
        <v>23995.906788247212</v>
      </c>
      <c r="AG172" s="229">
        <f t="shared" si="122"/>
        <v>23995.906788247212</v>
      </c>
      <c r="AH172" s="229">
        <f t="shared" si="122"/>
        <v>23995.906788247212</v>
      </c>
      <c r="AI172" s="229">
        <f t="shared" si="122"/>
        <v>23995.906788247212</v>
      </c>
      <c r="AJ172" s="229">
        <f t="shared" si="122"/>
        <v>23995.906788247212</v>
      </c>
      <c r="AK172" s="229">
        <f t="shared" si="122"/>
        <v>23995.906788247212</v>
      </c>
      <c r="AL172" s="229">
        <f t="shared" si="122"/>
        <v>23995.906788247212</v>
      </c>
      <c r="AM172" s="229">
        <f t="shared" si="122"/>
        <v>23995.906788247212</v>
      </c>
      <c r="AN172" s="229">
        <f t="shared" si="122"/>
        <v>23995.906788247212</v>
      </c>
      <c r="AO172" s="229">
        <f t="shared" si="122"/>
        <v>23995.906788247212</v>
      </c>
      <c r="AP172" s="229">
        <f t="shared" si="122"/>
        <v>23995.906788247212</v>
      </c>
      <c r="AQ172" s="229">
        <f t="shared" si="122"/>
        <v>23995.906788247212</v>
      </c>
      <c r="AR172" s="229">
        <f t="shared" si="122"/>
        <v>23995.906788247212</v>
      </c>
      <c r="AS172" s="229">
        <f t="shared" si="122"/>
        <v>23995.906788247212</v>
      </c>
      <c r="AT172" s="229">
        <f t="shared" si="122"/>
        <v>23995.906788247212</v>
      </c>
      <c r="AU172" s="229">
        <f t="shared" si="122"/>
        <v>23995.906788247212</v>
      </c>
      <c r="AV172" s="229">
        <f t="shared" si="122"/>
        <v>23995.906788247212</v>
      </c>
      <c r="AW172" s="229">
        <f t="shared" si="122"/>
        <v>23995.906788247212</v>
      </c>
      <c r="AX172" s="229">
        <f t="shared" si="122"/>
        <v>23995.906788247212</v>
      </c>
      <c r="AY172" s="229">
        <f t="shared" si="122"/>
        <v>23995.906788247212</v>
      </c>
      <c r="AZ172" s="229">
        <f t="shared" si="122"/>
        <v>23995.906788247212</v>
      </c>
      <c r="BB172" s="160"/>
      <c r="BC172" s="192"/>
    </row>
    <row r="173" spans="1:65" s="230" customFormat="1" ht="26" x14ac:dyDescent="0.15">
      <c r="A173" s="226"/>
      <c r="B173" s="225" t="s">
        <v>136</v>
      </c>
      <c r="D173" s="226"/>
      <c r="E173" s="231"/>
      <c r="F173" s="228">
        <v>10000</v>
      </c>
      <c r="G173" s="229">
        <f>G106</f>
        <v>10500</v>
      </c>
      <c r="H173" s="229">
        <f>H106</f>
        <v>11250</v>
      </c>
      <c r="I173" s="229">
        <f>I106</f>
        <v>11750</v>
      </c>
      <c r="J173" s="229">
        <f>J106</f>
        <v>11750</v>
      </c>
      <c r="K173" s="229">
        <f>K170/$C$74</f>
        <v>12180.744329355588</v>
      </c>
      <c r="L173" s="229">
        <f t="shared" ref="L173:AZ173" si="123">L170/$C$74</f>
        <v>12435.480441083278</v>
      </c>
      <c r="M173" s="229">
        <f t="shared" si="123"/>
        <v>12720.87956248467</v>
      </c>
      <c r="N173" s="229">
        <f t="shared" si="123"/>
        <v>13005.569343505736</v>
      </c>
      <c r="O173" s="229">
        <f t="shared" si="123"/>
        <v>13282.04128957526</v>
      </c>
      <c r="P173" s="229">
        <f t="shared" si="123"/>
        <v>13564.460498268299</v>
      </c>
      <c r="Q173" s="229">
        <f t="shared" si="123"/>
        <v>13892.607752310922</v>
      </c>
      <c r="R173" s="229">
        <f t="shared" si="123"/>
        <v>14219.973466643703</v>
      </c>
      <c r="S173" s="229">
        <f t="shared" si="123"/>
        <v>14538.309427632705</v>
      </c>
      <c r="T173" s="229">
        <f>T170/$C$74</f>
        <v>14863.235882456438</v>
      </c>
      <c r="U173" s="229">
        <f t="shared" si="123"/>
        <v>15244.461890240953</v>
      </c>
      <c r="V173" s="229">
        <f t="shared" si="123"/>
        <v>15624.826907420878</v>
      </c>
      <c r="W173" s="229">
        <f t="shared" si="123"/>
        <v>15995.269457214759</v>
      </c>
      <c r="X173" s="229">
        <f t="shared" si="123"/>
        <v>16373.011267799442</v>
      </c>
      <c r="Y173" s="229">
        <f t="shared" si="123"/>
        <v>16813.181257294123</v>
      </c>
      <c r="Z173" s="229">
        <f t="shared" si="123"/>
        <v>17252.402827776892</v>
      </c>
      <c r="AA173" s="229">
        <f t="shared" si="123"/>
        <v>17680.720358999162</v>
      </c>
      <c r="AB173" s="229">
        <f t="shared" si="123"/>
        <v>18117.118037603232</v>
      </c>
      <c r="AC173" s="229">
        <f t="shared" si="123"/>
        <v>18616.697907955426</v>
      </c>
      <c r="AD173" s="229">
        <f t="shared" si="123"/>
        <v>19091.274164573646</v>
      </c>
      <c r="AE173" s="229">
        <f t="shared" si="123"/>
        <v>19555.548586698053</v>
      </c>
      <c r="AF173" s="229">
        <f t="shared" si="123"/>
        <v>20027.486205946465</v>
      </c>
      <c r="AG173" s="229">
        <f t="shared" si="123"/>
        <v>20556.297641087058</v>
      </c>
      <c r="AH173" s="229">
        <f t="shared" si="123"/>
        <v>21084.122948380755</v>
      </c>
      <c r="AI173" s="229">
        <f t="shared" si="123"/>
        <v>21600.628424336152</v>
      </c>
      <c r="AJ173" s="229">
        <f t="shared" si="123"/>
        <v>22125.609308888957</v>
      </c>
      <c r="AK173" s="229">
        <f t="shared" si="123"/>
        <v>22710.150163870716</v>
      </c>
      <c r="AL173" s="229">
        <f t="shared" si="123"/>
        <v>23293.605051168466</v>
      </c>
      <c r="AM173" s="229">
        <f t="shared" si="123"/>
        <v>23864.620771086775</v>
      </c>
      <c r="AN173" s="229">
        <f t="shared" si="123"/>
        <v>24445.006479517251</v>
      </c>
      <c r="AO173" s="229">
        <f t="shared" si="123"/>
        <v>25083.406897690835</v>
      </c>
      <c r="AP173" s="229">
        <f t="shared" si="123"/>
        <v>25720.61149368326</v>
      </c>
      <c r="AQ173" s="229">
        <f t="shared" si="123"/>
        <v>26344.146132442103</v>
      </c>
      <c r="AR173" s="229">
        <f t="shared" si="123"/>
        <v>26978.035973595721</v>
      </c>
      <c r="AS173" s="229">
        <f t="shared" si="123"/>
        <v>27689.240706294797</v>
      </c>
      <c r="AT173" s="229">
        <f t="shared" si="123"/>
        <v>28399.128745422644</v>
      </c>
      <c r="AU173" s="229">
        <f t="shared" si="123"/>
        <v>29093.993458443929</v>
      </c>
      <c r="AV173" s="229">
        <f t="shared" si="123"/>
        <v>29805.859994786293</v>
      </c>
      <c r="AW173" s="229">
        <f t="shared" si="123"/>
        <v>30535.144351968134</v>
      </c>
      <c r="AX173" s="229">
        <f t="shared" si="123"/>
        <v>31282.272706059415</v>
      </c>
      <c r="AY173" s="229">
        <f t="shared" si="123"/>
        <v>32047.681660728605</v>
      </c>
      <c r="AZ173" s="229">
        <f t="shared" si="123"/>
        <v>32831.818502383263</v>
      </c>
      <c r="BB173" s="160"/>
      <c r="BC173" s="192" t="str">
        <f>B173</f>
        <v>Цена акции, руб.</v>
      </c>
      <c r="BD173" s="191">
        <f>J173</f>
        <v>11750</v>
      </c>
      <c r="BE173" s="191">
        <f t="shared" ref="BE173:BM173" si="124">_xlfn.MAXIFS($F173:$AZ173,$F$86:$AZ$86,BE$123)</f>
        <v>13005.569343505736</v>
      </c>
      <c r="BF173" s="191">
        <f t="shared" si="124"/>
        <v>14219.973466643703</v>
      </c>
      <c r="BG173" s="191">
        <f t="shared" si="124"/>
        <v>15624.826907420878</v>
      </c>
      <c r="BH173" s="191">
        <f t="shared" si="124"/>
        <v>17252.402827776892</v>
      </c>
      <c r="BI173" s="191">
        <f t="shared" si="124"/>
        <v>19091.274164573646</v>
      </c>
      <c r="BJ173" s="191">
        <f t="shared" si="124"/>
        <v>21084.122948380755</v>
      </c>
      <c r="BK173" s="191">
        <f t="shared" si="124"/>
        <v>23293.605051168466</v>
      </c>
      <c r="BL173" s="191">
        <f t="shared" si="124"/>
        <v>25720.61149368326</v>
      </c>
      <c r="BM173" s="191">
        <f t="shared" si="124"/>
        <v>28399.128745422644</v>
      </c>
    </row>
    <row r="174" spans="1:65" s="230" customFormat="1" ht="26" x14ac:dyDescent="0.15">
      <c r="A174" s="226"/>
      <c r="B174" s="225" t="s">
        <v>137</v>
      </c>
      <c r="D174" s="226"/>
      <c r="E174" s="231"/>
      <c r="F174" s="228">
        <f t="shared" ref="F174:AZ174" si="125">CHOOSE($C$1,F175,F176,F177)</f>
        <v>0</v>
      </c>
      <c r="G174" s="232">
        <f t="shared" si="125"/>
        <v>0</v>
      </c>
      <c r="H174" s="232">
        <f t="shared" si="125"/>
        <v>0</v>
      </c>
      <c r="I174" s="232">
        <f t="shared" si="125"/>
        <v>210</v>
      </c>
      <c r="J174" s="232">
        <f t="shared" si="125"/>
        <v>210</v>
      </c>
      <c r="K174" s="232">
        <f>CHOOSE($C$1,K175,K176,K177)</f>
        <v>210</v>
      </c>
      <c r="L174" s="232">
        <f t="shared" si="125"/>
        <v>210</v>
      </c>
      <c r="M174" s="232">
        <f t="shared" si="125"/>
        <v>230</v>
      </c>
      <c r="N174" s="232">
        <f t="shared" si="125"/>
        <v>230</v>
      </c>
      <c r="O174" s="232">
        <f t="shared" si="125"/>
        <v>230</v>
      </c>
      <c r="P174" s="232">
        <f t="shared" si="125"/>
        <v>230</v>
      </c>
      <c r="Q174" s="232">
        <f t="shared" si="125"/>
        <v>240</v>
      </c>
      <c r="R174" s="232">
        <f t="shared" si="125"/>
        <v>240</v>
      </c>
      <c r="S174" s="232">
        <f t="shared" si="125"/>
        <v>240</v>
      </c>
      <c r="T174" s="232">
        <f t="shared" si="125"/>
        <v>240</v>
      </c>
      <c r="U174" s="232">
        <f t="shared" si="125"/>
        <v>245</v>
      </c>
      <c r="V174" s="232">
        <f t="shared" si="125"/>
        <v>245</v>
      </c>
      <c r="W174" s="232">
        <f t="shared" si="125"/>
        <v>245</v>
      </c>
      <c r="X174" s="232">
        <f t="shared" si="125"/>
        <v>245</v>
      </c>
      <c r="Y174" s="232">
        <f t="shared" si="125"/>
        <v>250</v>
      </c>
      <c r="Z174" s="232">
        <f t="shared" si="125"/>
        <v>250</v>
      </c>
      <c r="AA174" s="232">
        <f t="shared" si="125"/>
        <v>250</v>
      </c>
      <c r="AB174" s="232">
        <f t="shared" si="125"/>
        <v>250</v>
      </c>
      <c r="AC174" s="232">
        <f t="shared" si="125"/>
        <v>255</v>
      </c>
      <c r="AD174" s="232">
        <f t="shared" si="125"/>
        <v>255</v>
      </c>
      <c r="AE174" s="232">
        <f t="shared" si="125"/>
        <v>255</v>
      </c>
      <c r="AF174" s="232">
        <f t="shared" si="125"/>
        <v>255</v>
      </c>
      <c r="AG174" s="232">
        <f t="shared" si="125"/>
        <v>275</v>
      </c>
      <c r="AH174" s="232">
        <f t="shared" si="125"/>
        <v>275</v>
      </c>
      <c r="AI174" s="232">
        <f t="shared" si="125"/>
        <v>275</v>
      </c>
      <c r="AJ174" s="232">
        <f t="shared" si="125"/>
        <v>275</v>
      </c>
      <c r="AK174" s="232">
        <f t="shared" si="125"/>
        <v>300</v>
      </c>
      <c r="AL174" s="232">
        <f t="shared" si="125"/>
        <v>300</v>
      </c>
      <c r="AM174" s="232">
        <f t="shared" si="125"/>
        <v>300</v>
      </c>
      <c r="AN174" s="232">
        <f t="shared" si="125"/>
        <v>300</v>
      </c>
      <c r="AO174" s="232">
        <f t="shared" si="125"/>
        <v>335</v>
      </c>
      <c r="AP174" s="232">
        <f t="shared" si="125"/>
        <v>335</v>
      </c>
      <c r="AQ174" s="232">
        <f t="shared" si="125"/>
        <v>335</v>
      </c>
      <c r="AR174" s="232">
        <f t="shared" si="125"/>
        <v>335</v>
      </c>
      <c r="AS174" s="232">
        <f t="shared" si="125"/>
        <v>360</v>
      </c>
      <c r="AT174" s="232">
        <f t="shared" si="125"/>
        <v>360</v>
      </c>
      <c r="AU174" s="232">
        <f t="shared" si="125"/>
        <v>360</v>
      </c>
      <c r="AV174" s="232">
        <f t="shared" si="125"/>
        <v>360</v>
      </c>
      <c r="AW174" s="232">
        <f t="shared" si="125"/>
        <v>385</v>
      </c>
      <c r="AX174" s="232">
        <f t="shared" si="125"/>
        <v>385</v>
      </c>
      <c r="AY174" s="232">
        <f t="shared" si="125"/>
        <v>385</v>
      </c>
      <c r="AZ174" s="232">
        <f t="shared" si="125"/>
        <v>385</v>
      </c>
      <c r="BB174" s="160"/>
      <c r="BC174" s="192" t="str">
        <f>B174</f>
        <v>Дивиденд, руб. / акцию</v>
      </c>
      <c r="BD174" s="191">
        <f>AVERAGE(I174:J174)*2</f>
        <v>420</v>
      </c>
      <c r="BE174" s="191">
        <f>AVERAGEIF($F$86:$AZ$86,BE$123,$F$174:$AZ$174)*4</f>
        <v>880</v>
      </c>
      <c r="BF174" s="191">
        <f t="shared" ref="BF174:BM174" si="126">AVERAGEIF($F$86:$AZ$86,BF$123,$F$174:$AZ$174)*4</f>
        <v>940</v>
      </c>
      <c r="BG174" s="191">
        <f t="shared" si="126"/>
        <v>970</v>
      </c>
      <c r="BH174" s="191">
        <f t="shared" si="126"/>
        <v>990</v>
      </c>
      <c r="BI174" s="191">
        <f t="shared" si="126"/>
        <v>1010</v>
      </c>
      <c r="BJ174" s="191">
        <f t="shared" si="126"/>
        <v>1060</v>
      </c>
      <c r="BK174" s="191">
        <f t="shared" si="126"/>
        <v>1150</v>
      </c>
      <c r="BL174" s="191">
        <f t="shared" si="126"/>
        <v>1270</v>
      </c>
      <c r="BM174" s="191">
        <f t="shared" si="126"/>
        <v>1390</v>
      </c>
    </row>
    <row r="175" spans="1:65" s="230" customFormat="1" ht="26" hidden="1" outlineLevel="1" x14ac:dyDescent="0.15">
      <c r="A175" s="226"/>
      <c r="B175" s="225" t="s">
        <v>215</v>
      </c>
      <c r="D175" s="226"/>
      <c r="E175" s="231"/>
      <c r="F175" s="228">
        <v>0</v>
      </c>
      <c r="G175" s="232">
        <v>0</v>
      </c>
      <c r="H175" s="232">
        <v>0</v>
      </c>
      <c r="I175" s="232">
        <v>210</v>
      </c>
      <c r="J175" s="232">
        <v>210</v>
      </c>
      <c r="K175" s="232">
        <v>210</v>
      </c>
      <c r="L175" s="232">
        <v>210</v>
      </c>
      <c r="M175" s="232">
        <v>230</v>
      </c>
      <c r="N175" s="232">
        <v>230</v>
      </c>
      <c r="O175" s="232">
        <v>230</v>
      </c>
      <c r="P175" s="232">
        <v>230</v>
      </c>
      <c r="Q175" s="232">
        <v>240</v>
      </c>
      <c r="R175" s="232">
        <v>240</v>
      </c>
      <c r="S175" s="232">
        <v>240</v>
      </c>
      <c r="T175" s="232">
        <v>240</v>
      </c>
      <c r="U175" s="232">
        <v>245</v>
      </c>
      <c r="V175" s="232">
        <v>245</v>
      </c>
      <c r="W175" s="232">
        <v>245</v>
      </c>
      <c r="X175" s="232">
        <v>245</v>
      </c>
      <c r="Y175" s="232">
        <v>250</v>
      </c>
      <c r="Z175" s="232">
        <v>250</v>
      </c>
      <c r="AA175" s="232">
        <v>250</v>
      </c>
      <c r="AB175" s="232">
        <v>250</v>
      </c>
      <c r="AC175" s="232">
        <v>255</v>
      </c>
      <c r="AD175" s="232">
        <v>255</v>
      </c>
      <c r="AE175" s="232">
        <v>255</v>
      </c>
      <c r="AF175" s="232">
        <v>255</v>
      </c>
      <c r="AG175" s="232">
        <v>275</v>
      </c>
      <c r="AH175" s="232">
        <v>275</v>
      </c>
      <c r="AI175" s="232">
        <v>275</v>
      </c>
      <c r="AJ175" s="232">
        <v>275</v>
      </c>
      <c r="AK175" s="232">
        <v>300</v>
      </c>
      <c r="AL175" s="232">
        <v>300</v>
      </c>
      <c r="AM175" s="232">
        <v>300</v>
      </c>
      <c r="AN175" s="232">
        <v>300</v>
      </c>
      <c r="AO175" s="232">
        <v>335</v>
      </c>
      <c r="AP175" s="232">
        <v>335</v>
      </c>
      <c r="AQ175" s="232">
        <v>335</v>
      </c>
      <c r="AR175" s="232">
        <v>335</v>
      </c>
      <c r="AS175" s="232">
        <v>360</v>
      </c>
      <c r="AT175" s="232">
        <v>360</v>
      </c>
      <c r="AU175" s="232">
        <v>360</v>
      </c>
      <c r="AV175" s="232">
        <v>360</v>
      </c>
      <c r="AW175" s="232">
        <v>385</v>
      </c>
      <c r="AX175" s="232">
        <v>385</v>
      </c>
      <c r="AY175" s="232">
        <v>385</v>
      </c>
      <c r="AZ175" s="232">
        <v>385</v>
      </c>
      <c r="BB175" s="160"/>
      <c r="BC175" s="192"/>
      <c r="BD175" s="191"/>
      <c r="BE175" s="191"/>
      <c r="BF175" s="191"/>
      <c r="BG175" s="191"/>
      <c r="BH175" s="191"/>
      <c r="BI175" s="191"/>
      <c r="BJ175" s="191"/>
      <c r="BK175" s="191"/>
      <c r="BL175" s="191"/>
      <c r="BM175" s="191"/>
    </row>
    <row r="176" spans="1:65" s="230" customFormat="1" ht="26" hidden="1" outlineLevel="1" x14ac:dyDescent="0.15">
      <c r="A176" s="226"/>
      <c r="B176" s="225" t="s">
        <v>216</v>
      </c>
      <c r="D176" s="226"/>
      <c r="E176" s="231"/>
      <c r="F176" s="228">
        <v>0</v>
      </c>
      <c r="G176" s="232">
        <v>0</v>
      </c>
      <c r="H176" s="232">
        <v>0</v>
      </c>
      <c r="I176" s="232">
        <v>210</v>
      </c>
      <c r="J176" s="232">
        <v>210</v>
      </c>
      <c r="K176" s="232">
        <v>210</v>
      </c>
      <c r="L176" s="232">
        <v>210</v>
      </c>
      <c r="M176" s="232">
        <v>250</v>
      </c>
      <c r="N176" s="232">
        <v>250</v>
      </c>
      <c r="O176" s="232">
        <v>250</v>
      </c>
      <c r="P176" s="232">
        <v>250</v>
      </c>
      <c r="Q176" s="232">
        <v>270</v>
      </c>
      <c r="R176" s="232">
        <v>270</v>
      </c>
      <c r="S176" s="232">
        <v>270</v>
      </c>
      <c r="T176" s="232">
        <v>270</v>
      </c>
      <c r="U176" s="232">
        <v>285</v>
      </c>
      <c r="V176" s="232">
        <v>285</v>
      </c>
      <c r="W176" s="232">
        <v>285</v>
      </c>
      <c r="X176" s="232">
        <v>285</v>
      </c>
      <c r="Y176" s="232">
        <v>305</v>
      </c>
      <c r="Z176" s="232">
        <v>305</v>
      </c>
      <c r="AA176" s="232">
        <v>305</v>
      </c>
      <c r="AB176" s="232">
        <v>305</v>
      </c>
      <c r="AC176" s="232">
        <v>325</v>
      </c>
      <c r="AD176" s="232">
        <v>325</v>
      </c>
      <c r="AE176" s="232">
        <v>325</v>
      </c>
      <c r="AF176" s="232">
        <v>325</v>
      </c>
      <c r="AG176" s="232">
        <v>385</v>
      </c>
      <c r="AH176" s="232">
        <v>370</v>
      </c>
      <c r="AI176" s="232">
        <v>370</v>
      </c>
      <c r="AJ176" s="232">
        <v>370</v>
      </c>
      <c r="AK176" s="232">
        <v>415</v>
      </c>
      <c r="AL176" s="232">
        <v>415</v>
      </c>
      <c r="AM176" s="232">
        <v>415</v>
      </c>
      <c r="AN176" s="232">
        <v>415</v>
      </c>
      <c r="AO176" s="232">
        <v>490</v>
      </c>
      <c r="AP176" s="232">
        <v>490</v>
      </c>
      <c r="AQ176" s="232">
        <v>490</v>
      </c>
      <c r="AR176" s="232">
        <v>490</v>
      </c>
      <c r="AS176" s="232">
        <v>565</v>
      </c>
      <c r="AT176" s="232">
        <v>565</v>
      </c>
      <c r="AU176" s="232">
        <v>565</v>
      </c>
      <c r="AV176" s="232">
        <v>565</v>
      </c>
      <c r="AW176" s="232">
        <v>640</v>
      </c>
      <c r="AX176" s="232">
        <v>640</v>
      </c>
      <c r="AY176" s="232">
        <v>640</v>
      </c>
      <c r="AZ176" s="232">
        <v>640</v>
      </c>
    </row>
    <row r="177" spans="1:65" s="230" customFormat="1" ht="26" hidden="1" outlineLevel="1" x14ac:dyDescent="0.15">
      <c r="A177" s="226"/>
      <c r="B177" s="225" t="s">
        <v>217</v>
      </c>
      <c r="D177" s="226"/>
      <c r="E177" s="231"/>
      <c r="F177" s="228">
        <v>0</v>
      </c>
      <c r="G177" s="232">
        <v>0</v>
      </c>
      <c r="H177" s="232">
        <v>0</v>
      </c>
      <c r="I177" s="232">
        <v>210</v>
      </c>
      <c r="J177" s="232">
        <v>210</v>
      </c>
      <c r="K177" s="232">
        <v>210</v>
      </c>
      <c r="L177" s="232">
        <v>210</v>
      </c>
      <c r="M177" s="232">
        <v>210</v>
      </c>
      <c r="N177" s="232">
        <v>210</v>
      </c>
      <c r="O177" s="232">
        <v>210</v>
      </c>
      <c r="P177" s="232">
        <v>210</v>
      </c>
      <c r="Q177" s="232">
        <f>M177</f>
        <v>210</v>
      </c>
      <c r="R177" s="232">
        <f t="shared" ref="R177:T177" si="127">N177</f>
        <v>210</v>
      </c>
      <c r="S177" s="232">
        <f t="shared" si="127"/>
        <v>210</v>
      </c>
      <c r="T177" s="232">
        <f t="shared" si="127"/>
        <v>210</v>
      </c>
      <c r="U177" s="232">
        <f t="shared" ref="U177" si="128">Q177</f>
        <v>210</v>
      </c>
      <c r="V177" s="232">
        <f t="shared" ref="V177" si="129">R177</f>
        <v>210</v>
      </c>
      <c r="W177" s="232">
        <f t="shared" ref="W177" si="130">S177</f>
        <v>210</v>
      </c>
      <c r="X177" s="232">
        <f t="shared" ref="X177" si="131">T177</f>
        <v>210</v>
      </c>
      <c r="Y177" s="232">
        <v>225</v>
      </c>
      <c r="Z177" s="232">
        <v>225</v>
      </c>
      <c r="AA177" s="232">
        <v>225</v>
      </c>
      <c r="AB177" s="232">
        <v>225</v>
      </c>
      <c r="AC177" s="232">
        <v>225</v>
      </c>
      <c r="AD177" s="232">
        <v>225</v>
      </c>
      <c r="AE177" s="232">
        <v>225</v>
      </c>
      <c r="AF177" s="232">
        <v>225</v>
      </c>
      <c r="AG177" s="232">
        <v>225</v>
      </c>
      <c r="AH177" s="232">
        <v>225</v>
      </c>
      <c r="AI177" s="232">
        <v>225</v>
      </c>
      <c r="AJ177" s="232">
        <v>225</v>
      </c>
      <c r="AK177" s="232">
        <v>235</v>
      </c>
      <c r="AL177" s="232">
        <v>235</v>
      </c>
      <c r="AM177" s="232">
        <v>235</v>
      </c>
      <c r="AN177" s="232">
        <v>235</v>
      </c>
      <c r="AO177" s="232">
        <v>250</v>
      </c>
      <c r="AP177" s="232">
        <v>250</v>
      </c>
      <c r="AQ177" s="232">
        <v>250</v>
      </c>
      <c r="AR177" s="232">
        <v>250</v>
      </c>
      <c r="AS177" s="232">
        <v>260</v>
      </c>
      <c r="AT177" s="232">
        <v>260</v>
      </c>
      <c r="AU177" s="232">
        <v>260</v>
      </c>
      <c r="AV177" s="232">
        <v>260</v>
      </c>
      <c r="AW177" s="232">
        <v>270</v>
      </c>
      <c r="AX177" s="232">
        <v>270</v>
      </c>
      <c r="AY177" s="232">
        <v>270</v>
      </c>
      <c r="AZ177" s="232">
        <v>270</v>
      </c>
      <c r="BC177" s="192"/>
      <c r="BD177" s="191"/>
      <c r="BE177" s="191"/>
      <c r="BF177" s="191"/>
      <c r="BG177" s="191"/>
      <c r="BH177" s="191"/>
      <c r="BI177" s="191"/>
      <c r="BJ177" s="191"/>
      <c r="BK177" s="191"/>
      <c r="BL177" s="191"/>
      <c r="BM177" s="191"/>
    </row>
    <row r="178" spans="1:65" s="230" customFormat="1" ht="26" hidden="1" outlineLevel="1" collapsed="1" x14ac:dyDescent="0.15">
      <c r="A178" s="226"/>
      <c r="B178" s="225"/>
      <c r="D178" s="226"/>
      <c r="E178" s="231"/>
      <c r="F178" s="228"/>
      <c r="G178" s="232"/>
      <c r="H178" s="232"/>
      <c r="I178" s="232"/>
      <c r="J178" s="232"/>
      <c r="K178" s="232"/>
      <c r="L178" s="232"/>
      <c r="M178" s="232"/>
      <c r="N178" s="232"/>
      <c r="O178" s="232"/>
      <c r="P178" s="232"/>
      <c r="Q178" s="232"/>
      <c r="R178" s="232"/>
      <c r="S178" s="232"/>
      <c r="T178" s="232"/>
      <c r="U178" s="232"/>
      <c r="V178" s="232"/>
      <c r="W178" s="232"/>
      <c r="X178" s="232"/>
      <c r="Y178" s="232"/>
      <c r="Z178" s="232"/>
      <c r="AA178" s="232"/>
      <c r="AB178" s="232"/>
      <c r="AC178" s="232"/>
      <c r="AD178" s="232"/>
      <c r="AE178" s="232"/>
      <c r="AF178" s="232"/>
      <c r="AG178" s="232"/>
      <c r="AH178" s="232"/>
      <c r="AI178" s="232"/>
      <c r="AJ178" s="232"/>
      <c r="AK178" s="232"/>
      <c r="AL178" s="232"/>
      <c r="AM178" s="232"/>
      <c r="AN178" s="232"/>
      <c r="AO178" s="232"/>
      <c r="AP178" s="232"/>
      <c r="AQ178" s="232"/>
      <c r="AR178" s="232"/>
      <c r="AS178" s="232"/>
      <c r="AT178" s="232"/>
      <c r="AU178" s="232"/>
      <c r="AV178" s="232"/>
      <c r="AW178" s="232"/>
      <c r="AX178" s="232"/>
      <c r="AY178" s="232"/>
      <c r="AZ178" s="232"/>
      <c r="BC178" s="192"/>
      <c r="BD178" s="191"/>
      <c r="BE178" s="191"/>
      <c r="BF178" s="191"/>
      <c r="BG178" s="191"/>
      <c r="BH178" s="191"/>
      <c r="BI178" s="191"/>
      <c r="BJ178" s="191"/>
      <c r="BK178" s="191"/>
      <c r="BL178" s="191"/>
      <c r="BM178" s="191"/>
    </row>
    <row r="179" spans="1:65" s="230" customFormat="1" ht="26" hidden="1" outlineLevel="1" x14ac:dyDescent="0.15">
      <c r="A179" s="226"/>
      <c r="B179" s="233" t="s">
        <v>138</v>
      </c>
      <c r="D179" s="226"/>
      <c r="E179" s="231"/>
      <c r="F179" s="234"/>
      <c r="G179" s="235"/>
      <c r="H179" s="235"/>
      <c r="I179" s="235">
        <f>IFERROR(I173/E173-1+SUM(F174:I174)/E173,0)</f>
        <v>0</v>
      </c>
      <c r="J179" s="235">
        <f>IFERROR(J173/F173-1+SUM(G174:J174)/F173,0)</f>
        <v>0.21700000000000005</v>
      </c>
      <c r="K179" s="235">
        <f>IFERROR(K173/G173-1+SUM(H174:K174)/G173,0)</f>
        <v>0.22007088851005591</v>
      </c>
      <c r="L179" s="235">
        <f>IFERROR(L173/H173-1+SUM(I174:L174)/H173,0)</f>
        <v>0.18004270587406923</v>
      </c>
      <c r="M179" s="235">
        <f t="shared" ref="M179:AZ179" si="132">IFERROR(M173/I173-1+SUM(J174:M174)/I173,0)</f>
        <v>0.15581953723273784</v>
      </c>
      <c r="N179" s="235">
        <f t="shared" si="132"/>
        <v>0.18175058242602016</v>
      </c>
      <c r="O179" s="235">
        <f t="shared" si="132"/>
        <v>0.16430005475088644</v>
      </c>
      <c r="P179" s="235">
        <f t="shared" si="132"/>
        <v>0.16476886975880534</v>
      </c>
      <c r="Q179" s="235">
        <f t="shared" si="132"/>
        <v>0.16521877905553717</v>
      </c>
      <c r="R179" s="235">
        <f t="shared" si="132"/>
        <v>0.1656524267592912</v>
      </c>
      <c r="S179" s="235">
        <f t="shared" si="132"/>
        <v>0.16610911605801804</v>
      </c>
      <c r="T179" s="235">
        <f t="shared" si="132"/>
        <v>0.16652157927523206</v>
      </c>
      <c r="U179" s="235">
        <f t="shared" si="132"/>
        <v>0.16676884421102584</v>
      </c>
      <c r="V179" s="235">
        <f t="shared" si="132"/>
        <v>0.1670082891749379</v>
      </c>
      <c r="W179" s="235">
        <f t="shared" si="132"/>
        <v>0.16727942417841724</v>
      </c>
      <c r="X179" s="235">
        <f t="shared" si="132"/>
        <v>0.16751233749050343</v>
      </c>
      <c r="Y179" s="235">
        <f t="shared" si="132"/>
        <v>0.16751784257389785</v>
      </c>
      <c r="Z179" s="235">
        <f t="shared" si="132"/>
        <v>0.16752671475117697</v>
      </c>
      <c r="AA179" s="235">
        <f t="shared" si="132"/>
        <v>0.16757772721205211</v>
      </c>
      <c r="AB179" s="235">
        <f t="shared" si="132"/>
        <v>0.16759939420554754</v>
      </c>
      <c r="AC179" s="235">
        <f t="shared" si="132"/>
        <v>0.16704254880038685</v>
      </c>
      <c r="AD179" s="235">
        <f t="shared" si="132"/>
        <v>0.16512896001999122</v>
      </c>
      <c r="AE179" s="235">
        <f t="shared" si="132"/>
        <v>0.16344516337695592</v>
      </c>
      <c r="AF179" s="235">
        <f t="shared" si="132"/>
        <v>0.16174582305315166</v>
      </c>
      <c r="AG179" s="235">
        <f t="shared" si="132"/>
        <v>0.16004985136802197</v>
      </c>
      <c r="AH179" s="235">
        <f t="shared" si="132"/>
        <v>0.1599080688638409</v>
      </c>
      <c r="AI179" s="235">
        <f t="shared" si="132"/>
        <v>0.15980527591866292</v>
      </c>
      <c r="AJ179" s="235">
        <f t="shared" si="132"/>
        <v>0.15968669607636138</v>
      </c>
      <c r="AK179" s="235">
        <f t="shared" si="132"/>
        <v>0.15950598595293863</v>
      </c>
      <c r="AL179" s="235">
        <f t="shared" si="132"/>
        <v>0.15933705713121529</v>
      </c>
      <c r="AM179" s="235">
        <f t="shared" si="132"/>
        <v>0.1592079766936832</v>
      </c>
      <c r="AN179" s="235">
        <f t="shared" si="132"/>
        <v>0.15906441813624445</v>
      </c>
      <c r="AO179" s="235">
        <f t="shared" si="132"/>
        <v>0.15888299759287583</v>
      </c>
      <c r="AP179" s="235">
        <f t="shared" si="132"/>
        <v>0.15871336507997269</v>
      </c>
      <c r="AQ179" s="235">
        <f t="shared" si="132"/>
        <v>0.15858309242192023</v>
      </c>
      <c r="AR179" s="235">
        <f t="shared" si="132"/>
        <v>0.1584384727949949</v>
      </c>
      <c r="AS179" s="235">
        <f t="shared" si="132"/>
        <v>0.15830520251096813</v>
      </c>
      <c r="AT179" s="235">
        <f t="shared" si="132"/>
        <v>0.15818120236910288</v>
      </c>
      <c r="AU179" s="235">
        <f t="shared" si="132"/>
        <v>0.15809384388712172</v>
      </c>
      <c r="AV179" s="235">
        <f t="shared" si="132"/>
        <v>0.15819624621183051</v>
      </c>
      <c r="AW179" s="235">
        <f t="shared" si="132"/>
        <v>0.15568876342258492</v>
      </c>
      <c r="AX179" s="235">
        <f t="shared" si="132"/>
        <v>0.15398866633687258</v>
      </c>
      <c r="AY179" s="235">
        <f t="shared" si="132"/>
        <v>0.15359487203664474</v>
      </c>
      <c r="AZ179" s="235">
        <f t="shared" si="132"/>
        <v>0.1531899602425717</v>
      </c>
      <c r="BC179" s="192"/>
      <c r="BF179" s="235"/>
      <c r="BG179" s="235"/>
      <c r="BH179" s="235"/>
      <c r="BI179" s="235"/>
      <c r="BJ179" s="235"/>
      <c r="BK179" s="235"/>
      <c r="BL179" s="235"/>
      <c r="BM179" s="235"/>
    </row>
    <row r="180" spans="1:65" s="268" customFormat="1" ht="26" collapsed="1" x14ac:dyDescent="0.15">
      <c r="A180" s="184"/>
      <c r="B180" s="257"/>
      <c r="D180" s="184"/>
      <c r="E180" s="269"/>
      <c r="F180" s="236"/>
      <c r="G180" s="213"/>
      <c r="H180" s="213"/>
      <c r="I180" s="213"/>
      <c r="J180" s="213"/>
      <c r="K180" s="213"/>
      <c r="L180" s="213"/>
      <c r="M180" s="213"/>
      <c r="N180" s="213"/>
      <c r="O180" s="213"/>
      <c r="P180" s="213"/>
      <c r="Q180" s="213"/>
      <c r="R180" s="213"/>
      <c r="S180" s="213"/>
      <c r="T180" s="213"/>
      <c r="U180" s="213"/>
      <c r="V180" s="213"/>
      <c r="W180" s="213"/>
      <c r="X180" s="213"/>
      <c r="Y180" s="213"/>
      <c r="Z180" s="213"/>
      <c r="AA180" s="213"/>
      <c r="AB180" s="213"/>
      <c r="AC180" s="213"/>
      <c r="AD180" s="213"/>
      <c r="AE180" s="213"/>
      <c r="AF180" s="213"/>
      <c r="AG180" s="213"/>
      <c r="AH180" s="213"/>
      <c r="AI180" s="213"/>
      <c r="AJ180" s="213"/>
      <c r="AK180" s="213"/>
      <c r="AL180" s="213"/>
      <c r="AM180" s="213"/>
      <c r="AN180" s="213"/>
      <c r="AO180" s="213"/>
      <c r="AP180" s="213"/>
      <c r="AQ180" s="213"/>
      <c r="AR180" s="213"/>
      <c r="AS180" s="213"/>
      <c r="AT180" s="213"/>
      <c r="AU180" s="213"/>
      <c r="AV180" s="213"/>
      <c r="AW180" s="213"/>
      <c r="AX180" s="213"/>
      <c r="AY180" s="213"/>
      <c r="AZ180" s="213"/>
      <c r="BB180" s="230"/>
      <c r="BC180" s="270"/>
      <c r="BD180" s="270"/>
      <c r="BE180" s="270"/>
      <c r="BF180" s="270"/>
      <c r="BG180" s="270"/>
      <c r="BH180" s="270"/>
      <c r="BI180" s="270"/>
      <c r="BJ180" s="270"/>
      <c r="BK180" s="270"/>
      <c r="BL180" s="270"/>
      <c r="BM180" s="270"/>
    </row>
    <row r="181" spans="1:65" s="166" customFormat="1" ht="26" x14ac:dyDescent="0.15">
      <c r="A181" s="160"/>
      <c r="B181" s="243" t="s">
        <v>27</v>
      </c>
      <c r="C181" s="243"/>
      <c r="D181" s="243"/>
      <c r="E181" s="271"/>
      <c r="F181" s="237">
        <v>0</v>
      </c>
      <c r="G181" s="180">
        <v>0</v>
      </c>
      <c r="H181" s="180">
        <v>0</v>
      </c>
      <c r="I181" s="180">
        <f t="shared" ref="I181:AZ181" si="133">I174*I172</f>
        <v>4267055.3191489363</v>
      </c>
      <c r="J181" s="180">
        <f t="shared" si="133"/>
        <v>5039140.4255319145</v>
      </c>
      <c r="K181" s="180">
        <f t="shared" si="133"/>
        <v>5039140.4255319145</v>
      </c>
      <c r="L181" s="180">
        <f t="shared" si="133"/>
        <v>5039140.4255319145</v>
      </c>
      <c r="M181" s="180">
        <f t="shared" si="133"/>
        <v>5519058.5612968588</v>
      </c>
      <c r="N181" s="180">
        <f t="shared" si="133"/>
        <v>5519058.5612968588</v>
      </c>
      <c r="O181" s="180">
        <f t="shared" si="133"/>
        <v>5519058.5612968588</v>
      </c>
      <c r="P181" s="180">
        <f t="shared" si="133"/>
        <v>5519058.5612968588</v>
      </c>
      <c r="Q181" s="180">
        <f t="shared" si="133"/>
        <v>5759017.6291793305</v>
      </c>
      <c r="R181" s="180">
        <f t="shared" si="133"/>
        <v>5759017.6291793305</v>
      </c>
      <c r="S181" s="180">
        <f t="shared" si="133"/>
        <v>5759017.6291793305</v>
      </c>
      <c r="T181" s="180">
        <f t="shared" si="133"/>
        <v>5759017.6291793305</v>
      </c>
      <c r="U181" s="180">
        <f t="shared" si="133"/>
        <v>5878997.1631205669</v>
      </c>
      <c r="V181" s="180">
        <f t="shared" si="133"/>
        <v>5878997.1631205669</v>
      </c>
      <c r="W181" s="180">
        <f t="shared" si="133"/>
        <v>5878997.1631205669</v>
      </c>
      <c r="X181" s="180">
        <f t="shared" si="133"/>
        <v>5878997.1631205669</v>
      </c>
      <c r="Y181" s="180">
        <f t="shared" si="133"/>
        <v>5998976.6970618032</v>
      </c>
      <c r="Z181" s="180">
        <f t="shared" si="133"/>
        <v>5998976.6970618032</v>
      </c>
      <c r="AA181" s="180">
        <f t="shared" si="133"/>
        <v>5998976.6970618032</v>
      </c>
      <c r="AB181" s="180">
        <f t="shared" si="133"/>
        <v>5998976.6970618032</v>
      </c>
      <c r="AC181" s="180">
        <f t="shared" si="133"/>
        <v>6118956.2310030386</v>
      </c>
      <c r="AD181" s="180">
        <f t="shared" si="133"/>
        <v>6118956.2310030386</v>
      </c>
      <c r="AE181" s="180">
        <f t="shared" si="133"/>
        <v>6118956.2310030386</v>
      </c>
      <c r="AF181" s="180">
        <f t="shared" si="133"/>
        <v>6118956.2310030386</v>
      </c>
      <c r="AG181" s="180">
        <f t="shared" si="133"/>
        <v>6598874.366767983</v>
      </c>
      <c r="AH181" s="180">
        <f t="shared" si="133"/>
        <v>6598874.366767983</v>
      </c>
      <c r="AI181" s="180">
        <f t="shared" si="133"/>
        <v>6598874.366767983</v>
      </c>
      <c r="AJ181" s="180">
        <f t="shared" si="133"/>
        <v>6598874.366767983</v>
      </c>
      <c r="AK181" s="180">
        <f t="shared" si="133"/>
        <v>7198772.0364741636</v>
      </c>
      <c r="AL181" s="180">
        <f t="shared" si="133"/>
        <v>7198772.0364741636</v>
      </c>
      <c r="AM181" s="180">
        <f t="shared" si="133"/>
        <v>7198772.0364741636</v>
      </c>
      <c r="AN181" s="180">
        <f t="shared" si="133"/>
        <v>7198772.0364741636</v>
      </c>
      <c r="AO181" s="180">
        <f t="shared" si="133"/>
        <v>8038628.7740628161</v>
      </c>
      <c r="AP181" s="180">
        <f t="shared" si="133"/>
        <v>8038628.7740628161</v>
      </c>
      <c r="AQ181" s="180">
        <f t="shared" si="133"/>
        <v>8038628.7740628161</v>
      </c>
      <c r="AR181" s="180">
        <f t="shared" si="133"/>
        <v>8038628.7740628161</v>
      </c>
      <c r="AS181" s="180">
        <f t="shared" si="133"/>
        <v>8638526.4437689967</v>
      </c>
      <c r="AT181" s="180">
        <f t="shared" si="133"/>
        <v>8638526.4437689967</v>
      </c>
      <c r="AU181" s="180">
        <f t="shared" si="133"/>
        <v>8638526.4437689967</v>
      </c>
      <c r="AV181" s="180">
        <f t="shared" si="133"/>
        <v>8638526.4437689967</v>
      </c>
      <c r="AW181" s="180">
        <f t="shared" si="133"/>
        <v>9238424.1134751774</v>
      </c>
      <c r="AX181" s="180">
        <f t="shared" si="133"/>
        <v>9238424.1134751774</v>
      </c>
      <c r="AY181" s="180">
        <f t="shared" si="133"/>
        <v>9238424.1134751774</v>
      </c>
      <c r="AZ181" s="180">
        <f t="shared" si="133"/>
        <v>9238424.1134751774</v>
      </c>
      <c r="BB181" s="230"/>
      <c r="BC181" s="194" t="str">
        <f>B181</f>
        <v>Дивиденды</v>
      </c>
      <c r="BD181" s="193">
        <f>SUMIF($F$86:$AZ$86,BD$123,$F181:$AZ181)</f>
        <v>9306195.7446808517</v>
      </c>
      <c r="BE181" s="193">
        <f>SUMIF($F$86:$AZ$86,BE$123,$F181:$AZ181)</f>
        <v>21116397.973657545</v>
      </c>
      <c r="BF181" s="193">
        <f t="shared" ref="BF181:BM181" si="134">SUMIF($F$86:$AZ$86,BF$123,$F181:$AZ181)</f>
        <v>22556152.380952381</v>
      </c>
      <c r="BG181" s="193">
        <f t="shared" si="134"/>
        <v>23276029.584599797</v>
      </c>
      <c r="BH181" s="193">
        <f t="shared" si="134"/>
        <v>23755947.720364738</v>
      </c>
      <c r="BI181" s="193">
        <f>SUMIF($F$86:$AZ$86,BI$123,$F181:$AZ181)</f>
        <v>24235865.856129684</v>
      </c>
      <c r="BJ181" s="193">
        <f t="shared" si="134"/>
        <v>25435661.195542045</v>
      </c>
      <c r="BK181" s="193">
        <f t="shared" si="134"/>
        <v>27595292.806484293</v>
      </c>
      <c r="BL181" s="193">
        <f t="shared" si="134"/>
        <v>30474801.621073958</v>
      </c>
      <c r="BM181" s="193">
        <f t="shared" si="134"/>
        <v>33354310.435663626</v>
      </c>
    </row>
    <row r="182" spans="1:65" s="255" customFormat="1" ht="26" hidden="1" x14ac:dyDescent="0.15">
      <c r="A182" s="160"/>
      <c r="B182" s="272"/>
      <c r="C182" s="273"/>
      <c r="D182" s="166"/>
      <c r="E182" s="274"/>
      <c r="F182" s="238"/>
      <c r="G182" s="239"/>
      <c r="H182" s="239"/>
      <c r="I182" s="239"/>
      <c r="J182" s="239"/>
      <c r="K182" s="239"/>
      <c r="L182" s="240"/>
      <c r="M182" s="240"/>
      <c r="N182" s="240"/>
      <c r="O182" s="240"/>
      <c r="P182" s="240"/>
      <c r="Q182" s="240"/>
      <c r="R182" s="240"/>
      <c r="S182" s="240"/>
      <c r="T182" s="240"/>
      <c r="U182" s="240"/>
      <c r="V182" s="240"/>
      <c r="W182" s="240"/>
      <c r="X182" s="239"/>
      <c r="Y182" s="239"/>
      <c r="Z182" s="239"/>
      <c r="AA182" s="239"/>
      <c r="AB182" s="239"/>
      <c r="AC182" s="239"/>
      <c r="AD182" s="239"/>
      <c r="AE182" s="239"/>
      <c r="AF182" s="239"/>
      <c r="AG182" s="239"/>
      <c r="AH182" s="239"/>
      <c r="AI182" s="239"/>
      <c r="AJ182" s="239"/>
      <c r="AK182" s="239"/>
      <c r="AL182" s="239"/>
      <c r="AM182" s="239"/>
      <c r="AN182" s="239"/>
      <c r="AO182" s="239"/>
      <c r="AP182" s="239"/>
      <c r="AQ182" s="239"/>
      <c r="AR182" s="239"/>
      <c r="AS182" s="239"/>
      <c r="AT182" s="239"/>
      <c r="AU182" s="239"/>
      <c r="AV182" s="239"/>
      <c r="AW182" s="239"/>
      <c r="AX182" s="239"/>
      <c r="AY182" s="239"/>
      <c r="AZ182" s="239"/>
      <c r="BB182" s="230"/>
      <c r="BC182" s="252" t="s">
        <v>156</v>
      </c>
      <c r="BD182" s="253">
        <f>BD174/10000*2</f>
        <v>8.4000000000000005E-2</v>
      </c>
      <c r="BE182" s="253">
        <f t="shared" ref="BE182:BM182" si="135">BE174/10000</f>
        <v>8.7999999999999995E-2</v>
      </c>
      <c r="BF182" s="253">
        <f t="shared" si="135"/>
        <v>9.4E-2</v>
      </c>
      <c r="BG182" s="253">
        <f t="shared" si="135"/>
        <v>9.7000000000000003E-2</v>
      </c>
      <c r="BH182" s="253">
        <f t="shared" si="135"/>
        <v>9.9000000000000005E-2</v>
      </c>
      <c r="BI182" s="253">
        <f t="shared" si="135"/>
        <v>0.10100000000000001</v>
      </c>
      <c r="BJ182" s="253">
        <f t="shared" si="135"/>
        <v>0.106</v>
      </c>
      <c r="BK182" s="253">
        <f t="shared" si="135"/>
        <v>0.115</v>
      </c>
      <c r="BL182" s="253">
        <f t="shared" si="135"/>
        <v>0.127</v>
      </c>
      <c r="BM182" s="253">
        <f t="shared" si="135"/>
        <v>0.13900000000000001</v>
      </c>
    </row>
    <row r="183" spans="1:65" s="268" customFormat="1" ht="26" hidden="1" x14ac:dyDescent="0.15">
      <c r="A183" s="184"/>
      <c r="B183" s="275" t="s">
        <v>38</v>
      </c>
      <c r="D183" s="184"/>
      <c r="E183" s="269"/>
      <c r="F183" s="236"/>
      <c r="G183" s="213"/>
      <c r="H183" s="213"/>
      <c r="I183" s="213">
        <f t="shared" ref="I183:AZ183" si="136">I174/$C$70*4</f>
        <v>8.4000000000000005E-2</v>
      </c>
      <c r="J183" s="213">
        <f t="shared" si="136"/>
        <v>8.4000000000000005E-2</v>
      </c>
      <c r="K183" s="213">
        <f t="shared" si="136"/>
        <v>8.4000000000000005E-2</v>
      </c>
      <c r="L183" s="213">
        <f t="shared" si="136"/>
        <v>8.4000000000000005E-2</v>
      </c>
      <c r="M183" s="213">
        <f t="shared" si="136"/>
        <v>9.1999999999999998E-2</v>
      </c>
      <c r="N183" s="213">
        <f t="shared" si="136"/>
        <v>9.1999999999999998E-2</v>
      </c>
      <c r="O183" s="213">
        <f t="shared" si="136"/>
        <v>9.1999999999999998E-2</v>
      </c>
      <c r="P183" s="213">
        <f t="shared" si="136"/>
        <v>9.1999999999999998E-2</v>
      </c>
      <c r="Q183" s="213">
        <f t="shared" si="136"/>
        <v>9.6000000000000002E-2</v>
      </c>
      <c r="R183" s="213">
        <f t="shared" si="136"/>
        <v>9.6000000000000002E-2</v>
      </c>
      <c r="S183" s="213">
        <f t="shared" si="136"/>
        <v>9.6000000000000002E-2</v>
      </c>
      <c r="T183" s="213">
        <f t="shared" si="136"/>
        <v>9.6000000000000002E-2</v>
      </c>
      <c r="U183" s="213">
        <f t="shared" si="136"/>
        <v>9.8000000000000004E-2</v>
      </c>
      <c r="V183" s="213">
        <f t="shared" si="136"/>
        <v>9.8000000000000004E-2</v>
      </c>
      <c r="W183" s="213">
        <f t="shared" si="136"/>
        <v>9.8000000000000004E-2</v>
      </c>
      <c r="X183" s="213">
        <f t="shared" si="136"/>
        <v>9.8000000000000004E-2</v>
      </c>
      <c r="Y183" s="213">
        <f t="shared" si="136"/>
        <v>0.1</v>
      </c>
      <c r="Z183" s="213">
        <f t="shared" si="136"/>
        <v>0.1</v>
      </c>
      <c r="AA183" s="213">
        <f t="shared" si="136"/>
        <v>0.1</v>
      </c>
      <c r="AB183" s="213">
        <f t="shared" si="136"/>
        <v>0.1</v>
      </c>
      <c r="AC183" s="213">
        <f t="shared" si="136"/>
        <v>0.10199999999999999</v>
      </c>
      <c r="AD183" s="213">
        <f t="shared" si="136"/>
        <v>0.10199999999999999</v>
      </c>
      <c r="AE183" s="213">
        <f t="shared" si="136"/>
        <v>0.10199999999999999</v>
      </c>
      <c r="AF183" s="213">
        <f t="shared" si="136"/>
        <v>0.10199999999999999</v>
      </c>
      <c r="AG183" s="213">
        <f t="shared" si="136"/>
        <v>0.11</v>
      </c>
      <c r="AH183" s="213">
        <f t="shared" si="136"/>
        <v>0.11</v>
      </c>
      <c r="AI183" s="213">
        <f t="shared" si="136"/>
        <v>0.11</v>
      </c>
      <c r="AJ183" s="213">
        <f t="shared" si="136"/>
        <v>0.11</v>
      </c>
      <c r="AK183" s="213">
        <f t="shared" si="136"/>
        <v>0.12</v>
      </c>
      <c r="AL183" s="213">
        <f t="shared" si="136"/>
        <v>0.12</v>
      </c>
      <c r="AM183" s="213">
        <f t="shared" si="136"/>
        <v>0.12</v>
      </c>
      <c r="AN183" s="213">
        <f t="shared" si="136"/>
        <v>0.12</v>
      </c>
      <c r="AO183" s="213">
        <f t="shared" si="136"/>
        <v>0.13400000000000001</v>
      </c>
      <c r="AP183" s="213">
        <f t="shared" si="136"/>
        <v>0.13400000000000001</v>
      </c>
      <c r="AQ183" s="213">
        <f t="shared" si="136"/>
        <v>0.13400000000000001</v>
      </c>
      <c r="AR183" s="213">
        <f t="shared" si="136"/>
        <v>0.13400000000000001</v>
      </c>
      <c r="AS183" s="213">
        <f t="shared" si="136"/>
        <v>0.14399999999999999</v>
      </c>
      <c r="AT183" s="213">
        <f t="shared" si="136"/>
        <v>0.14399999999999999</v>
      </c>
      <c r="AU183" s="213">
        <f t="shared" si="136"/>
        <v>0.14399999999999999</v>
      </c>
      <c r="AV183" s="213">
        <f t="shared" si="136"/>
        <v>0.14399999999999999</v>
      </c>
      <c r="AW183" s="213">
        <f t="shared" si="136"/>
        <v>0.154</v>
      </c>
      <c r="AX183" s="213">
        <f t="shared" si="136"/>
        <v>0.154</v>
      </c>
      <c r="AY183" s="213">
        <f t="shared" si="136"/>
        <v>0.154</v>
      </c>
      <c r="AZ183" s="213">
        <f t="shared" si="136"/>
        <v>0.154</v>
      </c>
      <c r="BB183" s="230"/>
      <c r="BC183" s="270"/>
      <c r="BD183" s="270"/>
      <c r="BE183" s="270"/>
      <c r="BF183" s="270"/>
      <c r="BG183" s="270"/>
      <c r="BH183" s="270"/>
      <c r="BI183" s="270"/>
      <c r="BJ183" s="270"/>
      <c r="BK183" s="276"/>
      <c r="BL183" s="270"/>
      <c r="BM183" s="270"/>
    </row>
    <row r="184" spans="1:65" s="255" customFormat="1" ht="26" hidden="1" x14ac:dyDescent="0.15">
      <c r="A184" s="160"/>
      <c r="B184" s="254"/>
      <c r="D184" s="160"/>
      <c r="E184" s="256"/>
      <c r="F184" s="212"/>
      <c r="G184" s="213"/>
      <c r="H184" s="213"/>
      <c r="I184" s="213"/>
      <c r="J184" s="213"/>
      <c r="K184" s="213"/>
      <c r="L184" s="213"/>
      <c r="M184" s="213"/>
      <c r="N184" s="213"/>
      <c r="O184" s="213"/>
      <c r="P184" s="213"/>
      <c r="Q184" s="213"/>
      <c r="R184" s="213"/>
      <c r="S184" s="213"/>
      <c r="T184" s="213"/>
      <c r="U184" s="213"/>
      <c r="V184" s="213"/>
      <c r="W184" s="213"/>
      <c r="X184" s="213"/>
      <c r="Y184" s="213"/>
      <c r="Z184" s="213"/>
      <c r="AA184" s="213"/>
      <c r="AB184" s="213"/>
      <c r="AC184" s="213"/>
      <c r="AD184" s="213"/>
      <c r="AE184" s="213"/>
      <c r="AF184" s="213"/>
      <c r="AG184" s="213"/>
      <c r="AH184" s="213"/>
      <c r="AI184" s="213"/>
      <c r="AJ184" s="213"/>
      <c r="AK184" s="213"/>
      <c r="AL184" s="213"/>
      <c r="AM184" s="213"/>
      <c r="AN184" s="213"/>
      <c r="AO184" s="213"/>
      <c r="AP184" s="213"/>
      <c r="AQ184" s="213"/>
      <c r="AR184" s="213"/>
      <c r="AS184" s="213"/>
      <c r="AT184" s="213"/>
      <c r="AU184" s="213"/>
      <c r="AV184" s="213"/>
      <c r="AW184" s="213"/>
      <c r="AX184" s="213"/>
      <c r="AY184" s="213"/>
      <c r="AZ184" s="213"/>
      <c r="BB184" s="230"/>
      <c r="BC184" s="252"/>
      <c r="BD184" s="252"/>
      <c r="BE184" s="252"/>
      <c r="BF184" s="252"/>
      <c r="BG184" s="252"/>
      <c r="BH184" s="252"/>
      <c r="BI184" s="252"/>
      <c r="BJ184" s="252"/>
      <c r="BK184" s="252"/>
      <c r="BL184" s="252"/>
      <c r="BM184" s="252"/>
    </row>
    <row r="185" spans="1:65" s="241" customFormat="1" ht="26" hidden="1" x14ac:dyDescent="0.15">
      <c r="A185" s="160"/>
      <c r="B185" s="160" t="s">
        <v>28</v>
      </c>
      <c r="C185" s="160"/>
      <c r="D185" s="160"/>
      <c r="E185" s="160"/>
      <c r="F185" s="171"/>
      <c r="G185" s="223">
        <f>F187</f>
        <v>1421350.7499999907</v>
      </c>
      <c r="H185" s="223">
        <f>G187</f>
        <v>20681498.667549178</v>
      </c>
      <c r="I185" s="223">
        <f>H187</f>
        <v>3884061.3647492938</v>
      </c>
      <c r="J185" s="223">
        <f>I187</f>
        <v>6329187.534884884</v>
      </c>
      <c r="K185" s="223">
        <f>J187</f>
        <v>11678451.088009061</v>
      </c>
      <c r="L185" s="223">
        <f t="shared" ref="L185:AT185" si="137">K187</f>
        <v>10676579.001802176</v>
      </c>
      <c r="M185" s="223">
        <f t="shared" si="137"/>
        <v>9732254.1214696299</v>
      </c>
      <c r="N185" s="223">
        <f t="shared" si="137"/>
        <v>8799514.8258191198</v>
      </c>
      <c r="O185" s="223">
        <f t="shared" si="137"/>
        <v>7849754.2645211956</v>
      </c>
      <c r="P185" s="223">
        <f t="shared" si="137"/>
        <v>6707425.8642249359</v>
      </c>
      <c r="Q185" s="223">
        <f t="shared" si="137"/>
        <v>5707807.423487653</v>
      </c>
      <c r="R185" s="223">
        <f t="shared" si="137"/>
        <v>5008853.6455431692</v>
      </c>
      <c r="S185" s="223">
        <f t="shared" si="137"/>
        <v>4291146.1135701239</v>
      </c>
      <c r="T185" s="223">
        <f t="shared" si="137"/>
        <v>3361503.6886012536</v>
      </c>
      <c r="U185" s="223">
        <f t="shared" si="137"/>
        <v>2590006.1393791931</v>
      </c>
      <c r="V185" s="223">
        <f t="shared" si="137"/>
        <v>2293184.039096877</v>
      </c>
      <c r="W185" s="223">
        <f t="shared" si="137"/>
        <v>1975701.6885213275</v>
      </c>
      <c r="X185" s="223">
        <f t="shared" si="137"/>
        <v>1424981.5176674612</v>
      </c>
      <c r="Y185" s="223">
        <f t="shared" si="137"/>
        <v>1049413.7283728169</v>
      </c>
      <c r="Z185" s="223">
        <f t="shared" si="137"/>
        <v>1207954.9874226544</v>
      </c>
      <c r="AA185" s="223">
        <f t="shared" si="137"/>
        <v>1343738.0722665731</v>
      </c>
      <c r="AB185" s="223">
        <f t="shared" si="137"/>
        <v>1222851.1491824053</v>
      </c>
      <c r="AC185" s="223">
        <f t="shared" si="137"/>
        <v>1295854.689507057</v>
      </c>
      <c r="AD185" s="223">
        <f t="shared" si="137"/>
        <v>1824669.328583207</v>
      </c>
      <c r="AE185" s="223">
        <f t="shared" si="137"/>
        <v>1753499.5831295811</v>
      </c>
      <c r="AF185" s="223">
        <f t="shared" si="137"/>
        <v>1440234.8367411233</v>
      </c>
      <c r="AG185" s="223">
        <f t="shared" si="137"/>
        <v>1310855.4542404246</v>
      </c>
      <c r="AH185" s="223">
        <f t="shared" si="137"/>
        <v>1379881.6829551188</v>
      </c>
      <c r="AI185" s="223">
        <f t="shared" si="137"/>
        <v>1425244.8797745416</v>
      </c>
      <c r="AJ185" s="223">
        <f t="shared" si="137"/>
        <v>1204212.9897514144</v>
      </c>
      <c r="AK185" s="223">
        <f t="shared" si="137"/>
        <v>1186556.2144239657</v>
      </c>
      <c r="AL185" s="223">
        <f t="shared" si="137"/>
        <v>1315128.4468329037</v>
      </c>
      <c r="AM185" s="223">
        <f t="shared" si="137"/>
        <v>1417641.8999212356</v>
      </c>
      <c r="AN185" s="223">
        <f t="shared" si="137"/>
        <v>1227031.6461293092</v>
      </c>
      <c r="AO185" s="223">
        <f t="shared" si="137"/>
        <v>1261262.7632822497</v>
      </c>
      <c r="AP185" s="223">
        <f t="shared" si="137"/>
        <v>1276346.3076916598</v>
      </c>
      <c r="AQ185" s="223">
        <f t="shared" si="137"/>
        <v>1262735.0145067051</v>
      </c>
      <c r="AR185" s="223">
        <f t="shared" si="137"/>
        <v>926600.2306776233</v>
      </c>
      <c r="AS185" s="223">
        <f t="shared" si="137"/>
        <v>838947.918287009</v>
      </c>
      <c r="AT185" s="223">
        <f t="shared" si="137"/>
        <v>1054147.0826696064</v>
      </c>
      <c r="AU185" s="223">
        <f t="shared" ref="AU185" si="138">AT187</f>
        <v>1237750.9908481576</v>
      </c>
      <c r="AV185" s="223">
        <f t="shared" ref="AV185" si="139">AU187</f>
        <v>1066493.5832799487</v>
      </c>
      <c r="AW185" s="223">
        <f t="shared" ref="AW185" si="140">AV187</f>
        <v>1169752.7817781474</v>
      </c>
      <c r="AX185" s="223">
        <f t="shared" ref="AX185" si="141">AW187</f>
        <v>1665856.4305480402</v>
      </c>
      <c r="AY185" s="223">
        <f t="shared" ref="AY185" si="142">AX187</f>
        <v>2130078.0746773835</v>
      </c>
      <c r="AZ185" s="223">
        <f t="shared" ref="AZ185" si="143">AY187</f>
        <v>2207037.9186540879</v>
      </c>
      <c r="BB185" s="230"/>
      <c r="BC185" s="242"/>
      <c r="BD185" s="242"/>
      <c r="BE185" s="242"/>
      <c r="BF185" s="242"/>
      <c r="BG185" s="242"/>
      <c r="BH185" s="242"/>
      <c r="BI185" s="242"/>
      <c r="BJ185" s="242"/>
      <c r="BK185" s="242"/>
      <c r="BL185" s="242"/>
      <c r="BM185" s="242"/>
    </row>
    <row r="186" spans="1:65" s="241" customFormat="1" ht="26" hidden="1" x14ac:dyDescent="0.15">
      <c r="A186" s="160"/>
      <c r="B186" s="160" t="s">
        <v>29</v>
      </c>
      <c r="C186" s="160"/>
      <c r="D186" s="160"/>
      <c r="E186" s="160"/>
      <c r="F186" s="277"/>
      <c r="G186" s="223">
        <f>G187-G185</f>
        <v>19260147.917549185</v>
      </c>
      <c r="H186" s="223">
        <f>H187-H185</f>
        <v>-16797437.302799884</v>
      </c>
      <c r="I186" s="223">
        <f>I187-I185</f>
        <v>2445126.1701355902</v>
      </c>
      <c r="J186" s="223">
        <f>J187-J185</f>
        <v>5349263.5531241773</v>
      </c>
      <c r="K186" s="223">
        <f>K187-K185</f>
        <v>-1001872.0862068851</v>
      </c>
      <c r="L186" s="223">
        <f t="shared" ref="L186:AT186" si="144">L187-L185</f>
        <v>-944324.88033254631</v>
      </c>
      <c r="M186" s="223">
        <f t="shared" si="144"/>
        <v>-932739.29565051012</v>
      </c>
      <c r="N186" s="223">
        <f t="shared" si="144"/>
        <v>-949760.56129792426</v>
      </c>
      <c r="O186" s="223">
        <f t="shared" si="144"/>
        <v>-1142328.4002962597</v>
      </c>
      <c r="P186" s="223">
        <f t="shared" si="144"/>
        <v>-999618.44073728286</v>
      </c>
      <c r="Q186" s="223">
        <f t="shared" si="144"/>
        <v>-698953.77794448379</v>
      </c>
      <c r="R186" s="223">
        <f t="shared" si="144"/>
        <v>-717707.53197304532</v>
      </c>
      <c r="S186" s="223">
        <f t="shared" si="144"/>
        <v>-929642.42496887036</v>
      </c>
      <c r="T186" s="223">
        <f t="shared" si="144"/>
        <v>-771497.54922206048</v>
      </c>
      <c r="U186" s="223">
        <f t="shared" si="144"/>
        <v>-296822.1002823161</v>
      </c>
      <c r="V186" s="223">
        <f t="shared" si="144"/>
        <v>-317482.35057554953</v>
      </c>
      <c r="W186" s="223">
        <f t="shared" si="144"/>
        <v>-550720.17085386626</v>
      </c>
      <c r="X186" s="223">
        <f t="shared" si="144"/>
        <v>-375567.78929464426</v>
      </c>
      <c r="Y186" s="223">
        <f t="shared" si="144"/>
        <v>158541.25904983748</v>
      </c>
      <c r="Z186" s="223">
        <f t="shared" si="144"/>
        <v>135783.08484391868</v>
      </c>
      <c r="AA186" s="223">
        <f t="shared" si="144"/>
        <v>-120886.92308416776</v>
      </c>
      <c r="AB186" s="223">
        <f t="shared" si="144"/>
        <v>73003.540324651636</v>
      </c>
      <c r="AC186" s="223">
        <f t="shared" si="144"/>
        <v>528814.63907615002</v>
      </c>
      <c r="AD186" s="223">
        <f t="shared" si="144"/>
        <v>-71169.745453625917</v>
      </c>
      <c r="AE186" s="223">
        <f t="shared" si="144"/>
        <v>-313264.74638845772</v>
      </c>
      <c r="AF186" s="223">
        <f t="shared" si="144"/>
        <v>-129379.38250069879</v>
      </c>
      <c r="AG186" s="223">
        <f t="shared" si="144"/>
        <v>69026.228714694269</v>
      </c>
      <c r="AH186" s="223">
        <f t="shared" si="144"/>
        <v>45363.196819422767</v>
      </c>
      <c r="AI186" s="223">
        <f t="shared" si="144"/>
        <v>-221031.8900231272</v>
      </c>
      <c r="AJ186" s="223">
        <f t="shared" si="144"/>
        <v>-17656.775327448733</v>
      </c>
      <c r="AK186" s="223">
        <f t="shared" si="144"/>
        <v>128572.232408938</v>
      </c>
      <c r="AL186" s="223">
        <f t="shared" si="144"/>
        <v>102513.45308833197</v>
      </c>
      <c r="AM186" s="223">
        <f t="shared" si="144"/>
        <v>-190610.25379192643</v>
      </c>
      <c r="AN186" s="223">
        <f t="shared" si="144"/>
        <v>34231.117152940482</v>
      </c>
      <c r="AO186" s="223">
        <f t="shared" si="144"/>
        <v>15083.544409410097</v>
      </c>
      <c r="AP186" s="223">
        <f t="shared" si="144"/>
        <v>-13611.293184954673</v>
      </c>
      <c r="AQ186" s="223">
        <f t="shared" si="144"/>
        <v>-336134.7838290818</v>
      </c>
      <c r="AR186" s="223">
        <f t="shared" si="144"/>
        <v>-87652.312390614301</v>
      </c>
      <c r="AS186" s="223">
        <f t="shared" si="144"/>
        <v>215199.16438259743</v>
      </c>
      <c r="AT186" s="223">
        <f t="shared" si="144"/>
        <v>183603.90817855112</v>
      </c>
      <c r="AU186" s="223">
        <f t="shared" ref="AU186:AZ186" si="145">AU187-AU185</f>
        <v>-171257.40756820887</v>
      </c>
      <c r="AV186" s="223">
        <f t="shared" si="145"/>
        <v>103259.19849819876</v>
      </c>
      <c r="AW186" s="223">
        <f t="shared" si="145"/>
        <v>496103.64876989275</v>
      </c>
      <c r="AX186" s="223">
        <f t="shared" si="145"/>
        <v>464221.64412934333</v>
      </c>
      <c r="AY186" s="223">
        <f t="shared" si="145"/>
        <v>76959.843976704404</v>
      </c>
      <c r="AZ186" s="223">
        <f t="shared" si="145"/>
        <v>379499.00492029451</v>
      </c>
      <c r="BC186" s="242"/>
      <c r="BD186" s="242"/>
      <c r="BE186" s="242"/>
      <c r="BF186" s="242"/>
      <c r="BG186" s="242"/>
      <c r="BH186" s="242"/>
      <c r="BI186" s="242"/>
      <c r="BJ186" s="242"/>
      <c r="BK186" s="242"/>
      <c r="BL186" s="242"/>
      <c r="BM186" s="242"/>
    </row>
    <row r="187" spans="1:65" s="244" customFormat="1" ht="26" hidden="1" x14ac:dyDescent="0.15">
      <c r="A187" s="239"/>
      <c r="B187" s="243" t="s">
        <v>30</v>
      </c>
      <c r="C187" s="243"/>
      <c r="D187" s="243"/>
      <c r="E187" s="180"/>
      <c r="F187" s="210">
        <f>F163-F181</f>
        <v>1421350.7499999907</v>
      </c>
      <c r="G187" s="211">
        <f t="shared" ref="G187:AZ187" si="146">G185+G163-G181</f>
        <v>20681498.667549178</v>
      </c>
      <c r="H187" s="211">
        <f t="shared" si="146"/>
        <v>3884061.3647492938</v>
      </c>
      <c r="I187" s="211">
        <f t="shared" si="146"/>
        <v>6329187.534884884</v>
      </c>
      <c r="J187" s="211">
        <f t="shared" si="146"/>
        <v>11678451.088009061</v>
      </c>
      <c r="K187" s="211">
        <f t="shared" si="146"/>
        <v>10676579.001802176</v>
      </c>
      <c r="L187" s="211">
        <f t="shared" si="146"/>
        <v>9732254.1214696299</v>
      </c>
      <c r="M187" s="211">
        <f t="shared" si="146"/>
        <v>8799514.8258191198</v>
      </c>
      <c r="N187" s="211">
        <f t="shared" si="146"/>
        <v>7849754.2645211956</v>
      </c>
      <c r="O187" s="211">
        <f t="shared" si="146"/>
        <v>6707425.8642249359</v>
      </c>
      <c r="P187" s="211">
        <f t="shared" si="146"/>
        <v>5707807.423487653</v>
      </c>
      <c r="Q187" s="211">
        <f t="shared" si="146"/>
        <v>5008853.6455431692</v>
      </c>
      <c r="R187" s="211">
        <f t="shared" si="146"/>
        <v>4291146.1135701239</v>
      </c>
      <c r="S187" s="211">
        <f t="shared" si="146"/>
        <v>3361503.6886012536</v>
      </c>
      <c r="T187" s="211">
        <f t="shared" si="146"/>
        <v>2590006.1393791931</v>
      </c>
      <c r="U187" s="211">
        <f t="shared" si="146"/>
        <v>2293184.039096877</v>
      </c>
      <c r="V187" s="211">
        <f t="shared" si="146"/>
        <v>1975701.6885213275</v>
      </c>
      <c r="W187" s="211">
        <f t="shared" si="146"/>
        <v>1424981.5176674612</v>
      </c>
      <c r="X187" s="211">
        <f t="shared" si="146"/>
        <v>1049413.7283728169</v>
      </c>
      <c r="Y187" s="211">
        <f t="shared" si="146"/>
        <v>1207954.9874226544</v>
      </c>
      <c r="Z187" s="211">
        <f t="shared" si="146"/>
        <v>1343738.0722665731</v>
      </c>
      <c r="AA187" s="211">
        <f t="shared" si="146"/>
        <v>1222851.1491824053</v>
      </c>
      <c r="AB187" s="211">
        <f t="shared" si="146"/>
        <v>1295854.689507057</v>
      </c>
      <c r="AC187" s="211">
        <f t="shared" si="146"/>
        <v>1824669.328583207</v>
      </c>
      <c r="AD187" s="211">
        <f t="shared" si="146"/>
        <v>1753499.5831295811</v>
      </c>
      <c r="AE187" s="211">
        <f t="shared" si="146"/>
        <v>1440234.8367411233</v>
      </c>
      <c r="AF187" s="211">
        <f t="shared" si="146"/>
        <v>1310855.4542404246</v>
      </c>
      <c r="AG187" s="211">
        <f t="shared" si="146"/>
        <v>1379881.6829551188</v>
      </c>
      <c r="AH187" s="211">
        <f t="shared" si="146"/>
        <v>1425244.8797745416</v>
      </c>
      <c r="AI187" s="211">
        <f t="shared" si="146"/>
        <v>1204212.9897514144</v>
      </c>
      <c r="AJ187" s="211">
        <f t="shared" si="146"/>
        <v>1186556.2144239657</v>
      </c>
      <c r="AK187" s="211">
        <f t="shared" si="146"/>
        <v>1315128.4468329037</v>
      </c>
      <c r="AL187" s="211">
        <f t="shared" si="146"/>
        <v>1417641.8999212356</v>
      </c>
      <c r="AM187" s="211">
        <f t="shared" si="146"/>
        <v>1227031.6461293092</v>
      </c>
      <c r="AN187" s="211">
        <f t="shared" si="146"/>
        <v>1261262.7632822497</v>
      </c>
      <c r="AO187" s="211">
        <f t="shared" si="146"/>
        <v>1276346.3076916598</v>
      </c>
      <c r="AP187" s="211">
        <f t="shared" si="146"/>
        <v>1262735.0145067051</v>
      </c>
      <c r="AQ187" s="211">
        <f t="shared" si="146"/>
        <v>926600.2306776233</v>
      </c>
      <c r="AR187" s="211">
        <f t="shared" si="146"/>
        <v>838947.918287009</v>
      </c>
      <c r="AS187" s="211">
        <f t="shared" si="146"/>
        <v>1054147.0826696064</v>
      </c>
      <c r="AT187" s="211">
        <f t="shared" si="146"/>
        <v>1237750.9908481576</v>
      </c>
      <c r="AU187" s="211">
        <f t="shared" si="146"/>
        <v>1066493.5832799487</v>
      </c>
      <c r="AV187" s="211">
        <f t="shared" si="146"/>
        <v>1169752.7817781474</v>
      </c>
      <c r="AW187" s="211">
        <f t="shared" si="146"/>
        <v>1665856.4305480402</v>
      </c>
      <c r="AX187" s="211">
        <f t="shared" si="146"/>
        <v>2130078.0746773835</v>
      </c>
      <c r="AY187" s="211">
        <f t="shared" si="146"/>
        <v>2207037.9186540879</v>
      </c>
      <c r="AZ187" s="211">
        <f t="shared" si="146"/>
        <v>2586536.9235743824</v>
      </c>
      <c r="BC187" s="245"/>
      <c r="BD187" s="245"/>
      <c r="BE187" s="245"/>
      <c r="BF187" s="245"/>
      <c r="BG187" s="245"/>
      <c r="BH187" s="245"/>
      <c r="BI187" s="245"/>
      <c r="BJ187" s="245"/>
      <c r="BK187" s="245"/>
      <c r="BL187" s="245"/>
      <c r="BM187" s="245"/>
    </row>
    <row r="188" spans="1:65" s="16" customFormat="1" hidden="1" x14ac:dyDescent="0.15">
      <c r="A188" s="10"/>
      <c r="B188" s="278"/>
      <c r="C188" s="279"/>
      <c r="D188" s="279"/>
      <c r="E188" s="280"/>
      <c r="F188" s="281"/>
      <c r="G188" s="281"/>
      <c r="H188" s="281"/>
      <c r="I188" s="281"/>
      <c r="J188" s="281"/>
      <c r="K188" s="282"/>
      <c r="L188" s="282"/>
      <c r="M188" s="282"/>
      <c r="N188" s="282"/>
      <c r="O188" s="282"/>
      <c r="P188" s="282"/>
      <c r="Q188" s="282"/>
      <c r="R188" s="282"/>
      <c r="S188" s="282"/>
      <c r="T188" s="282"/>
      <c r="U188" s="282"/>
      <c r="V188" s="282"/>
      <c r="W188" s="282"/>
      <c r="X188" s="282"/>
      <c r="Y188" s="282"/>
      <c r="Z188" s="282"/>
      <c r="AA188" s="282"/>
      <c r="AB188" s="282"/>
      <c r="AC188" s="282"/>
      <c r="AD188" s="282"/>
      <c r="AE188" s="282"/>
      <c r="AF188" s="282"/>
      <c r="AG188" s="282"/>
      <c r="AH188" s="282"/>
      <c r="AI188" s="282"/>
      <c r="AJ188" s="282"/>
      <c r="AK188" s="282"/>
      <c r="AL188" s="282"/>
      <c r="AM188" s="282"/>
      <c r="AN188" s="282"/>
      <c r="AO188" s="282"/>
      <c r="AP188" s="282"/>
      <c r="AQ188" s="282"/>
      <c r="AR188" s="282"/>
      <c r="AS188" s="282"/>
      <c r="AT188" s="282"/>
      <c r="AU188" s="282"/>
      <c r="AV188" s="282"/>
      <c r="AW188" s="282"/>
      <c r="AX188" s="282"/>
      <c r="AY188" s="282"/>
      <c r="AZ188" s="282"/>
      <c r="BC188" s="101"/>
      <c r="BD188" s="101"/>
      <c r="BE188" s="101"/>
      <c r="BF188" s="101"/>
      <c r="BG188" s="101"/>
      <c r="BH188" s="101"/>
      <c r="BI188" s="101"/>
      <c r="BJ188" s="101"/>
      <c r="BK188" s="101"/>
      <c r="BL188" s="101"/>
      <c r="BM188" s="101"/>
    </row>
    <row r="189" spans="1:65" hidden="1" x14ac:dyDescent="0.15">
      <c r="B189" s="283" t="s">
        <v>161</v>
      </c>
      <c r="C189" s="98"/>
      <c r="D189" s="98"/>
      <c r="E189" s="98"/>
      <c r="F189" s="284">
        <f t="shared" ref="F189:AZ189" si="147">F85</f>
        <v>46022</v>
      </c>
      <c r="G189" s="284">
        <f t="shared" si="147"/>
        <v>46112</v>
      </c>
      <c r="H189" s="284">
        <f t="shared" si="147"/>
        <v>46203</v>
      </c>
      <c r="I189" s="284">
        <f t="shared" si="147"/>
        <v>46295</v>
      </c>
      <c r="J189" s="284">
        <f t="shared" si="147"/>
        <v>46387</v>
      </c>
      <c r="K189" s="284">
        <f t="shared" si="147"/>
        <v>46477</v>
      </c>
      <c r="L189" s="284">
        <f t="shared" si="147"/>
        <v>46568</v>
      </c>
      <c r="M189" s="284">
        <f t="shared" si="147"/>
        <v>46660</v>
      </c>
      <c r="N189" s="284">
        <f t="shared" si="147"/>
        <v>46752</v>
      </c>
      <c r="O189" s="284">
        <f t="shared" si="147"/>
        <v>46843</v>
      </c>
      <c r="P189" s="284">
        <f t="shared" si="147"/>
        <v>46934</v>
      </c>
      <c r="Q189" s="284">
        <f t="shared" si="147"/>
        <v>47026</v>
      </c>
      <c r="R189" s="284">
        <f t="shared" si="147"/>
        <v>47118</v>
      </c>
      <c r="S189" s="284">
        <f t="shared" si="147"/>
        <v>47208</v>
      </c>
      <c r="T189" s="284">
        <f t="shared" si="147"/>
        <v>47299</v>
      </c>
      <c r="U189" s="284">
        <f t="shared" si="147"/>
        <v>47391</v>
      </c>
      <c r="V189" s="284">
        <f t="shared" si="147"/>
        <v>47483</v>
      </c>
      <c r="W189" s="284">
        <f t="shared" si="147"/>
        <v>47573</v>
      </c>
      <c r="X189" s="284">
        <f t="shared" si="147"/>
        <v>47664</v>
      </c>
      <c r="Y189" s="284">
        <f t="shared" si="147"/>
        <v>47756</v>
      </c>
      <c r="Z189" s="284">
        <f t="shared" si="147"/>
        <v>47848</v>
      </c>
      <c r="AA189" s="284">
        <f t="shared" si="147"/>
        <v>47938</v>
      </c>
      <c r="AB189" s="284">
        <f t="shared" si="147"/>
        <v>48029</v>
      </c>
      <c r="AC189" s="284">
        <f t="shared" si="147"/>
        <v>48121</v>
      </c>
      <c r="AD189" s="284">
        <f t="shared" si="147"/>
        <v>48213</v>
      </c>
      <c r="AE189" s="284">
        <f t="shared" si="147"/>
        <v>48304</v>
      </c>
      <c r="AF189" s="284">
        <f t="shared" si="147"/>
        <v>48395</v>
      </c>
      <c r="AG189" s="284">
        <f t="shared" si="147"/>
        <v>48487</v>
      </c>
      <c r="AH189" s="284">
        <f t="shared" si="147"/>
        <v>48579</v>
      </c>
      <c r="AI189" s="284">
        <f t="shared" si="147"/>
        <v>48669</v>
      </c>
      <c r="AJ189" s="284">
        <f t="shared" si="147"/>
        <v>48760</v>
      </c>
      <c r="AK189" s="284">
        <f t="shared" si="147"/>
        <v>48852</v>
      </c>
      <c r="AL189" s="284">
        <f t="shared" si="147"/>
        <v>48944</v>
      </c>
      <c r="AM189" s="284">
        <f t="shared" si="147"/>
        <v>49034</v>
      </c>
      <c r="AN189" s="284">
        <f t="shared" si="147"/>
        <v>49125</v>
      </c>
      <c r="AO189" s="284">
        <f t="shared" si="147"/>
        <v>49217</v>
      </c>
      <c r="AP189" s="284">
        <f t="shared" si="147"/>
        <v>49309</v>
      </c>
      <c r="AQ189" s="284">
        <f t="shared" si="147"/>
        <v>49399</v>
      </c>
      <c r="AR189" s="284">
        <f t="shared" si="147"/>
        <v>49490</v>
      </c>
      <c r="AS189" s="284">
        <f t="shared" si="147"/>
        <v>49582</v>
      </c>
      <c r="AT189" s="284">
        <f t="shared" si="147"/>
        <v>49674</v>
      </c>
      <c r="AU189" s="284">
        <f t="shared" si="147"/>
        <v>49765</v>
      </c>
      <c r="AV189" s="284">
        <f t="shared" si="147"/>
        <v>49856</v>
      </c>
      <c r="AW189" s="284">
        <f t="shared" si="147"/>
        <v>49948</v>
      </c>
      <c r="AX189" s="284">
        <f t="shared" si="147"/>
        <v>50040</v>
      </c>
      <c r="AY189" s="284">
        <f t="shared" si="147"/>
        <v>50130</v>
      </c>
      <c r="AZ189" s="284">
        <f t="shared" si="147"/>
        <v>50221</v>
      </c>
    </row>
    <row r="191" spans="1:65" hidden="1" x14ac:dyDescent="0.15">
      <c r="B191" s="10" t="s">
        <v>89</v>
      </c>
      <c r="F191" s="107">
        <f>-C70</f>
        <v>-10000</v>
      </c>
      <c r="G191" s="92">
        <f t="shared" ref="G191:AZ191" si="148">G173</f>
        <v>10500</v>
      </c>
      <c r="H191" s="92">
        <f t="shared" si="148"/>
        <v>11250</v>
      </c>
      <c r="I191" s="92">
        <f t="shared" si="148"/>
        <v>11750</v>
      </c>
      <c r="J191" s="92">
        <f t="shared" si="148"/>
        <v>11750</v>
      </c>
      <c r="K191" s="92">
        <f t="shared" si="148"/>
        <v>12180.744329355588</v>
      </c>
      <c r="L191" s="92">
        <f t="shared" si="148"/>
        <v>12435.480441083278</v>
      </c>
      <c r="M191" s="92">
        <f t="shared" si="148"/>
        <v>12720.87956248467</v>
      </c>
      <c r="N191" s="92">
        <f t="shared" si="148"/>
        <v>13005.569343505736</v>
      </c>
      <c r="O191" s="92">
        <f t="shared" si="148"/>
        <v>13282.04128957526</v>
      </c>
      <c r="P191" s="92">
        <f t="shared" si="148"/>
        <v>13564.460498268299</v>
      </c>
      <c r="Q191" s="92">
        <f t="shared" si="148"/>
        <v>13892.607752310922</v>
      </c>
      <c r="R191" s="92">
        <f t="shared" si="148"/>
        <v>14219.973466643703</v>
      </c>
      <c r="S191" s="92">
        <f t="shared" si="148"/>
        <v>14538.309427632705</v>
      </c>
      <c r="T191" s="92">
        <f t="shared" si="148"/>
        <v>14863.235882456438</v>
      </c>
      <c r="U191" s="92">
        <f t="shared" si="148"/>
        <v>15244.461890240953</v>
      </c>
      <c r="V191" s="92">
        <f t="shared" si="148"/>
        <v>15624.826907420878</v>
      </c>
      <c r="W191" s="92">
        <f t="shared" si="148"/>
        <v>15995.269457214759</v>
      </c>
      <c r="X191" s="92">
        <f t="shared" si="148"/>
        <v>16373.011267799442</v>
      </c>
      <c r="Y191" s="92">
        <f t="shared" si="148"/>
        <v>16813.181257294123</v>
      </c>
      <c r="Z191" s="92">
        <f t="shared" si="148"/>
        <v>17252.402827776892</v>
      </c>
      <c r="AA191" s="92">
        <f t="shared" si="148"/>
        <v>17680.720358999162</v>
      </c>
      <c r="AB191" s="92">
        <f t="shared" si="148"/>
        <v>18117.118037603232</v>
      </c>
      <c r="AC191" s="92">
        <f t="shared" si="148"/>
        <v>18616.697907955426</v>
      </c>
      <c r="AD191" s="92">
        <f t="shared" si="148"/>
        <v>19091.274164573646</v>
      </c>
      <c r="AE191" s="92">
        <f t="shared" si="148"/>
        <v>19555.548586698053</v>
      </c>
      <c r="AF191" s="92">
        <f t="shared" si="148"/>
        <v>20027.486205946465</v>
      </c>
      <c r="AG191" s="92">
        <f t="shared" si="148"/>
        <v>20556.297641087058</v>
      </c>
      <c r="AH191" s="92">
        <f t="shared" si="148"/>
        <v>21084.122948380755</v>
      </c>
      <c r="AI191" s="92">
        <f t="shared" si="148"/>
        <v>21600.628424336152</v>
      </c>
      <c r="AJ191" s="92">
        <f t="shared" si="148"/>
        <v>22125.609308888957</v>
      </c>
      <c r="AK191" s="92">
        <f t="shared" si="148"/>
        <v>22710.150163870716</v>
      </c>
      <c r="AL191" s="92">
        <f t="shared" si="148"/>
        <v>23293.605051168466</v>
      </c>
      <c r="AM191" s="92">
        <f t="shared" si="148"/>
        <v>23864.620771086775</v>
      </c>
      <c r="AN191" s="92">
        <f t="shared" si="148"/>
        <v>24445.006479517251</v>
      </c>
      <c r="AO191" s="92">
        <f t="shared" si="148"/>
        <v>25083.406897690835</v>
      </c>
      <c r="AP191" s="92">
        <f t="shared" si="148"/>
        <v>25720.61149368326</v>
      </c>
      <c r="AQ191" s="92">
        <f t="shared" si="148"/>
        <v>26344.146132442103</v>
      </c>
      <c r="AR191" s="92">
        <f t="shared" si="148"/>
        <v>26978.035973595721</v>
      </c>
      <c r="AS191" s="92">
        <f t="shared" si="148"/>
        <v>27689.240706294797</v>
      </c>
      <c r="AT191" s="92">
        <f t="shared" si="148"/>
        <v>28399.128745422644</v>
      </c>
      <c r="AU191" s="92">
        <f t="shared" si="148"/>
        <v>29093.993458443929</v>
      </c>
      <c r="AV191" s="92">
        <f t="shared" si="148"/>
        <v>29805.859994786293</v>
      </c>
      <c r="AW191" s="92">
        <f t="shared" si="148"/>
        <v>30535.144351968134</v>
      </c>
      <c r="AX191" s="92">
        <f t="shared" si="148"/>
        <v>31282.272706059415</v>
      </c>
      <c r="AY191" s="92">
        <f t="shared" si="148"/>
        <v>32047.681660728605</v>
      </c>
      <c r="AZ191" s="92">
        <f t="shared" si="148"/>
        <v>32831.818502383263</v>
      </c>
    </row>
    <row r="192" spans="1:65" hidden="1" x14ac:dyDescent="0.15">
      <c r="B192" s="10" t="s">
        <v>27</v>
      </c>
      <c r="F192" s="92"/>
      <c r="G192" s="92">
        <f t="shared" ref="G192:AZ192" si="149">G174</f>
        <v>0</v>
      </c>
      <c r="H192" s="92">
        <f t="shared" si="149"/>
        <v>0</v>
      </c>
      <c r="I192" s="92">
        <f t="shared" si="149"/>
        <v>210</v>
      </c>
      <c r="J192" s="92">
        <f t="shared" si="149"/>
        <v>210</v>
      </c>
      <c r="K192" s="92">
        <f t="shared" si="149"/>
        <v>210</v>
      </c>
      <c r="L192" s="92">
        <f t="shared" si="149"/>
        <v>210</v>
      </c>
      <c r="M192" s="92">
        <f t="shared" si="149"/>
        <v>230</v>
      </c>
      <c r="N192" s="92">
        <f t="shared" si="149"/>
        <v>230</v>
      </c>
      <c r="O192" s="92">
        <f t="shared" si="149"/>
        <v>230</v>
      </c>
      <c r="P192" s="92">
        <f t="shared" si="149"/>
        <v>230</v>
      </c>
      <c r="Q192" s="92">
        <f t="shared" si="149"/>
        <v>240</v>
      </c>
      <c r="R192" s="92">
        <f t="shared" si="149"/>
        <v>240</v>
      </c>
      <c r="S192" s="92">
        <f t="shared" si="149"/>
        <v>240</v>
      </c>
      <c r="T192" s="92">
        <f t="shared" si="149"/>
        <v>240</v>
      </c>
      <c r="U192" s="92">
        <f t="shared" si="149"/>
        <v>245</v>
      </c>
      <c r="V192" s="92">
        <f t="shared" si="149"/>
        <v>245</v>
      </c>
      <c r="W192" s="92">
        <f t="shared" si="149"/>
        <v>245</v>
      </c>
      <c r="X192" s="92">
        <f t="shared" si="149"/>
        <v>245</v>
      </c>
      <c r="Y192" s="92">
        <f t="shared" si="149"/>
        <v>250</v>
      </c>
      <c r="Z192" s="92">
        <f t="shared" si="149"/>
        <v>250</v>
      </c>
      <c r="AA192" s="92">
        <f t="shared" si="149"/>
        <v>250</v>
      </c>
      <c r="AB192" s="92">
        <f t="shared" si="149"/>
        <v>250</v>
      </c>
      <c r="AC192" s="92">
        <f t="shared" si="149"/>
        <v>255</v>
      </c>
      <c r="AD192" s="92">
        <f t="shared" si="149"/>
        <v>255</v>
      </c>
      <c r="AE192" s="92">
        <f t="shared" si="149"/>
        <v>255</v>
      </c>
      <c r="AF192" s="92">
        <f t="shared" si="149"/>
        <v>255</v>
      </c>
      <c r="AG192" s="92">
        <f t="shared" si="149"/>
        <v>275</v>
      </c>
      <c r="AH192" s="92">
        <f t="shared" si="149"/>
        <v>275</v>
      </c>
      <c r="AI192" s="92">
        <f t="shared" si="149"/>
        <v>275</v>
      </c>
      <c r="AJ192" s="92">
        <f t="shared" si="149"/>
        <v>275</v>
      </c>
      <c r="AK192" s="92">
        <f t="shared" si="149"/>
        <v>300</v>
      </c>
      <c r="AL192" s="92">
        <f t="shared" si="149"/>
        <v>300</v>
      </c>
      <c r="AM192" s="92">
        <f t="shared" si="149"/>
        <v>300</v>
      </c>
      <c r="AN192" s="92">
        <f t="shared" si="149"/>
        <v>300</v>
      </c>
      <c r="AO192" s="92">
        <f t="shared" si="149"/>
        <v>335</v>
      </c>
      <c r="AP192" s="92">
        <f t="shared" si="149"/>
        <v>335</v>
      </c>
      <c r="AQ192" s="92">
        <f t="shared" si="149"/>
        <v>335</v>
      </c>
      <c r="AR192" s="92">
        <f t="shared" si="149"/>
        <v>335</v>
      </c>
      <c r="AS192" s="92">
        <f t="shared" si="149"/>
        <v>360</v>
      </c>
      <c r="AT192" s="92">
        <f t="shared" si="149"/>
        <v>360</v>
      </c>
      <c r="AU192" s="92">
        <f t="shared" si="149"/>
        <v>360</v>
      </c>
      <c r="AV192" s="92">
        <f t="shared" si="149"/>
        <v>360</v>
      </c>
      <c r="AW192" s="92">
        <f t="shared" si="149"/>
        <v>385</v>
      </c>
      <c r="AX192" s="92">
        <f t="shared" si="149"/>
        <v>385</v>
      </c>
      <c r="AY192" s="92">
        <f t="shared" si="149"/>
        <v>385</v>
      </c>
      <c r="AZ192" s="92">
        <f t="shared" si="149"/>
        <v>385</v>
      </c>
    </row>
    <row r="193" spans="2:83" hidden="1" x14ac:dyDescent="0.15">
      <c r="B193" s="10" t="s">
        <v>90</v>
      </c>
      <c r="F193" s="92"/>
      <c r="G193" s="92"/>
      <c r="H193" s="92"/>
      <c r="I193" s="92"/>
      <c r="J193" s="92"/>
      <c r="K193" s="92"/>
      <c r="L193" s="92"/>
      <c r="M193" s="92"/>
      <c r="N193" s="92"/>
      <c r="O193" s="92"/>
      <c r="P193" s="92"/>
      <c r="Q193" s="92"/>
      <c r="R193" s="92"/>
      <c r="S193" s="92"/>
      <c r="T193" s="92"/>
      <c r="U193" s="92"/>
      <c r="V193" s="92"/>
      <c r="W193" s="92"/>
      <c r="X193" s="92"/>
      <c r="Y193" s="92"/>
      <c r="Z193" s="92"/>
      <c r="AA193" s="92"/>
      <c r="AB193" s="92"/>
      <c r="AC193" s="92"/>
      <c r="AD193" s="92"/>
      <c r="AE193" s="92"/>
      <c r="AF193" s="92"/>
      <c r="AG193" s="92"/>
      <c r="AH193" s="92"/>
      <c r="AI193" s="92"/>
      <c r="AJ193" s="92"/>
      <c r="AK193" s="92"/>
      <c r="AL193" s="92"/>
      <c r="AM193" s="92"/>
      <c r="AN193" s="92"/>
      <c r="AO193" s="92"/>
      <c r="AP193" s="92"/>
      <c r="AQ193" s="92"/>
      <c r="AR193" s="92"/>
      <c r="AS193" s="92"/>
      <c r="AT193" s="92">
        <f>AT173</f>
        <v>28399.128745422644</v>
      </c>
      <c r="AU193" s="92"/>
      <c r="AV193" s="92"/>
      <c r="AW193" s="92"/>
      <c r="AX193" s="92"/>
      <c r="AY193" s="92"/>
      <c r="AZ193" s="92"/>
    </row>
    <row r="194" spans="2:83" hidden="1" x14ac:dyDescent="0.15">
      <c r="B194" s="99" t="s">
        <v>91</v>
      </c>
      <c r="C194" s="99"/>
      <c r="D194" s="99"/>
      <c r="E194" s="99"/>
      <c r="F194" s="100">
        <f t="shared" ref="F194" si="150">SUM(F191:F193)</f>
        <v>-10000</v>
      </c>
      <c r="G194" s="100">
        <f>SUM(G192:G193)</f>
        <v>0</v>
      </c>
      <c r="H194" s="100">
        <f t="shared" ref="H194:AS194" si="151">SUM(H192:H193)</f>
        <v>0</v>
      </c>
      <c r="I194" s="100">
        <f t="shared" si="151"/>
        <v>210</v>
      </c>
      <c r="J194" s="100">
        <f t="shared" si="151"/>
        <v>210</v>
      </c>
      <c r="K194" s="100">
        <f>SUM(K192:K193)</f>
        <v>210</v>
      </c>
      <c r="L194" s="100">
        <f t="shared" si="151"/>
        <v>210</v>
      </c>
      <c r="M194" s="100">
        <f t="shared" si="151"/>
        <v>230</v>
      </c>
      <c r="N194" s="100">
        <f t="shared" si="151"/>
        <v>230</v>
      </c>
      <c r="O194" s="100">
        <f t="shared" si="151"/>
        <v>230</v>
      </c>
      <c r="P194" s="100">
        <f t="shared" si="151"/>
        <v>230</v>
      </c>
      <c r="Q194" s="100">
        <f t="shared" si="151"/>
        <v>240</v>
      </c>
      <c r="R194" s="100">
        <f t="shared" si="151"/>
        <v>240</v>
      </c>
      <c r="S194" s="100">
        <f t="shared" si="151"/>
        <v>240</v>
      </c>
      <c r="T194" s="100">
        <f t="shared" si="151"/>
        <v>240</v>
      </c>
      <c r="U194" s="100">
        <f t="shared" si="151"/>
        <v>245</v>
      </c>
      <c r="V194" s="100">
        <f t="shared" si="151"/>
        <v>245</v>
      </c>
      <c r="W194" s="100">
        <f t="shared" si="151"/>
        <v>245</v>
      </c>
      <c r="X194" s="100">
        <f t="shared" si="151"/>
        <v>245</v>
      </c>
      <c r="Y194" s="100">
        <f t="shared" si="151"/>
        <v>250</v>
      </c>
      <c r="Z194" s="100">
        <f t="shared" si="151"/>
        <v>250</v>
      </c>
      <c r="AA194" s="100">
        <f t="shared" si="151"/>
        <v>250</v>
      </c>
      <c r="AB194" s="100">
        <f t="shared" si="151"/>
        <v>250</v>
      </c>
      <c r="AC194" s="100">
        <f t="shared" si="151"/>
        <v>255</v>
      </c>
      <c r="AD194" s="100">
        <f t="shared" si="151"/>
        <v>255</v>
      </c>
      <c r="AE194" s="100">
        <f t="shared" si="151"/>
        <v>255</v>
      </c>
      <c r="AF194" s="100">
        <f t="shared" si="151"/>
        <v>255</v>
      </c>
      <c r="AG194" s="100">
        <f t="shared" si="151"/>
        <v>275</v>
      </c>
      <c r="AH194" s="100">
        <f t="shared" si="151"/>
        <v>275</v>
      </c>
      <c r="AI194" s="100">
        <f t="shared" si="151"/>
        <v>275</v>
      </c>
      <c r="AJ194" s="100">
        <f t="shared" si="151"/>
        <v>275</v>
      </c>
      <c r="AK194" s="100">
        <f t="shared" si="151"/>
        <v>300</v>
      </c>
      <c r="AL194" s="100">
        <f t="shared" si="151"/>
        <v>300</v>
      </c>
      <c r="AM194" s="100">
        <f t="shared" si="151"/>
        <v>300</v>
      </c>
      <c r="AN194" s="100">
        <f t="shared" si="151"/>
        <v>300</v>
      </c>
      <c r="AO194" s="100">
        <f t="shared" si="151"/>
        <v>335</v>
      </c>
      <c r="AP194" s="100">
        <f t="shared" si="151"/>
        <v>335</v>
      </c>
      <c r="AQ194" s="100">
        <f t="shared" si="151"/>
        <v>335</v>
      </c>
      <c r="AR194" s="100">
        <f t="shared" si="151"/>
        <v>335</v>
      </c>
      <c r="AS194" s="100">
        <f t="shared" si="151"/>
        <v>360</v>
      </c>
      <c r="AT194" s="100">
        <f>SUM(AT192:AT193)</f>
        <v>28759.128745422644</v>
      </c>
      <c r="AU194" s="100"/>
      <c r="AV194" s="100"/>
      <c r="AW194" s="100"/>
      <c r="AX194" s="100"/>
      <c r="AY194" s="100"/>
      <c r="AZ194" s="100"/>
      <c r="BA194" s="16"/>
      <c r="BB194" s="16"/>
      <c r="BC194" s="101"/>
      <c r="BD194" s="101"/>
      <c r="BE194" s="101"/>
      <c r="BF194" s="101"/>
      <c r="BG194" s="101"/>
      <c r="BH194" s="101"/>
      <c r="BI194" s="101"/>
      <c r="BJ194" s="101"/>
      <c r="BK194" s="101"/>
      <c r="BL194" s="101"/>
      <c r="BM194" s="101"/>
      <c r="BN194" s="16"/>
      <c r="BO194" s="16"/>
      <c r="BP194" s="16"/>
      <c r="BQ194" s="16"/>
      <c r="BR194" s="16"/>
      <c r="BS194" s="16"/>
      <c r="BT194" s="16"/>
      <c r="BU194" s="16"/>
      <c r="BV194" s="16"/>
      <c r="BW194" s="16"/>
      <c r="BX194" s="16"/>
      <c r="BY194" s="16"/>
      <c r="BZ194" s="16"/>
      <c r="CA194" s="16"/>
      <c r="CB194" s="16"/>
      <c r="CC194" s="16"/>
      <c r="CD194" s="16"/>
      <c r="CE194" s="16"/>
    </row>
    <row r="196" spans="2:83" hidden="1" x14ac:dyDescent="0.15">
      <c r="B196" s="285" t="s">
        <v>92</v>
      </c>
      <c r="C196" s="286">
        <f>XIRR(F194:AT194,$F$189:$AT$189)</f>
        <v>0.17564173340797429</v>
      </c>
    </row>
    <row r="197" spans="2:83" hidden="1" x14ac:dyDescent="0.15">
      <c r="B197" s="285" t="s">
        <v>93</v>
      </c>
      <c r="C197" s="286">
        <f>AVERAGE(I192:AT192)*4/-F191</f>
        <v>0.10610526315789473</v>
      </c>
      <c r="H197" s="14"/>
    </row>
    <row r="198" spans="2:83" hidden="1" x14ac:dyDescent="0.15">
      <c r="B198" s="285" t="s">
        <v>153</v>
      </c>
      <c r="C198" s="286">
        <f>SUM(I192:L192)/-F191</f>
        <v>8.4000000000000005E-2</v>
      </c>
      <c r="BA198" s="7"/>
      <c r="BB198" s="7"/>
      <c r="BC198" s="102"/>
      <c r="BD198" s="102"/>
      <c r="BE198" s="102"/>
      <c r="BF198" s="102"/>
      <c r="BG198" s="102"/>
      <c r="BH198" s="102"/>
      <c r="BI198" s="102"/>
      <c r="BJ198" s="102"/>
      <c r="BK198" s="102"/>
      <c r="BL198" s="102"/>
      <c r="BM198" s="102"/>
      <c r="BN198" s="7"/>
      <c r="BO198" s="7"/>
      <c r="BP198" s="7"/>
      <c r="BQ198" s="7"/>
      <c r="BR198" s="7"/>
      <c r="BS198" s="7"/>
      <c r="BT198" s="7"/>
      <c r="BU198" s="7"/>
      <c r="BV198" s="7"/>
      <c r="BW198" s="7"/>
      <c r="BX198" s="7"/>
      <c r="BY198" s="7"/>
      <c r="BZ198" s="7"/>
      <c r="CA198" s="7"/>
      <c r="CB198" s="7"/>
      <c r="CC198" s="7"/>
      <c r="CD198" s="7"/>
      <c r="CE198" s="7"/>
    </row>
    <row r="201" spans="2:83" hidden="1" x14ac:dyDescent="0.15">
      <c r="B201" s="283" t="s">
        <v>162</v>
      </c>
      <c r="C201" s="98"/>
      <c r="D201" s="98"/>
      <c r="E201" s="98"/>
      <c r="F201" s="284"/>
      <c r="G201" s="284">
        <f t="shared" ref="G201:AU201" si="152">G85</f>
        <v>46112</v>
      </c>
      <c r="H201" s="284">
        <f t="shared" si="152"/>
        <v>46203</v>
      </c>
      <c r="I201" s="284">
        <f t="shared" si="152"/>
        <v>46295</v>
      </c>
      <c r="J201" s="284">
        <f t="shared" si="152"/>
        <v>46387</v>
      </c>
      <c r="K201" s="284">
        <f t="shared" si="152"/>
        <v>46477</v>
      </c>
      <c r="L201" s="284">
        <f t="shared" si="152"/>
        <v>46568</v>
      </c>
      <c r="M201" s="284">
        <f t="shared" si="152"/>
        <v>46660</v>
      </c>
      <c r="N201" s="284">
        <f t="shared" si="152"/>
        <v>46752</v>
      </c>
      <c r="O201" s="284">
        <f t="shared" si="152"/>
        <v>46843</v>
      </c>
      <c r="P201" s="284">
        <f t="shared" si="152"/>
        <v>46934</v>
      </c>
      <c r="Q201" s="284">
        <f t="shared" si="152"/>
        <v>47026</v>
      </c>
      <c r="R201" s="284">
        <f t="shared" si="152"/>
        <v>47118</v>
      </c>
      <c r="S201" s="284">
        <f t="shared" si="152"/>
        <v>47208</v>
      </c>
      <c r="T201" s="284">
        <f t="shared" si="152"/>
        <v>47299</v>
      </c>
      <c r="U201" s="284">
        <f t="shared" si="152"/>
        <v>47391</v>
      </c>
      <c r="V201" s="284">
        <f t="shared" si="152"/>
        <v>47483</v>
      </c>
      <c r="W201" s="284">
        <f t="shared" si="152"/>
        <v>47573</v>
      </c>
      <c r="X201" s="284">
        <f t="shared" si="152"/>
        <v>47664</v>
      </c>
      <c r="Y201" s="284">
        <f t="shared" si="152"/>
        <v>47756</v>
      </c>
      <c r="Z201" s="284">
        <f t="shared" si="152"/>
        <v>47848</v>
      </c>
      <c r="AA201" s="284">
        <f t="shared" si="152"/>
        <v>47938</v>
      </c>
      <c r="AB201" s="284">
        <f t="shared" si="152"/>
        <v>48029</v>
      </c>
      <c r="AC201" s="284">
        <f t="shared" si="152"/>
        <v>48121</v>
      </c>
      <c r="AD201" s="284">
        <f t="shared" si="152"/>
        <v>48213</v>
      </c>
      <c r="AE201" s="284">
        <f t="shared" si="152"/>
        <v>48304</v>
      </c>
      <c r="AF201" s="284">
        <f t="shared" si="152"/>
        <v>48395</v>
      </c>
      <c r="AG201" s="284">
        <f t="shared" si="152"/>
        <v>48487</v>
      </c>
      <c r="AH201" s="284">
        <f t="shared" si="152"/>
        <v>48579</v>
      </c>
      <c r="AI201" s="284">
        <f t="shared" si="152"/>
        <v>48669</v>
      </c>
      <c r="AJ201" s="284">
        <f t="shared" si="152"/>
        <v>48760</v>
      </c>
      <c r="AK201" s="284">
        <f t="shared" si="152"/>
        <v>48852</v>
      </c>
      <c r="AL201" s="284">
        <f t="shared" si="152"/>
        <v>48944</v>
      </c>
      <c r="AM201" s="284">
        <f t="shared" si="152"/>
        <v>49034</v>
      </c>
      <c r="AN201" s="284">
        <f t="shared" si="152"/>
        <v>49125</v>
      </c>
      <c r="AO201" s="284">
        <f t="shared" si="152"/>
        <v>49217</v>
      </c>
      <c r="AP201" s="284">
        <f t="shared" si="152"/>
        <v>49309</v>
      </c>
      <c r="AQ201" s="284">
        <f t="shared" si="152"/>
        <v>49399</v>
      </c>
      <c r="AR201" s="284">
        <f t="shared" si="152"/>
        <v>49490</v>
      </c>
      <c r="AS201" s="284">
        <f t="shared" si="152"/>
        <v>49582</v>
      </c>
      <c r="AT201" s="284">
        <f t="shared" si="152"/>
        <v>49674</v>
      </c>
      <c r="AU201" s="284">
        <f t="shared" si="152"/>
        <v>49765</v>
      </c>
      <c r="AV201" s="284"/>
      <c r="AW201" s="284"/>
      <c r="AX201" s="284"/>
      <c r="AY201" s="284"/>
      <c r="AZ201" s="284"/>
    </row>
    <row r="203" spans="2:83" hidden="1" x14ac:dyDescent="0.15">
      <c r="B203" s="10" t="s">
        <v>89</v>
      </c>
      <c r="F203" s="107"/>
      <c r="G203" s="107">
        <f>-C71</f>
        <v>-10500</v>
      </c>
      <c r="H203" s="92"/>
      <c r="I203" s="92"/>
      <c r="J203" s="92"/>
      <c r="K203" s="92"/>
      <c r="L203" s="92"/>
      <c r="M203" s="92"/>
      <c r="N203" s="92"/>
      <c r="O203" s="92"/>
      <c r="P203" s="92"/>
      <c r="Q203" s="92"/>
      <c r="R203" s="92"/>
      <c r="S203" s="92"/>
      <c r="T203" s="92"/>
      <c r="U203" s="92"/>
      <c r="V203" s="92"/>
      <c r="W203" s="92"/>
      <c r="X203" s="92"/>
      <c r="Y203" s="92"/>
      <c r="Z203" s="92"/>
      <c r="AA203" s="92"/>
      <c r="AB203" s="92"/>
      <c r="AC203" s="92"/>
      <c r="AD203" s="92"/>
      <c r="AE203" s="92"/>
      <c r="AF203" s="92"/>
      <c r="AG203" s="92"/>
      <c r="AH203" s="92"/>
      <c r="AI203" s="92"/>
      <c r="AJ203" s="92"/>
      <c r="AK203" s="92"/>
      <c r="AL203" s="92"/>
      <c r="AM203" s="92"/>
      <c r="AN203" s="92"/>
      <c r="AO203" s="92"/>
      <c r="AP203" s="92"/>
      <c r="AQ203" s="92"/>
      <c r="AR203" s="92"/>
      <c r="AS203" s="92"/>
      <c r="AT203" s="92"/>
      <c r="AU203" s="92"/>
      <c r="AV203" s="92"/>
      <c r="AW203" s="92"/>
      <c r="AX203" s="92"/>
      <c r="AY203" s="92"/>
      <c r="AZ203" s="92"/>
    </row>
    <row r="204" spans="2:83" hidden="1" x14ac:dyDescent="0.15">
      <c r="B204" s="10" t="s">
        <v>27</v>
      </c>
      <c r="F204" s="92"/>
      <c r="G204" s="92"/>
      <c r="H204" s="92">
        <f t="shared" ref="H204:AU204" si="153">H174</f>
        <v>0</v>
      </c>
      <c r="I204" s="92">
        <f t="shared" si="153"/>
        <v>210</v>
      </c>
      <c r="J204" s="92">
        <f t="shared" si="153"/>
        <v>210</v>
      </c>
      <c r="K204" s="92">
        <f t="shared" si="153"/>
        <v>210</v>
      </c>
      <c r="L204" s="92">
        <f t="shared" si="153"/>
        <v>210</v>
      </c>
      <c r="M204" s="92">
        <f t="shared" si="153"/>
        <v>230</v>
      </c>
      <c r="N204" s="92">
        <f t="shared" si="153"/>
        <v>230</v>
      </c>
      <c r="O204" s="92">
        <f t="shared" si="153"/>
        <v>230</v>
      </c>
      <c r="P204" s="92">
        <f t="shared" si="153"/>
        <v>230</v>
      </c>
      <c r="Q204" s="92">
        <f t="shared" si="153"/>
        <v>240</v>
      </c>
      <c r="R204" s="92">
        <f t="shared" si="153"/>
        <v>240</v>
      </c>
      <c r="S204" s="92">
        <f t="shared" si="153"/>
        <v>240</v>
      </c>
      <c r="T204" s="92">
        <f t="shared" si="153"/>
        <v>240</v>
      </c>
      <c r="U204" s="92">
        <f t="shared" si="153"/>
        <v>245</v>
      </c>
      <c r="V204" s="92">
        <f t="shared" si="153"/>
        <v>245</v>
      </c>
      <c r="W204" s="92">
        <f t="shared" si="153"/>
        <v>245</v>
      </c>
      <c r="X204" s="92">
        <f t="shared" si="153"/>
        <v>245</v>
      </c>
      <c r="Y204" s="92">
        <f t="shared" si="153"/>
        <v>250</v>
      </c>
      <c r="Z204" s="92">
        <f t="shared" si="153"/>
        <v>250</v>
      </c>
      <c r="AA204" s="92">
        <f t="shared" si="153"/>
        <v>250</v>
      </c>
      <c r="AB204" s="92">
        <f t="shared" si="153"/>
        <v>250</v>
      </c>
      <c r="AC204" s="92">
        <f t="shared" si="153"/>
        <v>255</v>
      </c>
      <c r="AD204" s="92">
        <f t="shared" si="153"/>
        <v>255</v>
      </c>
      <c r="AE204" s="92">
        <f t="shared" si="153"/>
        <v>255</v>
      </c>
      <c r="AF204" s="92">
        <f t="shared" si="153"/>
        <v>255</v>
      </c>
      <c r="AG204" s="92">
        <f t="shared" si="153"/>
        <v>275</v>
      </c>
      <c r="AH204" s="92">
        <f t="shared" si="153"/>
        <v>275</v>
      </c>
      <c r="AI204" s="92">
        <f t="shared" si="153"/>
        <v>275</v>
      </c>
      <c r="AJ204" s="92">
        <f t="shared" si="153"/>
        <v>275</v>
      </c>
      <c r="AK204" s="92">
        <f t="shared" si="153"/>
        <v>300</v>
      </c>
      <c r="AL204" s="92">
        <f t="shared" si="153"/>
        <v>300</v>
      </c>
      <c r="AM204" s="92">
        <f t="shared" si="153"/>
        <v>300</v>
      </c>
      <c r="AN204" s="92">
        <f t="shared" si="153"/>
        <v>300</v>
      </c>
      <c r="AO204" s="92">
        <f t="shared" si="153"/>
        <v>335</v>
      </c>
      <c r="AP204" s="92">
        <f t="shared" si="153"/>
        <v>335</v>
      </c>
      <c r="AQ204" s="92">
        <f t="shared" si="153"/>
        <v>335</v>
      </c>
      <c r="AR204" s="92">
        <f t="shared" si="153"/>
        <v>335</v>
      </c>
      <c r="AS204" s="92">
        <f t="shared" si="153"/>
        <v>360</v>
      </c>
      <c r="AT204" s="92">
        <f t="shared" si="153"/>
        <v>360</v>
      </c>
      <c r="AU204" s="92">
        <f t="shared" si="153"/>
        <v>360</v>
      </c>
      <c r="AV204" s="92"/>
      <c r="AW204" s="92"/>
      <c r="AX204" s="92"/>
      <c r="AY204" s="92"/>
      <c r="AZ204" s="92"/>
    </row>
    <row r="205" spans="2:83" hidden="1" x14ac:dyDescent="0.15">
      <c r="B205" s="10" t="s">
        <v>90</v>
      </c>
      <c r="F205" s="92"/>
      <c r="G205" s="92"/>
      <c r="H205" s="92"/>
      <c r="I205" s="92"/>
      <c r="J205" s="92"/>
      <c r="K205" s="92"/>
      <c r="L205" s="92"/>
      <c r="M205" s="92"/>
      <c r="N205" s="92"/>
      <c r="O205" s="92"/>
      <c r="P205" s="92"/>
      <c r="Q205" s="92"/>
      <c r="R205" s="92"/>
      <c r="S205" s="92"/>
      <c r="T205" s="92"/>
      <c r="U205" s="92"/>
      <c r="V205" s="92"/>
      <c r="W205" s="92"/>
      <c r="X205" s="92"/>
      <c r="Y205" s="92"/>
      <c r="Z205" s="92"/>
      <c r="AA205" s="92"/>
      <c r="AB205" s="92"/>
      <c r="AC205" s="92"/>
      <c r="AD205" s="92"/>
      <c r="AE205" s="92"/>
      <c r="AF205" s="92"/>
      <c r="AG205" s="92"/>
      <c r="AH205" s="92"/>
      <c r="AI205" s="92"/>
      <c r="AJ205" s="92"/>
      <c r="AK205" s="92"/>
      <c r="AL205" s="92"/>
      <c r="AM205" s="92"/>
      <c r="AN205" s="92"/>
      <c r="AO205" s="92"/>
      <c r="AP205" s="92"/>
      <c r="AQ205" s="92"/>
      <c r="AR205" s="92"/>
      <c r="AS205" s="92"/>
      <c r="AT205" s="92"/>
      <c r="AU205" s="92">
        <f>AU173</f>
        <v>29093.993458443929</v>
      </c>
      <c r="AV205" s="92"/>
      <c r="AW205" s="92"/>
      <c r="AX205" s="92"/>
      <c r="AY205" s="92"/>
      <c r="AZ205" s="92"/>
    </row>
    <row r="206" spans="2:83" hidden="1" x14ac:dyDescent="0.15">
      <c r="B206" s="99" t="s">
        <v>91</v>
      </c>
      <c r="C206" s="99"/>
      <c r="D206" s="99"/>
      <c r="E206" s="99"/>
      <c r="F206" s="100"/>
      <c r="G206" s="100">
        <f>SUM(G203:G204)</f>
        <v>-10500</v>
      </c>
      <c r="H206" s="100">
        <f>SUM(H204:H205)</f>
        <v>0</v>
      </c>
      <c r="I206" s="100">
        <f t="shared" ref="I206:AU206" si="154">SUM(I204:I205)</f>
        <v>210</v>
      </c>
      <c r="J206" s="100">
        <f t="shared" si="154"/>
        <v>210</v>
      </c>
      <c r="K206" s="100">
        <f t="shared" si="154"/>
        <v>210</v>
      </c>
      <c r="L206" s="100">
        <f t="shared" si="154"/>
        <v>210</v>
      </c>
      <c r="M206" s="100">
        <f t="shared" si="154"/>
        <v>230</v>
      </c>
      <c r="N206" s="100">
        <f t="shared" si="154"/>
        <v>230</v>
      </c>
      <c r="O206" s="100">
        <f t="shared" si="154"/>
        <v>230</v>
      </c>
      <c r="P206" s="100">
        <f t="shared" si="154"/>
        <v>230</v>
      </c>
      <c r="Q206" s="100">
        <f t="shared" si="154"/>
        <v>240</v>
      </c>
      <c r="R206" s="100">
        <f t="shared" si="154"/>
        <v>240</v>
      </c>
      <c r="S206" s="100">
        <f t="shared" si="154"/>
        <v>240</v>
      </c>
      <c r="T206" s="100">
        <f t="shared" si="154"/>
        <v>240</v>
      </c>
      <c r="U206" s="100">
        <f t="shared" si="154"/>
        <v>245</v>
      </c>
      <c r="V206" s="100">
        <f t="shared" si="154"/>
        <v>245</v>
      </c>
      <c r="W206" s="100">
        <f t="shared" si="154"/>
        <v>245</v>
      </c>
      <c r="X206" s="100">
        <f t="shared" si="154"/>
        <v>245</v>
      </c>
      <c r="Y206" s="100">
        <f t="shared" si="154"/>
        <v>250</v>
      </c>
      <c r="Z206" s="100">
        <f t="shared" si="154"/>
        <v>250</v>
      </c>
      <c r="AA206" s="100">
        <f t="shared" si="154"/>
        <v>250</v>
      </c>
      <c r="AB206" s="100">
        <f t="shared" si="154"/>
        <v>250</v>
      </c>
      <c r="AC206" s="100">
        <f t="shared" si="154"/>
        <v>255</v>
      </c>
      <c r="AD206" s="100">
        <f t="shared" si="154"/>
        <v>255</v>
      </c>
      <c r="AE206" s="100">
        <f t="shared" si="154"/>
        <v>255</v>
      </c>
      <c r="AF206" s="100">
        <f t="shared" si="154"/>
        <v>255</v>
      </c>
      <c r="AG206" s="100">
        <f t="shared" si="154"/>
        <v>275</v>
      </c>
      <c r="AH206" s="100">
        <f t="shared" si="154"/>
        <v>275</v>
      </c>
      <c r="AI206" s="100">
        <f t="shared" si="154"/>
        <v>275</v>
      </c>
      <c r="AJ206" s="100">
        <f t="shared" si="154"/>
        <v>275</v>
      </c>
      <c r="AK206" s="100">
        <f t="shared" si="154"/>
        <v>300</v>
      </c>
      <c r="AL206" s="100">
        <f t="shared" si="154"/>
        <v>300</v>
      </c>
      <c r="AM206" s="100">
        <f t="shared" si="154"/>
        <v>300</v>
      </c>
      <c r="AN206" s="100">
        <f t="shared" si="154"/>
        <v>300</v>
      </c>
      <c r="AO206" s="100">
        <f t="shared" si="154"/>
        <v>335</v>
      </c>
      <c r="AP206" s="100">
        <f t="shared" si="154"/>
        <v>335</v>
      </c>
      <c r="AQ206" s="100">
        <f t="shared" si="154"/>
        <v>335</v>
      </c>
      <c r="AR206" s="100">
        <f t="shared" si="154"/>
        <v>335</v>
      </c>
      <c r="AS206" s="100">
        <f t="shared" si="154"/>
        <v>360</v>
      </c>
      <c r="AT206" s="100">
        <f t="shared" si="154"/>
        <v>360</v>
      </c>
      <c r="AU206" s="100">
        <f t="shared" si="154"/>
        <v>29453.993458443929</v>
      </c>
      <c r="AV206" s="100"/>
      <c r="AW206" s="100"/>
      <c r="AX206" s="100"/>
      <c r="AY206" s="100"/>
      <c r="AZ206" s="100"/>
    </row>
    <row r="208" spans="2:83" hidden="1" x14ac:dyDescent="0.15">
      <c r="B208" s="285" t="s">
        <v>92</v>
      </c>
      <c r="C208" s="286">
        <f>XIRR(G206:AU206,G201:AU201)</f>
        <v>0.17391170859336855</v>
      </c>
    </row>
    <row r="209" spans="2:52" hidden="1" x14ac:dyDescent="0.15">
      <c r="B209" s="285" t="s">
        <v>93</v>
      </c>
      <c r="C209" s="286">
        <f>AVERAGE(I204:AU204)*4/-G203</f>
        <v>0.10197802197802197</v>
      </c>
      <c r="H209" s="14"/>
    </row>
    <row r="210" spans="2:52" hidden="1" x14ac:dyDescent="0.15">
      <c r="B210" s="285" t="s">
        <v>153</v>
      </c>
      <c r="C210" s="286">
        <f>SUM(I204:L204)/-G203</f>
        <v>0.08</v>
      </c>
    </row>
    <row r="213" spans="2:52" hidden="1" x14ac:dyDescent="0.15">
      <c r="B213" s="283" t="s">
        <v>163</v>
      </c>
      <c r="C213" s="98"/>
      <c r="D213" s="98"/>
      <c r="E213" s="98"/>
      <c r="F213" s="284"/>
      <c r="G213" s="284"/>
      <c r="H213" s="284">
        <f t="shared" ref="H213:AV213" si="155">H85</f>
        <v>46203</v>
      </c>
      <c r="I213" s="284">
        <f t="shared" si="155"/>
        <v>46295</v>
      </c>
      <c r="J213" s="284">
        <f t="shared" si="155"/>
        <v>46387</v>
      </c>
      <c r="K213" s="284">
        <f t="shared" si="155"/>
        <v>46477</v>
      </c>
      <c r="L213" s="284">
        <f t="shared" si="155"/>
        <v>46568</v>
      </c>
      <c r="M213" s="284">
        <f t="shared" si="155"/>
        <v>46660</v>
      </c>
      <c r="N213" s="284">
        <f t="shared" si="155"/>
        <v>46752</v>
      </c>
      <c r="O213" s="284">
        <f t="shared" si="155"/>
        <v>46843</v>
      </c>
      <c r="P213" s="284">
        <f t="shared" si="155"/>
        <v>46934</v>
      </c>
      <c r="Q213" s="284">
        <f t="shared" si="155"/>
        <v>47026</v>
      </c>
      <c r="R213" s="284">
        <f t="shared" si="155"/>
        <v>47118</v>
      </c>
      <c r="S213" s="284">
        <f t="shared" si="155"/>
        <v>47208</v>
      </c>
      <c r="T213" s="284">
        <f t="shared" si="155"/>
        <v>47299</v>
      </c>
      <c r="U213" s="284">
        <f t="shared" si="155"/>
        <v>47391</v>
      </c>
      <c r="V213" s="284">
        <f t="shared" si="155"/>
        <v>47483</v>
      </c>
      <c r="W213" s="284">
        <f t="shared" si="155"/>
        <v>47573</v>
      </c>
      <c r="X213" s="284">
        <f t="shared" si="155"/>
        <v>47664</v>
      </c>
      <c r="Y213" s="284">
        <f t="shared" si="155"/>
        <v>47756</v>
      </c>
      <c r="Z213" s="284">
        <f t="shared" si="155"/>
        <v>47848</v>
      </c>
      <c r="AA213" s="284">
        <f t="shared" si="155"/>
        <v>47938</v>
      </c>
      <c r="AB213" s="284">
        <f t="shared" si="155"/>
        <v>48029</v>
      </c>
      <c r="AC213" s="284">
        <f t="shared" si="155"/>
        <v>48121</v>
      </c>
      <c r="AD213" s="284">
        <f t="shared" si="155"/>
        <v>48213</v>
      </c>
      <c r="AE213" s="284">
        <f t="shared" si="155"/>
        <v>48304</v>
      </c>
      <c r="AF213" s="284">
        <f t="shared" si="155"/>
        <v>48395</v>
      </c>
      <c r="AG213" s="284">
        <f t="shared" si="155"/>
        <v>48487</v>
      </c>
      <c r="AH213" s="284">
        <f t="shared" si="155"/>
        <v>48579</v>
      </c>
      <c r="AI213" s="284">
        <f t="shared" si="155"/>
        <v>48669</v>
      </c>
      <c r="AJ213" s="284">
        <f t="shared" si="155"/>
        <v>48760</v>
      </c>
      <c r="AK213" s="284">
        <f t="shared" si="155"/>
        <v>48852</v>
      </c>
      <c r="AL213" s="284">
        <f t="shared" si="155"/>
        <v>48944</v>
      </c>
      <c r="AM213" s="284">
        <f t="shared" si="155"/>
        <v>49034</v>
      </c>
      <c r="AN213" s="284">
        <f t="shared" si="155"/>
        <v>49125</v>
      </c>
      <c r="AO213" s="284">
        <f t="shared" si="155"/>
        <v>49217</v>
      </c>
      <c r="AP213" s="284">
        <f t="shared" si="155"/>
        <v>49309</v>
      </c>
      <c r="AQ213" s="284">
        <f t="shared" si="155"/>
        <v>49399</v>
      </c>
      <c r="AR213" s="284">
        <f t="shared" si="155"/>
        <v>49490</v>
      </c>
      <c r="AS213" s="284">
        <f t="shared" si="155"/>
        <v>49582</v>
      </c>
      <c r="AT213" s="284">
        <f t="shared" si="155"/>
        <v>49674</v>
      </c>
      <c r="AU213" s="284">
        <f t="shared" si="155"/>
        <v>49765</v>
      </c>
      <c r="AV213" s="284">
        <f t="shared" si="155"/>
        <v>49856</v>
      </c>
      <c r="AW213" s="284"/>
      <c r="AX213" s="284"/>
      <c r="AY213" s="284"/>
      <c r="AZ213" s="284"/>
    </row>
    <row r="215" spans="2:52" hidden="1" x14ac:dyDescent="0.15">
      <c r="B215" s="10" t="s">
        <v>89</v>
      </c>
      <c r="F215" s="107"/>
      <c r="G215" s="92"/>
      <c r="H215" s="107">
        <f>-C72</f>
        <v>-11250</v>
      </c>
      <c r="I215" s="107"/>
      <c r="J215" s="92"/>
      <c r="K215" s="92"/>
      <c r="L215" s="92"/>
      <c r="M215" s="92"/>
      <c r="N215" s="92"/>
      <c r="O215" s="92"/>
      <c r="P215" s="92"/>
      <c r="Q215" s="92"/>
      <c r="R215" s="92"/>
      <c r="S215" s="92"/>
      <c r="T215" s="92"/>
      <c r="U215" s="92"/>
      <c r="V215" s="92"/>
      <c r="W215" s="92"/>
      <c r="X215" s="92"/>
      <c r="Y215" s="92"/>
      <c r="Z215" s="92"/>
      <c r="AA215" s="92"/>
      <c r="AB215" s="92"/>
      <c r="AC215" s="92"/>
      <c r="AD215" s="92"/>
      <c r="AE215" s="92"/>
      <c r="AF215" s="92"/>
      <c r="AG215" s="92"/>
      <c r="AH215" s="92"/>
      <c r="AI215" s="92"/>
      <c r="AJ215" s="92"/>
      <c r="AK215" s="92"/>
      <c r="AL215" s="92"/>
      <c r="AM215" s="92"/>
      <c r="AN215" s="92"/>
      <c r="AO215" s="92"/>
      <c r="AP215" s="92"/>
      <c r="AQ215" s="92"/>
      <c r="AR215" s="92"/>
      <c r="AS215" s="92"/>
      <c r="AT215" s="92"/>
      <c r="AU215" s="92"/>
      <c r="AV215" s="92"/>
      <c r="AW215" s="92"/>
      <c r="AX215" s="92"/>
      <c r="AY215" s="92"/>
      <c r="AZ215" s="92"/>
    </row>
    <row r="216" spans="2:52" hidden="1" x14ac:dyDescent="0.15">
      <c r="B216" s="10" t="s">
        <v>27</v>
      </c>
      <c r="F216" s="92"/>
      <c r="G216" s="92"/>
      <c r="H216" s="92"/>
      <c r="I216" s="92">
        <f t="shared" ref="I216:AV216" si="156">I174</f>
        <v>210</v>
      </c>
      <c r="J216" s="92">
        <f t="shared" si="156"/>
        <v>210</v>
      </c>
      <c r="K216" s="92">
        <f t="shared" si="156"/>
        <v>210</v>
      </c>
      <c r="L216" s="92">
        <f t="shared" si="156"/>
        <v>210</v>
      </c>
      <c r="M216" s="92">
        <f t="shared" si="156"/>
        <v>230</v>
      </c>
      <c r="N216" s="92">
        <f t="shared" si="156"/>
        <v>230</v>
      </c>
      <c r="O216" s="92">
        <f t="shared" si="156"/>
        <v>230</v>
      </c>
      <c r="P216" s="92">
        <f t="shared" si="156"/>
        <v>230</v>
      </c>
      <c r="Q216" s="92">
        <f t="shared" si="156"/>
        <v>240</v>
      </c>
      <c r="R216" s="92">
        <f t="shared" si="156"/>
        <v>240</v>
      </c>
      <c r="S216" s="92">
        <f t="shared" si="156"/>
        <v>240</v>
      </c>
      <c r="T216" s="92">
        <f t="shared" si="156"/>
        <v>240</v>
      </c>
      <c r="U216" s="92">
        <f t="shared" si="156"/>
        <v>245</v>
      </c>
      <c r="V216" s="92">
        <f t="shared" si="156"/>
        <v>245</v>
      </c>
      <c r="W216" s="92">
        <f t="shared" si="156"/>
        <v>245</v>
      </c>
      <c r="X216" s="92">
        <f t="shared" si="156"/>
        <v>245</v>
      </c>
      <c r="Y216" s="92">
        <f t="shared" si="156"/>
        <v>250</v>
      </c>
      <c r="Z216" s="92">
        <f t="shared" si="156"/>
        <v>250</v>
      </c>
      <c r="AA216" s="92">
        <f t="shared" si="156"/>
        <v>250</v>
      </c>
      <c r="AB216" s="92">
        <f t="shared" si="156"/>
        <v>250</v>
      </c>
      <c r="AC216" s="92">
        <f t="shared" si="156"/>
        <v>255</v>
      </c>
      <c r="AD216" s="92">
        <f t="shared" si="156"/>
        <v>255</v>
      </c>
      <c r="AE216" s="92">
        <f t="shared" si="156"/>
        <v>255</v>
      </c>
      <c r="AF216" s="92">
        <f t="shared" si="156"/>
        <v>255</v>
      </c>
      <c r="AG216" s="92">
        <f t="shared" si="156"/>
        <v>275</v>
      </c>
      <c r="AH216" s="92">
        <f t="shared" si="156"/>
        <v>275</v>
      </c>
      <c r="AI216" s="92">
        <f t="shared" si="156"/>
        <v>275</v>
      </c>
      <c r="AJ216" s="92">
        <f t="shared" si="156"/>
        <v>275</v>
      </c>
      <c r="AK216" s="92">
        <f t="shared" si="156"/>
        <v>300</v>
      </c>
      <c r="AL216" s="92">
        <f t="shared" si="156"/>
        <v>300</v>
      </c>
      <c r="AM216" s="92">
        <f t="shared" si="156"/>
        <v>300</v>
      </c>
      <c r="AN216" s="92">
        <f t="shared" si="156"/>
        <v>300</v>
      </c>
      <c r="AO216" s="92">
        <f t="shared" si="156"/>
        <v>335</v>
      </c>
      <c r="AP216" s="92">
        <f t="shared" si="156"/>
        <v>335</v>
      </c>
      <c r="AQ216" s="92">
        <f t="shared" si="156"/>
        <v>335</v>
      </c>
      <c r="AR216" s="92">
        <f t="shared" si="156"/>
        <v>335</v>
      </c>
      <c r="AS216" s="92">
        <f t="shared" si="156"/>
        <v>360</v>
      </c>
      <c r="AT216" s="92">
        <f t="shared" si="156"/>
        <v>360</v>
      </c>
      <c r="AU216" s="92">
        <f t="shared" si="156"/>
        <v>360</v>
      </c>
      <c r="AV216" s="92">
        <f t="shared" si="156"/>
        <v>360</v>
      </c>
      <c r="AW216" s="92"/>
      <c r="AX216" s="92"/>
      <c r="AY216" s="92"/>
      <c r="AZ216" s="92"/>
    </row>
    <row r="217" spans="2:52" hidden="1" x14ac:dyDescent="0.15">
      <c r="B217" s="10" t="s">
        <v>90</v>
      </c>
      <c r="F217" s="92"/>
      <c r="G217" s="92"/>
      <c r="H217" s="92"/>
      <c r="I217" s="92"/>
      <c r="J217" s="92"/>
      <c r="K217" s="92"/>
      <c r="L217" s="92"/>
      <c r="M217" s="92"/>
      <c r="N217" s="92"/>
      <c r="O217" s="92"/>
      <c r="P217" s="92"/>
      <c r="Q217" s="92"/>
      <c r="R217" s="92"/>
      <c r="S217" s="92"/>
      <c r="T217" s="92"/>
      <c r="U217" s="92"/>
      <c r="V217" s="92"/>
      <c r="W217" s="92"/>
      <c r="X217" s="92"/>
      <c r="Y217" s="92"/>
      <c r="Z217" s="92"/>
      <c r="AA217" s="92"/>
      <c r="AB217" s="92"/>
      <c r="AC217" s="92"/>
      <c r="AD217" s="92"/>
      <c r="AE217" s="92"/>
      <c r="AF217" s="92"/>
      <c r="AG217" s="92"/>
      <c r="AH217" s="92"/>
      <c r="AI217" s="92"/>
      <c r="AJ217" s="92"/>
      <c r="AK217" s="92"/>
      <c r="AL217" s="92"/>
      <c r="AM217" s="92"/>
      <c r="AN217" s="92"/>
      <c r="AO217" s="92"/>
      <c r="AP217" s="92"/>
      <c r="AQ217" s="92"/>
      <c r="AR217" s="92"/>
      <c r="AS217" s="92"/>
      <c r="AT217" s="92"/>
      <c r="AU217" s="92"/>
      <c r="AV217" s="92">
        <f>AV173</f>
        <v>29805.859994786293</v>
      </c>
      <c r="AW217" s="92"/>
      <c r="AX217" s="92"/>
      <c r="AY217" s="92"/>
      <c r="AZ217" s="92"/>
    </row>
    <row r="218" spans="2:52" hidden="1" x14ac:dyDescent="0.15">
      <c r="B218" s="99" t="s">
        <v>91</v>
      </c>
      <c r="C218" s="99"/>
      <c r="D218" s="99"/>
      <c r="E218" s="99"/>
      <c r="F218" s="100"/>
      <c r="G218" s="100"/>
      <c r="H218" s="100">
        <f t="shared" ref="H218:AV218" si="157">SUM(H215:H217)</f>
        <v>-11250</v>
      </c>
      <c r="I218" s="100">
        <f t="shared" si="157"/>
        <v>210</v>
      </c>
      <c r="J218" s="100">
        <f t="shared" si="157"/>
        <v>210</v>
      </c>
      <c r="K218" s="100">
        <f t="shared" si="157"/>
        <v>210</v>
      </c>
      <c r="L218" s="100">
        <f t="shared" si="157"/>
        <v>210</v>
      </c>
      <c r="M218" s="100">
        <f t="shared" si="157"/>
        <v>230</v>
      </c>
      <c r="N218" s="100">
        <f t="shared" si="157"/>
        <v>230</v>
      </c>
      <c r="O218" s="100">
        <f t="shared" si="157"/>
        <v>230</v>
      </c>
      <c r="P218" s="100">
        <f t="shared" si="157"/>
        <v>230</v>
      </c>
      <c r="Q218" s="100">
        <f t="shared" si="157"/>
        <v>240</v>
      </c>
      <c r="R218" s="100">
        <f t="shared" si="157"/>
        <v>240</v>
      </c>
      <c r="S218" s="100">
        <f t="shared" si="157"/>
        <v>240</v>
      </c>
      <c r="T218" s="100">
        <f t="shared" si="157"/>
        <v>240</v>
      </c>
      <c r="U218" s="100">
        <f t="shared" si="157"/>
        <v>245</v>
      </c>
      <c r="V218" s="100">
        <f t="shared" si="157"/>
        <v>245</v>
      </c>
      <c r="W218" s="100">
        <f t="shared" si="157"/>
        <v>245</v>
      </c>
      <c r="X218" s="100">
        <f t="shared" si="157"/>
        <v>245</v>
      </c>
      <c r="Y218" s="100">
        <f t="shared" si="157"/>
        <v>250</v>
      </c>
      <c r="Z218" s="100">
        <f t="shared" si="157"/>
        <v>250</v>
      </c>
      <c r="AA218" s="100">
        <f t="shared" si="157"/>
        <v>250</v>
      </c>
      <c r="AB218" s="100">
        <f t="shared" si="157"/>
        <v>250</v>
      </c>
      <c r="AC218" s="100">
        <f t="shared" si="157"/>
        <v>255</v>
      </c>
      <c r="AD218" s="100">
        <f t="shared" si="157"/>
        <v>255</v>
      </c>
      <c r="AE218" s="100">
        <f t="shared" si="157"/>
        <v>255</v>
      </c>
      <c r="AF218" s="100">
        <f t="shared" si="157"/>
        <v>255</v>
      </c>
      <c r="AG218" s="100">
        <f t="shared" si="157"/>
        <v>275</v>
      </c>
      <c r="AH218" s="100">
        <f t="shared" si="157"/>
        <v>275</v>
      </c>
      <c r="AI218" s="100">
        <f t="shared" si="157"/>
        <v>275</v>
      </c>
      <c r="AJ218" s="100">
        <f t="shared" si="157"/>
        <v>275</v>
      </c>
      <c r="AK218" s="100">
        <f t="shared" si="157"/>
        <v>300</v>
      </c>
      <c r="AL218" s="100">
        <f t="shared" si="157"/>
        <v>300</v>
      </c>
      <c r="AM218" s="100">
        <f t="shared" si="157"/>
        <v>300</v>
      </c>
      <c r="AN218" s="100">
        <f t="shared" si="157"/>
        <v>300</v>
      </c>
      <c r="AO218" s="100">
        <f t="shared" si="157"/>
        <v>335</v>
      </c>
      <c r="AP218" s="100">
        <f t="shared" si="157"/>
        <v>335</v>
      </c>
      <c r="AQ218" s="100">
        <f t="shared" si="157"/>
        <v>335</v>
      </c>
      <c r="AR218" s="100">
        <f t="shared" si="157"/>
        <v>335</v>
      </c>
      <c r="AS218" s="100">
        <f t="shared" si="157"/>
        <v>360</v>
      </c>
      <c r="AT218" s="100">
        <f t="shared" si="157"/>
        <v>360</v>
      </c>
      <c r="AU218" s="100">
        <f t="shared" si="157"/>
        <v>360</v>
      </c>
      <c r="AV218" s="100">
        <f t="shared" si="157"/>
        <v>30165.859994786293</v>
      </c>
      <c r="AW218" s="100"/>
      <c r="AX218" s="100"/>
      <c r="AY218" s="100"/>
      <c r="AZ218" s="100"/>
    </row>
    <row r="220" spans="2:52" hidden="1" x14ac:dyDescent="0.15">
      <c r="B220" s="285" t="s">
        <v>92</v>
      </c>
      <c r="C220" s="286">
        <f>XIRR(H218:AV218,H213:AV213)</f>
        <v>0.1690050423145294</v>
      </c>
    </row>
    <row r="221" spans="2:52" hidden="1" x14ac:dyDescent="0.15">
      <c r="B221" s="285" t="s">
        <v>93</v>
      </c>
      <c r="C221" s="286">
        <f>AVERAGE(I216:AV216)*4/-H215</f>
        <v>9.6000000000000002E-2</v>
      </c>
      <c r="H221" s="14"/>
    </row>
    <row r="222" spans="2:52" hidden="1" x14ac:dyDescent="0.15">
      <c r="B222" s="285" t="s">
        <v>153</v>
      </c>
      <c r="C222" s="286">
        <f>SUM(I216:L216)/-H215</f>
        <v>7.4666666666666673E-2</v>
      </c>
    </row>
    <row r="225" spans="2:52" hidden="1" x14ac:dyDescent="0.15">
      <c r="B225" s="283" t="s">
        <v>210</v>
      </c>
      <c r="C225" s="98"/>
      <c r="D225" s="98"/>
      <c r="E225" s="98"/>
      <c r="F225" s="284"/>
      <c r="G225" s="284"/>
      <c r="H225" s="284"/>
      <c r="I225" s="284">
        <f>I213</f>
        <v>46295</v>
      </c>
      <c r="J225" s="284">
        <f>J85-30</f>
        <v>46357</v>
      </c>
      <c r="K225" s="284">
        <f t="shared" ref="K225:AZ225" si="158">K85</f>
        <v>46477</v>
      </c>
      <c r="L225" s="284">
        <f t="shared" si="158"/>
        <v>46568</v>
      </c>
      <c r="M225" s="284">
        <f t="shared" si="158"/>
        <v>46660</v>
      </c>
      <c r="N225" s="284">
        <f t="shared" si="158"/>
        <v>46752</v>
      </c>
      <c r="O225" s="284">
        <f t="shared" si="158"/>
        <v>46843</v>
      </c>
      <c r="P225" s="284">
        <f t="shared" si="158"/>
        <v>46934</v>
      </c>
      <c r="Q225" s="284">
        <f t="shared" si="158"/>
        <v>47026</v>
      </c>
      <c r="R225" s="284">
        <f t="shared" si="158"/>
        <v>47118</v>
      </c>
      <c r="S225" s="284">
        <f t="shared" si="158"/>
        <v>47208</v>
      </c>
      <c r="T225" s="284">
        <f t="shared" si="158"/>
        <v>47299</v>
      </c>
      <c r="U225" s="284">
        <f t="shared" si="158"/>
        <v>47391</v>
      </c>
      <c r="V225" s="284">
        <f t="shared" si="158"/>
        <v>47483</v>
      </c>
      <c r="W225" s="284">
        <f t="shared" si="158"/>
        <v>47573</v>
      </c>
      <c r="X225" s="284">
        <f t="shared" si="158"/>
        <v>47664</v>
      </c>
      <c r="Y225" s="284">
        <f t="shared" si="158"/>
        <v>47756</v>
      </c>
      <c r="Z225" s="284">
        <f t="shared" si="158"/>
        <v>47848</v>
      </c>
      <c r="AA225" s="284">
        <f t="shared" si="158"/>
        <v>47938</v>
      </c>
      <c r="AB225" s="284">
        <f t="shared" si="158"/>
        <v>48029</v>
      </c>
      <c r="AC225" s="284">
        <f t="shared" si="158"/>
        <v>48121</v>
      </c>
      <c r="AD225" s="284">
        <f t="shared" si="158"/>
        <v>48213</v>
      </c>
      <c r="AE225" s="284">
        <f t="shared" si="158"/>
        <v>48304</v>
      </c>
      <c r="AF225" s="284">
        <f t="shared" si="158"/>
        <v>48395</v>
      </c>
      <c r="AG225" s="284">
        <f t="shared" si="158"/>
        <v>48487</v>
      </c>
      <c r="AH225" s="284">
        <f t="shared" si="158"/>
        <v>48579</v>
      </c>
      <c r="AI225" s="284">
        <f t="shared" si="158"/>
        <v>48669</v>
      </c>
      <c r="AJ225" s="284">
        <f t="shared" si="158"/>
        <v>48760</v>
      </c>
      <c r="AK225" s="284">
        <f t="shared" si="158"/>
        <v>48852</v>
      </c>
      <c r="AL225" s="284">
        <f t="shared" si="158"/>
        <v>48944</v>
      </c>
      <c r="AM225" s="284">
        <f t="shared" si="158"/>
        <v>49034</v>
      </c>
      <c r="AN225" s="284">
        <f t="shared" si="158"/>
        <v>49125</v>
      </c>
      <c r="AO225" s="284">
        <f t="shared" si="158"/>
        <v>49217</v>
      </c>
      <c r="AP225" s="284">
        <f t="shared" si="158"/>
        <v>49309</v>
      </c>
      <c r="AQ225" s="284">
        <f t="shared" si="158"/>
        <v>49399</v>
      </c>
      <c r="AR225" s="284">
        <f t="shared" si="158"/>
        <v>49490</v>
      </c>
      <c r="AS225" s="284">
        <f t="shared" si="158"/>
        <v>49582</v>
      </c>
      <c r="AT225" s="284">
        <f t="shared" si="158"/>
        <v>49674</v>
      </c>
      <c r="AU225" s="284">
        <f t="shared" si="158"/>
        <v>49765</v>
      </c>
      <c r="AV225" s="284">
        <f t="shared" si="158"/>
        <v>49856</v>
      </c>
      <c r="AW225" s="284">
        <f t="shared" si="158"/>
        <v>49948</v>
      </c>
      <c r="AX225" s="284">
        <f t="shared" si="158"/>
        <v>50040</v>
      </c>
      <c r="AY225" s="284">
        <f t="shared" si="158"/>
        <v>50130</v>
      </c>
      <c r="AZ225" s="284">
        <f t="shared" si="158"/>
        <v>50221</v>
      </c>
    </row>
    <row r="227" spans="2:52" hidden="1" x14ac:dyDescent="0.15">
      <c r="B227" s="10" t="s">
        <v>89</v>
      </c>
      <c r="F227" s="107"/>
      <c r="G227" s="92"/>
      <c r="H227" s="107"/>
      <c r="I227" s="107">
        <f>-C73</f>
        <v>-11750</v>
      </c>
      <c r="J227" s="107"/>
      <c r="K227" s="92"/>
      <c r="L227" s="92"/>
      <c r="M227" s="92"/>
      <c r="N227" s="92"/>
      <c r="O227" s="92"/>
      <c r="P227" s="92"/>
      <c r="Q227" s="92"/>
      <c r="R227" s="92"/>
      <c r="S227" s="92"/>
      <c r="T227" s="92"/>
      <c r="U227" s="92"/>
      <c r="V227" s="92"/>
      <c r="W227" s="92"/>
      <c r="X227" s="92"/>
      <c r="Y227" s="92"/>
      <c r="Z227" s="92"/>
      <c r="AA227" s="92"/>
      <c r="AB227" s="92"/>
      <c r="AC227" s="92"/>
      <c r="AD227" s="92"/>
      <c r="AE227" s="92"/>
      <c r="AF227" s="92"/>
      <c r="AG227" s="92"/>
      <c r="AH227" s="92"/>
      <c r="AI227" s="92"/>
      <c r="AJ227" s="92"/>
      <c r="AK227" s="92"/>
      <c r="AL227" s="92"/>
      <c r="AM227" s="92"/>
      <c r="AN227" s="92"/>
      <c r="AO227" s="92"/>
      <c r="AP227" s="92"/>
      <c r="AQ227" s="92"/>
      <c r="AR227" s="92"/>
      <c r="AS227" s="92"/>
      <c r="AT227" s="92"/>
      <c r="AU227" s="92"/>
      <c r="AV227" s="92"/>
      <c r="AW227" s="92"/>
      <c r="AX227" s="92"/>
      <c r="AY227" s="92"/>
      <c r="AZ227" s="92"/>
    </row>
    <row r="228" spans="2:52" hidden="1" x14ac:dyDescent="0.15">
      <c r="B228" s="10" t="s">
        <v>27</v>
      </c>
      <c r="F228" s="92"/>
      <c r="G228" s="92"/>
      <c r="H228" s="92"/>
      <c r="I228" s="92"/>
      <c r="J228" s="92">
        <f t="shared" ref="J228:AW228" si="159">J174</f>
        <v>210</v>
      </c>
      <c r="K228" s="92">
        <f t="shared" si="159"/>
        <v>210</v>
      </c>
      <c r="L228" s="92">
        <f t="shared" si="159"/>
        <v>210</v>
      </c>
      <c r="M228" s="92">
        <f t="shared" si="159"/>
        <v>230</v>
      </c>
      <c r="N228" s="92">
        <f t="shared" si="159"/>
        <v>230</v>
      </c>
      <c r="O228" s="92">
        <f t="shared" si="159"/>
        <v>230</v>
      </c>
      <c r="P228" s="92">
        <f t="shared" si="159"/>
        <v>230</v>
      </c>
      <c r="Q228" s="92">
        <f t="shared" si="159"/>
        <v>240</v>
      </c>
      <c r="R228" s="92">
        <f t="shared" si="159"/>
        <v>240</v>
      </c>
      <c r="S228" s="92">
        <f t="shared" si="159"/>
        <v>240</v>
      </c>
      <c r="T228" s="92">
        <f t="shared" si="159"/>
        <v>240</v>
      </c>
      <c r="U228" s="92">
        <f t="shared" si="159"/>
        <v>245</v>
      </c>
      <c r="V228" s="92">
        <f t="shared" si="159"/>
        <v>245</v>
      </c>
      <c r="W228" s="92">
        <f t="shared" si="159"/>
        <v>245</v>
      </c>
      <c r="X228" s="92">
        <f t="shared" si="159"/>
        <v>245</v>
      </c>
      <c r="Y228" s="92">
        <f t="shared" si="159"/>
        <v>250</v>
      </c>
      <c r="Z228" s="92">
        <f t="shared" si="159"/>
        <v>250</v>
      </c>
      <c r="AA228" s="92">
        <f t="shared" si="159"/>
        <v>250</v>
      </c>
      <c r="AB228" s="92">
        <f t="shared" si="159"/>
        <v>250</v>
      </c>
      <c r="AC228" s="92">
        <f t="shared" si="159"/>
        <v>255</v>
      </c>
      <c r="AD228" s="92">
        <f t="shared" si="159"/>
        <v>255</v>
      </c>
      <c r="AE228" s="92">
        <f t="shared" si="159"/>
        <v>255</v>
      </c>
      <c r="AF228" s="92">
        <f t="shared" si="159"/>
        <v>255</v>
      </c>
      <c r="AG228" s="92">
        <f t="shared" si="159"/>
        <v>275</v>
      </c>
      <c r="AH228" s="92">
        <f t="shared" si="159"/>
        <v>275</v>
      </c>
      <c r="AI228" s="92">
        <f t="shared" si="159"/>
        <v>275</v>
      </c>
      <c r="AJ228" s="92">
        <f t="shared" si="159"/>
        <v>275</v>
      </c>
      <c r="AK228" s="92">
        <f t="shared" si="159"/>
        <v>300</v>
      </c>
      <c r="AL228" s="92">
        <f t="shared" si="159"/>
        <v>300</v>
      </c>
      <c r="AM228" s="92">
        <f t="shared" si="159"/>
        <v>300</v>
      </c>
      <c r="AN228" s="92">
        <f t="shared" si="159"/>
        <v>300</v>
      </c>
      <c r="AO228" s="92">
        <f t="shared" si="159"/>
        <v>335</v>
      </c>
      <c r="AP228" s="92">
        <f t="shared" si="159"/>
        <v>335</v>
      </c>
      <c r="AQ228" s="92">
        <f t="shared" si="159"/>
        <v>335</v>
      </c>
      <c r="AR228" s="92">
        <f t="shared" si="159"/>
        <v>335</v>
      </c>
      <c r="AS228" s="92">
        <f t="shared" si="159"/>
        <v>360</v>
      </c>
      <c r="AT228" s="92">
        <f t="shared" si="159"/>
        <v>360</v>
      </c>
      <c r="AU228" s="92">
        <f t="shared" si="159"/>
        <v>360</v>
      </c>
      <c r="AV228" s="92">
        <f t="shared" si="159"/>
        <v>360</v>
      </c>
      <c r="AW228" s="92">
        <f t="shared" si="159"/>
        <v>385</v>
      </c>
      <c r="AX228" s="92"/>
      <c r="AY228" s="92"/>
      <c r="AZ228" s="92"/>
    </row>
    <row r="229" spans="2:52" hidden="1" x14ac:dyDescent="0.15">
      <c r="B229" s="10" t="s">
        <v>90</v>
      </c>
      <c r="F229" s="92"/>
      <c r="G229" s="92"/>
      <c r="H229" s="92"/>
      <c r="I229" s="92"/>
      <c r="J229" s="92"/>
      <c r="K229" s="92"/>
      <c r="L229" s="92"/>
      <c r="M229" s="92"/>
      <c r="N229" s="92"/>
      <c r="O229" s="92"/>
      <c r="P229" s="92"/>
      <c r="Q229" s="92"/>
      <c r="R229" s="92"/>
      <c r="S229" s="92"/>
      <c r="T229" s="92"/>
      <c r="U229" s="92"/>
      <c r="V229" s="92"/>
      <c r="W229" s="92"/>
      <c r="X229" s="92"/>
      <c r="Y229" s="92"/>
      <c r="Z229" s="92"/>
      <c r="AA229" s="92"/>
      <c r="AB229" s="92"/>
      <c r="AC229" s="92"/>
      <c r="AD229" s="92"/>
      <c r="AE229" s="92"/>
      <c r="AF229" s="92"/>
      <c r="AG229" s="92"/>
      <c r="AH229" s="92"/>
      <c r="AI229" s="92"/>
      <c r="AJ229" s="92"/>
      <c r="AK229" s="92"/>
      <c r="AL229" s="92"/>
      <c r="AM229" s="92"/>
      <c r="AN229" s="92"/>
      <c r="AO229" s="92"/>
      <c r="AP229" s="92"/>
      <c r="AQ229" s="92"/>
      <c r="AR229" s="92"/>
      <c r="AS229" s="92"/>
      <c r="AT229" s="92"/>
      <c r="AU229" s="92"/>
      <c r="AV229" s="92"/>
      <c r="AW229" s="92">
        <f>AW173</f>
        <v>30535.144351968134</v>
      </c>
      <c r="AX229" s="92"/>
      <c r="AY229" s="92"/>
      <c r="AZ229" s="92"/>
    </row>
    <row r="230" spans="2:52" hidden="1" x14ac:dyDescent="0.15">
      <c r="B230" s="99" t="s">
        <v>91</v>
      </c>
      <c r="C230" s="99"/>
      <c r="D230" s="99"/>
      <c r="E230" s="99"/>
      <c r="F230" s="100"/>
      <c r="G230" s="100"/>
      <c r="H230" s="100"/>
      <c r="I230" s="100">
        <f>SUM(I227:I229)</f>
        <v>-11750</v>
      </c>
      <c r="J230" s="100">
        <f>SUM(J227:J229)</f>
        <v>210</v>
      </c>
      <c r="K230" s="100">
        <f t="shared" ref="K230:AW230" si="160">SUM(K227:K229)</f>
        <v>210</v>
      </c>
      <c r="L230" s="100">
        <f t="shared" si="160"/>
        <v>210</v>
      </c>
      <c r="M230" s="100">
        <f t="shared" si="160"/>
        <v>230</v>
      </c>
      <c r="N230" s="100">
        <f t="shared" si="160"/>
        <v>230</v>
      </c>
      <c r="O230" s="100">
        <f t="shared" si="160"/>
        <v>230</v>
      </c>
      <c r="P230" s="100">
        <f t="shared" si="160"/>
        <v>230</v>
      </c>
      <c r="Q230" s="100">
        <f t="shared" si="160"/>
        <v>240</v>
      </c>
      <c r="R230" s="100">
        <f t="shared" si="160"/>
        <v>240</v>
      </c>
      <c r="S230" s="100">
        <f t="shared" si="160"/>
        <v>240</v>
      </c>
      <c r="T230" s="100">
        <f t="shared" si="160"/>
        <v>240</v>
      </c>
      <c r="U230" s="100">
        <f t="shared" si="160"/>
        <v>245</v>
      </c>
      <c r="V230" s="100">
        <f t="shared" si="160"/>
        <v>245</v>
      </c>
      <c r="W230" s="100">
        <f t="shared" si="160"/>
        <v>245</v>
      </c>
      <c r="X230" s="100">
        <f t="shared" si="160"/>
        <v>245</v>
      </c>
      <c r="Y230" s="100">
        <f t="shared" si="160"/>
        <v>250</v>
      </c>
      <c r="Z230" s="100">
        <f t="shared" si="160"/>
        <v>250</v>
      </c>
      <c r="AA230" s="100">
        <f t="shared" si="160"/>
        <v>250</v>
      </c>
      <c r="AB230" s="100">
        <f t="shared" si="160"/>
        <v>250</v>
      </c>
      <c r="AC230" s="100">
        <f t="shared" si="160"/>
        <v>255</v>
      </c>
      <c r="AD230" s="100">
        <f t="shared" si="160"/>
        <v>255</v>
      </c>
      <c r="AE230" s="100">
        <f t="shared" si="160"/>
        <v>255</v>
      </c>
      <c r="AF230" s="100">
        <f t="shared" si="160"/>
        <v>255</v>
      </c>
      <c r="AG230" s="100">
        <f t="shared" si="160"/>
        <v>275</v>
      </c>
      <c r="AH230" s="100">
        <f t="shared" si="160"/>
        <v>275</v>
      </c>
      <c r="AI230" s="100">
        <f t="shared" si="160"/>
        <v>275</v>
      </c>
      <c r="AJ230" s="100">
        <f t="shared" si="160"/>
        <v>275</v>
      </c>
      <c r="AK230" s="100">
        <f t="shared" si="160"/>
        <v>300</v>
      </c>
      <c r="AL230" s="100">
        <f t="shared" si="160"/>
        <v>300</v>
      </c>
      <c r="AM230" s="100">
        <f t="shared" si="160"/>
        <v>300</v>
      </c>
      <c r="AN230" s="100">
        <f t="shared" si="160"/>
        <v>300</v>
      </c>
      <c r="AO230" s="100">
        <f t="shared" si="160"/>
        <v>335</v>
      </c>
      <c r="AP230" s="100">
        <f t="shared" si="160"/>
        <v>335</v>
      </c>
      <c r="AQ230" s="100">
        <f t="shared" si="160"/>
        <v>335</v>
      </c>
      <c r="AR230" s="100">
        <f t="shared" si="160"/>
        <v>335</v>
      </c>
      <c r="AS230" s="100">
        <f t="shared" si="160"/>
        <v>360</v>
      </c>
      <c r="AT230" s="100">
        <f t="shared" si="160"/>
        <v>360</v>
      </c>
      <c r="AU230" s="100">
        <f t="shared" si="160"/>
        <v>360</v>
      </c>
      <c r="AV230" s="100">
        <f t="shared" si="160"/>
        <v>360</v>
      </c>
      <c r="AW230" s="100">
        <f t="shared" si="160"/>
        <v>30920.144351968134</v>
      </c>
      <c r="AX230" s="100"/>
      <c r="AY230" s="100"/>
      <c r="AZ230" s="100"/>
    </row>
    <row r="232" spans="2:52" hidden="1" x14ac:dyDescent="0.15">
      <c r="B232" s="285" t="s">
        <v>92</v>
      </c>
      <c r="C232" s="286">
        <f>XIRR(I230:AW230,I225:AW225)</f>
        <v>0.16534176468849179</v>
      </c>
    </row>
    <row r="233" spans="2:52" ht="20" hidden="1" customHeight="1" x14ac:dyDescent="0.15">
      <c r="B233" s="285" t="s">
        <v>93</v>
      </c>
      <c r="C233" s="286">
        <f>AVERAGE(J228:AW228)*4/-I227</f>
        <v>9.3404255319148935E-2</v>
      </c>
      <c r="H233" s="14"/>
    </row>
    <row r="234" spans="2:52" ht="20" hidden="1" customHeight="1" x14ac:dyDescent="0.15">
      <c r="B234" s="285" t="s">
        <v>153</v>
      </c>
      <c r="C234" s="286">
        <f>SUM(J228:M228)/-I227</f>
        <v>7.3191489361702125E-2</v>
      </c>
    </row>
    <row r="235" spans="2:52" ht="20" hidden="1" customHeight="1" x14ac:dyDescent="0.15"/>
    <row r="236" spans="2:52" ht="20" hidden="1" customHeight="1" x14ac:dyDescent="0.15"/>
    <row r="239" spans="2:52" x14ac:dyDescent="0.15"/>
    <row r="240" spans="2:52" x14ac:dyDescent="0.15"/>
    <row r="241" x14ac:dyDescent="0.15"/>
    <row r="242" x14ac:dyDescent="0.15"/>
    <row r="243" x14ac:dyDescent="0.15"/>
    <row r="244" x14ac:dyDescent="0.15"/>
    <row r="245" x14ac:dyDescent="0.15"/>
    <row r="246" x14ac:dyDescent="0.15"/>
    <row r="247" x14ac:dyDescent="0.15"/>
    <row r="248" x14ac:dyDescent="0.15"/>
    <row r="249" x14ac:dyDescent="0.15"/>
    <row r="250" x14ac:dyDescent="0.15"/>
    <row r="251" x14ac:dyDescent="0.15"/>
    <row r="252" x14ac:dyDescent="0.15"/>
    <row r="253" x14ac:dyDescent="0.15"/>
    <row r="254" x14ac:dyDescent="0.15"/>
    <row r="255" x14ac:dyDescent="0.15"/>
    <row r="256" x14ac:dyDescent="0.15"/>
    <row r="257" x14ac:dyDescent="0.15"/>
    <row r="258" x14ac:dyDescent="0.15"/>
    <row r="259" x14ac:dyDescent="0.15"/>
    <row r="260" x14ac:dyDescent="0.15"/>
    <row r="261" x14ac:dyDescent="0.15"/>
    <row r="262" x14ac:dyDescent="0.15"/>
    <row r="263" x14ac:dyDescent="0.15"/>
    <row r="264" x14ac:dyDescent="0.15"/>
    <row r="265" x14ac:dyDescent="0.15"/>
    <row r="266" x14ac:dyDescent="0.15"/>
    <row r="267" x14ac:dyDescent="0.15"/>
    <row r="268" x14ac:dyDescent="0.15"/>
    <row r="269" x14ac:dyDescent="0.15"/>
    <row r="270" x14ac:dyDescent="0.15"/>
    <row r="271" x14ac:dyDescent="0.15"/>
    <row r="272" x14ac:dyDescent="0.15"/>
    <row r="273" x14ac:dyDescent="0.15"/>
    <row r="274" x14ac:dyDescent="0.15"/>
    <row r="275" x14ac:dyDescent="0.15"/>
    <row r="276" x14ac:dyDescent="0.15"/>
    <row r="277" x14ac:dyDescent="0.15"/>
    <row r="278" x14ac:dyDescent="0.15"/>
    <row r="279" x14ac:dyDescent="0.15"/>
    <row r="280" x14ac:dyDescent="0.15"/>
    <row r="281" x14ac:dyDescent="0.15"/>
    <row r="282" x14ac:dyDescent="0.15"/>
    <row r="283" x14ac:dyDescent="0.15"/>
    <row r="284" x14ac:dyDescent="0.15"/>
    <row r="285" x14ac:dyDescent="0.15"/>
    <row r="286" x14ac:dyDescent="0.15"/>
    <row r="287" x14ac:dyDescent="0.15"/>
    <row r="288" x14ac:dyDescent="0.15"/>
  </sheetData>
  <sheetProtection algorithmName="SHA-512" hashValue="WTLPpvnpag/cHtY2b8FA7u0dDh0s3oPqf2Te6gj+ACPGapwF1hCWCCTTFGwHCj1qMDizlc0UKiNcD3rDqh2k9w==" saltValue="xOJhCyIcX2waWAJutRMG1Q==" spinCount="100000" sheet="1" scenarios="1" selectLockedCells="1" selectUnlockedCells="1"/>
  <phoneticPr fontId="3" type="noConversion"/>
  <conditionalFormatting sqref="F89:AZ91">
    <cfRule type="colorScale" priority="6">
      <colorScale>
        <cfvo type="min"/>
        <cfvo type="max"/>
        <color rgb="FFFCFCFF"/>
        <color rgb="FF63BE7B"/>
      </colorScale>
    </cfRule>
  </conditionalFormatting>
  <conditionalFormatting sqref="F99:AZ99">
    <cfRule type="colorScale" priority="3">
      <colorScale>
        <cfvo type="min"/>
        <cfvo type="max"/>
        <color rgb="FFFCFCFF"/>
        <color rgb="FF63BE7B"/>
      </colorScale>
    </cfRule>
  </conditionalFormatting>
  <conditionalFormatting sqref="F108:AZ109 F103:AZ103 F100:AZ101">
    <cfRule type="colorScale" priority="2">
      <colorScale>
        <cfvo type="min"/>
        <cfvo type="max"/>
        <color rgb="FFFCFCFF"/>
        <color rgb="FF63BE7B"/>
      </colorScale>
    </cfRule>
  </conditionalFormatting>
  <conditionalFormatting sqref="G92:AZ93">
    <cfRule type="colorScale" priority="4">
      <colorScale>
        <cfvo type="min"/>
        <cfvo type="max"/>
        <color rgb="FFFCFCFF"/>
        <color rgb="FF63BE7B"/>
      </colorScale>
    </cfRule>
  </conditionalFormatting>
  <dataValidations disablePrompts="1" count="1">
    <dataValidation type="list" allowBlank="1" showInputMessage="1" showErrorMessage="1" sqref="C1" xr:uid="{00000000-0002-0000-0000-000000000000}">
      <formula1>"1,2,3"</formula1>
    </dataValidation>
  </dataValidations>
  <pageMargins left="0.7" right="0.7" top="0.75" bottom="0.75" header="0.3" footer="0.3"/>
  <pageSetup paperSize="9" orientation="portrait" horizontalDpi="4294967293" r:id="rId1"/>
  <ignoredErrors>
    <ignoredError sqref="K102 K132" formula="1"/>
  </ignoredError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2:R45"/>
  <sheetViews>
    <sheetView topLeftCell="A28" workbookViewId="0">
      <selection activeCell="E42" sqref="E42"/>
    </sheetView>
  </sheetViews>
  <sheetFormatPr baseColWidth="10" defaultColWidth="8.83203125" defaultRowHeight="13" x14ac:dyDescent="0.15"/>
  <cols>
    <col min="4" max="4" width="13.6640625" customWidth="1"/>
    <col min="5" max="5" width="12" customWidth="1"/>
    <col min="6" max="15" width="10.33203125" bestFit="1" customWidth="1"/>
  </cols>
  <sheetData>
    <row r="2" spans="4:18" x14ac:dyDescent="0.15">
      <c r="D2" s="1" t="e">
        <f>Модель!#REF!</f>
        <v>#REF!</v>
      </c>
    </row>
    <row r="3" spans="4:18" x14ac:dyDescent="0.15"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  <c r="L3">
        <v>7</v>
      </c>
      <c r="M3">
        <v>8</v>
      </c>
      <c r="N3">
        <v>9</v>
      </c>
      <c r="O3">
        <v>10</v>
      </c>
    </row>
    <row r="4" spans="4:18" x14ac:dyDescent="0.15">
      <c r="E4" t="s">
        <v>59</v>
      </c>
      <c r="F4" s="1" t="e">
        <f>EOMONTH(D2,12)</f>
        <v>#REF!</v>
      </c>
      <c r="G4" s="1" t="e">
        <f t="shared" ref="G4:O4" si="0">EOMONTH(F4,12)</f>
        <v>#REF!</v>
      </c>
      <c r="H4" s="1" t="e">
        <f t="shared" si="0"/>
        <v>#REF!</v>
      </c>
      <c r="I4" s="1" t="e">
        <f t="shared" si="0"/>
        <v>#REF!</v>
      </c>
      <c r="J4" s="1" t="e">
        <f t="shared" si="0"/>
        <v>#REF!</v>
      </c>
      <c r="K4" s="1" t="e">
        <f t="shared" si="0"/>
        <v>#REF!</v>
      </c>
      <c r="L4" s="1" t="e">
        <f t="shared" si="0"/>
        <v>#REF!</v>
      </c>
      <c r="M4" s="1" t="e">
        <f t="shared" si="0"/>
        <v>#REF!</v>
      </c>
      <c r="N4" s="1" t="e">
        <f t="shared" si="0"/>
        <v>#REF!</v>
      </c>
      <c r="O4" s="1" t="e">
        <f t="shared" si="0"/>
        <v>#REF!</v>
      </c>
      <c r="P4" s="1"/>
      <c r="Q4" s="1"/>
    </row>
    <row r="5" spans="4:18" x14ac:dyDescent="0.15">
      <c r="D5" t="s">
        <v>60</v>
      </c>
      <c r="E5" s="5">
        <v>10000</v>
      </c>
      <c r="F5" s="5" t="e">
        <f>HLOOKUP(F4,Модель!$G$85:$AV$187,81,0)</f>
        <v>#REF!</v>
      </c>
      <c r="G5" s="5" t="e">
        <f>HLOOKUP(G4,Модель!$G$85:$AV$187,81,0)</f>
        <v>#REF!</v>
      </c>
      <c r="H5" s="5" t="e">
        <f>HLOOKUP(H4,Модель!$G$85:$AV$187,81,0)</f>
        <v>#REF!</v>
      </c>
      <c r="I5" s="5" t="e">
        <f>HLOOKUP(I4,Модель!$G$85:$AV$187,81,0)</f>
        <v>#REF!</v>
      </c>
      <c r="J5" s="5" t="e">
        <f>HLOOKUP(J4,Модель!$G$85:$AV$187,81,0)</f>
        <v>#REF!</v>
      </c>
      <c r="K5" s="5" t="e">
        <f>HLOOKUP(K4,Модель!$G$85:$AV$187,81,0)</f>
        <v>#REF!</v>
      </c>
      <c r="L5" s="5" t="e">
        <f>HLOOKUP(L4,Модель!$G$85:$AV$187,81,0)</f>
        <v>#REF!</v>
      </c>
      <c r="M5" s="5" t="e">
        <f>HLOOKUP(M4,Модель!$G$85:$AV$187,81,0)</f>
        <v>#REF!</v>
      </c>
      <c r="N5" s="5" t="e">
        <f>HLOOKUP(N4,Модель!$G$85:$AV$187,81,0)</f>
        <v>#REF!</v>
      </c>
      <c r="O5" s="5" t="e">
        <f>HLOOKUP(O4,Модель!$G$85:$AV$187,81,0)</f>
        <v>#REF!</v>
      </c>
    </row>
    <row r="6" spans="4:18" x14ac:dyDescent="0.15">
      <c r="D6" t="s">
        <v>58</v>
      </c>
      <c r="E6" s="5">
        <v>0</v>
      </c>
      <c r="F6" s="5" t="e">
        <f>SUMIF(Модель!#REF!,F3,Модель!#REF!)</f>
        <v>#REF!</v>
      </c>
      <c r="G6" s="5" t="e">
        <f>SUMIF(Модель!#REF!,G3,Модель!#REF!)</f>
        <v>#REF!</v>
      </c>
      <c r="H6" s="5" t="e">
        <f>SUMIF(Модель!#REF!,H3,Модель!#REF!)</f>
        <v>#REF!</v>
      </c>
      <c r="I6" s="5" t="e">
        <f>SUMIF(Модель!#REF!,I3,Модель!#REF!)</f>
        <v>#REF!</v>
      </c>
      <c r="J6" s="5" t="e">
        <f>SUMIF(Модель!#REF!,J3,Модель!#REF!)</f>
        <v>#REF!</v>
      </c>
      <c r="K6" s="5" t="e">
        <f>SUMIF(Модель!#REF!,K3,Модель!#REF!)</f>
        <v>#REF!</v>
      </c>
      <c r="L6" s="5" t="e">
        <f>SUMIF(Модель!#REF!,L3,Модель!#REF!)</f>
        <v>#REF!</v>
      </c>
      <c r="M6" s="5" t="e">
        <f>SUMIF(Модель!#REF!,M3,Модель!#REF!)</f>
        <v>#REF!</v>
      </c>
      <c r="N6" s="5" t="e">
        <f>SUMIF(Модель!#REF!,N3,Модель!#REF!)</f>
        <v>#REF!</v>
      </c>
      <c r="O6" s="5" t="e">
        <f>SUMIF(Модель!#REF!,O3,Модель!#REF!)</f>
        <v>#REF!</v>
      </c>
    </row>
    <row r="9" spans="4:18" x14ac:dyDescent="0.15">
      <c r="E9" t="str">
        <f>E4</f>
        <v>покупка</v>
      </c>
      <c r="F9" s="1" t="s">
        <v>47</v>
      </c>
      <c r="G9" s="1" t="s">
        <v>48</v>
      </c>
      <c r="H9" s="1" t="s">
        <v>49</v>
      </c>
      <c r="I9" s="1" t="s">
        <v>62</v>
      </c>
      <c r="J9" s="1" t="s">
        <v>50</v>
      </c>
      <c r="K9" s="1" t="s">
        <v>51</v>
      </c>
      <c r="L9" s="1" t="s">
        <v>52</v>
      </c>
      <c r="M9" s="1" t="s">
        <v>53</v>
      </c>
      <c r="N9" s="1" t="s">
        <v>54</v>
      </c>
      <c r="O9" s="1" t="s">
        <v>55</v>
      </c>
    </row>
    <row r="10" spans="4:18" x14ac:dyDescent="0.15">
      <c r="D10" t="str">
        <f>D5</f>
        <v xml:space="preserve">Цена акции </v>
      </c>
      <c r="E10" s="3">
        <f>E5</f>
        <v>10000</v>
      </c>
      <c r="F10" s="3" t="e">
        <f>E10*(1+$P$10)</f>
        <v>#REF!</v>
      </c>
      <c r="G10" s="3" t="e">
        <f t="shared" ref="G10:N10" si="1">F10*(1+$P$10)</f>
        <v>#REF!</v>
      </c>
      <c r="H10" s="3" t="e">
        <f t="shared" si="1"/>
        <v>#REF!</v>
      </c>
      <c r="I10" s="3" t="e">
        <f t="shared" si="1"/>
        <v>#REF!</v>
      </c>
      <c r="J10" s="3" t="e">
        <f t="shared" si="1"/>
        <v>#REF!</v>
      </c>
      <c r="K10" s="3" t="e">
        <f t="shared" si="1"/>
        <v>#REF!</v>
      </c>
      <c r="L10" s="3" t="e">
        <f t="shared" si="1"/>
        <v>#REF!</v>
      </c>
      <c r="M10" s="3" t="e">
        <f t="shared" si="1"/>
        <v>#REF!</v>
      </c>
      <c r="N10" s="3" t="e">
        <f t="shared" si="1"/>
        <v>#REF!</v>
      </c>
      <c r="O10" s="3" t="e">
        <f t="shared" ref="O10" si="2">O5</f>
        <v>#REF!</v>
      </c>
      <c r="P10" s="6" t="e">
        <f>(O10/E10)^(1/10)-1</f>
        <v>#REF!</v>
      </c>
    </row>
    <row r="11" spans="4:18" x14ac:dyDescent="0.15">
      <c r="D11" t="s">
        <v>61</v>
      </c>
      <c r="E11">
        <f>E6*8</f>
        <v>0</v>
      </c>
      <c r="F11" t="e">
        <f t="shared" ref="F11:O11" si="3">F6*8</f>
        <v>#REF!</v>
      </c>
      <c r="G11" t="e">
        <f t="shared" si="3"/>
        <v>#REF!</v>
      </c>
      <c r="H11" t="e">
        <f t="shared" si="3"/>
        <v>#REF!</v>
      </c>
      <c r="I11" t="e">
        <f t="shared" si="3"/>
        <v>#REF!</v>
      </c>
      <c r="J11" t="e">
        <f t="shared" si="3"/>
        <v>#REF!</v>
      </c>
      <c r="K11" t="e">
        <f t="shared" si="3"/>
        <v>#REF!</v>
      </c>
      <c r="L11" t="e">
        <f t="shared" si="3"/>
        <v>#REF!</v>
      </c>
      <c r="M11" t="e">
        <f t="shared" si="3"/>
        <v>#REF!</v>
      </c>
      <c r="N11" t="e">
        <f t="shared" si="3"/>
        <v>#REF!</v>
      </c>
      <c r="O11" t="e">
        <f t="shared" si="3"/>
        <v>#REF!</v>
      </c>
      <c r="Q11" t="e">
        <f>(O10+SUM(E6:O6))/E10</f>
        <v>#REF!</v>
      </c>
      <c r="R11" t="e">
        <f>O10/E10</f>
        <v>#REF!</v>
      </c>
    </row>
    <row r="13" spans="4:18" x14ac:dyDescent="0.15">
      <c r="Q13" t="e">
        <f>SUM(E6:O6)/E5</f>
        <v>#REF!</v>
      </c>
    </row>
    <row r="44" spans="5:17" x14ac:dyDescent="0.15">
      <c r="F44" t="s">
        <v>59</v>
      </c>
      <c r="G44" t="s">
        <v>33</v>
      </c>
      <c r="H44" t="s">
        <v>63</v>
      </c>
      <c r="I44" t="s">
        <v>64</v>
      </c>
      <c r="J44" t="s">
        <v>65</v>
      </c>
      <c r="K44" t="s">
        <v>66</v>
      </c>
      <c r="L44" t="s">
        <v>67</v>
      </c>
    </row>
    <row r="45" spans="5:17" x14ac:dyDescent="0.15">
      <c r="E45" s="3"/>
      <c r="F45" s="3">
        <v>10000</v>
      </c>
      <c r="G45" s="3"/>
      <c r="H45" s="3"/>
      <c r="I45" s="3"/>
      <c r="J45" s="3"/>
      <c r="K45" s="3"/>
      <c r="L45" s="3">
        <v>15059</v>
      </c>
      <c r="M45" s="3"/>
      <c r="N45" s="3"/>
      <c r="O45" s="3"/>
      <c r="P45" s="3"/>
      <c r="Q45" s="3"/>
    </row>
  </sheetData>
  <phoneticPr fontId="3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D3:M10"/>
  <sheetViews>
    <sheetView workbookViewId="0">
      <selection activeCell="G38" sqref="G38"/>
    </sheetView>
  </sheetViews>
  <sheetFormatPr baseColWidth="10" defaultColWidth="8.83203125" defaultRowHeight="13" x14ac:dyDescent="0.15"/>
  <cols>
    <col min="4" max="4" width="13.1640625" customWidth="1"/>
  </cols>
  <sheetData>
    <row r="3" spans="4:13" x14ac:dyDescent="0.15">
      <c r="E3">
        <v>0</v>
      </c>
      <c r="F3">
        <v>1</v>
      </c>
      <c r="G3">
        <v>2</v>
      </c>
      <c r="H3">
        <v>3</v>
      </c>
      <c r="I3">
        <v>4</v>
      </c>
      <c r="J3">
        <v>5</v>
      </c>
      <c r="K3">
        <v>6</v>
      </c>
    </row>
    <row r="4" spans="4:13" x14ac:dyDescent="0.15">
      <c r="E4" s="1" t="s">
        <v>59</v>
      </c>
      <c r="F4" s="1">
        <v>45382</v>
      </c>
      <c r="G4" s="1">
        <v>45473</v>
      </c>
      <c r="H4" s="1">
        <v>45565</v>
      </c>
      <c r="I4" s="1">
        <v>45657</v>
      </c>
      <c r="J4" s="1">
        <v>45747</v>
      </c>
      <c r="K4" s="1">
        <v>45838</v>
      </c>
      <c r="L4">
        <f>K4-F4</f>
        <v>456</v>
      </c>
    </row>
    <row r="5" spans="4:13" x14ac:dyDescent="0.15">
      <c r="D5" t="s">
        <v>60</v>
      </c>
      <c r="E5" s="3">
        <v>10000</v>
      </c>
      <c r="F5" s="3">
        <v>0</v>
      </c>
      <c r="G5" s="3">
        <v>0</v>
      </c>
      <c r="H5" s="3">
        <v>0</v>
      </c>
      <c r="I5" s="3">
        <v>0</v>
      </c>
      <c r="J5" s="3">
        <v>0</v>
      </c>
      <c r="K5" s="3">
        <v>15058.638482969463</v>
      </c>
      <c r="M5" s="2">
        <f>(K5/E5)^(1/K3)-1</f>
        <v>7.0609151037329676E-2</v>
      </c>
    </row>
    <row r="6" spans="4:13" x14ac:dyDescent="0.15">
      <c r="D6" t="s">
        <v>58</v>
      </c>
      <c r="E6" s="3">
        <v>0</v>
      </c>
      <c r="F6" s="3">
        <v>0</v>
      </c>
      <c r="G6" s="3">
        <v>0</v>
      </c>
      <c r="H6" s="3">
        <v>0</v>
      </c>
      <c r="I6" s="3">
        <v>0</v>
      </c>
      <c r="J6" s="3">
        <v>0</v>
      </c>
      <c r="K6" s="3"/>
    </row>
    <row r="10" spans="4:13" x14ac:dyDescent="0.15">
      <c r="L10" s="4" t="e">
        <f>YEARFRAC(Модель!#REF!,K4)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1</vt:i4>
      </vt:variant>
    </vt:vector>
  </HeadingPairs>
  <TitlesOfParts>
    <vt:vector size="5" baseType="lpstr">
      <vt:lpstr>Калькулятор инвестора</vt:lpstr>
      <vt:lpstr>Модель</vt:lpstr>
      <vt:lpstr>Sheet2</vt:lpstr>
      <vt:lpstr>Sheet1</vt:lpstr>
      <vt:lpstr>Модель!exit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VRyabov Investment Analyst @SimpleEstate</dc:creator>
  <cp:lastModifiedBy>k633</cp:lastModifiedBy>
  <dcterms:created xsi:type="dcterms:W3CDTF">2023-03-28T06:36:12Z</dcterms:created>
  <dcterms:modified xsi:type="dcterms:W3CDTF">2026-03-04T10:23:52Z</dcterms:modified>
</cp:coreProperties>
</file>